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24376bac55d9e8d/Área de Trabalho/Seminários Dissertação/"/>
    </mc:Choice>
  </mc:AlternateContent>
  <xr:revisionPtr revIDLastSave="1136" documentId="8_{2827473A-21C1-40DA-8C41-71917A739288}" xr6:coauthVersionLast="47" xr6:coauthVersionMax="47" xr10:uidLastSave="{9A95D0DF-08CD-4CDA-8F91-110FFBAA265D}"/>
  <bookViews>
    <workbookView xWindow="28680" yWindow="-120" windowWidth="29040" windowHeight="15720" xr2:uid="{3C766E86-716A-435B-9DF6-F692E361FBDA}"/>
  </bookViews>
  <sheets>
    <sheet name="Base" sheetId="1" r:id="rId1"/>
    <sheet name="Ratings" sheetId="7" r:id="rId2"/>
    <sheet name="EMBI+" sheetId="5" r:id="rId3"/>
    <sheet name="Dólar Spot" sheetId="6" r:id="rId4"/>
  </sheets>
  <definedNames>
    <definedName name="_xlnm._FilterDatabase" localSheetId="0" hidden="1">Base!$B$2:$AA$557</definedName>
    <definedName name="_xlnm._FilterDatabase" localSheetId="3" hidden="1">'Dólar Spot'!$A$1:$B$2758</definedName>
    <definedName name="_xlnm._FilterDatabase" localSheetId="2" hidden="1">'EMBI+'!$A$1:$B$2849</definedName>
    <definedName name="_xlnm._FilterDatabase" localSheetId="1" hidden="1">Ratings!$A$1:$M$1</definedName>
  </definedNames>
  <calcPr calcId="191029"/>
  <pivotCaches>
    <pivotCache cacheId="0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4" i="1" l="1" a="1"/>
  <c r="Y4" i="1" s="1"/>
  <c r="Y5" i="1" a="1"/>
  <c r="Y5" i="1" s="1"/>
  <c r="Y6" i="1" a="1"/>
  <c r="Y6" i="1"/>
  <c r="Y7" i="1" a="1"/>
  <c r="Y7" i="1"/>
  <c r="Y8" i="1" a="1"/>
  <c r="Y8" i="1" s="1"/>
  <c r="Z8" i="1" s="1"/>
  <c r="Y9" i="1" a="1"/>
  <c r="Y9" i="1" s="1"/>
  <c r="Z9" i="1" s="1"/>
  <c r="Y10" i="1" a="1"/>
  <c r="Y10" i="1"/>
  <c r="Y11" i="1" a="1"/>
  <c r="Y11" i="1" s="1"/>
  <c r="Z11" i="1" s="1"/>
  <c r="Y12" i="1" a="1"/>
  <c r="Y12" i="1" s="1"/>
  <c r="Y13" i="1" a="1"/>
  <c r="Y13" i="1" s="1"/>
  <c r="Z13" i="1" s="1"/>
  <c r="Y14" i="1" a="1"/>
  <c r="Y14" i="1"/>
  <c r="Z14" i="1" s="1"/>
  <c r="Y15" i="1" a="1"/>
  <c r="Y15" i="1" s="1"/>
  <c r="Z15" i="1" s="1"/>
  <c r="Y16" i="1" a="1"/>
  <c r="Y16" i="1" s="1"/>
  <c r="Y17" i="1" a="1"/>
  <c r="Y17" i="1" s="1"/>
  <c r="Y18" i="1" a="1"/>
  <c r="Y18" i="1"/>
  <c r="Y19" i="1" a="1"/>
  <c r="Y19" i="1"/>
  <c r="Z19" i="1" s="1"/>
  <c r="Y20" i="1" a="1"/>
  <c r="Y20" i="1" s="1"/>
  <c r="Y21" i="1" a="1"/>
  <c r="Y21" i="1" s="1"/>
  <c r="Y22" i="1" a="1"/>
  <c r="Y22" i="1"/>
  <c r="Y23" i="1" a="1"/>
  <c r="Y23" i="1"/>
  <c r="Y24" i="1" a="1"/>
  <c r="Y24" i="1" s="1"/>
  <c r="Z24" i="1" s="1"/>
  <c r="Y25" i="1" a="1"/>
  <c r="Y25" i="1" s="1"/>
  <c r="Z25" i="1" s="1"/>
  <c r="Y26" i="1" a="1"/>
  <c r="Y26" i="1"/>
  <c r="Y27" i="1" a="1"/>
  <c r="Y27" i="1" s="1"/>
  <c r="Z27" i="1" s="1"/>
  <c r="Y28" i="1" a="1"/>
  <c r="Y28" i="1" s="1"/>
  <c r="Y29" i="1" a="1"/>
  <c r="Y29" i="1" s="1"/>
  <c r="Z29" i="1" s="1"/>
  <c r="Y30" i="1" a="1"/>
  <c r="Y30" i="1"/>
  <c r="Z30" i="1" s="1"/>
  <c r="Y31" i="1" a="1"/>
  <c r="Y31" i="1" s="1"/>
  <c r="Z31" i="1" s="1"/>
  <c r="Y32" i="1" a="1"/>
  <c r="Y32" i="1" s="1"/>
  <c r="Y33" i="1" a="1"/>
  <c r="Y33" i="1" s="1"/>
  <c r="Y34" i="1" a="1"/>
  <c r="Y34" i="1"/>
  <c r="Y35" i="1" a="1"/>
  <c r="Y35" i="1"/>
  <c r="Z35" i="1" s="1"/>
  <c r="Y36" i="1" a="1"/>
  <c r="Y36" i="1" s="1"/>
  <c r="Y37" i="1" a="1"/>
  <c r="Y37" i="1" s="1"/>
  <c r="Y38" i="1" a="1"/>
  <c r="Y38" i="1" s="1"/>
  <c r="Z38" i="1" s="1"/>
  <c r="Y39" i="1" a="1"/>
  <c r="Y39" i="1"/>
  <c r="Y40" i="1" a="1"/>
  <c r="Y40" i="1" s="1"/>
  <c r="Z40" i="1" s="1"/>
  <c r="Y41" i="1" a="1"/>
  <c r="Y41" i="1" s="1"/>
  <c r="Z41" i="1" s="1"/>
  <c r="Y42" i="1" a="1"/>
  <c r="Y42" i="1" s="1"/>
  <c r="Z42" i="1" s="1"/>
  <c r="Y43" i="1" a="1"/>
  <c r="Y43" i="1" s="1"/>
  <c r="Z43" i="1" s="1"/>
  <c r="Y44" i="1" a="1"/>
  <c r="Y44" i="1" s="1"/>
  <c r="Y45" i="1" a="1"/>
  <c r="Y45" i="1" s="1"/>
  <c r="Z45" i="1" s="1"/>
  <c r="Y46" i="1" a="1"/>
  <c r="Y46" i="1"/>
  <c r="Z46" i="1" s="1"/>
  <c r="Y47" i="1" a="1"/>
  <c r="Y47" i="1" s="1"/>
  <c r="Z47" i="1" s="1"/>
  <c r="Y48" i="1" a="1"/>
  <c r="Y48" i="1" s="1"/>
  <c r="Y49" i="1" a="1"/>
  <c r="Y49" i="1" s="1"/>
  <c r="Y50" i="1" a="1"/>
  <c r="Y50" i="1"/>
  <c r="Y51" i="1" a="1"/>
  <c r="Y51" i="1"/>
  <c r="Z51" i="1" s="1"/>
  <c r="Y52" i="1" a="1"/>
  <c r="Y52" i="1" s="1"/>
  <c r="Y53" i="1" a="1"/>
  <c r="Y53" i="1" s="1"/>
  <c r="Y54" i="1" a="1"/>
  <c r="Y54" i="1" s="1"/>
  <c r="Z54" i="1" s="1"/>
  <c r="Y55" i="1" a="1"/>
  <c r="Y55" i="1"/>
  <c r="Y56" i="1" a="1"/>
  <c r="Y56" i="1" s="1"/>
  <c r="Z56" i="1" s="1"/>
  <c r="Y57" i="1" a="1"/>
  <c r="Y57" i="1" s="1"/>
  <c r="Z57" i="1" s="1"/>
  <c r="Y58" i="1" a="1"/>
  <c r="Y58" i="1" s="1"/>
  <c r="Z58" i="1" s="1"/>
  <c r="Y59" i="1" a="1"/>
  <c r="Y59" i="1" s="1"/>
  <c r="Z59" i="1" s="1"/>
  <c r="Y60" i="1" a="1"/>
  <c r="Y60" i="1" s="1"/>
  <c r="Y61" i="1" a="1"/>
  <c r="Y61" i="1" s="1"/>
  <c r="Z61" i="1" s="1"/>
  <c r="Y62" i="1" a="1"/>
  <c r="Y62" i="1"/>
  <c r="Z62" i="1" s="1"/>
  <c r="Y63" i="1" a="1"/>
  <c r="Y63" i="1" s="1"/>
  <c r="Z63" i="1" s="1"/>
  <c r="Y64" i="1" a="1"/>
  <c r="Y64" i="1" s="1"/>
  <c r="Y65" i="1" a="1"/>
  <c r="Y65" i="1" s="1"/>
  <c r="Y66" i="1" a="1"/>
  <c r="Y66" i="1"/>
  <c r="Y67" i="1" a="1"/>
  <c r="Y67" i="1"/>
  <c r="Z67" i="1" s="1"/>
  <c r="Y68" i="1" a="1"/>
  <c r="Y68" i="1" s="1"/>
  <c r="Y69" i="1" a="1"/>
  <c r="Y69" i="1" s="1"/>
  <c r="Y70" i="1" a="1"/>
  <c r="Y70" i="1" s="1"/>
  <c r="Z70" i="1" s="1"/>
  <c r="Y71" i="1" a="1"/>
  <c r="Y71" i="1"/>
  <c r="Y72" i="1" a="1"/>
  <c r="Y72" i="1" s="1"/>
  <c r="Z72" i="1" s="1"/>
  <c r="Y73" i="1" a="1"/>
  <c r="Y73" i="1" s="1"/>
  <c r="Z73" i="1" s="1"/>
  <c r="Y74" i="1" a="1"/>
  <c r="Y74" i="1" s="1"/>
  <c r="Z74" i="1" s="1"/>
  <c r="Y75" i="1" a="1"/>
  <c r="Y75" i="1" s="1"/>
  <c r="Z75" i="1" s="1"/>
  <c r="Y76" i="1" a="1"/>
  <c r="Y76" i="1" s="1"/>
  <c r="Y77" i="1" a="1"/>
  <c r="Y77" i="1" s="1"/>
  <c r="Z77" i="1" s="1"/>
  <c r="Y78" i="1" a="1"/>
  <c r="Y78" i="1"/>
  <c r="Z78" i="1" s="1"/>
  <c r="Y79" i="1" a="1"/>
  <c r="Y79" i="1" s="1"/>
  <c r="Z79" i="1" s="1"/>
  <c r="Y80" i="1" a="1"/>
  <c r="Y80" i="1" s="1"/>
  <c r="Y81" i="1" a="1"/>
  <c r="Y81" i="1" s="1"/>
  <c r="Y82" i="1" a="1"/>
  <c r="Y82" i="1"/>
  <c r="Y83" i="1" a="1"/>
  <c r="Y83" i="1"/>
  <c r="Z83" i="1" s="1"/>
  <c r="Y84" i="1" a="1"/>
  <c r="Y84" i="1" s="1"/>
  <c r="Y85" i="1" a="1"/>
  <c r="Y85" i="1" s="1"/>
  <c r="Y86" i="1" a="1"/>
  <c r="Y86" i="1" s="1"/>
  <c r="Z86" i="1" s="1"/>
  <c r="Y87" i="1" a="1"/>
  <c r="Y87" i="1"/>
  <c r="Y88" i="1" a="1"/>
  <c r="Y88" i="1" s="1"/>
  <c r="Z88" i="1" s="1"/>
  <c r="Y89" i="1" a="1"/>
  <c r="Y89" i="1" s="1"/>
  <c r="Z89" i="1" s="1"/>
  <c r="Y90" i="1" a="1"/>
  <c r="Y90" i="1" s="1"/>
  <c r="Z90" i="1" s="1"/>
  <c r="Y91" i="1" a="1"/>
  <c r="Y91" i="1" s="1"/>
  <c r="Z91" i="1" s="1"/>
  <c r="Y92" i="1" a="1"/>
  <c r="Y92" i="1" s="1"/>
  <c r="Y93" i="1" a="1"/>
  <c r="Y93" i="1" s="1"/>
  <c r="Z93" i="1" s="1"/>
  <c r="Y94" i="1" a="1"/>
  <c r="Y94" i="1"/>
  <c r="Z94" i="1" s="1"/>
  <c r="Y95" i="1" a="1"/>
  <c r="Y95" i="1" s="1"/>
  <c r="Z95" i="1" s="1"/>
  <c r="Y96" i="1" a="1"/>
  <c r="Y96" i="1" s="1"/>
  <c r="Y97" i="1" a="1"/>
  <c r="Y97" i="1" s="1"/>
  <c r="Y98" i="1" a="1"/>
  <c r="Y98" i="1"/>
  <c r="Y99" i="1" a="1"/>
  <c r="Y99" i="1"/>
  <c r="Z99" i="1" s="1"/>
  <c r="Y100" i="1" a="1"/>
  <c r="Y100" i="1" s="1"/>
  <c r="Y101" i="1" a="1"/>
  <c r="Y101" i="1" s="1"/>
  <c r="Y102" i="1" a="1"/>
  <c r="Y102" i="1" s="1"/>
  <c r="Z102" i="1" s="1"/>
  <c r="Y103" i="1" a="1"/>
  <c r="Y103" i="1"/>
  <c r="Y104" i="1" a="1"/>
  <c r="Y104" i="1" s="1"/>
  <c r="Z104" i="1" s="1"/>
  <c r="Y105" i="1" a="1"/>
  <c r="Y105" i="1" s="1"/>
  <c r="Z105" i="1" s="1"/>
  <c r="Y106" i="1" a="1"/>
  <c r="Y106" i="1" s="1"/>
  <c r="Z106" i="1" s="1"/>
  <c r="Y107" i="1" a="1"/>
  <c r="Y107" i="1" s="1"/>
  <c r="Z107" i="1" s="1"/>
  <c r="Y108" i="1" a="1"/>
  <c r="Y108" i="1" s="1"/>
  <c r="Y109" i="1" a="1"/>
  <c r="Y109" i="1" s="1"/>
  <c r="Z109" i="1" s="1"/>
  <c r="Y110" i="1" a="1"/>
  <c r="Y110" i="1"/>
  <c r="Z110" i="1" s="1"/>
  <c r="Y111" i="1" a="1"/>
  <c r="Y111" i="1" s="1"/>
  <c r="Z111" i="1" s="1"/>
  <c r="Y112" i="1" a="1"/>
  <c r="Y112" i="1" s="1"/>
  <c r="Y113" i="1" a="1"/>
  <c r="Y113" i="1" s="1"/>
  <c r="Y114" i="1" a="1"/>
  <c r="Y114" i="1"/>
  <c r="Y115" i="1" a="1"/>
  <c r="Y115" i="1"/>
  <c r="Z115" i="1" s="1"/>
  <c r="Y116" i="1" a="1"/>
  <c r="Y116" i="1" s="1"/>
  <c r="Y117" i="1" a="1"/>
  <c r="Y117" i="1" s="1"/>
  <c r="Y118" i="1" a="1"/>
  <c r="Y118" i="1" s="1"/>
  <c r="Z118" i="1" s="1"/>
  <c r="Y119" i="1" a="1"/>
  <c r="Y119" i="1"/>
  <c r="Y120" i="1" a="1"/>
  <c r="Y120" i="1" s="1"/>
  <c r="Z120" i="1" s="1"/>
  <c r="Y121" i="1" a="1"/>
  <c r="Y121" i="1" s="1"/>
  <c r="Z121" i="1" s="1"/>
  <c r="Y122" i="1" a="1"/>
  <c r="Y122" i="1" s="1"/>
  <c r="Z122" i="1" s="1"/>
  <c r="Y123" i="1" a="1"/>
  <c r="Y123" i="1" s="1"/>
  <c r="Z123" i="1" s="1"/>
  <c r="Y124" i="1" a="1"/>
  <c r="Y124" i="1" s="1"/>
  <c r="Y125" i="1" a="1"/>
  <c r="Y125" i="1" s="1"/>
  <c r="Z125" i="1" s="1"/>
  <c r="Y126" i="1" a="1"/>
  <c r="Y126" i="1"/>
  <c r="Z126" i="1" s="1"/>
  <c r="Y127" i="1" a="1"/>
  <c r="Y127" i="1" s="1"/>
  <c r="Z127" i="1" s="1"/>
  <c r="Y128" i="1" a="1"/>
  <c r="Y128" i="1" s="1"/>
  <c r="Y129" i="1" a="1"/>
  <c r="Y129" i="1" s="1"/>
  <c r="Y130" i="1" a="1"/>
  <c r="Y130" i="1"/>
  <c r="Y131" i="1" a="1"/>
  <c r="Y131" i="1"/>
  <c r="Z131" i="1" s="1"/>
  <c r="Y132" i="1" a="1"/>
  <c r="Y132" i="1" s="1"/>
  <c r="Y133" i="1" a="1"/>
  <c r="Y133" i="1" s="1"/>
  <c r="Y134" i="1" a="1"/>
  <c r="Y134" i="1" s="1"/>
  <c r="Z134" i="1" s="1"/>
  <c r="Y135" i="1" a="1"/>
  <c r="Y135" i="1"/>
  <c r="Y136" i="1" a="1"/>
  <c r="Y136" i="1" s="1"/>
  <c r="Z136" i="1" s="1"/>
  <c r="Y137" i="1" a="1"/>
  <c r="Y137" i="1" s="1"/>
  <c r="Z137" i="1" s="1"/>
  <c r="Y138" i="1" a="1"/>
  <c r="Y138" i="1" s="1"/>
  <c r="Z138" i="1" s="1"/>
  <c r="Y139" i="1" a="1"/>
  <c r="Y139" i="1" s="1"/>
  <c r="Z139" i="1" s="1"/>
  <c r="Y140" i="1" a="1"/>
  <c r="Y140" i="1" s="1"/>
  <c r="Y141" i="1" a="1"/>
  <c r="Y141" i="1" s="1"/>
  <c r="Z141" i="1" s="1"/>
  <c r="Y142" i="1" a="1"/>
  <c r="Y142" i="1"/>
  <c r="Z142" i="1" s="1"/>
  <c r="Y143" i="1" a="1"/>
  <c r="Y143" i="1" s="1"/>
  <c r="Z143" i="1" s="1"/>
  <c r="Y144" i="1" a="1"/>
  <c r="Y144" i="1" s="1"/>
  <c r="Y145" i="1" a="1"/>
  <c r="Y145" i="1" s="1"/>
  <c r="Y146" i="1" a="1"/>
  <c r="Y146" i="1"/>
  <c r="Y147" i="1" a="1"/>
  <c r="Y147" i="1"/>
  <c r="Z147" i="1" s="1"/>
  <c r="Y148" i="1" a="1"/>
  <c r="Y148" i="1" s="1"/>
  <c r="Y149" i="1" a="1"/>
  <c r="Y149" i="1" s="1"/>
  <c r="Y150" i="1" a="1"/>
  <c r="Y150" i="1" s="1"/>
  <c r="Z150" i="1" s="1"/>
  <c r="Y151" i="1" a="1"/>
  <c r="Y151" i="1"/>
  <c r="Y152" i="1" a="1"/>
  <c r="Y152" i="1" s="1"/>
  <c r="Z152" i="1" s="1"/>
  <c r="Y153" i="1" a="1"/>
  <c r="Y153" i="1" s="1"/>
  <c r="Z153" i="1" s="1"/>
  <c r="Y154" i="1" a="1"/>
  <c r="Y154" i="1" s="1"/>
  <c r="Z154" i="1" s="1"/>
  <c r="Y155" i="1" a="1"/>
  <c r="Y155" i="1" s="1"/>
  <c r="Z155" i="1" s="1"/>
  <c r="Y156" i="1" a="1"/>
  <c r="Y156" i="1" s="1"/>
  <c r="Y157" i="1" a="1"/>
  <c r="Y157" i="1" s="1"/>
  <c r="Z157" i="1" s="1"/>
  <c r="Y158" i="1" a="1"/>
  <c r="Y158" i="1"/>
  <c r="Z158" i="1" s="1"/>
  <c r="Y159" i="1" a="1"/>
  <c r="Y159" i="1" s="1"/>
  <c r="Z159" i="1" s="1"/>
  <c r="Y160" i="1" a="1"/>
  <c r="Y160" i="1" s="1"/>
  <c r="Y161" i="1" a="1"/>
  <c r="Y161" i="1" s="1"/>
  <c r="Y162" i="1" a="1"/>
  <c r="Y162" i="1"/>
  <c r="Y163" i="1" a="1"/>
  <c r="Y163" i="1"/>
  <c r="Z163" i="1" s="1"/>
  <c r="Y164" i="1" a="1"/>
  <c r="Y164" i="1" s="1"/>
  <c r="Y165" i="1" a="1"/>
  <c r="Y165" i="1" s="1"/>
  <c r="Y166" i="1" a="1"/>
  <c r="Y166" i="1" s="1"/>
  <c r="Z166" i="1" s="1"/>
  <c r="Y167" i="1" a="1"/>
  <c r="Y167" i="1"/>
  <c r="Y168" i="1" a="1"/>
  <c r="Y168" i="1" s="1"/>
  <c r="Z168" i="1" s="1"/>
  <c r="Y169" i="1" a="1"/>
  <c r="Y169" i="1" s="1"/>
  <c r="Z169" i="1" s="1"/>
  <c r="Y170" i="1" a="1"/>
  <c r="Y170" i="1" s="1"/>
  <c r="Z170" i="1" s="1"/>
  <c r="Y171" i="1" a="1"/>
  <c r="Y171" i="1" s="1"/>
  <c r="Z171" i="1" s="1"/>
  <c r="Y172" i="1" a="1"/>
  <c r="Y172" i="1" s="1"/>
  <c r="Y173" i="1" a="1"/>
  <c r="Y173" i="1" s="1"/>
  <c r="Z173" i="1" s="1"/>
  <c r="Y174" i="1" a="1"/>
  <c r="Y174" i="1"/>
  <c r="Z174" i="1" s="1"/>
  <c r="Y175" i="1" a="1"/>
  <c r="Y175" i="1" s="1"/>
  <c r="Z175" i="1" s="1"/>
  <c r="Y176" i="1" a="1"/>
  <c r="Y176" i="1" s="1"/>
  <c r="Y177" i="1" a="1"/>
  <c r="Y177" i="1" s="1"/>
  <c r="Y178" i="1" a="1"/>
  <c r="Y178" i="1"/>
  <c r="Y179" i="1" a="1"/>
  <c r="Y179" i="1"/>
  <c r="Z179" i="1" s="1"/>
  <c r="Y180" i="1" a="1"/>
  <c r="Y180" i="1" s="1"/>
  <c r="Y181" i="1" a="1"/>
  <c r="Y181" i="1" s="1"/>
  <c r="Y182" i="1" a="1"/>
  <c r="Y182" i="1" s="1"/>
  <c r="Z182" i="1" s="1"/>
  <c r="Y183" i="1" a="1"/>
  <c r="Y183" i="1"/>
  <c r="Y184" i="1" a="1"/>
  <c r="Y184" i="1" s="1"/>
  <c r="Z184" i="1" s="1"/>
  <c r="Y185" i="1" a="1"/>
  <c r="Y185" i="1" s="1"/>
  <c r="Z185" i="1" s="1"/>
  <c r="Y186" i="1" a="1"/>
  <c r="Y186" i="1" s="1"/>
  <c r="Z186" i="1" s="1"/>
  <c r="Y187" i="1" a="1"/>
  <c r="Y187" i="1" s="1"/>
  <c r="Z187" i="1" s="1"/>
  <c r="Y188" i="1" a="1"/>
  <c r="Y188" i="1" s="1"/>
  <c r="Y189" i="1" a="1"/>
  <c r="Y189" i="1" s="1"/>
  <c r="Z189" i="1" s="1"/>
  <c r="Y190" i="1" a="1"/>
  <c r="Y190" i="1"/>
  <c r="Z190" i="1" s="1"/>
  <c r="Y191" i="1" a="1"/>
  <c r="Y191" i="1" s="1"/>
  <c r="Z191" i="1" s="1"/>
  <c r="Y192" i="1" a="1"/>
  <c r="Y192" i="1" s="1"/>
  <c r="Y193" i="1" a="1"/>
  <c r="Y193" i="1" s="1"/>
  <c r="Y194" i="1" a="1"/>
  <c r="Y194" i="1"/>
  <c r="Y195" i="1" a="1"/>
  <c r="Y195" i="1"/>
  <c r="Z195" i="1" s="1"/>
  <c r="Y196" i="1" a="1"/>
  <c r="Y196" i="1" s="1"/>
  <c r="Y197" i="1" a="1"/>
  <c r="Y197" i="1" s="1"/>
  <c r="Y198" i="1" a="1"/>
  <c r="Y198" i="1" s="1"/>
  <c r="Z198" i="1" s="1"/>
  <c r="Y199" i="1" a="1"/>
  <c r="Y199" i="1"/>
  <c r="Y200" i="1" a="1"/>
  <c r="Y200" i="1" s="1"/>
  <c r="Z200" i="1" s="1"/>
  <c r="Y201" i="1" a="1"/>
  <c r="Y201" i="1" s="1"/>
  <c r="Z201" i="1" s="1"/>
  <c r="Y202" i="1" a="1"/>
  <c r="Y202" i="1" s="1"/>
  <c r="Z202" i="1" s="1"/>
  <c r="Y203" i="1" a="1"/>
  <c r="Y203" i="1" s="1"/>
  <c r="Z203" i="1" s="1"/>
  <c r="Y204" i="1" a="1"/>
  <c r="Y204" i="1" s="1"/>
  <c r="Y205" i="1" a="1"/>
  <c r="Y205" i="1" s="1"/>
  <c r="Z205" i="1" s="1"/>
  <c r="Y206" i="1" a="1"/>
  <c r="Y206" i="1"/>
  <c r="Z206" i="1" s="1"/>
  <c r="Y207" i="1" a="1"/>
  <c r="Y207" i="1" s="1"/>
  <c r="Z207" i="1" s="1"/>
  <c r="Y208" i="1" a="1"/>
  <c r="Y208" i="1" s="1"/>
  <c r="Y209" i="1" a="1"/>
  <c r="Y209" i="1" s="1"/>
  <c r="Y210" i="1" a="1"/>
  <c r="Y210" i="1"/>
  <c r="Y211" i="1" a="1"/>
  <c r="Y211" i="1"/>
  <c r="Z211" i="1" s="1"/>
  <c r="Y212" i="1" a="1"/>
  <c r="Y212" i="1" s="1"/>
  <c r="Y213" i="1" a="1"/>
  <c r="Y213" i="1" s="1"/>
  <c r="Y214" i="1" a="1"/>
  <c r="Y214" i="1" s="1"/>
  <c r="Z214" i="1" s="1"/>
  <c r="Y215" i="1" a="1"/>
  <c r="Y215" i="1"/>
  <c r="Y216" i="1" a="1"/>
  <c r="Y216" i="1" s="1"/>
  <c r="Z216" i="1" s="1"/>
  <c r="Y217" i="1" a="1"/>
  <c r="Y217" i="1" s="1"/>
  <c r="Z217" i="1" s="1"/>
  <c r="Y218" i="1" a="1"/>
  <c r="Y218" i="1" s="1"/>
  <c r="Z218" i="1" s="1"/>
  <c r="Y219" i="1" a="1"/>
  <c r="Y219" i="1" s="1"/>
  <c r="Z219" i="1" s="1"/>
  <c r="Y220" i="1" a="1"/>
  <c r="Y220" i="1" s="1"/>
  <c r="Y221" i="1" a="1"/>
  <c r="Y221" i="1" s="1"/>
  <c r="Z221" i="1" s="1"/>
  <c r="Y222" i="1" a="1"/>
  <c r="Y222" i="1"/>
  <c r="Z222" i="1" s="1"/>
  <c r="Y223" i="1" a="1"/>
  <c r="Y223" i="1" s="1"/>
  <c r="Z223" i="1" s="1"/>
  <c r="Y224" i="1" a="1"/>
  <c r="Y224" i="1" s="1"/>
  <c r="Y225" i="1" a="1"/>
  <c r="Y225" i="1" s="1"/>
  <c r="Y226" i="1" a="1"/>
  <c r="Y226" i="1"/>
  <c r="Y227" i="1" a="1"/>
  <c r="Y227" i="1"/>
  <c r="Z227" i="1" s="1"/>
  <c r="Y228" i="1" a="1"/>
  <c r="Y228" i="1" s="1"/>
  <c r="Y229" i="1" a="1"/>
  <c r="Y229" i="1" s="1"/>
  <c r="Y230" i="1" a="1"/>
  <c r="Y230" i="1" s="1"/>
  <c r="Z230" i="1" s="1"/>
  <c r="Y231" i="1" a="1"/>
  <c r="Y231" i="1"/>
  <c r="Y232" i="1" a="1"/>
  <c r="Y232" i="1" s="1"/>
  <c r="Z232" i="1" s="1"/>
  <c r="Y233" i="1" a="1"/>
  <c r="Y233" i="1" s="1"/>
  <c r="Z233" i="1" s="1"/>
  <c r="Y234" i="1" a="1"/>
  <c r="Y234" i="1" s="1"/>
  <c r="Z234" i="1" s="1"/>
  <c r="Y235" i="1" a="1"/>
  <c r="Y235" i="1" s="1"/>
  <c r="Z235" i="1" s="1"/>
  <c r="Y236" i="1" a="1"/>
  <c r="Y236" i="1" s="1"/>
  <c r="Y237" i="1" a="1"/>
  <c r="Y237" i="1" s="1"/>
  <c r="Z237" i="1" s="1"/>
  <c r="Y238" i="1" a="1"/>
  <c r="Y238" i="1"/>
  <c r="Z238" i="1" s="1"/>
  <c r="Y239" i="1" a="1"/>
  <c r="Y239" i="1" s="1"/>
  <c r="Z239" i="1" s="1"/>
  <c r="Y240" i="1" a="1"/>
  <c r="Y240" i="1" s="1"/>
  <c r="Y241" i="1" a="1"/>
  <c r="Y241" i="1" s="1"/>
  <c r="Y242" i="1" a="1"/>
  <c r="Y242" i="1"/>
  <c r="Y243" i="1" a="1"/>
  <c r="Y243" i="1"/>
  <c r="Z243" i="1" s="1"/>
  <c r="Y244" i="1" a="1"/>
  <c r="Y244" i="1" s="1"/>
  <c r="Y245" i="1" a="1"/>
  <c r="Y245" i="1" s="1"/>
  <c r="Y246" i="1" a="1"/>
  <c r="Y246" i="1" s="1"/>
  <c r="Z246" i="1" s="1"/>
  <c r="Y247" i="1" a="1"/>
  <c r="Y247" i="1"/>
  <c r="Y248" i="1" a="1"/>
  <c r="Y248" i="1" s="1"/>
  <c r="Z248" i="1" s="1"/>
  <c r="Y249" i="1" a="1"/>
  <c r="Y249" i="1" s="1"/>
  <c r="Z249" i="1" s="1"/>
  <c r="Y250" i="1" a="1"/>
  <c r="Y250" i="1" s="1"/>
  <c r="Z250" i="1" s="1"/>
  <c r="Y251" i="1" a="1"/>
  <c r="Y251" i="1" s="1"/>
  <c r="Z251" i="1" s="1"/>
  <c r="Y252" i="1" a="1"/>
  <c r="Y252" i="1" s="1"/>
  <c r="Y253" i="1" a="1"/>
  <c r="Y253" i="1" s="1"/>
  <c r="Z253" i="1" s="1"/>
  <c r="Y254" i="1" a="1"/>
  <c r="Y254" i="1"/>
  <c r="Z254" i="1" s="1"/>
  <c r="Y255" i="1" a="1"/>
  <c r="Y255" i="1" s="1"/>
  <c r="Z255" i="1" s="1"/>
  <c r="Y256" i="1" a="1"/>
  <c r="Y256" i="1" s="1"/>
  <c r="Y257" i="1" a="1"/>
  <c r="Y257" i="1" s="1"/>
  <c r="Y258" i="1" a="1"/>
  <c r="Y258" i="1"/>
  <c r="Y259" i="1" a="1"/>
  <c r="Y259" i="1"/>
  <c r="Z259" i="1" s="1"/>
  <c r="Y260" i="1" a="1"/>
  <c r="Y260" i="1" s="1"/>
  <c r="Y261" i="1" a="1"/>
  <c r="Y261" i="1" s="1"/>
  <c r="Y262" i="1" a="1"/>
  <c r="Y262" i="1" s="1"/>
  <c r="Z262" i="1" s="1"/>
  <c r="Y263" i="1" a="1"/>
  <c r="Y263" i="1"/>
  <c r="Y264" i="1" a="1"/>
  <c r="Y264" i="1" s="1"/>
  <c r="Z264" i="1" s="1"/>
  <c r="Y265" i="1" a="1"/>
  <c r="Y265" i="1" s="1"/>
  <c r="Z265" i="1" s="1"/>
  <c r="Y266" i="1" a="1"/>
  <c r="Y266" i="1" s="1"/>
  <c r="Z266" i="1" s="1"/>
  <c r="Y267" i="1" a="1"/>
  <c r="Y267" i="1" s="1"/>
  <c r="Z267" i="1" s="1"/>
  <c r="Y268" i="1" a="1"/>
  <c r="Y268" i="1" s="1"/>
  <c r="Y269" i="1" a="1"/>
  <c r="Y269" i="1" s="1"/>
  <c r="Z269" i="1" s="1"/>
  <c r="Y270" i="1" a="1"/>
  <c r="Y270" i="1"/>
  <c r="Z270" i="1" s="1"/>
  <c r="Y271" i="1" a="1"/>
  <c r="Y271" i="1" s="1"/>
  <c r="Z271" i="1" s="1"/>
  <c r="Y272" i="1" a="1"/>
  <c r="Y272" i="1" s="1"/>
  <c r="Y273" i="1" a="1"/>
  <c r="Y273" i="1" s="1"/>
  <c r="Y274" i="1" a="1"/>
  <c r="Y274" i="1"/>
  <c r="Y275" i="1" a="1"/>
  <c r="Y275" i="1"/>
  <c r="Z275" i="1" s="1"/>
  <c r="Y276" i="1" a="1"/>
  <c r="Y276" i="1" s="1"/>
  <c r="Y277" i="1" a="1"/>
  <c r="Y277" i="1" s="1"/>
  <c r="Y278" i="1" a="1"/>
  <c r="Y278" i="1" s="1"/>
  <c r="Z278" i="1" s="1"/>
  <c r="Y279" i="1" a="1"/>
  <c r="Y279" i="1"/>
  <c r="Y280" i="1" a="1"/>
  <c r="Y280" i="1" s="1"/>
  <c r="Z280" i="1" s="1"/>
  <c r="Y281" i="1" a="1"/>
  <c r="Y281" i="1" s="1"/>
  <c r="Z281" i="1" s="1"/>
  <c r="Y282" i="1" a="1"/>
  <c r="Y282" i="1" s="1"/>
  <c r="Z282" i="1" s="1"/>
  <c r="Y283" i="1" a="1"/>
  <c r="Y283" i="1" s="1"/>
  <c r="Z283" i="1" s="1"/>
  <c r="Y284" i="1" a="1"/>
  <c r="Y284" i="1" s="1"/>
  <c r="Y285" i="1" a="1"/>
  <c r="Y285" i="1" s="1"/>
  <c r="Z285" i="1" s="1"/>
  <c r="Y286" i="1" a="1"/>
  <c r="Y286" i="1"/>
  <c r="Z286" i="1" s="1"/>
  <c r="Y287" i="1" a="1"/>
  <c r="Y287" i="1" s="1"/>
  <c r="Z287" i="1" s="1"/>
  <c r="Y288" i="1" a="1"/>
  <c r="Y288" i="1" s="1"/>
  <c r="Y289" i="1" a="1"/>
  <c r="Y289" i="1" s="1"/>
  <c r="Y290" i="1" a="1"/>
  <c r="Y290" i="1"/>
  <c r="Y291" i="1" a="1"/>
  <c r="Y291" i="1"/>
  <c r="Z291" i="1" s="1"/>
  <c r="Y292" i="1" a="1"/>
  <c r="Y292" i="1" s="1"/>
  <c r="Y293" i="1" a="1"/>
  <c r="Y293" i="1" s="1"/>
  <c r="Y294" i="1" a="1"/>
  <c r="Y294" i="1" s="1"/>
  <c r="Z294" i="1" s="1"/>
  <c r="Y295" i="1" a="1"/>
  <c r="Y295" i="1"/>
  <c r="Y296" i="1" a="1"/>
  <c r="Y296" i="1" s="1"/>
  <c r="Z296" i="1" s="1"/>
  <c r="Y297" i="1" a="1"/>
  <c r="Y297" i="1" s="1"/>
  <c r="Z297" i="1" s="1"/>
  <c r="Y298" i="1" a="1"/>
  <c r="Y298" i="1" s="1"/>
  <c r="Z298" i="1" s="1"/>
  <c r="Y299" i="1" a="1"/>
  <c r="Y299" i="1" s="1"/>
  <c r="Z299" i="1" s="1"/>
  <c r="Y300" i="1" a="1"/>
  <c r="Y300" i="1" s="1"/>
  <c r="Y301" i="1" a="1"/>
  <c r="Y301" i="1" s="1"/>
  <c r="Z301" i="1" s="1"/>
  <c r="Y302" i="1" a="1"/>
  <c r="Y302" i="1"/>
  <c r="Z302" i="1" s="1"/>
  <c r="Y303" i="1" a="1"/>
  <c r="Y303" i="1" s="1"/>
  <c r="Z303" i="1" s="1"/>
  <c r="Y304" i="1" a="1"/>
  <c r="Y304" i="1" s="1"/>
  <c r="Y305" i="1" a="1"/>
  <c r="Y305" i="1" s="1"/>
  <c r="Y306" i="1" a="1"/>
  <c r="Y306" i="1"/>
  <c r="Y307" i="1" a="1"/>
  <c r="Y307" i="1"/>
  <c r="Z307" i="1" s="1"/>
  <c r="Y308" i="1" a="1"/>
  <c r="Y308" i="1" s="1"/>
  <c r="Y309" i="1" a="1"/>
  <c r="Y309" i="1" s="1"/>
  <c r="Y310" i="1" a="1"/>
  <c r="Y310" i="1" s="1"/>
  <c r="Z310" i="1" s="1"/>
  <c r="Y311" i="1" a="1"/>
  <c r="Y311" i="1"/>
  <c r="Y312" i="1" a="1"/>
  <c r="Y312" i="1" s="1"/>
  <c r="Z312" i="1" s="1"/>
  <c r="Y313" i="1" a="1"/>
  <c r="Y313" i="1" s="1"/>
  <c r="Z313" i="1" s="1"/>
  <c r="Y314" i="1" a="1"/>
  <c r="Y314" i="1" s="1"/>
  <c r="Z314" i="1" s="1"/>
  <c r="Y315" i="1" a="1"/>
  <c r="Y315" i="1" s="1"/>
  <c r="Z315" i="1" s="1"/>
  <c r="Y316" i="1" a="1"/>
  <c r="Y316" i="1" s="1"/>
  <c r="Y317" i="1" a="1"/>
  <c r="Y317" i="1" s="1"/>
  <c r="Z317" i="1" s="1"/>
  <c r="Y318" i="1" a="1"/>
  <c r="Y318" i="1"/>
  <c r="Z318" i="1" s="1"/>
  <c r="Y319" i="1" a="1"/>
  <c r="Y319" i="1" s="1"/>
  <c r="Z319" i="1" s="1"/>
  <c r="Y320" i="1" a="1"/>
  <c r="Y320" i="1" s="1"/>
  <c r="Y321" i="1" a="1"/>
  <c r="Y321" i="1" s="1"/>
  <c r="Y322" i="1" a="1"/>
  <c r="Y322" i="1"/>
  <c r="Y323" i="1" a="1"/>
  <c r="Y323" i="1"/>
  <c r="Z323" i="1" s="1"/>
  <c r="Y324" i="1" a="1"/>
  <c r="Y324" i="1" s="1"/>
  <c r="Y325" i="1" a="1"/>
  <c r="Y325" i="1" s="1"/>
  <c r="Y326" i="1" a="1"/>
  <c r="Y326" i="1" s="1"/>
  <c r="Z326" i="1" s="1"/>
  <c r="Y327" i="1" a="1"/>
  <c r="Y327" i="1"/>
  <c r="Y328" i="1" a="1"/>
  <c r="Y328" i="1" s="1"/>
  <c r="Z328" i="1" s="1"/>
  <c r="Y329" i="1" a="1"/>
  <c r="Y329" i="1" s="1"/>
  <c r="Z329" i="1" s="1"/>
  <c r="Y330" i="1" a="1"/>
  <c r="Y330" i="1" s="1"/>
  <c r="Z330" i="1" s="1"/>
  <c r="Y331" i="1" a="1"/>
  <c r="Y331" i="1" s="1"/>
  <c r="Z331" i="1" s="1"/>
  <c r="Y332" i="1" a="1"/>
  <c r="Y332" i="1" s="1"/>
  <c r="Y333" i="1" a="1"/>
  <c r="Y333" i="1" s="1"/>
  <c r="Z333" i="1" s="1"/>
  <c r="Y334" i="1" a="1"/>
  <c r="Y334" i="1"/>
  <c r="Z334" i="1" s="1"/>
  <c r="Y335" i="1" a="1"/>
  <c r="Y335" i="1" s="1"/>
  <c r="Z335" i="1" s="1"/>
  <c r="Y336" i="1" a="1"/>
  <c r="Y336" i="1" s="1"/>
  <c r="Y337" i="1" a="1"/>
  <c r="Y337" i="1" s="1"/>
  <c r="Y338" i="1" a="1"/>
  <c r="Y338" i="1"/>
  <c r="Y339" i="1" a="1"/>
  <c r="Y339" i="1"/>
  <c r="Z339" i="1" s="1"/>
  <c r="Y340" i="1" a="1"/>
  <c r="Y340" i="1" s="1"/>
  <c r="Y341" i="1" a="1"/>
  <c r="Y341" i="1" s="1"/>
  <c r="Y342" i="1" a="1"/>
  <c r="Y342" i="1" s="1"/>
  <c r="Z342" i="1" s="1"/>
  <c r="Y343" i="1" a="1"/>
  <c r="Y343" i="1"/>
  <c r="Y344" i="1" a="1"/>
  <c r="Y344" i="1"/>
  <c r="Z344" i="1" s="1"/>
  <c r="Y345" i="1" a="1"/>
  <c r="Y345" i="1" s="1"/>
  <c r="Z345" i="1" s="1"/>
  <c r="Y346" i="1" a="1"/>
  <c r="Y346" i="1" s="1"/>
  <c r="Z346" i="1" s="1"/>
  <c r="Y347" i="1" a="1"/>
  <c r="Y347" i="1"/>
  <c r="Z347" i="1" s="1"/>
  <c r="Y348" i="1" a="1"/>
  <c r="Y348" i="1"/>
  <c r="Z348" i="1" s="1"/>
  <c r="Y349" i="1" a="1"/>
  <c r="Y349" i="1" s="1"/>
  <c r="Z349" i="1" s="1"/>
  <c r="Y350" i="1" a="1"/>
  <c r="Y350" i="1" s="1"/>
  <c r="Z350" i="1" s="1"/>
  <c r="Y351" i="1" a="1"/>
  <c r="Y351" i="1"/>
  <c r="Y352" i="1" a="1"/>
  <c r="Y352" i="1"/>
  <c r="Z352" i="1" s="1"/>
  <c r="Y353" i="1" a="1"/>
  <c r="Y353" i="1" s="1"/>
  <c r="Z353" i="1" s="1"/>
  <c r="Y354" i="1" a="1"/>
  <c r="Y354" i="1" s="1"/>
  <c r="Z354" i="1" s="1"/>
  <c r="Y355" i="1" a="1"/>
  <c r="Y355" i="1"/>
  <c r="Z355" i="1" s="1"/>
  <c r="Y356" i="1" a="1"/>
  <c r="Y356" i="1"/>
  <c r="Z356" i="1" s="1"/>
  <c r="Y357" i="1" a="1"/>
  <c r="Y357" i="1" s="1"/>
  <c r="Z357" i="1" s="1"/>
  <c r="Y358" i="1" a="1"/>
  <c r="Y358" i="1" s="1"/>
  <c r="Z358" i="1" s="1"/>
  <c r="Y359" i="1" a="1"/>
  <c r="Y359" i="1"/>
  <c r="Y360" i="1" a="1"/>
  <c r="Y360" i="1"/>
  <c r="Z360" i="1" s="1"/>
  <c r="Y361" i="1" a="1"/>
  <c r="Y361" i="1" s="1"/>
  <c r="Z361" i="1" s="1"/>
  <c r="Y362" i="1" a="1"/>
  <c r="Y362" i="1" s="1"/>
  <c r="Z362" i="1" s="1"/>
  <c r="Y363" i="1" a="1"/>
  <c r="Y363" i="1"/>
  <c r="Z363" i="1" s="1"/>
  <c r="Y364" i="1" a="1"/>
  <c r="Y364" i="1"/>
  <c r="Z364" i="1" s="1"/>
  <c r="Y365" i="1" a="1"/>
  <c r="Y365" i="1" s="1"/>
  <c r="Z365" i="1" s="1"/>
  <c r="Y366" i="1" a="1"/>
  <c r="Y366" i="1" s="1"/>
  <c r="Z366" i="1" s="1"/>
  <c r="Y367" i="1" a="1"/>
  <c r="Y367" i="1"/>
  <c r="Y368" i="1" a="1"/>
  <c r="Y368" i="1"/>
  <c r="Z368" i="1" s="1"/>
  <c r="Y369" i="1" a="1"/>
  <c r="Y369" i="1" s="1"/>
  <c r="Z369" i="1" s="1"/>
  <c r="Y370" i="1" a="1"/>
  <c r="Y370" i="1" s="1"/>
  <c r="Z370" i="1" s="1"/>
  <c r="Y371" i="1" a="1"/>
  <c r="Y371" i="1"/>
  <c r="Z371" i="1" s="1"/>
  <c r="Y372" i="1" a="1"/>
  <c r="Y372" i="1"/>
  <c r="Z372" i="1" s="1"/>
  <c r="Y373" i="1" a="1"/>
  <c r="Y373" i="1" s="1"/>
  <c r="Z373" i="1" s="1"/>
  <c r="Y374" i="1" a="1"/>
  <c r="Y374" i="1" s="1"/>
  <c r="Z374" i="1" s="1"/>
  <c r="Y375" i="1" a="1"/>
  <c r="Y375" i="1"/>
  <c r="Y376" i="1" a="1"/>
  <c r="Y376" i="1"/>
  <c r="Z376" i="1" s="1"/>
  <c r="Y377" i="1" a="1"/>
  <c r="Y377" i="1" s="1"/>
  <c r="Z377" i="1" s="1"/>
  <c r="Y378" i="1" a="1"/>
  <c r="Y378" i="1" s="1"/>
  <c r="Z378" i="1" s="1"/>
  <c r="Y379" i="1" a="1"/>
  <c r="Y379" i="1"/>
  <c r="Z379" i="1" s="1"/>
  <c r="Y380" i="1" a="1"/>
  <c r="Y380" i="1"/>
  <c r="Z380" i="1" s="1"/>
  <c r="Y381" i="1" a="1"/>
  <c r="Y381" i="1" s="1"/>
  <c r="Z381" i="1" s="1"/>
  <c r="Y382" i="1" a="1"/>
  <c r="Y382" i="1" s="1"/>
  <c r="Z382" i="1" s="1"/>
  <c r="Y383" i="1" a="1"/>
  <c r="Y383" i="1"/>
  <c r="Y384" i="1" a="1"/>
  <c r="Y384" i="1"/>
  <c r="Z384" i="1" s="1"/>
  <c r="Y385" i="1" a="1"/>
  <c r="Y385" i="1" s="1"/>
  <c r="Z385" i="1" s="1"/>
  <c r="Y386" i="1" a="1"/>
  <c r="Y386" i="1" s="1"/>
  <c r="Z386" i="1" s="1"/>
  <c r="Y387" i="1" a="1"/>
  <c r="Y387" i="1"/>
  <c r="Z387" i="1" s="1"/>
  <c r="Y388" i="1" a="1"/>
  <c r="Y388" i="1"/>
  <c r="Z388" i="1" s="1"/>
  <c r="Y389" i="1" a="1"/>
  <c r="Y389" i="1" s="1"/>
  <c r="Z389" i="1" s="1"/>
  <c r="Y390" i="1" a="1"/>
  <c r="Y390" i="1" s="1"/>
  <c r="Z390" i="1" s="1"/>
  <c r="Y391" i="1" a="1"/>
  <c r="Y391" i="1"/>
  <c r="Y392" i="1" a="1"/>
  <c r="Y392" i="1"/>
  <c r="Z392" i="1" s="1"/>
  <c r="Y393" i="1" a="1"/>
  <c r="Y393" i="1" s="1"/>
  <c r="Z393" i="1" s="1"/>
  <c r="Y394" i="1" a="1"/>
  <c r="Y394" i="1" s="1"/>
  <c r="Y395" i="1" a="1"/>
  <c r="Y395" i="1"/>
  <c r="Z395" i="1" s="1"/>
  <c r="Y396" i="1" a="1"/>
  <c r="Y396" i="1"/>
  <c r="Z396" i="1" s="1"/>
  <c r="Y397" i="1" a="1"/>
  <c r="Y397" i="1" s="1"/>
  <c r="Z397" i="1" s="1"/>
  <c r="Y398" i="1" a="1"/>
  <c r="Y398" i="1" s="1"/>
  <c r="Z398" i="1" s="1"/>
  <c r="Y399" i="1" a="1"/>
  <c r="Y399" i="1"/>
  <c r="Y400" i="1" a="1"/>
  <c r="Y400" i="1"/>
  <c r="Z400" i="1" s="1"/>
  <c r="Y401" i="1" a="1"/>
  <c r="Y401" i="1" s="1"/>
  <c r="Z401" i="1" s="1"/>
  <c r="Y402" i="1" a="1"/>
  <c r="Y402" i="1" s="1"/>
  <c r="Z402" i="1" s="1"/>
  <c r="Y403" i="1" a="1"/>
  <c r="Y403" i="1"/>
  <c r="Z403" i="1" s="1"/>
  <c r="Y404" i="1" a="1"/>
  <c r="Y404" i="1"/>
  <c r="Z404" i="1" s="1"/>
  <c r="Y405" i="1" a="1"/>
  <c r="Y405" i="1" s="1"/>
  <c r="Z405" i="1" s="1"/>
  <c r="Y406" i="1" a="1"/>
  <c r="Y406" i="1" s="1"/>
  <c r="Z406" i="1" s="1"/>
  <c r="Y407" i="1" a="1"/>
  <c r="Y407" i="1"/>
  <c r="Y408" i="1" a="1"/>
  <c r="Y408" i="1"/>
  <c r="Z408" i="1" s="1"/>
  <c r="Y409" i="1" a="1"/>
  <c r="Y409" i="1" s="1"/>
  <c r="Z409" i="1" s="1"/>
  <c r="Y410" i="1" a="1"/>
  <c r="Y410" i="1" s="1"/>
  <c r="Z410" i="1" s="1"/>
  <c r="Y411" i="1" a="1"/>
  <c r="Y411" i="1"/>
  <c r="Z411" i="1" s="1"/>
  <c r="Y412" i="1" a="1"/>
  <c r="Y412" i="1"/>
  <c r="Z412" i="1" s="1"/>
  <c r="Y413" i="1" a="1"/>
  <c r="Y413" i="1" s="1"/>
  <c r="Z413" i="1" s="1"/>
  <c r="Y414" i="1" a="1"/>
  <c r="Y414" i="1" s="1"/>
  <c r="Z414" i="1" s="1"/>
  <c r="Y415" i="1" a="1"/>
  <c r="Y415" i="1"/>
  <c r="Y416" i="1" a="1"/>
  <c r="Y416" i="1"/>
  <c r="Z416" i="1" s="1"/>
  <c r="Y417" i="1" a="1"/>
  <c r="Y417" i="1" s="1"/>
  <c r="Z417" i="1" s="1"/>
  <c r="Y418" i="1" a="1"/>
  <c r="Y418" i="1" s="1"/>
  <c r="Z418" i="1" s="1"/>
  <c r="Y419" i="1" a="1"/>
  <c r="Y419" i="1"/>
  <c r="Z419" i="1" s="1"/>
  <c r="Y420" i="1" a="1"/>
  <c r="Y420" i="1"/>
  <c r="Z420" i="1" s="1"/>
  <c r="Y421" i="1" a="1"/>
  <c r="Y421" i="1" s="1"/>
  <c r="Z421" i="1" s="1"/>
  <c r="Y422" i="1" a="1"/>
  <c r="Y422" i="1" s="1"/>
  <c r="Z422" i="1" s="1"/>
  <c r="Y423" i="1" a="1"/>
  <c r="Y423" i="1"/>
  <c r="Y424" i="1" a="1"/>
  <c r="Y424" i="1"/>
  <c r="Z424" i="1" s="1"/>
  <c r="Y425" i="1" a="1"/>
  <c r="Y425" i="1" s="1"/>
  <c r="Z425" i="1" s="1"/>
  <c r="Y426" i="1" a="1"/>
  <c r="Y426" i="1" s="1"/>
  <c r="Y427" i="1" a="1"/>
  <c r="Y427" i="1"/>
  <c r="Z427" i="1" s="1"/>
  <c r="Y428" i="1" a="1"/>
  <c r="Y428" i="1"/>
  <c r="Z428" i="1" s="1"/>
  <c r="Y429" i="1" a="1"/>
  <c r="Y429" i="1" s="1"/>
  <c r="Z429" i="1" s="1"/>
  <c r="Y430" i="1" a="1"/>
  <c r="Y430" i="1" s="1"/>
  <c r="Z430" i="1" s="1"/>
  <c r="Y431" i="1" a="1"/>
  <c r="Y431" i="1"/>
  <c r="Y432" i="1" a="1"/>
  <c r="Y432" i="1"/>
  <c r="Z432" i="1" s="1"/>
  <c r="Y433" i="1" a="1"/>
  <c r="Y433" i="1" s="1"/>
  <c r="Z433" i="1" s="1"/>
  <c r="Y434" i="1" a="1"/>
  <c r="Y434" i="1" s="1"/>
  <c r="Y435" i="1" a="1"/>
  <c r="Y435" i="1"/>
  <c r="Z435" i="1" s="1"/>
  <c r="Y436" i="1" a="1"/>
  <c r="Y436" i="1"/>
  <c r="Z436" i="1" s="1"/>
  <c r="Y437" i="1" a="1"/>
  <c r="Y437" i="1" s="1"/>
  <c r="Z437" i="1" s="1"/>
  <c r="Y438" i="1" a="1"/>
  <c r="Y438" i="1" s="1"/>
  <c r="Z438" i="1" s="1"/>
  <c r="Y439" i="1" a="1"/>
  <c r="Y439" i="1"/>
  <c r="Y440" i="1" a="1"/>
  <c r="Y440" i="1"/>
  <c r="Z440" i="1" s="1"/>
  <c r="Y441" i="1" a="1"/>
  <c r="Y441" i="1" s="1"/>
  <c r="Z441" i="1" s="1"/>
  <c r="Y442" i="1" a="1"/>
  <c r="Y442" i="1" s="1"/>
  <c r="Y443" i="1" a="1"/>
  <c r="Y443" i="1"/>
  <c r="Z443" i="1" s="1"/>
  <c r="Y444" i="1" a="1"/>
  <c r="Y444" i="1"/>
  <c r="Z444" i="1" s="1"/>
  <c r="Y445" i="1" a="1"/>
  <c r="Y445" i="1" s="1"/>
  <c r="Z445" i="1" s="1"/>
  <c r="Y446" i="1" a="1"/>
  <c r="Y446" i="1" s="1"/>
  <c r="Z446" i="1" s="1"/>
  <c r="Y447" i="1" a="1"/>
  <c r="Y447" i="1"/>
  <c r="Y448" i="1" a="1"/>
  <c r="Y448" i="1"/>
  <c r="Z448" i="1" s="1"/>
  <c r="Y449" i="1" a="1"/>
  <c r="Y449" i="1" s="1"/>
  <c r="Z449" i="1" s="1"/>
  <c r="Y450" i="1" a="1"/>
  <c r="Y450" i="1" s="1"/>
  <c r="Y451" i="1" a="1"/>
  <c r="Y451" i="1"/>
  <c r="Z451" i="1" s="1"/>
  <c r="Y452" i="1" a="1"/>
  <c r="Y452" i="1"/>
  <c r="Z452" i="1" s="1"/>
  <c r="Y453" i="1" a="1"/>
  <c r="Y453" i="1" s="1"/>
  <c r="Z453" i="1" s="1"/>
  <c r="Y454" i="1" a="1"/>
  <c r="Y454" i="1" s="1"/>
  <c r="Z454" i="1" s="1"/>
  <c r="Y455" i="1" a="1"/>
  <c r="Y455" i="1"/>
  <c r="Y456" i="1" a="1"/>
  <c r="Y456" i="1"/>
  <c r="Z456" i="1" s="1"/>
  <c r="Y457" i="1" a="1"/>
  <c r="Y457" i="1" s="1"/>
  <c r="Z457" i="1" s="1"/>
  <c r="Y458" i="1" a="1"/>
  <c r="Y458" i="1" s="1"/>
  <c r="Y459" i="1" a="1"/>
  <c r="Y459" i="1"/>
  <c r="Z459" i="1" s="1"/>
  <c r="Y460" i="1" a="1"/>
  <c r="Y460" i="1"/>
  <c r="Z460" i="1" s="1"/>
  <c r="Y461" i="1" a="1"/>
  <c r="Y461" i="1" s="1"/>
  <c r="Z461" i="1" s="1"/>
  <c r="Y462" i="1" a="1"/>
  <c r="Y462" i="1" s="1"/>
  <c r="Z462" i="1" s="1"/>
  <c r="Y463" i="1" a="1"/>
  <c r="Y463" i="1"/>
  <c r="Y464" i="1" a="1"/>
  <c r="Y464" i="1"/>
  <c r="Z464" i="1" s="1"/>
  <c r="Y465" i="1" a="1"/>
  <c r="Y465" i="1" s="1"/>
  <c r="Z465" i="1" s="1"/>
  <c r="Y466" i="1" a="1"/>
  <c r="Y466" i="1" s="1"/>
  <c r="Y467" i="1" a="1"/>
  <c r="Y467" i="1"/>
  <c r="Z467" i="1" s="1"/>
  <c r="Y468" i="1" a="1"/>
  <c r="Y468" i="1"/>
  <c r="Z468" i="1" s="1"/>
  <c r="Y469" i="1" a="1"/>
  <c r="Y469" i="1" s="1"/>
  <c r="Z469" i="1" s="1"/>
  <c r="Y470" i="1" a="1"/>
  <c r="Y470" i="1" s="1"/>
  <c r="Z470" i="1" s="1"/>
  <c r="Y471" i="1" a="1"/>
  <c r="Y471" i="1"/>
  <c r="Y472" i="1" a="1"/>
  <c r="Y472" i="1"/>
  <c r="Z472" i="1" s="1"/>
  <c r="Y473" i="1" a="1"/>
  <c r="Y473" i="1" s="1"/>
  <c r="Z473" i="1" s="1"/>
  <c r="Y474" i="1" a="1"/>
  <c r="Y474" i="1" s="1"/>
  <c r="Y475" i="1" a="1"/>
  <c r="Y475" i="1"/>
  <c r="Z475" i="1" s="1"/>
  <c r="Y476" i="1" a="1"/>
  <c r="Y476" i="1"/>
  <c r="Z476" i="1" s="1"/>
  <c r="Y477" i="1" a="1"/>
  <c r="Y477" i="1" s="1"/>
  <c r="Z477" i="1" s="1"/>
  <c r="Y478" i="1" a="1"/>
  <c r="Y478" i="1" s="1"/>
  <c r="Z478" i="1" s="1"/>
  <c r="Y479" i="1" a="1"/>
  <c r="Y479" i="1"/>
  <c r="Y480" i="1" a="1"/>
  <c r="Y480" i="1"/>
  <c r="Z480" i="1" s="1"/>
  <c r="Y481" i="1" a="1"/>
  <c r="Y481" i="1" s="1"/>
  <c r="Z481" i="1" s="1"/>
  <c r="Y482" i="1" a="1"/>
  <c r="Y482" i="1" s="1"/>
  <c r="Y483" i="1" a="1"/>
  <c r="Y483" i="1"/>
  <c r="Z483" i="1" s="1"/>
  <c r="Y484" i="1" a="1"/>
  <c r="Y484" i="1"/>
  <c r="Z484" i="1" s="1"/>
  <c r="Y485" i="1" a="1"/>
  <c r="Y485" i="1" s="1"/>
  <c r="Z485" i="1" s="1"/>
  <c r="Y486" i="1" a="1"/>
  <c r="Y486" i="1" s="1"/>
  <c r="Z486" i="1" s="1"/>
  <c r="Y487" i="1" a="1"/>
  <c r="Y487" i="1"/>
  <c r="Y488" i="1" a="1"/>
  <c r="Y488" i="1"/>
  <c r="Z488" i="1" s="1"/>
  <c r="Y489" i="1" a="1"/>
  <c r="Y489" i="1" s="1"/>
  <c r="Z489" i="1" s="1"/>
  <c r="Y490" i="1" a="1"/>
  <c r="Y490" i="1" s="1"/>
  <c r="Y491" i="1" a="1"/>
  <c r="Y491" i="1"/>
  <c r="Z491" i="1" s="1"/>
  <c r="Y492" i="1" a="1"/>
  <c r="Y492" i="1"/>
  <c r="Z492" i="1" s="1"/>
  <c r="Y493" i="1" a="1"/>
  <c r="Y493" i="1" s="1"/>
  <c r="Z493" i="1" s="1"/>
  <c r="Y494" i="1" a="1"/>
  <c r="Y494" i="1" s="1"/>
  <c r="Z494" i="1" s="1"/>
  <c r="Y495" i="1" a="1"/>
  <c r="Y495" i="1"/>
  <c r="Y496" i="1" a="1"/>
  <c r="Y496" i="1"/>
  <c r="Z496" i="1" s="1"/>
  <c r="Y497" i="1" a="1"/>
  <c r="Y497" i="1" s="1"/>
  <c r="Z497" i="1" s="1"/>
  <c r="Y498" i="1" a="1"/>
  <c r="Y498" i="1" s="1"/>
  <c r="Y499" i="1" a="1"/>
  <c r="Y499" i="1"/>
  <c r="Z499" i="1" s="1"/>
  <c r="Y500" i="1" a="1"/>
  <c r="Y500" i="1"/>
  <c r="Z500" i="1" s="1"/>
  <c r="Y501" i="1" a="1"/>
  <c r="Y501" i="1" s="1"/>
  <c r="Z501" i="1" s="1"/>
  <c r="Y502" i="1" a="1"/>
  <c r="Y502" i="1" s="1"/>
  <c r="Z502" i="1" s="1"/>
  <c r="Y503" i="1" a="1"/>
  <c r="Y503" i="1"/>
  <c r="Y504" i="1" a="1"/>
  <c r="Y504" i="1"/>
  <c r="Z504" i="1" s="1"/>
  <c r="Y505" i="1" a="1"/>
  <c r="Y505" i="1" s="1"/>
  <c r="Z505" i="1" s="1"/>
  <c r="Y506" i="1" a="1"/>
  <c r="Y506" i="1" s="1"/>
  <c r="Y507" i="1" a="1"/>
  <c r="Y507" i="1"/>
  <c r="Z507" i="1" s="1"/>
  <c r="Y508" i="1" a="1"/>
  <c r="Y508" i="1"/>
  <c r="Z508" i="1" s="1"/>
  <c r="Y509" i="1" a="1"/>
  <c r="Y509" i="1" s="1"/>
  <c r="Z509" i="1" s="1"/>
  <c r="Y510" i="1" a="1"/>
  <c r="Y510" i="1" s="1"/>
  <c r="Z510" i="1" s="1"/>
  <c r="Y511" i="1" a="1"/>
  <c r="Y511" i="1"/>
  <c r="Y512" i="1" a="1"/>
  <c r="Y512" i="1"/>
  <c r="Z512" i="1" s="1"/>
  <c r="Y513" i="1" a="1"/>
  <c r="Y513" i="1" s="1"/>
  <c r="Z513" i="1" s="1"/>
  <c r="Y514" i="1" a="1"/>
  <c r="Y514" i="1" s="1"/>
  <c r="Y515" i="1" a="1"/>
  <c r="Y515" i="1"/>
  <c r="Z515" i="1" s="1"/>
  <c r="Y516" i="1" a="1"/>
  <c r="Y516" i="1"/>
  <c r="Z516" i="1" s="1"/>
  <c r="Y517" i="1" a="1"/>
  <c r="Y517" i="1" s="1"/>
  <c r="Z517" i="1" s="1"/>
  <c r="Y518" i="1" a="1"/>
  <c r="Y518" i="1" s="1"/>
  <c r="Z518" i="1" s="1"/>
  <c r="Y519" i="1" a="1"/>
  <c r="Y519" i="1"/>
  <c r="Y520" i="1" a="1"/>
  <c r="Y520" i="1"/>
  <c r="Z520" i="1" s="1"/>
  <c r="Y521" i="1" a="1"/>
  <c r="Y521" i="1" s="1"/>
  <c r="Z521" i="1" s="1"/>
  <c r="Y522" i="1" a="1"/>
  <c r="Y522" i="1" s="1"/>
  <c r="Y523" i="1" a="1"/>
  <c r="Y523" i="1"/>
  <c r="Z523" i="1" s="1"/>
  <c r="Y524" i="1" a="1"/>
  <c r="Y524" i="1"/>
  <c r="Z524" i="1" s="1"/>
  <c r="Y525" i="1" a="1"/>
  <c r="Y525" i="1" s="1"/>
  <c r="Z525" i="1" s="1"/>
  <c r="Y526" i="1" a="1"/>
  <c r="Y526" i="1" s="1"/>
  <c r="Z526" i="1" s="1"/>
  <c r="Y527" i="1" a="1"/>
  <c r="Y527" i="1"/>
  <c r="Y528" i="1" a="1"/>
  <c r="Y528" i="1"/>
  <c r="Z528" i="1" s="1"/>
  <c r="Y529" i="1" a="1"/>
  <c r="Y529" i="1" s="1"/>
  <c r="Z529" i="1" s="1"/>
  <c r="Y530" i="1" a="1"/>
  <c r="Y530" i="1" s="1"/>
  <c r="Y531" i="1" a="1"/>
  <c r="Y531" i="1"/>
  <c r="Z531" i="1" s="1"/>
  <c r="Y532" i="1" a="1"/>
  <c r="Y532" i="1"/>
  <c r="Z532" i="1" s="1"/>
  <c r="Y533" i="1" a="1"/>
  <c r="Y533" i="1" s="1"/>
  <c r="Z533" i="1" s="1"/>
  <c r="Y534" i="1" a="1"/>
  <c r="Y534" i="1" s="1"/>
  <c r="Z534" i="1" s="1"/>
  <c r="Y535" i="1" a="1"/>
  <c r="Y535" i="1"/>
  <c r="Y536" i="1" a="1"/>
  <c r="Y536" i="1"/>
  <c r="Z536" i="1" s="1"/>
  <c r="Y537" i="1" a="1"/>
  <c r="Y537" i="1" s="1"/>
  <c r="Z537" i="1" s="1"/>
  <c r="Y538" i="1" a="1"/>
  <c r="Y538" i="1" s="1"/>
  <c r="Y539" i="1" a="1"/>
  <c r="Y539" i="1"/>
  <c r="Z539" i="1" s="1"/>
  <c r="Y540" i="1" a="1"/>
  <c r="Y540" i="1"/>
  <c r="Z540" i="1" s="1"/>
  <c r="Y541" i="1" a="1"/>
  <c r="Y541" i="1" s="1"/>
  <c r="Z541" i="1" s="1"/>
  <c r="Y542" i="1" a="1"/>
  <c r="Y542" i="1" s="1"/>
  <c r="Z542" i="1" s="1"/>
  <c r="Y543" i="1" a="1"/>
  <c r="Y543" i="1"/>
  <c r="Y544" i="1" a="1"/>
  <c r="Y544" i="1"/>
  <c r="Z544" i="1" s="1"/>
  <c r="Y545" i="1" a="1"/>
  <c r="Y545" i="1" s="1"/>
  <c r="Z545" i="1" s="1"/>
  <c r="Y546" i="1" a="1"/>
  <c r="Y546" i="1" s="1"/>
  <c r="Y547" i="1" a="1"/>
  <c r="Y547" i="1"/>
  <c r="Z547" i="1" s="1"/>
  <c r="Y548" i="1" a="1"/>
  <c r="Y548" i="1"/>
  <c r="Z548" i="1" s="1"/>
  <c r="Y549" i="1" a="1"/>
  <c r="Y549" i="1" s="1"/>
  <c r="Z549" i="1" s="1"/>
  <c r="Y550" i="1" a="1"/>
  <c r="Y550" i="1" s="1"/>
  <c r="Z550" i="1" s="1"/>
  <c r="Y551" i="1" a="1"/>
  <c r="Y551" i="1"/>
  <c r="Y552" i="1" a="1"/>
  <c r="Y552" i="1"/>
  <c r="Z552" i="1" s="1"/>
  <c r="Y553" i="1" a="1"/>
  <c r="Y553" i="1" s="1"/>
  <c r="Z553" i="1" s="1"/>
  <c r="Y554" i="1" a="1"/>
  <c r="Y554" i="1" s="1"/>
  <c r="Y555" i="1" a="1"/>
  <c r="Y555" i="1"/>
  <c r="Z555" i="1" s="1"/>
  <c r="Y556" i="1" a="1"/>
  <c r="Y556" i="1"/>
  <c r="Z556" i="1" s="1"/>
  <c r="Y557" i="1" a="1"/>
  <c r="Y557" i="1" s="1"/>
  <c r="Z557" i="1" s="1"/>
  <c r="Y3" i="1" a="1"/>
  <c r="Y3" i="1" s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U251" i="1" s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U299" i="1" s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U312" i="1" s="1"/>
  <c r="S313" i="1"/>
  <c r="S314" i="1"/>
  <c r="S315" i="1"/>
  <c r="U315" i="1" s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U371" i="1" s="1"/>
  <c r="S372" i="1"/>
  <c r="S373" i="1"/>
  <c r="S374" i="1"/>
  <c r="S375" i="1"/>
  <c r="S376" i="1"/>
  <c r="S377" i="1"/>
  <c r="S378" i="1"/>
  <c r="S379" i="1"/>
  <c r="U379" i="1" s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U395" i="1" s="1"/>
  <c r="S396" i="1"/>
  <c r="S397" i="1"/>
  <c r="S398" i="1"/>
  <c r="S399" i="1"/>
  <c r="S400" i="1"/>
  <c r="S401" i="1"/>
  <c r="S402" i="1"/>
  <c r="S403" i="1"/>
  <c r="U403" i="1" s="1"/>
  <c r="S404" i="1"/>
  <c r="S405" i="1"/>
  <c r="S406" i="1"/>
  <c r="S407" i="1"/>
  <c r="S408" i="1"/>
  <c r="S409" i="1"/>
  <c r="S410" i="1"/>
  <c r="S411" i="1"/>
  <c r="U411" i="1" s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U424" i="1" s="1"/>
  <c r="S425" i="1"/>
  <c r="S426" i="1"/>
  <c r="S427" i="1"/>
  <c r="S428" i="1"/>
  <c r="S429" i="1"/>
  <c r="S430" i="1"/>
  <c r="S431" i="1"/>
  <c r="S432" i="1"/>
  <c r="U432" i="1" s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U459" i="1" s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U475" i="1" s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U496" i="1" s="1"/>
  <c r="S497" i="1"/>
  <c r="S498" i="1"/>
  <c r="S499" i="1"/>
  <c r="S500" i="1"/>
  <c r="S501" i="1"/>
  <c r="S502" i="1"/>
  <c r="S503" i="1"/>
  <c r="S504" i="1"/>
  <c r="U504" i="1" s="1"/>
  <c r="S505" i="1"/>
  <c r="S506" i="1"/>
  <c r="U506" i="1" s="1"/>
  <c r="S507" i="1"/>
  <c r="U507" i="1" s="1"/>
  <c r="S508" i="1"/>
  <c r="S509" i="1"/>
  <c r="U509" i="1" s="1"/>
  <c r="S510" i="1"/>
  <c r="S511" i="1"/>
  <c r="S512" i="1"/>
  <c r="U512" i="1" s="1"/>
  <c r="S513" i="1"/>
  <c r="S514" i="1"/>
  <c r="U514" i="1" s="1"/>
  <c r="S515" i="1"/>
  <c r="U515" i="1" s="1"/>
  <c r="S516" i="1"/>
  <c r="S517" i="1"/>
  <c r="S518" i="1"/>
  <c r="S519" i="1"/>
  <c r="S520" i="1"/>
  <c r="U520" i="1" s="1"/>
  <c r="S521" i="1"/>
  <c r="S522" i="1"/>
  <c r="S523" i="1"/>
  <c r="S524" i="1"/>
  <c r="S525" i="1"/>
  <c r="S526" i="1"/>
  <c r="S527" i="1"/>
  <c r="S528" i="1"/>
  <c r="S529" i="1"/>
  <c r="S530" i="1"/>
  <c r="U530" i="1" s="1"/>
  <c r="S531" i="1"/>
  <c r="S532" i="1"/>
  <c r="S533" i="1"/>
  <c r="S534" i="1"/>
  <c r="S535" i="1"/>
  <c r="S536" i="1"/>
  <c r="S537" i="1"/>
  <c r="S538" i="1"/>
  <c r="U538" i="1" s="1"/>
  <c r="S539" i="1"/>
  <c r="U539" i="1" s="1"/>
  <c r="S540" i="1"/>
  <c r="S541" i="1"/>
  <c r="U541" i="1" s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U557" i="1" s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128" i="1"/>
  <c r="U129" i="1"/>
  <c r="U130" i="1"/>
  <c r="U131" i="1"/>
  <c r="U132" i="1"/>
  <c r="U133" i="1"/>
  <c r="U134" i="1"/>
  <c r="U135" i="1"/>
  <c r="U136" i="1"/>
  <c r="U137" i="1"/>
  <c r="U138" i="1"/>
  <c r="U139" i="1"/>
  <c r="U140" i="1"/>
  <c r="U141" i="1"/>
  <c r="U142" i="1"/>
  <c r="U143" i="1"/>
  <c r="U144" i="1"/>
  <c r="U145" i="1"/>
  <c r="U146" i="1"/>
  <c r="U147" i="1"/>
  <c r="U148" i="1"/>
  <c r="U149" i="1"/>
  <c r="U150" i="1"/>
  <c r="U151" i="1"/>
  <c r="U152" i="1"/>
  <c r="U153" i="1"/>
  <c r="U154" i="1"/>
  <c r="U155" i="1"/>
  <c r="U156" i="1"/>
  <c r="U157" i="1"/>
  <c r="U158" i="1"/>
  <c r="U159" i="1"/>
  <c r="U160" i="1"/>
  <c r="U161" i="1"/>
  <c r="U162" i="1"/>
  <c r="U163" i="1"/>
  <c r="U164" i="1"/>
  <c r="U165" i="1"/>
  <c r="U166" i="1"/>
  <c r="U167" i="1"/>
  <c r="U168" i="1"/>
  <c r="U169" i="1"/>
  <c r="U170" i="1"/>
  <c r="U171" i="1"/>
  <c r="U172" i="1"/>
  <c r="U173" i="1"/>
  <c r="U174" i="1"/>
  <c r="U175" i="1"/>
  <c r="U176" i="1"/>
  <c r="U177" i="1"/>
  <c r="U178" i="1"/>
  <c r="U179" i="1"/>
  <c r="U180" i="1"/>
  <c r="U181" i="1"/>
  <c r="U182" i="1"/>
  <c r="U183" i="1"/>
  <c r="U184" i="1"/>
  <c r="U185" i="1"/>
  <c r="U186" i="1"/>
  <c r="U187" i="1"/>
  <c r="U188" i="1"/>
  <c r="U189" i="1"/>
  <c r="U190" i="1"/>
  <c r="U191" i="1"/>
  <c r="U192" i="1"/>
  <c r="U193" i="1"/>
  <c r="U194" i="1"/>
  <c r="U195" i="1"/>
  <c r="U196" i="1"/>
  <c r="U197" i="1"/>
  <c r="U198" i="1"/>
  <c r="U199" i="1"/>
  <c r="U200" i="1"/>
  <c r="U201" i="1"/>
  <c r="U202" i="1"/>
  <c r="U203" i="1"/>
  <c r="U204" i="1"/>
  <c r="U205" i="1"/>
  <c r="U206" i="1"/>
  <c r="U207" i="1"/>
  <c r="U208" i="1"/>
  <c r="U209" i="1"/>
  <c r="U210" i="1"/>
  <c r="U211" i="1"/>
  <c r="U212" i="1"/>
  <c r="U213" i="1"/>
  <c r="U214" i="1"/>
  <c r="U215" i="1"/>
  <c r="U216" i="1"/>
  <c r="U217" i="1"/>
  <c r="U218" i="1"/>
  <c r="U219" i="1"/>
  <c r="U220" i="1"/>
  <c r="U221" i="1"/>
  <c r="U222" i="1"/>
  <c r="U223" i="1"/>
  <c r="U224" i="1"/>
  <c r="U225" i="1"/>
  <c r="U226" i="1"/>
  <c r="U227" i="1"/>
  <c r="U228" i="1"/>
  <c r="U229" i="1"/>
  <c r="U230" i="1"/>
  <c r="U231" i="1"/>
  <c r="U232" i="1"/>
  <c r="U233" i="1"/>
  <c r="U234" i="1"/>
  <c r="U235" i="1"/>
  <c r="U236" i="1"/>
  <c r="U237" i="1"/>
  <c r="U238" i="1"/>
  <c r="U239" i="1"/>
  <c r="U240" i="1"/>
  <c r="U241" i="1"/>
  <c r="U242" i="1"/>
  <c r="U243" i="1"/>
  <c r="U244" i="1"/>
  <c r="U245" i="1"/>
  <c r="U246" i="1"/>
  <c r="U247" i="1"/>
  <c r="U248" i="1"/>
  <c r="U249" i="1"/>
  <c r="U250" i="1"/>
  <c r="U252" i="1"/>
  <c r="U253" i="1"/>
  <c r="U254" i="1"/>
  <c r="U255" i="1"/>
  <c r="U256" i="1"/>
  <c r="U257" i="1"/>
  <c r="U258" i="1"/>
  <c r="U259" i="1"/>
  <c r="U260" i="1"/>
  <c r="U261" i="1"/>
  <c r="U262" i="1"/>
  <c r="U263" i="1"/>
  <c r="U264" i="1"/>
  <c r="U265" i="1"/>
  <c r="U266" i="1"/>
  <c r="U267" i="1"/>
  <c r="U268" i="1"/>
  <c r="U269" i="1"/>
  <c r="U270" i="1"/>
  <c r="U271" i="1"/>
  <c r="U272" i="1"/>
  <c r="U273" i="1"/>
  <c r="U274" i="1"/>
  <c r="U275" i="1"/>
  <c r="U276" i="1"/>
  <c r="U277" i="1"/>
  <c r="U278" i="1"/>
  <c r="U279" i="1"/>
  <c r="U280" i="1"/>
  <c r="U281" i="1"/>
  <c r="U282" i="1"/>
  <c r="U283" i="1"/>
  <c r="U284" i="1"/>
  <c r="U285" i="1"/>
  <c r="U286" i="1"/>
  <c r="U287" i="1"/>
  <c r="U288" i="1"/>
  <c r="U289" i="1"/>
  <c r="U290" i="1"/>
  <c r="U291" i="1"/>
  <c r="U292" i="1"/>
  <c r="U293" i="1"/>
  <c r="U294" i="1"/>
  <c r="U295" i="1"/>
  <c r="U296" i="1"/>
  <c r="U297" i="1"/>
  <c r="U298" i="1"/>
  <c r="U300" i="1"/>
  <c r="U301" i="1"/>
  <c r="U302" i="1"/>
  <c r="U303" i="1"/>
  <c r="U304" i="1"/>
  <c r="U305" i="1"/>
  <c r="U306" i="1"/>
  <c r="U307" i="1"/>
  <c r="U308" i="1"/>
  <c r="U309" i="1"/>
  <c r="U310" i="1"/>
  <c r="U311" i="1"/>
  <c r="U313" i="1"/>
  <c r="U314" i="1"/>
  <c r="U316" i="1"/>
  <c r="U317" i="1"/>
  <c r="U318" i="1"/>
  <c r="U319" i="1"/>
  <c r="U320" i="1"/>
  <c r="U321" i="1"/>
  <c r="U322" i="1"/>
  <c r="U323" i="1"/>
  <c r="U324" i="1"/>
  <c r="U325" i="1"/>
  <c r="U326" i="1"/>
  <c r="U327" i="1"/>
  <c r="U328" i="1"/>
  <c r="U329" i="1"/>
  <c r="U330" i="1"/>
  <c r="U331" i="1"/>
  <c r="U332" i="1"/>
  <c r="U333" i="1"/>
  <c r="U334" i="1"/>
  <c r="U335" i="1"/>
  <c r="U336" i="1"/>
  <c r="U337" i="1"/>
  <c r="U338" i="1"/>
  <c r="U339" i="1"/>
  <c r="U340" i="1"/>
  <c r="U341" i="1"/>
  <c r="U342" i="1"/>
  <c r="U343" i="1"/>
  <c r="U344" i="1"/>
  <c r="U345" i="1"/>
  <c r="U346" i="1"/>
  <c r="U347" i="1"/>
  <c r="U348" i="1"/>
  <c r="U349" i="1"/>
  <c r="U350" i="1"/>
  <c r="U351" i="1"/>
  <c r="U352" i="1"/>
  <c r="U353" i="1"/>
  <c r="U354" i="1"/>
  <c r="U355" i="1"/>
  <c r="U356" i="1"/>
  <c r="U357" i="1"/>
  <c r="U358" i="1"/>
  <c r="U359" i="1"/>
  <c r="U360" i="1"/>
  <c r="U361" i="1"/>
  <c r="U362" i="1"/>
  <c r="U363" i="1"/>
  <c r="U364" i="1"/>
  <c r="U365" i="1"/>
  <c r="U366" i="1"/>
  <c r="U367" i="1"/>
  <c r="U368" i="1"/>
  <c r="U369" i="1"/>
  <c r="U370" i="1"/>
  <c r="U372" i="1"/>
  <c r="U373" i="1"/>
  <c r="U374" i="1"/>
  <c r="U375" i="1"/>
  <c r="U376" i="1"/>
  <c r="U377" i="1"/>
  <c r="U378" i="1"/>
  <c r="U380" i="1"/>
  <c r="U381" i="1"/>
  <c r="U382" i="1"/>
  <c r="U383" i="1"/>
  <c r="U384" i="1"/>
  <c r="U385" i="1"/>
  <c r="U386" i="1"/>
  <c r="U387" i="1"/>
  <c r="U388" i="1"/>
  <c r="U389" i="1"/>
  <c r="U390" i="1"/>
  <c r="U391" i="1"/>
  <c r="U392" i="1"/>
  <c r="U393" i="1"/>
  <c r="U394" i="1"/>
  <c r="U396" i="1"/>
  <c r="U397" i="1"/>
  <c r="U398" i="1"/>
  <c r="U399" i="1"/>
  <c r="U400" i="1"/>
  <c r="U401" i="1"/>
  <c r="U402" i="1"/>
  <c r="U404" i="1"/>
  <c r="U405" i="1"/>
  <c r="U406" i="1"/>
  <c r="U407" i="1"/>
  <c r="U408" i="1"/>
  <c r="U409" i="1"/>
  <c r="U410" i="1"/>
  <c r="U412" i="1"/>
  <c r="U413" i="1"/>
  <c r="U414" i="1"/>
  <c r="U415" i="1"/>
  <c r="U416" i="1"/>
  <c r="U417" i="1"/>
  <c r="U418" i="1"/>
  <c r="U419" i="1"/>
  <c r="U420" i="1"/>
  <c r="U421" i="1"/>
  <c r="U422" i="1"/>
  <c r="U423" i="1"/>
  <c r="U425" i="1"/>
  <c r="U426" i="1"/>
  <c r="U427" i="1"/>
  <c r="U428" i="1"/>
  <c r="U429" i="1"/>
  <c r="U430" i="1"/>
  <c r="U431" i="1"/>
  <c r="U433" i="1"/>
  <c r="U434" i="1"/>
  <c r="U435" i="1"/>
  <c r="U436" i="1"/>
  <c r="U437" i="1"/>
  <c r="U438" i="1"/>
  <c r="U439" i="1"/>
  <c r="U440" i="1"/>
  <c r="U441" i="1"/>
  <c r="U442" i="1"/>
  <c r="U443" i="1"/>
  <c r="U444" i="1"/>
  <c r="U445" i="1"/>
  <c r="U446" i="1"/>
  <c r="U447" i="1"/>
  <c r="U448" i="1"/>
  <c r="U449" i="1"/>
  <c r="U450" i="1"/>
  <c r="U451" i="1"/>
  <c r="U452" i="1"/>
  <c r="U453" i="1"/>
  <c r="U454" i="1"/>
  <c r="U455" i="1"/>
  <c r="U456" i="1"/>
  <c r="U457" i="1"/>
  <c r="U458" i="1"/>
  <c r="U460" i="1"/>
  <c r="U461" i="1"/>
  <c r="U462" i="1"/>
  <c r="U463" i="1"/>
  <c r="U464" i="1"/>
  <c r="U465" i="1"/>
  <c r="U466" i="1"/>
  <c r="U467" i="1"/>
  <c r="U468" i="1"/>
  <c r="U469" i="1"/>
  <c r="U470" i="1"/>
  <c r="U471" i="1"/>
  <c r="U472" i="1"/>
  <c r="U473" i="1"/>
  <c r="U474" i="1"/>
  <c r="U476" i="1"/>
  <c r="U477" i="1"/>
  <c r="U478" i="1"/>
  <c r="U479" i="1"/>
  <c r="U480" i="1"/>
  <c r="U481" i="1"/>
  <c r="U482" i="1"/>
  <c r="U483" i="1"/>
  <c r="U484" i="1"/>
  <c r="U485" i="1"/>
  <c r="U486" i="1"/>
  <c r="U487" i="1"/>
  <c r="U488" i="1"/>
  <c r="U489" i="1"/>
  <c r="U490" i="1"/>
  <c r="U491" i="1"/>
  <c r="U492" i="1"/>
  <c r="U493" i="1"/>
  <c r="U494" i="1"/>
  <c r="U495" i="1"/>
  <c r="U497" i="1"/>
  <c r="U498" i="1"/>
  <c r="U499" i="1"/>
  <c r="U500" i="1"/>
  <c r="U501" i="1"/>
  <c r="U502" i="1"/>
  <c r="U503" i="1"/>
  <c r="U505" i="1"/>
  <c r="U508" i="1"/>
  <c r="U510" i="1"/>
  <c r="U511" i="1"/>
  <c r="U513" i="1"/>
  <c r="U516" i="1"/>
  <c r="U517" i="1"/>
  <c r="U518" i="1"/>
  <c r="U519" i="1"/>
  <c r="U521" i="1"/>
  <c r="U522" i="1"/>
  <c r="U523" i="1"/>
  <c r="U524" i="1"/>
  <c r="U525" i="1"/>
  <c r="U526" i="1"/>
  <c r="U527" i="1"/>
  <c r="U528" i="1"/>
  <c r="U529" i="1"/>
  <c r="U531" i="1"/>
  <c r="U532" i="1"/>
  <c r="U533" i="1"/>
  <c r="U534" i="1"/>
  <c r="U535" i="1"/>
  <c r="U536" i="1"/>
  <c r="U537" i="1"/>
  <c r="U540" i="1"/>
  <c r="U542" i="1"/>
  <c r="U543" i="1"/>
  <c r="U544" i="1"/>
  <c r="U545" i="1"/>
  <c r="U546" i="1"/>
  <c r="U547" i="1"/>
  <c r="U548" i="1"/>
  <c r="U549" i="1"/>
  <c r="U550" i="1"/>
  <c r="U551" i="1"/>
  <c r="U552" i="1"/>
  <c r="U553" i="1"/>
  <c r="U554" i="1"/>
  <c r="U555" i="1"/>
  <c r="U556" i="1"/>
  <c r="X4" i="1"/>
  <c r="Z4" i="1"/>
  <c r="AA4" i="1"/>
  <c r="X5" i="1"/>
  <c r="Z5" i="1"/>
  <c r="AA5" i="1"/>
  <c r="X6" i="1"/>
  <c r="Z6" i="1"/>
  <c r="AA6" i="1"/>
  <c r="X7" i="1"/>
  <c r="Z7" i="1"/>
  <c r="AA7" i="1"/>
  <c r="X8" i="1"/>
  <c r="AA8" i="1"/>
  <c r="X9" i="1"/>
  <c r="AA9" i="1"/>
  <c r="X10" i="1"/>
  <c r="Z10" i="1"/>
  <c r="AA10" i="1"/>
  <c r="X11" i="1"/>
  <c r="AA11" i="1"/>
  <c r="X12" i="1"/>
  <c r="Z12" i="1"/>
  <c r="AA12" i="1"/>
  <c r="X13" i="1"/>
  <c r="AA13" i="1"/>
  <c r="X14" i="1"/>
  <c r="AA14" i="1"/>
  <c r="X15" i="1"/>
  <c r="AA15" i="1"/>
  <c r="X16" i="1"/>
  <c r="Z16" i="1"/>
  <c r="AA16" i="1"/>
  <c r="X17" i="1"/>
  <c r="Z17" i="1"/>
  <c r="AA17" i="1"/>
  <c r="X18" i="1"/>
  <c r="Z18" i="1"/>
  <c r="AA18" i="1"/>
  <c r="X19" i="1"/>
  <c r="AA19" i="1"/>
  <c r="X20" i="1"/>
  <c r="Z20" i="1"/>
  <c r="AA20" i="1"/>
  <c r="X21" i="1"/>
  <c r="Z21" i="1"/>
  <c r="AA21" i="1"/>
  <c r="X22" i="1"/>
  <c r="Z22" i="1"/>
  <c r="AA22" i="1"/>
  <c r="X23" i="1"/>
  <c r="Z23" i="1"/>
  <c r="AA23" i="1"/>
  <c r="X24" i="1"/>
  <c r="AA24" i="1"/>
  <c r="X25" i="1"/>
  <c r="AA25" i="1"/>
  <c r="X26" i="1"/>
  <c r="Z26" i="1"/>
  <c r="AA26" i="1"/>
  <c r="X27" i="1"/>
  <c r="AA27" i="1"/>
  <c r="X28" i="1"/>
  <c r="Z28" i="1"/>
  <c r="AA28" i="1"/>
  <c r="X29" i="1"/>
  <c r="AA29" i="1"/>
  <c r="X30" i="1"/>
  <c r="AA30" i="1"/>
  <c r="X31" i="1"/>
  <c r="AA31" i="1"/>
  <c r="X32" i="1"/>
  <c r="Z32" i="1"/>
  <c r="AA32" i="1"/>
  <c r="X33" i="1"/>
  <c r="Z33" i="1"/>
  <c r="AA33" i="1"/>
  <c r="X34" i="1"/>
  <c r="Z34" i="1"/>
  <c r="AA34" i="1"/>
  <c r="X35" i="1"/>
  <c r="AA35" i="1"/>
  <c r="X36" i="1"/>
  <c r="Z36" i="1"/>
  <c r="AA36" i="1"/>
  <c r="X37" i="1"/>
  <c r="Z37" i="1"/>
  <c r="AA37" i="1"/>
  <c r="X38" i="1"/>
  <c r="AA38" i="1"/>
  <c r="X39" i="1"/>
  <c r="Z39" i="1"/>
  <c r="AA39" i="1"/>
  <c r="X40" i="1"/>
  <c r="AA40" i="1"/>
  <c r="X41" i="1"/>
  <c r="AA41" i="1"/>
  <c r="X42" i="1"/>
  <c r="AA42" i="1"/>
  <c r="X43" i="1"/>
  <c r="AA43" i="1"/>
  <c r="X44" i="1"/>
  <c r="Z44" i="1"/>
  <c r="AA44" i="1"/>
  <c r="X45" i="1"/>
  <c r="AA45" i="1"/>
  <c r="X46" i="1"/>
  <c r="AA46" i="1"/>
  <c r="X47" i="1"/>
  <c r="AA47" i="1"/>
  <c r="X48" i="1"/>
  <c r="Z48" i="1"/>
  <c r="AA48" i="1"/>
  <c r="X49" i="1"/>
  <c r="Z49" i="1"/>
  <c r="AA49" i="1"/>
  <c r="X50" i="1"/>
  <c r="Z50" i="1"/>
  <c r="AA50" i="1"/>
  <c r="X51" i="1"/>
  <c r="AA51" i="1"/>
  <c r="X52" i="1"/>
  <c r="Z52" i="1"/>
  <c r="AA52" i="1"/>
  <c r="X53" i="1"/>
  <c r="Z53" i="1"/>
  <c r="AA53" i="1"/>
  <c r="X54" i="1"/>
  <c r="AA54" i="1"/>
  <c r="X55" i="1"/>
  <c r="Z55" i="1"/>
  <c r="AA55" i="1"/>
  <c r="X56" i="1"/>
  <c r="AA56" i="1"/>
  <c r="X57" i="1"/>
  <c r="AA57" i="1"/>
  <c r="X58" i="1"/>
  <c r="AA58" i="1"/>
  <c r="X59" i="1"/>
  <c r="AA59" i="1"/>
  <c r="X60" i="1"/>
  <c r="Z60" i="1"/>
  <c r="AA60" i="1"/>
  <c r="X61" i="1"/>
  <c r="AA61" i="1"/>
  <c r="X62" i="1"/>
  <c r="AA62" i="1"/>
  <c r="X63" i="1"/>
  <c r="AA63" i="1"/>
  <c r="X64" i="1"/>
  <c r="Z64" i="1"/>
  <c r="AA64" i="1"/>
  <c r="X65" i="1"/>
  <c r="Z65" i="1"/>
  <c r="AA65" i="1"/>
  <c r="X66" i="1"/>
  <c r="Z66" i="1"/>
  <c r="AA66" i="1"/>
  <c r="X67" i="1"/>
  <c r="AA67" i="1"/>
  <c r="X68" i="1"/>
  <c r="Z68" i="1"/>
  <c r="AA68" i="1"/>
  <c r="X69" i="1"/>
  <c r="Z69" i="1"/>
  <c r="AA69" i="1"/>
  <c r="X70" i="1"/>
  <c r="AA70" i="1"/>
  <c r="X71" i="1"/>
  <c r="Z71" i="1"/>
  <c r="AA71" i="1"/>
  <c r="X72" i="1"/>
  <c r="AA72" i="1"/>
  <c r="X73" i="1"/>
  <c r="AA73" i="1"/>
  <c r="X74" i="1"/>
  <c r="AA74" i="1"/>
  <c r="X75" i="1"/>
  <c r="AA75" i="1"/>
  <c r="X76" i="1"/>
  <c r="Z76" i="1"/>
  <c r="AA76" i="1"/>
  <c r="X77" i="1"/>
  <c r="AA77" i="1"/>
  <c r="X78" i="1"/>
  <c r="AA78" i="1"/>
  <c r="X79" i="1"/>
  <c r="AA79" i="1"/>
  <c r="X80" i="1"/>
  <c r="Z80" i="1"/>
  <c r="AA80" i="1"/>
  <c r="X81" i="1"/>
  <c r="Z81" i="1"/>
  <c r="AA81" i="1"/>
  <c r="X82" i="1"/>
  <c r="Z82" i="1"/>
  <c r="AA82" i="1"/>
  <c r="X83" i="1"/>
  <c r="AA83" i="1"/>
  <c r="X84" i="1"/>
  <c r="Z84" i="1"/>
  <c r="AA84" i="1"/>
  <c r="X85" i="1"/>
  <c r="Z85" i="1"/>
  <c r="AA85" i="1"/>
  <c r="X86" i="1"/>
  <c r="AA86" i="1"/>
  <c r="X87" i="1"/>
  <c r="Z87" i="1"/>
  <c r="AA87" i="1"/>
  <c r="X88" i="1"/>
  <c r="AA88" i="1"/>
  <c r="X89" i="1"/>
  <c r="AA89" i="1"/>
  <c r="X90" i="1"/>
  <c r="AA90" i="1"/>
  <c r="X91" i="1"/>
  <c r="AA91" i="1"/>
  <c r="X92" i="1"/>
  <c r="Z92" i="1"/>
  <c r="AA92" i="1"/>
  <c r="X93" i="1"/>
  <c r="AA93" i="1"/>
  <c r="X94" i="1"/>
  <c r="AA94" i="1"/>
  <c r="X95" i="1"/>
  <c r="AA95" i="1"/>
  <c r="X96" i="1"/>
  <c r="Z96" i="1"/>
  <c r="AA96" i="1"/>
  <c r="X97" i="1"/>
  <c r="Z97" i="1"/>
  <c r="AA97" i="1"/>
  <c r="X98" i="1"/>
  <c r="Z98" i="1"/>
  <c r="AA98" i="1"/>
  <c r="X99" i="1"/>
  <c r="AA99" i="1"/>
  <c r="X100" i="1"/>
  <c r="Z100" i="1"/>
  <c r="AA100" i="1"/>
  <c r="X101" i="1"/>
  <c r="Z101" i="1"/>
  <c r="AA101" i="1"/>
  <c r="X102" i="1"/>
  <c r="AA102" i="1"/>
  <c r="X103" i="1"/>
  <c r="Z103" i="1"/>
  <c r="AA103" i="1"/>
  <c r="X104" i="1"/>
  <c r="AA104" i="1"/>
  <c r="X105" i="1"/>
  <c r="AA105" i="1"/>
  <c r="X106" i="1"/>
  <c r="AA106" i="1"/>
  <c r="X107" i="1"/>
  <c r="AA107" i="1"/>
  <c r="X108" i="1"/>
  <c r="Z108" i="1"/>
  <c r="AA108" i="1"/>
  <c r="X109" i="1"/>
  <c r="AA109" i="1"/>
  <c r="X110" i="1"/>
  <c r="AA110" i="1"/>
  <c r="X111" i="1"/>
  <c r="AA111" i="1"/>
  <c r="X112" i="1"/>
  <c r="Z112" i="1"/>
  <c r="AA112" i="1"/>
  <c r="X113" i="1"/>
  <c r="Z113" i="1"/>
  <c r="AA113" i="1"/>
  <c r="X114" i="1"/>
  <c r="Z114" i="1"/>
  <c r="AA114" i="1"/>
  <c r="X115" i="1"/>
  <c r="AA115" i="1"/>
  <c r="X116" i="1"/>
  <c r="Z116" i="1"/>
  <c r="AA116" i="1"/>
  <c r="X117" i="1"/>
  <c r="Z117" i="1"/>
  <c r="AA117" i="1"/>
  <c r="X118" i="1"/>
  <c r="AA118" i="1"/>
  <c r="X119" i="1"/>
  <c r="Z119" i="1"/>
  <c r="AA119" i="1"/>
  <c r="X120" i="1"/>
  <c r="AA120" i="1"/>
  <c r="X121" i="1"/>
  <c r="AA121" i="1"/>
  <c r="X122" i="1"/>
  <c r="AA122" i="1"/>
  <c r="X123" i="1"/>
  <c r="AA123" i="1"/>
  <c r="X124" i="1"/>
  <c r="Z124" i="1"/>
  <c r="AA124" i="1"/>
  <c r="X125" i="1"/>
  <c r="AA125" i="1"/>
  <c r="X126" i="1"/>
  <c r="AA126" i="1"/>
  <c r="X127" i="1"/>
  <c r="AA127" i="1"/>
  <c r="X128" i="1"/>
  <c r="Z128" i="1"/>
  <c r="AA128" i="1"/>
  <c r="X129" i="1"/>
  <c r="Z129" i="1"/>
  <c r="AA129" i="1"/>
  <c r="X130" i="1"/>
  <c r="Z130" i="1"/>
  <c r="AA130" i="1"/>
  <c r="X131" i="1"/>
  <c r="AA131" i="1"/>
  <c r="X132" i="1"/>
  <c r="Z132" i="1"/>
  <c r="AA132" i="1"/>
  <c r="X133" i="1"/>
  <c r="Z133" i="1"/>
  <c r="AA133" i="1"/>
  <c r="X134" i="1"/>
  <c r="AA134" i="1"/>
  <c r="X135" i="1"/>
  <c r="Z135" i="1"/>
  <c r="AA135" i="1"/>
  <c r="X136" i="1"/>
  <c r="AA136" i="1"/>
  <c r="X137" i="1"/>
  <c r="AA137" i="1"/>
  <c r="X138" i="1"/>
  <c r="AA138" i="1"/>
  <c r="X139" i="1"/>
  <c r="AA139" i="1"/>
  <c r="X140" i="1"/>
  <c r="Z140" i="1"/>
  <c r="AA140" i="1"/>
  <c r="X141" i="1"/>
  <c r="AA141" i="1"/>
  <c r="X142" i="1"/>
  <c r="AA142" i="1"/>
  <c r="X143" i="1"/>
  <c r="AA143" i="1"/>
  <c r="X144" i="1"/>
  <c r="Z144" i="1"/>
  <c r="AA144" i="1"/>
  <c r="X145" i="1"/>
  <c r="Z145" i="1"/>
  <c r="AA145" i="1"/>
  <c r="X146" i="1"/>
  <c r="Z146" i="1"/>
  <c r="AA146" i="1"/>
  <c r="X147" i="1"/>
  <c r="AA147" i="1"/>
  <c r="X148" i="1"/>
  <c r="Z148" i="1"/>
  <c r="AA148" i="1"/>
  <c r="X149" i="1"/>
  <c r="Z149" i="1"/>
  <c r="AA149" i="1"/>
  <c r="X150" i="1"/>
  <c r="AA150" i="1"/>
  <c r="X151" i="1"/>
  <c r="Z151" i="1"/>
  <c r="AA151" i="1"/>
  <c r="X152" i="1"/>
  <c r="AA152" i="1"/>
  <c r="X153" i="1"/>
  <c r="AA153" i="1"/>
  <c r="X154" i="1"/>
  <c r="AA154" i="1"/>
  <c r="X155" i="1"/>
  <c r="AA155" i="1"/>
  <c r="X156" i="1"/>
  <c r="Z156" i="1"/>
  <c r="AA156" i="1"/>
  <c r="X157" i="1"/>
  <c r="AA157" i="1"/>
  <c r="X158" i="1"/>
  <c r="AA158" i="1"/>
  <c r="X159" i="1"/>
  <c r="AA159" i="1"/>
  <c r="X160" i="1"/>
  <c r="Z160" i="1"/>
  <c r="AA160" i="1"/>
  <c r="X161" i="1"/>
  <c r="Z161" i="1"/>
  <c r="AA161" i="1"/>
  <c r="X162" i="1"/>
  <c r="Z162" i="1"/>
  <c r="AA162" i="1"/>
  <c r="X163" i="1"/>
  <c r="AA163" i="1"/>
  <c r="X164" i="1"/>
  <c r="Z164" i="1"/>
  <c r="AA164" i="1"/>
  <c r="X165" i="1"/>
  <c r="Z165" i="1"/>
  <c r="AA165" i="1"/>
  <c r="X166" i="1"/>
  <c r="AA166" i="1"/>
  <c r="X167" i="1"/>
  <c r="Z167" i="1"/>
  <c r="AA167" i="1"/>
  <c r="X168" i="1"/>
  <c r="AA168" i="1"/>
  <c r="X169" i="1"/>
  <c r="AA169" i="1"/>
  <c r="X170" i="1"/>
  <c r="AA170" i="1"/>
  <c r="X171" i="1"/>
  <c r="AA171" i="1"/>
  <c r="X172" i="1"/>
  <c r="Z172" i="1"/>
  <c r="AA172" i="1"/>
  <c r="X173" i="1"/>
  <c r="AA173" i="1"/>
  <c r="X174" i="1"/>
  <c r="AA174" i="1"/>
  <c r="X175" i="1"/>
  <c r="AA175" i="1"/>
  <c r="X176" i="1"/>
  <c r="Z176" i="1"/>
  <c r="AA176" i="1"/>
  <c r="X177" i="1"/>
  <c r="Z177" i="1"/>
  <c r="AA177" i="1"/>
  <c r="X178" i="1"/>
  <c r="Z178" i="1"/>
  <c r="AA178" i="1"/>
  <c r="X179" i="1"/>
  <c r="AA179" i="1"/>
  <c r="X180" i="1"/>
  <c r="Z180" i="1"/>
  <c r="AA180" i="1"/>
  <c r="X181" i="1"/>
  <c r="Z181" i="1"/>
  <c r="AA181" i="1"/>
  <c r="X182" i="1"/>
  <c r="AA182" i="1"/>
  <c r="X183" i="1"/>
  <c r="Z183" i="1"/>
  <c r="AA183" i="1"/>
  <c r="X184" i="1"/>
  <c r="AA184" i="1"/>
  <c r="X185" i="1"/>
  <c r="AA185" i="1"/>
  <c r="X186" i="1"/>
  <c r="AA186" i="1"/>
  <c r="X187" i="1"/>
  <c r="AA187" i="1"/>
  <c r="X188" i="1"/>
  <c r="Z188" i="1"/>
  <c r="AA188" i="1"/>
  <c r="X189" i="1"/>
  <c r="AA189" i="1"/>
  <c r="X190" i="1"/>
  <c r="AA190" i="1"/>
  <c r="X191" i="1"/>
  <c r="AA191" i="1"/>
  <c r="X192" i="1"/>
  <c r="Z192" i="1"/>
  <c r="AA192" i="1"/>
  <c r="X193" i="1"/>
  <c r="Z193" i="1"/>
  <c r="AA193" i="1"/>
  <c r="X194" i="1"/>
  <c r="Z194" i="1"/>
  <c r="AA194" i="1"/>
  <c r="X195" i="1"/>
  <c r="AA195" i="1"/>
  <c r="X196" i="1"/>
  <c r="Z196" i="1"/>
  <c r="AA196" i="1"/>
  <c r="X197" i="1"/>
  <c r="Z197" i="1"/>
  <c r="AA197" i="1"/>
  <c r="X198" i="1"/>
  <c r="AA198" i="1"/>
  <c r="X199" i="1"/>
  <c r="Z199" i="1"/>
  <c r="AA199" i="1"/>
  <c r="X200" i="1"/>
  <c r="AA200" i="1"/>
  <c r="X201" i="1"/>
  <c r="AA201" i="1"/>
  <c r="X202" i="1"/>
  <c r="AA202" i="1"/>
  <c r="X203" i="1"/>
  <c r="AA203" i="1"/>
  <c r="X204" i="1"/>
  <c r="Z204" i="1"/>
  <c r="AA204" i="1"/>
  <c r="X205" i="1"/>
  <c r="AA205" i="1"/>
  <c r="X206" i="1"/>
  <c r="AA206" i="1"/>
  <c r="X207" i="1"/>
  <c r="AA207" i="1"/>
  <c r="X208" i="1"/>
  <c r="Z208" i="1"/>
  <c r="AA208" i="1"/>
  <c r="X209" i="1"/>
  <c r="Z209" i="1"/>
  <c r="AA209" i="1"/>
  <c r="X210" i="1"/>
  <c r="Z210" i="1"/>
  <c r="AA210" i="1"/>
  <c r="X211" i="1"/>
  <c r="AA211" i="1"/>
  <c r="X212" i="1"/>
  <c r="Z212" i="1"/>
  <c r="AA212" i="1"/>
  <c r="X213" i="1"/>
  <c r="Z213" i="1"/>
  <c r="AA213" i="1"/>
  <c r="X214" i="1"/>
  <c r="AA214" i="1"/>
  <c r="X215" i="1"/>
  <c r="Z215" i="1"/>
  <c r="AA215" i="1"/>
  <c r="X216" i="1"/>
  <c r="AA216" i="1"/>
  <c r="X217" i="1"/>
  <c r="AA217" i="1"/>
  <c r="X218" i="1"/>
  <c r="AA218" i="1"/>
  <c r="X219" i="1"/>
  <c r="AA219" i="1"/>
  <c r="X220" i="1"/>
  <c r="Z220" i="1"/>
  <c r="AA220" i="1"/>
  <c r="X221" i="1"/>
  <c r="AA221" i="1"/>
  <c r="X222" i="1"/>
  <c r="AA222" i="1"/>
  <c r="X223" i="1"/>
  <c r="AA223" i="1"/>
  <c r="X224" i="1"/>
  <c r="Z224" i="1"/>
  <c r="AA224" i="1"/>
  <c r="X225" i="1"/>
  <c r="Z225" i="1"/>
  <c r="AA225" i="1"/>
  <c r="X226" i="1"/>
  <c r="Z226" i="1"/>
  <c r="AA226" i="1"/>
  <c r="X227" i="1"/>
  <c r="AA227" i="1"/>
  <c r="X228" i="1"/>
  <c r="Z228" i="1"/>
  <c r="AA228" i="1"/>
  <c r="X229" i="1"/>
  <c r="Z229" i="1"/>
  <c r="AA229" i="1"/>
  <c r="X230" i="1"/>
  <c r="AA230" i="1"/>
  <c r="X231" i="1"/>
  <c r="Z231" i="1"/>
  <c r="AA231" i="1"/>
  <c r="X232" i="1"/>
  <c r="AA232" i="1"/>
  <c r="X233" i="1"/>
  <c r="AA233" i="1"/>
  <c r="X234" i="1"/>
  <c r="AA234" i="1"/>
  <c r="X235" i="1"/>
  <c r="AA235" i="1"/>
  <c r="X236" i="1"/>
  <c r="Z236" i="1"/>
  <c r="AA236" i="1"/>
  <c r="X237" i="1"/>
  <c r="AA237" i="1"/>
  <c r="X238" i="1"/>
  <c r="AA238" i="1"/>
  <c r="X239" i="1"/>
  <c r="AA239" i="1"/>
  <c r="X240" i="1"/>
  <c r="Z240" i="1"/>
  <c r="AA240" i="1"/>
  <c r="X241" i="1"/>
  <c r="Z241" i="1"/>
  <c r="AA241" i="1"/>
  <c r="X242" i="1"/>
  <c r="Z242" i="1"/>
  <c r="AA242" i="1"/>
  <c r="X243" i="1"/>
  <c r="AA243" i="1"/>
  <c r="X244" i="1"/>
  <c r="Z244" i="1"/>
  <c r="AA244" i="1"/>
  <c r="X245" i="1"/>
  <c r="Z245" i="1"/>
  <c r="AA245" i="1"/>
  <c r="X246" i="1"/>
  <c r="AA246" i="1"/>
  <c r="X247" i="1"/>
  <c r="Z247" i="1"/>
  <c r="AA247" i="1"/>
  <c r="X248" i="1"/>
  <c r="AA248" i="1"/>
  <c r="X249" i="1"/>
  <c r="AA249" i="1"/>
  <c r="X250" i="1"/>
  <c r="AA250" i="1"/>
  <c r="X251" i="1"/>
  <c r="AA251" i="1"/>
  <c r="X252" i="1"/>
  <c r="Z252" i="1"/>
  <c r="AA252" i="1"/>
  <c r="X253" i="1"/>
  <c r="AA253" i="1"/>
  <c r="X254" i="1"/>
  <c r="AA254" i="1"/>
  <c r="X255" i="1"/>
  <c r="AA255" i="1"/>
  <c r="X256" i="1"/>
  <c r="Z256" i="1"/>
  <c r="AA256" i="1"/>
  <c r="X257" i="1"/>
  <c r="Z257" i="1"/>
  <c r="AA257" i="1"/>
  <c r="X258" i="1"/>
  <c r="Z258" i="1"/>
  <c r="AA258" i="1"/>
  <c r="X259" i="1"/>
  <c r="AA259" i="1"/>
  <c r="X260" i="1"/>
  <c r="Z260" i="1"/>
  <c r="AA260" i="1"/>
  <c r="X261" i="1"/>
  <c r="Z261" i="1"/>
  <c r="AA261" i="1"/>
  <c r="X262" i="1"/>
  <c r="AA262" i="1"/>
  <c r="X263" i="1"/>
  <c r="Z263" i="1"/>
  <c r="AA263" i="1"/>
  <c r="X264" i="1"/>
  <c r="AA264" i="1"/>
  <c r="X265" i="1"/>
  <c r="AA265" i="1"/>
  <c r="X266" i="1"/>
  <c r="AA266" i="1"/>
  <c r="X267" i="1"/>
  <c r="AA267" i="1"/>
  <c r="X268" i="1"/>
  <c r="Z268" i="1"/>
  <c r="AA268" i="1"/>
  <c r="X269" i="1"/>
  <c r="AA269" i="1"/>
  <c r="X270" i="1"/>
  <c r="AA270" i="1"/>
  <c r="X271" i="1"/>
  <c r="AA271" i="1"/>
  <c r="X272" i="1"/>
  <c r="Z272" i="1"/>
  <c r="AA272" i="1"/>
  <c r="X273" i="1"/>
  <c r="Z273" i="1"/>
  <c r="AA273" i="1"/>
  <c r="X274" i="1"/>
  <c r="Z274" i="1"/>
  <c r="AA274" i="1"/>
  <c r="X275" i="1"/>
  <c r="AA275" i="1"/>
  <c r="X276" i="1"/>
  <c r="Z276" i="1"/>
  <c r="AA276" i="1"/>
  <c r="X277" i="1"/>
  <c r="Z277" i="1"/>
  <c r="AA277" i="1"/>
  <c r="X278" i="1"/>
  <c r="AA278" i="1"/>
  <c r="X279" i="1"/>
  <c r="Z279" i="1"/>
  <c r="AA279" i="1"/>
  <c r="X280" i="1"/>
  <c r="AA280" i="1"/>
  <c r="X281" i="1"/>
  <c r="AA281" i="1"/>
  <c r="X282" i="1"/>
  <c r="AA282" i="1"/>
  <c r="X283" i="1"/>
  <c r="AA283" i="1"/>
  <c r="X284" i="1"/>
  <c r="Z284" i="1"/>
  <c r="AA284" i="1"/>
  <c r="X285" i="1"/>
  <c r="AA285" i="1"/>
  <c r="X286" i="1"/>
  <c r="AA286" i="1"/>
  <c r="X287" i="1"/>
  <c r="AA287" i="1"/>
  <c r="X288" i="1"/>
  <c r="Z288" i="1"/>
  <c r="AA288" i="1"/>
  <c r="X289" i="1"/>
  <c r="Z289" i="1"/>
  <c r="AA289" i="1"/>
  <c r="X290" i="1"/>
  <c r="Z290" i="1"/>
  <c r="AA290" i="1"/>
  <c r="X291" i="1"/>
  <c r="AA291" i="1"/>
  <c r="X292" i="1"/>
  <c r="Z292" i="1"/>
  <c r="AA292" i="1"/>
  <c r="X293" i="1"/>
  <c r="Z293" i="1"/>
  <c r="AA293" i="1"/>
  <c r="X294" i="1"/>
  <c r="AA294" i="1"/>
  <c r="X295" i="1"/>
  <c r="Z295" i="1"/>
  <c r="AA295" i="1"/>
  <c r="X296" i="1"/>
  <c r="AA296" i="1"/>
  <c r="X297" i="1"/>
  <c r="AA297" i="1"/>
  <c r="X298" i="1"/>
  <c r="AA298" i="1"/>
  <c r="X299" i="1"/>
  <c r="AA299" i="1"/>
  <c r="X300" i="1"/>
  <c r="Z300" i="1"/>
  <c r="AA300" i="1"/>
  <c r="X301" i="1"/>
  <c r="AA301" i="1"/>
  <c r="X302" i="1"/>
  <c r="AA302" i="1"/>
  <c r="X303" i="1"/>
  <c r="AA303" i="1"/>
  <c r="X304" i="1"/>
  <c r="Z304" i="1"/>
  <c r="AA304" i="1"/>
  <c r="X305" i="1"/>
  <c r="Z305" i="1"/>
  <c r="AA305" i="1"/>
  <c r="X306" i="1"/>
  <c r="Z306" i="1"/>
  <c r="AA306" i="1"/>
  <c r="X307" i="1"/>
  <c r="AA307" i="1"/>
  <c r="X308" i="1"/>
  <c r="Z308" i="1"/>
  <c r="AA308" i="1"/>
  <c r="X309" i="1"/>
  <c r="Z309" i="1"/>
  <c r="AA309" i="1"/>
  <c r="X310" i="1"/>
  <c r="AA310" i="1"/>
  <c r="X311" i="1"/>
  <c r="Z311" i="1"/>
  <c r="AA311" i="1"/>
  <c r="X312" i="1"/>
  <c r="AA312" i="1"/>
  <c r="X313" i="1"/>
  <c r="AA313" i="1"/>
  <c r="X314" i="1"/>
  <c r="AA314" i="1"/>
  <c r="X315" i="1"/>
  <c r="AA315" i="1"/>
  <c r="X316" i="1"/>
  <c r="Z316" i="1"/>
  <c r="AA316" i="1"/>
  <c r="X317" i="1"/>
  <c r="AA317" i="1"/>
  <c r="X318" i="1"/>
  <c r="AA318" i="1"/>
  <c r="X319" i="1"/>
  <c r="AA319" i="1"/>
  <c r="X320" i="1"/>
  <c r="Z320" i="1"/>
  <c r="AA320" i="1"/>
  <c r="X321" i="1"/>
  <c r="Z321" i="1"/>
  <c r="AA321" i="1"/>
  <c r="X322" i="1"/>
  <c r="Z322" i="1"/>
  <c r="AA322" i="1"/>
  <c r="X323" i="1"/>
  <c r="AA323" i="1"/>
  <c r="X324" i="1"/>
  <c r="Z324" i="1"/>
  <c r="AA324" i="1"/>
  <c r="X325" i="1"/>
  <c r="Z325" i="1"/>
  <c r="AA325" i="1"/>
  <c r="X326" i="1"/>
  <c r="AA326" i="1"/>
  <c r="X327" i="1"/>
  <c r="Z327" i="1"/>
  <c r="AA327" i="1"/>
  <c r="X328" i="1"/>
  <c r="AA328" i="1"/>
  <c r="X329" i="1"/>
  <c r="AA329" i="1"/>
  <c r="X330" i="1"/>
  <c r="AA330" i="1"/>
  <c r="X331" i="1"/>
  <c r="AA331" i="1"/>
  <c r="X332" i="1"/>
  <c r="Z332" i="1"/>
  <c r="AA332" i="1"/>
  <c r="X333" i="1"/>
  <c r="AA333" i="1"/>
  <c r="X334" i="1"/>
  <c r="AA334" i="1"/>
  <c r="X335" i="1"/>
  <c r="AA335" i="1"/>
  <c r="X336" i="1"/>
  <c r="Z336" i="1"/>
  <c r="AA336" i="1"/>
  <c r="X337" i="1"/>
  <c r="Z337" i="1"/>
  <c r="AA337" i="1"/>
  <c r="X338" i="1"/>
  <c r="Z338" i="1"/>
  <c r="AA338" i="1"/>
  <c r="X339" i="1"/>
  <c r="AA339" i="1"/>
  <c r="X340" i="1"/>
  <c r="Z340" i="1"/>
  <c r="AA340" i="1"/>
  <c r="X341" i="1"/>
  <c r="Z341" i="1"/>
  <c r="AA341" i="1"/>
  <c r="X342" i="1"/>
  <c r="AA342" i="1"/>
  <c r="X343" i="1"/>
  <c r="Z343" i="1"/>
  <c r="AA343" i="1"/>
  <c r="X344" i="1"/>
  <c r="AA344" i="1"/>
  <c r="X345" i="1"/>
  <c r="AA345" i="1"/>
  <c r="X346" i="1"/>
  <c r="AA346" i="1"/>
  <c r="X347" i="1"/>
  <c r="AA347" i="1"/>
  <c r="X348" i="1"/>
  <c r="AA348" i="1"/>
  <c r="X349" i="1"/>
  <c r="AA349" i="1"/>
  <c r="X350" i="1"/>
  <c r="AA350" i="1"/>
  <c r="X351" i="1"/>
  <c r="Z351" i="1"/>
  <c r="AA351" i="1"/>
  <c r="X352" i="1"/>
  <c r="AA352" i="1"/>
  <c r="X353" i="1"/>
  <c r="AA353" i="1"/>
  <c r="X354" i="1"/>
  <c r="AA354" i="1"/>
  <c r="X355" i="1"/>
  <c r="AA355" i="1"/>
  <c r="X356" i="1"/>
  <c r="AA356" i="1"/>
  <c r="X357" i="1"/>
  <c r="AA357" i="1"/>
  <c r="X358" i="1"/>
  <c r="AA358" i="1"/>
  <c r="X359" i="1"/>
  <c r="Z359" i="1"/>
  <c r="AA359" i="1"/>
  <c r="X360" i="1"/>
  <c r="AA360" i="1"/>
  <c r="X361" i="1"/>
  <c r="AA361" i="1"/>
  <c r="X362" i="1"/>
  <c r="AA362" i="1"/>
  <c r="X363" i="1"/>
  <c r="AA363" i="1"/>
  <c r="X364" i="1"/>
  <c r="AA364" i="1"/>
  <c r="X365" i="1"/>
  <c r="AA365" i="1"/>
  <c r="X366" i="1"/>
  <c r="AA366" i="1"/>
  <c r="X367" i="1"/>
  <c r="Z367" i="1"/>
  <c r="AA367" i="1"/>
  <c r="X368" i="1"/>
  <c r="AA368" i="1"/>
  <c r="X369" i="1"/>
  <c r="AA369" i="1"/>
  <c r="X370" i="1"/>
  <c r="AA370" i="1"/>
  <c r="X371" i="1"/>
  <c r="AA371" i="1"/>
  <c r="X372" i="1"/>
  <c r="AA372" i="1"/>
  <c r="X373" i="1"/>
  <c r="AA373" i="1"/>
  <c r="X374" i="1"/>
  <c r="AA374" i="1"/>
  <c r="X375" i="1"/>
  <c r="Z375" i="1"/>
  <c r="AA375" i="1"/>
  <c r="X376" i="1"/>
  <c r="AA376" i="1"/>
  <c r="X377" i="1"/>
  <c r="AA377" i="1"/>
  <c r="X378" i="1"/>
  <c r="AA378" i="1"/>
  <c r="X379" i="1"/>
  <c r="AA379" i="1"/>
  <c r="X380" i="1"/>
  <c r="AA380" i="1"/>
  <c r="X381" i="1"/>
  <c r="AA381" i="1"/>
  <c r="X382" i="1"/>
  <c r="AA382" i="1"/>
  <c r="X383" i="1"/>
  <c r="Z383" i="1"/>
  <c r="AA383" i="1"/>
  <c r="X384" i="1"/>
  <c r="AA384" i="1"/>
  <c r="X385" i="1"/>
  <c r="AA385" i="1"/>
  <c r="X386" i="1"/>
  <c r="AA386" i="1"/>
  <c r="X387" i="1"/>
  <c r="AA387" i="1"/>
  <c r="X388" i="1"/>
  <c r="AA388" i="1"/>
  <c r="X389" i="1"/>
  <c r="AA389" i="1"/>
  <c r="X390" i="1"/>
  <c r="AA390" i="1"/>
  <c r="X391" i="1"/>
  <c r="Z391" i="1"/>
  <c r="AA391" i="1"/>
  <c r="X392" i="1"/>
  <c r="AA392" i="1"/>
  <c r="X393" i="1"/>
  <c r="AA393" i="1"/>
  <c r="X394" i="1"/>
  <c r="Z394" i="1"/>
  <c r="AA394" i="1"/>
  <c r="X395" i="1"/>
  <c r="AA395" i="1"/>
  <c r="X396" i="1"/>
  <c r="AA396" i="1"/>
  <c r="X397" i="1"/>
  <c r="AA397" i="1"/>
  <c r="X398" i="1"/>
  <c r="AA398" i="1"/>
  <c r="X399" i="1"/>
  <c r="Z399" i="1"/>
  <c r="AA399" i="1"/>
  <c r="X400" i="1"/>
  <c r="AA400" i="1"/>
  <c r="X401" i="1"/>
  <c r="AA401" i="1"/>
  <c r="X402" i="1"/>
  <c r="AA402" i="1"/>
  <c r="X403" i="1"/>
  <c r="AA403" i="1"/>
  <c r="X404" i="1"/>
  <c r="AA404" i="1"/>
  <c r="X405" i="1"/>
  <c r="AA405" i="1"/>
  <c r="X406" i="1"/>
  <c r="AA406" i="1"/>
  <c r="X407" i="1"/>
  <c r="Z407" i="1"/>
  <c r="AA407" i="1"/>
  <c r="X408" i="1"/>
  <c r="AA408" i="1"/>
  <c r="X409" i="1"/>
  <c r="AA409" i="1"/>
  <c r="X410" i="1"/>
  <c r="AA410" i="1"/>
  <c r="X411" i="1"/>
  <c r="AA411" i="1"/>
  <c r="X412" i="1"/>
  <c r="AA412" i="1"/>
  <c r="X413" i="1"/>
  <c r="AA413" i="1"/>
  <c r="X414" i="1"/>
  <c r="AA414" i="1"/>
  <c r="X415" i="1"/>
  <c r="Z415" i="1"/>
  <c r="AA415" i="1"/>
  <c r="X416" i="1"/>
  <c r="AA416" i="1"/>
  <c r="X417" i="1"/>
  <c r="AA417" i="1"/>
  <c r="X418" i="1"/>
  <c r="AA418" i="1"/>
  <c r="X419" i="1"/>
  <c r="AA419" i="1"/>
  <c r="X420" i="1"/>
  <c r="AA420" i="1"/>
  <c r="X421" i="1"/>
  <c r="AA421" i="1"/>
  <c r="X422" i="1"/>
  <c r="AA422" i="1"/>
  <c r="X423" i="1"/>
  <c r="Z423" i="1"/>
  <c r="AA423" i="1"/>
  <c r="X424" i="1"/>
  <c r="AA424" i="1"/>
  <c r="X425" i="1"/>
  <c r="AA425" i="1"/>
  <c r="X426" i="1"/>
  <c r="Z426" i="1"/>
  <c r="AA426" i="1"/>
  <c r="X427" i="1"/>
  <c r="AA427" i="1"/>
  <c r="X428" i="1"/>
  <c r="AA428" i="1"/>
  <c r="X429" i="1"/>
  <c r="AA429" i="1"/>
  <c r="X430" i="1"/>
  <c r="AA430" i="1"/>
  <c r="X431" i="1"/>
  <c r="Z431" i="1"/>
  <c r="AA431" i="1"/>
  <c r="X432" i="1"/>
  <c r="AA432" i="1"/>
  <c r="X433" i="1"/>
  <c r="AA433" i="1"/>
  <c r="X434" i="1"/>
  <c r="Z434" i="1"/>
  <c r="AA434" i="1"/>
  <c r="X435" i="1"/>
  <c r="AA435" i="1"/>
  <c r="X436" i="1"/>
  <c r="AA436" i="1"/>
  <c r="X437" i="1"/>
  <c r="AA437" i="1"/>
  <c r="X438" i="1"/>
  <c r="AA438" i="1"/>
  <c r="X439" i="1"/>
  <c r="Z439" i="1"/>
  <c r="AA439" i="1"/>
  <c r="X440" i="1"/>
  <c r="AA440" i="1"/>
  <c r="X441" i="1"/>
  <c r="AA441" i="1"/>
  <c r="X442" i="1"/>
  <c r="Z442" i="1"/>
  <c r="AA442" i="1"/>
  <c r="X443" i="1"/>
  <c r="AA443" i="1"/>
  <c r="X444" i="1"/>
  <c r="AA444" i="1"/>
  <c r="X445" i="1"/>
  <c r="AA445" i="1"/>
  <c r="X446" i="1"/>
  <c r="AA446" i="1"/>
  <c r="X447" i="1"/>
  <c r="Z447" i="1"/>
  <c r="AA447" i="1"/>
  <c r="X448" i="1"/>
  <c r="AA448" i="1"/>
  <c r="X449" i="1"/>
  <c r="AA449" i="1"/>
  <c r="X450" i="1"/>
  <c r="Z450" i="1"/>
  <c r="AA450" i="1"/>
  <c r="X451" i="1"/>
  <c r="AA451" i="1"/>
  <c r="X452" i="1"/>
  <c r="AA452" i="1"/>
  <c r="X453" i="1"/>
  <c r="AA453" i="1"/>
  <c r="X454" i="1"/>
  <c r="AA454" i="1"/>
  <c r="X455" i="1"/>
  <c r="Z455" i="1"/>
  <c r="AA455" i="1"/>
  <c r="X456" i="1"/>
  <c r="AA456" i="1"/>
  <c r="X457" i="1"/>
  <c r="AA457" i="1"/>
  <c r="X458" i="1"/>
  <c r="Z458" i="1"/>
  <c r="AA458" i="1"/>
  <c r="X459" i="1"/>
  <c r="AA459" i="1"/>
  <c r="X460" i="1"/>
  <c r="AA460" i="1"/>
  <c r="X461" i="1"/>
  <c r="AA461" i="1"/>
  <c r="X462" i="1"/>
  <c r="AA462" i="1"/>
  <c r="X463" i="1"/>
  <c r="Z463" i="1"/>
  <c r="AA463" i="1"/>
  <c r="X464" i="1"/>
  <c r="AA464" i="1"/>
  <c r="X465" i="1"/>
  <c r="AA465" i="1"/>
  <c r="X466" i="1"/>
  <c r="Z466" i="1"/>
  <c r="AA466" i="1"/>
  <c r="X467" i="1"/>
  <c r="AA467" i="1"/>
  <c r="X468" i="1"/>
  <c r="AA468" i="1"/>
  <c r="X469" i="1"/>
  <c r="AA469" i="1"/>
  <c r="X470" i="1"/>
  <c r="AA470" i="1"/>
  <c r="X471" i="1"/>
  <c r="Z471" i="1"/>
  <c r="AA471" i="1"/>
  <c r="X472" i="1"/>
  <c r="AA472" i="1"/>
  <c r="X473" i="1"/>
  <c r="AA473" i="1"/>
  <c r="X474" i="1"/>
  <c r="Z474" i="1"/>
  <c r="AA474" i="1"/>
  <c r="X475" i="1"/>
  <c r="AA475" i="1"/>
  <c r="X476" i="1"/>
  <c r="AA476" i="1"/>
  <c r="X477" i="1"/>
  <c r="AA477" i="1"/>
  <c r="X478" i="1"/>
  <c r="AA478" i="1"/>
  <c r="X479" i="1"/>
  <c r="Z479" i="1"/>
  <c r="AA479" i="1"/>
  <c r="X480" i="1"/>
  <c r="AA480" i="1"/>
  <c r="X481" i="1"/>
  <c r="AA481" i="1"/>
  <c r="X482" i="1"/>
  <c r="Z482" i="1"/>
  <c r="AA482" i="1"/>
  <c r="X483" i="1"/>
  <c r="AA483" i="1"/>
  <c r="X484" i="1"/>
  <c r="AA484" i="1"/>
  <c r="X485" i="1"/>
  <c r="AA485" i="1"/>
  <c r="X486" i="1"/>
  <c r="AA486" i="1"/>
  <c r="X487" i="1"/>
  <c r="Z487" i="1"/>
  <c r="AA487" i="1"/>
  <c r="X488" i="1"/>
  <c r="AA488" i="1"/>
  <c r="X489" i="1"/>
  <c r="AA489" i="1"/>
  <c r="X490" i="1"/>
  <c r="Z490" i="1"/>
  <c r="AA490" i="1"/>
  <c r="X491" i="1"/>
  <c r="AA491" i="1"/>
  <c r="X492" i="1"/>
  <c r="AA492" i="1"/>
  <c r="X493" i="1"/>
  <c r="AA493" i="1"/>
  <c r="X494" i="1"/>
  <c r="AA494" i="1"/>
  <c r="X495" i="1"/>
  <c r="Z495" i="1"/>
  <c r="AA495" i="1"/>
  <c r="X496" i="1"/>
  <c r="AA496" i="1"/>
  <c r="X497" i="1"/>
  <c r="AA497" i="1"/>
  <c r="X498" i="1"/>
  <c r="Z498" i="1"/>
  <c r="AA498" i="1"/>
  <c r="X499" i="1"/>
  <c r="AA499" i="1"/>
  <c r="X500" i="1"/>
  <c r="AA500" i="1"/>
  <c r="X501" i="1"/>
  <c r="AA501" i="1"/>
  <c r="X502" i="1"/>
  <c r="AA502" i="1"/>
  <c r="X503" i="1"/>
  <c r="Z503" i="1"/>
  <c r="AA503" i="1"/>
  <c r="X504" i="1"/>
  <c r="AA504" i="1"/>
  <c r="X505" i="1"/>
  <c r="AA505" i="1"/>
  <c r="X506" i="1"/>
  <c r="Z506" i="1"/>
  <c r="AA506" i="1"/>
  <c r="X507" i="1"/>
  <c r="AA507" i="1"/>
  <c r="X508" i="1"/>
  <c r="AA508" i="1"/>
  <c r="X509" i="1"/>
  <c r="AA509" i="1"/>
  <c r="X510" i="1"/>
  <c r="AA510" i="1"/>
  <c r="X511" i="1"/>
  <c r="Z511" i="1"/>
  <c r="AA511" i="1"/>
  <c r="X512" i="1"/>
  <c r="AA512" i="1"/>
  <c r="X513" i="1"/>
  <c r="AA513" i="1"/>
  <c r="X514" i="1"/>
  <c r="Z514" i="1"/>
  <c r="AA514" i="1"/>
  <c r="X515" i="1"/>
  <c r="AA515" i="1"/>
  <c r="X516" i="1"/>
  <c r="AA516" i="1"/>
  <c r="X517" i="1"/>
  <c r="AA517" i="1"/>
  <c r="X518" i="1"/>
  <c r="AA518" i="1"/>
  <c r="X519" i="1"/>
  <c r="Z519" i="1"/>
  <c r="AA519" i="1"/>
  <c r="X520" i="1"/>
  <c r="AA520" i="1"/>
  <c r="X521" i="1"/>
  <c r="AA521" i="1"/>
  <c r="X522" i="1"/>
  <c r="Z522" i="1"/>
  <c r="AA522" i="1"/>
  <c r="X523" i="1"/>
  <c r="AA523" i="1"/>
  <c r="X524" i="1"/>
  <c r="AA524" i="1"/>
  <c r="X525" i="1"/>
  <c r="AA525" i="1"/>
  <c r="X526" i="1"/>
  <c r="AA526" i="1"/>
  <c r="X527" i="1"/>
  <c r="Z527" i="1"/>
  <c r="AA527" i="1"/>
  <c r="X528" i="1"/>
  <c r="AA528" i="1"/>
  <c r="X529" i="1"/>
  <c r="AA529" i="1"/>
  <c r="X530" i="1"/>
  <c r="Z530" i="1"/>
  <c r="AA530" i="1"/>
  <c r="X531" i="1"/>
  <c r="AA531" i="1"/>
  <c r="X532" i="1"/>
  <c r="AA532" i="1"/>
  <c r="X533" i="1"/>
  <c r="AA533" i="1"/>
  <c r="X534" i="1"/>
  <c r="AA534" i="1"/>
  <c r="X535" i="1"/>
  <c r="Z535" i="1"/>
  <c r="AA535" i="1"/>
  <c r="X536" i="1"/>
  <c r="AA536" i="1"/>
  <c r="X537" i="1"/>
  <c r="AA537" i="1"/>
  <c r="X538" i="1"/>
  <c r="Z538" i="1"/>
  <c r="AA538" i="1"/>
  <c r="X539" i="1"/>
  <c r="AA539" i="1"/>
  <c r="X540" i="1"/>
  <c r="AA540" i="1"/>
  <c r="X541" i="1"/>
  <c r="AA541" i="1"/>
  <c r="X542" i="1"/>
  <c r="AA542" i="1"/>
  <c r="X543" i="1"/>
  <c r="Z543" i="1"/>
  <c r="AA543" i="1"/>
  <c r="X544" i="1"/>
  <c r="AA544" i="1"/>
  <c r="X545" i="1"/>
  <c r="AA545" i="1"/>
  <c r="X546" i="1"/>
  <c r="Z546" i="1"/>
  <c r="AA546" i="1"/>
  <c r="X547" i="1"/>
  <c r="AA547" i="1"/>
  <c r="X548" i="1"/>
  <c r="AA548" i="1"/>
  <c r="X549" i="1"/>
  <c r="AA549" i="1"/>
  <c r="X550" i="1"/>
  <c r="AA550" i="1"/>
  <c r="X551" i="1"/>
  <c r="Z551" i="1"/>
  <c r="AA551" i="1"/>
  <c r="X552" i="1"/>
  <c r="AA552" i="1"/>
  <c r="X553" i="1"/>
  <c r="AA553" i="1"/>
  <c r="X554" i="1"/>
  <c r="Z554" i="1"/>
  <c r="AA554" i="1"/>
  <c r="X555" i="1"/>
  <c r="AA555" i="1"/>
  <c r="X556" i="1"/>
  <c r="AA556" i="1"/>
  <c r="X557" i="1"/>
  <c r="AA557" i="1"/>
  <c r="T555" i="1"/>
  <c r="T554" i="1"/>
  <c r="T553" i="1"/>
  <c r="T552" i="1"/>
  <c r="T551" i="1"/>
  <c r="T550" i="1"/>
  <c r="T549" i="1"/>
  <c r="T548" i="1"/>
  <c r="T547" i="1"/>
  <c r="T546" i="1"/>
  <c r="T545" i="1"/>
  <c r="T544" i="1"/>
  <c r="T543" i="1"/>
  <c r="T542" i="1"/>
  <c r="T536" i="1"/>
  <c r="T535" i="1"/>
  <c r="T534" i="1"/>
  <c r="T533" i="1"/>
  <c r="T532" i="1"/>
  <c r="T531" i="1"/>
  <c r="T529" i="1"/>
  <c r="T528" i="1"/>
  <c r="T527" i="1"/>
  <c r="T526" i="1"/>
  <c r="T525" i="1"/>
  <c r="T524" i="1"/>
  <c r="T523" i="1"/>
  <c r="T522" i="1"/>
  <c r="T518" i="1"/>
  <c r="T517" i="1"/>
  <c r="T516" i="1"/>
  <c r="T501" i="1"/>
  <c r="T500" i="1"/>
  <c r="T499" i="1"/>
  <c r="T495" i="1"/>
  <c r="T494" i="1"/>
  <c r="T493" i="1"/>
  <c r="T492" i="1"/>
  <c r="T491" i="1"/>
  <c r="T490" i="1"/>
  <c r="T489" i="1"/>
  <c r="T488" i="1"/>
  <c r="T487" i="1"/>
  <c r="T486" i="1"/>
  <c r="T485" i="1"/>
  <c r="T484" i="1"/>
  <c r="T483" i="1"/>
  <c r="T482" i="1"/>
  <c r="T481" i="1"/>
  <c r="T480" i="1"/>
  <c r="T479" i="1"/>
  <c r="T478" i="1"/>
  <c r="T477" i="1"/>
  <c r="T474" i="1"/>
  <c r="T473" i="1"/>
  <c r="T472" i="1"/>
  <c r="T471" i="1"/>
  <c r="T470" i="1"/>
  <c r="T469" i="1"/>
  <c r="T468" i="1"/>
  <c r="T467" i="1"/>
  <c r="T466" i="1"/>
  <c r="T465" i="1"/>
  <c r="T464" i="1"/>
  <c r="T463" i="1"/>
  <c r="T462" i="1"/>
  <c r="T461" i="1"/>
  <c r="T457" i="1"/>
  <c r="T456" i="1"/>
  <c r="T455" i="1"/>
  <c r="T454" i="1"/>
  <c r="T453" i="1"/>
  <c r="T452" i="1"/>
  <c r="T451" i="1"/>
  <c r="T450" i="1"/>
  <c r="T449" i="1"/>
  <c r="T448" i="1"/>
  <c r="T447" i="1"/>
  <c r="T446" i="1"/>
  <c r="T445" i="1"/>
  <c r="T444" i="1"/>
  <c r="T443" i="1"/>
  <c r="T442" i="1"/>
  <c r="T441" i="1"/>
  <c r="T440" i="1"/>
  <c r="T439" i="1"/>
  <c r="T438" i="1"/>
  <c r="T437" i="1"/>
  <c r="T436" i="1"/>
  <c r="T435" i="1"/>
  <c r="T434" i="1"/>
  <c r="T431" i="1"/>
  <c r="T430" i="1"/>
  <c r="T429" i="1"/>
  <c r="T428" i="1"/>
  <c r="T427" i="1"/>
  <c r="T426" i="1"/>
  <c r="T425" i="1"/>
  <c r="T423" i="1"/>
  <c r="T422" i="1"/>
  <c r="T421" i="1"/>
  <c r="T420" i="1"/>
  <c r="T419" i="1"/>
  <c r="T418" i="1"/>
  <c r="T417" i="1"/>
  <c r="T416" i="1"/>
  <c r="T415" i="1"/>
  <c r="T414" i="1"/>
  <c r="T390" i="1"/>
  <c r="T389" i="1"/>
  <c r="T388" i="1"/>
  <c r="T387" i="1"/>
  <c r="T386" i="1"/>
  <c r="T385" i="1"/>
  <c r="T384" i="1"/>
  <c r="T383" i="1"/>
  <c r="T382" i="1"/>
  <c r="T381" i="1"/>
  <c r="T378" i="1"/>
  <c r="T377" i="1"/>
  <c r="T376" i="1"/>
  <c r="T375" i="1"/>
  <c r="T374" i="1"/>
  <c r="T373" i="1"/>
  <c r="T369" i="1"/>
  <c r="T368" i="1"/>
  <c r="T367" i="1"/>
  <c r="T366" i="1"/>
  <c r="T365" i="1"/>
  <c r="T364" i="1"/>
  <c r="T363" i="1"/>
  <c r="T362" i="1"/>
  <c r="T361" i="1"/>
  <c r="T360" i="1"/>
  <c r="T359" i="1"/>
  <c r="T358" i="1"/>
  <c r="T357" i="1"/>
  <c r="T356" i="1"/>
  <c r="T355" i="1"/>
  <c r="T354" i="1"/>
  <c r="T353" i="1"/>
  <c r="T350" i="1"/>
  <c r="T349" i="1"/>
  <c r="T348" i="1"/>
  <c r="T347" i="1"/>
  <c r="T346" i="1"/>
  <c r="T345" i="1"/>
  <c r="T344" i="1"/>
  <c r="T343" i="1"/>
  <c r="T342" i="1"/>
  <c r="T341" i="1"/>
  <c r="T340" i="1"/>
  <c r="T339" i="1"/>
  <c r="T338" i="1"/>
  <c r="T337" i="1"/>
  <c r="T336" i="1"/>
  <c r="T335" i="1"/>
  <c r="T334" i="1"/>
  <c r="T333" i="1"/>
  <c r="T332" i="1"/>
  <c r="T331" i="1"/>
  <c r="T330" i="1"/>
  <c r="T329" i="1"/>
  <c r="T328" i="1"/>
  <c r="T327" i="1"/>
  <c r="T326" i="1"/>
  <c r="T325" i="1"/>
  <c r="T324" i="1"/>
  <c r="T323" i="1"/>
  <c r="T322" i="1"/>
  <c r="T321" i="1"/>
  <c r="T320" i="1"/>
  <c r="T319" i="1"/>
  <c r="T318" i="1"/>
  <c r="T317" i="1"/>
  <c r="T307" i="1"/>
  <c r="T306" i="1"/>
  <c r="T305" i="1"/>
  <c r="T294" i="1"/>
  <c r="T293" i="1"/>
  <c r="T292" i="1"/>
  <c r="T291" i="1"/>
  <c r="T290" i="1"/>
  <c r="T287" i="1"/>
  <c r="T286" i="1"/>
  <c r="T285" i="1"/>
  <c r="T284" i="1"/>
  <c r="T283" i="1"/>
  <c r="T282" i="1"/>
  <c r="T281" i="1"/>
  <c r="T280" i="1"/>
  <c r="T279" i="1"/>
  <c r="T278" i="1"/>
  <c r="T277" i="1"/>
  <c r="T276" i="1"/>
  <c r="T275" i="1"/>
  <c r="T274" i="1"/>
  <c r="T273" i="1"/>
  <c r="T272" i="1"/>
  <c r="T271" i="1"/>
  <c r="T270" i="1"/>
  <c r="T269" i="1"/>
  <c r="T268" i="1"/>
  <c r="T267" i="1"/>
  <c r="T266" i="1"/>
  <c r="T265" i="1"/>
  <c r="T264" i="1"/>
  <c r="T263" i="1"/>
  <c r="T262" i="1"/>
  <c r="T261" i="1"/>
  <c r="T260" i="1"/>
  <c r="T259" i="1"/>
  <c r="T258" i="1"/>
  <c r="T257" i="1"/>
  <c r="T256" i="1"/>
  <c r="T255" i="1"/>
  <c r="T247" i="1"/>
  <c r="T245" i="1"/>
  <c r="T244" i="1"/>
  <c r="T243" i="1"/>
  <c r="T242" i="1"/>
  <c r="T241" i="1"/>
  <c r="T240" i="1"/>
  <c r="T239" i="1"/>
  <c r="T238" i="1"/>
  <c r="T237" i="1"/>
  <c r="T235" i="1"/>
  <c r="T234" i="1"/>
  <c r="T233" i="1"/>
  <c r="T232" i="1"/>
  <c r="T231" i="1"/>
  <c r="T230" i="1"/>
  <c r="T229" i="1"/>
  <c r="T228" i="1"/>
  <c r="T227" i="1"/>
  <c r="T226" i="1"/>
  <c r="T225" i="1"/>
  <c r="T224" i="1"/>
  <c r="T223" i="1"/>
  <c r="T222" i="1"/>
  <c r="T221" i="1"/>
  <c r="T220" i="1"/>
  <c r="T219" i="1"/>
  <c r="T218" i="1"/>
  <c r="T217" i="1"/>
  <c r="T216" i="1"/>
  <c r="T215" i="1"/>
  <c r="T214" i="1"/>
  <c r="T213" i="1"/>
  <c r="T212" i="1"/>
  <c r="T211" i="1"/>
  <c r="T210" i="1"/>
  <c r="T209" i="1"/>
  <c r="T208" i="1"/>
  <c r="T207" i="1"/>
  <c r="T206" i="1"/>
  <c r="T204" i="1"/>
  <c r="T203" i="1"/>
  <c r="T202" i="1"/>
  <c r="T201" i="1"/>
  <c r="T200" i="1"/>
  <c r="T199" i="1"/>
  <c r="T198" i="1"/>
  <c r="T197" i="1"/>
  <c r="T196" i="1"/>
  <c r="T195" i="1"/>
  <c r="T194" i="1"/>
  <c r="T193" i="1"/>
  <c r="T190" i="1"/>
  <c r="T189" i="1"/>
  <c r="T188" i="1"/>
  <c r="T187" i="1"/>
  <c r="T179" i="1"/>
  <c r="T178" i="1"/>
  <c r="T177" i="1"/>
  <c r="T176" i="1"/>
  <c r="T175" i="1"/>
  <c r="T168" i="1"/>
  <c r="T167" i="1"/>
  <c r="T166" i="1"/>
  <c r="T164" i="1"/>
  <c r="T163" i="1"/>
  <c r="T162" i="1"/>
  <c r="T161" i="1"/>
  <c r="T157" i="1"/>
  <c r="T156" i="1"/>
  <c r="T155" i="1"/>
  <c r="T154" i="1"/>
  <c r="T153" i="1"/>
  <c r="T152" i="1"/>
  <c r="T150" i="1"/>
  <c r="T149" i="1"/>
  <c r="T139" i="1"/>
  <c r="T138" i="1"/>
  <c r="T137" i="1"/>
  <c r="T136" i="1"/>
  <c r="T130" i="1"/>
  <c r="T129" i="1"/>
  <c r="T128" i="1"/>
  <c r="T127" i="1"/>
  <c r="T126" i="1"/>
  <c r="T125" i="1"/>
  <c r="T124" i="1"/>
  <c r="T123" i="1"/>
  <c r="T122" i="1"/>
  <c r="T119" i="1"/>
  <c r="T118" i="1"/>
  <c r="T117" i="1"/>
  <c r="T115" i="1"/>
  <c r="T112" i="1"/>
  <c r="T111" i="1"/>
  <c r="T110" i="1"/>
  <c r="T109" i="1"/>
  <c r="T108" i="1"/>
  <c r="T107" i="1"/>
  <c r="T106" i="1"/>
  <c r="T105" i="1"/>
  <c r="T104" i="1"/>
  <c r="T103" i="1"/>
  <c r="T102" i="1"/>
  <c r="T101" i="1"/>
  <c r="T100" i="1"/>
  <c r="T99" i="1"/>
  <c r="T98" i="1"/>
  <c r="T97" i="1"/>
  <c r="T96" i="1"/>
  <c r="T95" i="1"/>
  <c r="T94" i="1"/>
  <c r="T93" i="1"/>
  <c r="T92" i="1"/>
  <c r="T91" i="1"/>
  <c r="T82" i="1"/>
  <c r="T81" i="1"/>
  <c r="T80" i="1"/>
  <c r="T68" i="1"/>
  <c r="T67" i="1"/>
  <c r="T66" i="1"/>
  <c r="T65" i="1"/>
  <c r="T64" i="1"/>
  <c r="T61" i="1"/>
  <c r="T60" i="1"/>
  <c r="T59" i="1"/>
  <c r="T58" i="1"/>
  <c r="T57" i="1"/>
  <c r="T56" i="1"/>
  <c r="T55" i="1"/>
  <c r="T54" i="1"/>
  <c r="T53" i="1"/>
  <c r="T52" i="1"/>
  <c r="T50" i="1"/>
  <c r="T49" i="1"/>
  <c r="T48" i="1"/>
  <c r="T47" i="1"/>
  <c r="T46" i="1"/>
  <c r="T45" i="1"/>
  <c r="T44" i="1"/>
  <c r="T43" i="1"/>
  <c r="T42" i="1"/>
  <c r="T41" i="1"/>
  <c r="T40" i="1"/>
  <c r="T37" i="1"/>
  <c r="T36" i="1"/>
  <c r="T35" i="1"/>
  <c r="T34" i="1"/>
  <c r="T33" i="1"/>
  <c r="T32" i="1"/>
  <c r="T31" i="1"/>
  <c r="T30" i="1"/>
  <c r="T29" i="1"/>
  <c r="T28" i="1"/>
  <c r="T27" i="1"/>
  <c r="T26" i="1"/>
  <c r="T25" i="1"/>
  <c r="T24" i="1"/>
  <c r="T23" i="1"/>
  <c r="T22" i="1"/>
  <c r="T21" i="1"/>
  <c r="T20" i="1"/>
  <c r="T19" i="1"/>
  <c r="T18" i="1"/>
  <c r="T17" i="1"/>
  <c r="T16" i="1"/>
  <c r="T13" i="1"/>
  <c r="T12" i="1"/>
  <c r="T11" i="1"/>
  <c r="T10" i="1"/>
  <c r="T9" i="1"/>
  <c r="T8" i="1"/>
  <c r="T7" i="1"/>
  <c r="T6" i="1"/>
  <c r="T5" i="1"/>
  <c r="T3" i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B5" i="1"/>
  <c r="C5" i="1"/>
  <c r="D5" i="1"/>
  <c r="B6" i="1"/>
  <c r="C6" i="1"/>
  <c r="D6" i="1"/>
  <c r="D7" i="1" s="1"/>
  <c r="B7" i="1"/>
  <c r="C7" i="1"/>
  <c r="B8" i="1"/>
  <c r="C8" i="1"/>
  <c r="D8" i="1"/>
  <c r="D9" i="1" s="1"/>
  <c r="B9" i="1"/>
  <c r="C9" i="1"/>
  <c r="B10" i="1"/>
  <c r="C10" i="1"/>
  <c r="D10" i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D44" i="1" s="1"/>
  <c r="D45" i="1" s="1"/>
  <c r="D46" i="1" s="1"/>
  <c r="D47" i="1" s="1"/>
  <c r="D48" i="1" s="1"/>
  <c r="D49" i="1" s="1"/>
  <c r="D50" i="1" s="1"/>
  <c r="D51" i="1" s="1"/>
  <c r="D52" i="1" s="1"/>
  <c r="D53" i="1" s="1"/>
  <c r="D54" i="1" s="1"/>
  <c r="D55" i="1" s="1"/>
  <c r="D56" i="1" s="1"/>
  <c r="D57" i="1" s="1"/>
  <c r="D58" i="1" s="1"/>
  <c r="D59" i="1" s="1"/>
  <c r="D60" i="1" s="1"/>
  <c r="D61" i="1" s="1"/>
  <c r="D62" i="1" s="1"/>
  <c r="D63" i="1" s="1"/>
  <c r="D64" i="1" s="1"/>
  <c r="D65" i="1" s="1"/>
  <c r="D66" i="1" s="1"/>
  <c r="D67" i="1" s="1"/>
  <c r="D68" i="1" s="1"/>
  <c r="D69" i="1" s="1"/>
  <c r="D70" i="1" s="1"/>
  <c r="D71" i="1" s="1"/>
  <c r="D72" i="1" s="1"/>
  <c r="D73" i="1" s="1"/>
  <c r="D74" i="1" s="1"/>
  <c r="D75" i="1" s="1"/>
  <c r="D76" i="1" s="1"/>
  <c r="D77" i="1" s="1"/>
  <c r="D78" i="1" s="1"/>
  <c r="D79" i="1" s="1"/>
  <c r="D80" i="1" s="1"/>
  <c r="D81" i="1" s="1"/>
  <c r="D82" i="1" s="1"/>
  <c r="D83" i="1" s="1"/>
  <c r="D84" i="1" s="1"/>
  <c r="D85" i="1" s="1"/>
  <c r="D86" i="1" s="1"/>
  <c r="D87" i="1" s="1"/>
  <c r="D88" i="1" s="1"/>
  <c r="D89" i="1" s="1"/>
  <c r="D90" i="1" s="1"/>
  <c r="D91" i="1" s="1"/>
  <c r="D92" i="1" s="1"/>
  <c r="D93" i="1" s="1"/>
  <c r="D94" i="1" s="1"/>
  <c r="D95" i="1" s="1"/>
  <c r="D96" i="1" s="1"/>
  <c r="D97" i="1" s="1"/>
  <c r="D98" i="1" s="1"/>
  <c r="D99" i="1" s="1"/>
  <c r="D100" i="1" s="1"/>
  <c r="D101" i="1" s="1"/>
  <c r="D102" i="1" s="1"/>
  <c r="D103" i="1" s="1"/>
  <c r="D104" i="1" s="1"/>
  <c r="D105" i="1" s="1"/>
  <c r="D106" i="1" s="1"/>
  <c r="D107" i="1" s="1"/>
  <c r="D108" i="1" s="1"/>
  <c r="D109" i="1" s="1"/>
  <c r="D110" i="1" s="1"/>
  <c r="D111" i="1" s="1"/>
  <c r="D112" i="1" s="1"/>
  <c r="D113" i="1" s="1"/>
  <c r="D114" i="1" s="1"/>
  <c r="D115" i="1" s="1"/>
  <c r="D116" i="1" s="1"/>
  <c r="D117" i="1" s="1"/>
  <c r="D118" i="1" s="1"/>
  <c r="D119" i="1" s="1"/>
  <c r="D120" i="1" s="1"/>
  <c r="D121" i="1" s="1"/>
  <c r="D122" i="1" s="1"/>
  <c r="D123" i="1" s="1"/>
  <c r="D124" i="1" s="1"/>
  <c r="D125" i="1" s="1"/>
  <c r="D126" i="1" s="1"/>
  <c r="D127" i="1" s="1"/>
  <c r="D128" i="1" s="1"/>
  <c r="D129" i="1" s="1"/>
  <c r="D130" i="1" s="1"/>
  <c r="D131" i="1" s="1"/>
  <c r="D132" i="1" s="1"/>
  <c r="D133" i="1" s="1"/>
  <c r="D134" i="1" s="1"/>
  <c r="D135" i="1" s="1"/>
  <c r="D136" i="1" s="1"/>
  <c r="D137" i="1" s="1"/>
  <c r="D138" i="1" s="1"/>
  <c r="D139" i="1" s="1"/>
  <c r="D140" i="1" s="1"/>
  <c r="D141" i="1" s="1"/>
  <c r="D142" i="1" s="1"/>
  <c r="D143" i="1" s="1"/>
  <c r="D144" i="1" s="1"/>
  <c r="D145" i="1" s="1"/>
  <c r="D146" i="1" s="1"/>
  <c r="D147" i="1" s="1"/>
  <c r="D148" i="1" s="1"/>
  <c r="D149" i="1" s="1"/>
  <c r="D150" i="1" s="1"/>
  <c r="D151" i="1" s="1"/>
  <c r="D152" i="1" s="1"/>
  <c r="D153" i="1" s="1"/>
  <c r="D154" i="1" s="1"/>
  <c r="D155" i="1" s="1"/>
  <c r="D156" i="1" s="1"/>
  <c r="D157" i="1" s="1"/>
  <c r="D158" i="1" s="1"/>
  <c r="D159" i="1" s="1"/>
  <c r="D160" i="1" s="1"/>
  <c r="D161" i="1" s="1"/>
  <c r="D162" i="1" s="1"/>
  <c r="D163" i="1" s="1"/>
  <c r="D164" i="1" s="1"/>
  <c r="D165" i="1" s="1"/>
  <c r="D166" i="1" s="1"/>
  <c r="D167" i="1" s="1"/>
  <c r="D168" i="1" s="1"/>
  <c r="D169" i="1" s="1"/>
  <c r="D170" i="1" s="1"/>
  <c r="D171" i="1" s="1"/>
  <c r="D172" i="1" s="1"/>
  <c r="D173" i="1" s="1"/>
  <c r="D174" i="1" s="1"/>
  <c r="D175" i="1" s="1"/>
  <c r="D176" i="1" s="1"/>
  <c r="D177" i="1" s="1"/>
  <c r="D178" i="1" s="1"/>
  <c r="D179" i="1" s="1"/>
  <c r="D180" i="1" s="1"/>
  <c r="D181" i="1" s="1"/>
  <c r="D182" i="1" s="1"/>
  <c r="D183" i="1" s="1"/>
  <c r="D184" i="1" s="1"/>
  <c r="D185" i="1" s="1"/>
  <c r="D186" i="1" s="1"/>
  <c r="D187" i="1" s="1"/>
  <c r="D188" i="1" s="1"/>
  <c r="D189" i="1" s="1"/>
  <c r="D190" i="1" s="1"/>
  <c r="D191" i="1" s="1"/>
  <c r="D192" i="1" s="1"/>
  <c r="D193" i="1" s="1"/>
  <c r="D194" i="1" s="1"/>
  <c r="D195" i="1" s="1"/>
  <c r="D196" i="1" s="1"/>
  <c r="D197" i="1" s="1"/>
  <c r="D198" i="1" s="1"/>
  <c r="D199" i="1" s="1"/>
  <c r="D200" i="1" s="1"/>
  <c r="D201" i="1" s="1"/>
  <c r="D202" i="1" s="1"/>
  <c r="D203" i="1" s="1"/>
  <c r="D204" i="1" s="1"/>
  <c r="D205" i="1" s="1"/>
  <c r="D206" i="1" s="1"/>
  <c r="D207" i="1" s="1"/>
  <c r="D208" i="1" s="1"/>
  <c r="D209" i="1" s="1"/>
  <c r="D210" i="1" s="1"/>
  <c r="D211" i="1" s="1"/>
  <c r="D212" i="1" s="1"/>
  <c r="D213" i="1" s="1"/>
  <c r="D214" i="1" s="1"/>
  <c r="D215" i="1" s="1"/>
  <c r="D216" i="1" s="1"/>
  <c r="D217" i="1" s="1"/>
  <c r="D218" i="1" s="1"/>
  <c r="D219" i="1" s="1"/>
  <c r="D220" i="1" s="1"/>
  <c r="D221" i="1" s="1"/>
  <c r="D222" i="1" s="1"/>
  <c r="D223" i="1" s="1"/>
  <c r="D224" i="1" s="1"/>
  <c r="D225" i="1" s="1"/>
  <c r="D226" i="1" s="1"/>
  <c r="D227" i="1" s="1"/>
  <c r="D228" i="1" s="1"/>
  <c r="D229" i="1" s="1"/>
  <c r="D230" i="1" s="1"/>
  <c r="D231" i="1" s="1"/>
  <c r="D232" i="1" s="1"/>
  <c r="D233" i="1" s="1"/>
  <c r="D234" i="1" s="1"/>
  <c r="D235" i="1" s="1"/>
  <c r="D236" i="1" s="1"/>
  <c r="D237" i="1" s="1"/>
  <c r="D238" i="1" s="1"/>
  <c r="D239" i="1" s="1"/>
  <c r="D240" i="1" s="1"/>
  <c r="D241" i="1" s="1"/>
  <c r="D242" i="1" s="1"/>
  <c r="D243" i="1" s="1"/>
  <c r="D244" i="1" s="1"/>
  <c r="D245" i="1" s="1"/>
  <c r="D246" i="1" s="1"/>
  <c r="D247" i="1" s="1"/>
  <c r="D248" i="1" s="1"/>
  <c r="D249" i="1" s="1"/>
  <c r="D250" i="1" s="1"/>
  <c r="D251" i="1" s="1"/>
  <c r="D252" i="1" s="1"/>
  <c r="D253" i="1" s="1"/>
  <c r="D254" i="1" s="1"/>
  <c r="D255" i="1" s="1"/>
  <c r="D256" i="1" s="1"/>
  <c r="D257" i="1" s="1"/>
  <c r="D258" i="1" s="1"/>
  <c r="D259" i="1" s="1"/>
  <c r="D260" i="1" s="1"/>
  <c r="D261" i="1" s="1"/>
  <c r="D262" i="1" s="1"/>
  <c r="D263" i="1" s="1"/>
  <c r="D264" i="1" s="1"/>
  <c r="D265" i="1" s="1"/>
  <c r="D266" i="1" s="1"/>
  <c r="D267" i="1" s="1"/>
  <c r="D268" i="1" s="1"/>
  <c r="D269" i="1" s="1"/>
  <c r="D270" i="1" s="1"/>
  <c r="D271" i="1" s="1"/>
  <c r="D272" i="1" s="1"/>
  <c r="D273" i="1" s="1"/>
  <c r="D274" i="1" s="1"/>
  <c r="D275" i="1" s="1"/>
  <c r="D276" i="1" s="1"/>
  <c r="D277" i="1" s="1"/>
  <c r="D278" i="1" s="1"/>
  <c r="D279" i="1" s="1"/>
  <c r="D280" i="1" s="1"/>
  <c r="D281" i="1" s="1"/>
  <c r="D282" i="1" s="1"/>
  <c r="D283" i="1" s="1"/>
  <c r="D284" i="1" s="1"/>
  <c r="D285" i="1" s="1"/>
  <c r="D286" i="1" s="1"/>
  <c r="D287" i="1" s="1"/>
  <c r="D288" i="1" s="1"/>
  <c r="D289" i="1" s="1"/>
  <c r="D290" i="1" s="1"/>
  <c r="D291" i="1" s="1"/>
  <c r="D292" i="1" s="1"/>
  <c r="D293" i="1" s="1"/>
  <c r="D294" i="1" s="1"/>
  <c r="D295" i="1" s="1"/>
  <c r="D296" i="1" s="1"/>
  <c r="D297" i="1" s="1"/>
  <c r="D298" i="1" s="1"/>
  <c r="D299" i="1" s="1"/>
  <c r="D300" i="1" s="1"/>
  <c r="D301" i="1" s="1"/>
  <c r="D302" i="1" s="1"/>
  <c r="D303" i="1" s="1"/>
  <c r="D304" i="1" s="1"/>
  <c r="D305" i="1" s="1"/>
  <c r="D306" i="1" s="1"/>
  <c r="D307" i="1" s="1"/>
  <c r="D308" i="1" s="1"/>
  <c r="D309" i="1" s="1"/>
  <c r="D310" i="1" s="1"/>
  <c r="D311" i="1" s="1"/>
  <c r="D312" i="1" s="1"/>
  <c r="D313" i="1" s="1"/>
  <c r="D314" i="1" s="1"/>
  <c r="D315" i="1" s="1"/>
  <c r="D316" i="1" s="1"/>
  <c r="D317" i="1" s="1"/>
  <c r="D318" i="1" s="1"/>
  <c r="D319" i="1" s="1"/>
  <c r="D320" i="1" s="1"/>
  <c r="D321" i="1" s="1"/>
  <c r="D322" i="1" s="1"/>
  <c r="D323" i="1" s="1"/>
  <c r="D324" i="1" s="1"/>
  <c r="D325" i="1" s="1"/>
  <c r="D326" i="1" s="1"/>
  <c r="D327" i="1" s="1"/>
  <c r="D328" i="1" s="1"/>
  <c r="D329" i="1" s="1"/>
  <c r="D330" i="1" s="1"/>
  <c r="D331" i="1" s="1"/>
  <c r="D332" i="1" s="1"/>
  <c r="D333" i="1" s="1"/>
  <c r="D334" i="1" s="1"/>
  <c r="D335" i="1" s="1"/>
  <c r="D336" i="1" s="1"/>
  <c r="D337" i="1" s="1"/>
  <c r="D338" i="1" s="1"/>
  <c r="D339" i="1" s="1"/>
  <c r="D340" i="1" s="1"/>
  <c r="D341" i="1" s="1"/>
  <c r="D342" i="1" s="1"/>
  <c r="D343" i="1" s="1"/>
  <c r="D344" i="1" s="1"/>
  <c r="D345" i="1" s="1"/>
  <c r="D346" i="1" s="1"/>
  <c r="D347" i="1" s="1"/>
  <c r="D348" i="1" s="1"/>
  <c r="D349" i="1" s="1"/>
  <c r="D350" i="1" s="1"/>
  <c r="D351" i="1" s="1"/>
  <c r="D352" i="1" s="1"/>
  <c r="D353" i="1" s="1"/>
  <c r="D354" i="1" s="1"/>
  <c r="D355" i="1" s="1"/>
  <c r="D356" i="1" s="1"/>
  <c r="D357" i="1" s="1"/>
  <c r="D358" i="1" s="1"/>
  <c r="D359" i="1" s="1"/>
  <c r="D360" i="1" s="1"/>
  <c r="D361" i="1" s="1"/>
  <c r="D362" i="1" s="1"/>
  <c r="D363" i="1" s="1"/>
  <c r="D364" i="1" s="1"/>
  <c r="D365" i="1" s="1"/>
  <c r="D366" i="1" s="1"/>
  <c r="D367" i="1" s="1"/>
  <c r="D368" i="1" s="1"/>
  <c r="D369" i="1" s="1"/>
  <c r="D370" i="1" s="1"/>
  <c r="D371" i="1" s="1"/>
  <c r="D372" i="1" s="1"/>
  <c r="D373" i="1" s="1"/>
  <c r="D374" i="1" s="1"/>
  <c r="D375" i="1" s="1"/>
  <c r="D376" i="1" s="1"/>
  <c r="D377" i="1" s="1"/>
  <c r="D378" i="1" s="1"/>
  <c r="D379" i="1" s="1"/>
  <c r="D380" i="1" s="1"/>
  <c r="D381" i="1" s="1"/>
  <c r="D382" i="1" s="1"/>
  <c r="D383" i="1" s="1"/>
  <c r="D384" i="1" s="1"/>
  <c r="D385" i="1" s="1"/>
  <c r="D386" i="1" s="1"/>
  <c r="D387" i="1" s="1"/>
  <c r="D388" i="1" s="1"/>
  <c r="D389" i="1" s="1"/>
  <c r="D390" i="1" s="1"/>
  <c r="D391" i="1" s="1"/>
  <c r="D392" i="1" s="1"/>
  <c r="D393" i="1" s="1"/>
  <c r="D394" i="1" s="1"/>
  <c r="D395" i="1" s="1"/>
  <c r="D396" i="1" s="1"/>
  <c r="D397" i="1" s="1"/>
  <c r="D398" i="1" s="1"/>
  <c r="D399" i="1" s="1"/>
  <c r="D400" i="1" s="1"/>
  <c r="D401" i="1" s="1"/>
  <c r="D402" i="1" s="1"/>
  <c r="D403" i="1" s="1"/>
  <c r="D404" i="1" s="1"/>
  <c r="D405" i="1" s="1"/>
  <c r="D406" i="1" s="1"/>
  <c r="D407" i="1" s="1"/>
  <c r="D408" i="1" s="1"/>
  <c r="D409" i="1" s="1"/>
  <c r="D410" i="1" s="1"/>
  <c r="D411" i="1" s="1"/>
  <c r="D412" i="1" s="1"/>
  <c r="D413" i="1" s="1"/>
  <c r="D414" i="1" s="1"/>
  <c r="D415" i="1" s="1"/>
  <c r="D416" i="1" s="1"/>
  <c r="D417" i="1" s="1"/>
  <c r="D418" i="1" s="1"/>
  <c r="D419" i="1" s="1"/>
  <c r="D420" i="1" s="1"/>
  <c r="D421" i="1" s="1"/>
  <c r="D422" i="1" s="1"/>
  <c r="D423" i="1" s="1"/>
  <c r="D424" i="1" s="1"/>
  <c r="D425" i="1" s="1"/>
  <c r="D426" i="1" s="1"/>
  <c r="D427" i="1" s="1"/>
  <c r="D428" i="1" s="1"/>
  <c r="D429" i="1" s="1"/>
  <c r="D430" i="1" s="1"/>
  <c r="D431" i="1" s="1"/>
  <c r="D432" i="1" s="1"/>
  <c r="D433" i="1" s="1"/>
  <c r="D434" i="1" s="1"/>
  <c r="D435" i="1" s="1"/>
  <c r="D436" i="1" s="1"/>
  <c r="D437" i="1" s="1"/>
  <c r="D438" i="1" s="1"/>
  <c r="D439" i="1" s="1"/>
  <c r="D440" i="1" s="1"/>
  <c r="D441" i="1" s="1"/>
  <c r="D442" i="1" s="1"/>
  <c r="D443" i="1" s="1"/>
  <c r="D444" i="1" s="1"/>
  <c r="D445" i="1" s="1"/>
  <c r="D446" i="1" s="1"/>
  <c r="D447" i="1" s="1"/>
  <c r="D448" i="1" s="1"/>
  <c r="D449" i="1" s="1"/>
  <c r="D450" i="1" s="1"/>
  <c r="D451" i="1" s="1"/>
  <c r="D452" i="1" s="1"/>
  <c r="D453" i="1" s="1"/>
  <c r="D454" i="1" s="1"/>
  <c r="D455" i="1" s="1"/>
  <c r="D456" i="1" s="1"/>
  <c r="D457" i="1" s="1"/>
  <c r="D458" i="1" s="1"/>
  <c r="D459" i="1" s="1"/>
  <c r="D460" i="1" s="1"/>
  <c r="D461" i="1" s="1"/>
  <c r="D462" i="1" s="1"/>
  <c r="D463" i="1" s="1"/>
  <c r="D464" i="1" s="1"/>
  <c r="D465" i="1" s="1"/>
  <c r="D466" i="1" s="1"/>
  <c r="D467" i="1" s="1"/>
  <c r="D468" i="1" s="1"/>
  <c r="D469" i="1" s="1"/>
  <c r="D470" i="1" s="1"/>
  <c r="D471" i="1" s="1"/>
  <c r="D472" i="1" s="1"/>
  <c r="D473" i="1" s="1"/>
  <c r="D474" i="1" s="1"/>
  <c r="D475" i="1" s="1"/>
  <c r="D476" i="1" s="1"/>
  <c r="D477" i="1" s="1"/>
  <c r="D478" i="1" s="1"/>
  <c r="D479" i="1" s="1"/>
  <c r="D480" i="1" s="1"/>
  <c r="D481" i="1" s="1"/>
  <c r="D482" i="1" s="1"/>
  <c r="D483" i="1" s="1"/>
  <c r="D484" i="1" s="1"/>
  <c r="D485" i="1" s="1"/>
  <c r="D486" i="1" s="1"/>
  <c r="D487" i="1" s="1"/>
  <c r="D488" i="1" s="1"/>
  <c r="D489" i="1" s="1"/>
  <c r="D490" i="1" s="1"/>
  <c r="D491" i="1" s="1"/>
  <c r="D492" i="1" s="1"/>
  <c r="D493" i="1" s="1"/>
  <c r="D494" i="1" s="1"/>
  <c r="D495" i="1" s="1"/>
  <c r="D496" i="1" s="1"/>
  <c r="D497" i="1" s="1"/>
  <c r="D498" i="1" s="1"/>
  <c r="D499" i="1" s="1"/>
  <c r="D500" i="1" s="1"/>
  <c r="D501" i="1" s="1"/>
  <c r="D502" i="1" s="1"/>
  <c r="D503" i="1" s="1"/>
  <c r="D504" i="1" s="1"/>
  <c r="D505" i="1" s="1"/>
  <c r="D506" i="1" s="1"/>
  <c r="D507" i="1" s="1"/>
  <c r="D508" i="1" s="1"/>
  <c r="D509" i="1" s="1"/>
  <c r="D510" i="1" s="1"/>
  <c r="D511" i="1" s="1"/>
  <c r="D512" i="1" s="1"/>
  <c r="D513" i="1" s="1"/>
  <c r="D514" i="1" s="1"/>
  <c r="D515" i="1" s="1"/>
  <c r="D516" i="1" s="1"/>
  <c r="D517" i="1" s="1"/>
  <c r="D518" i="1" s="1"/>
  <c r="D519" i="1" s="1"/>
  <c r="D520" i="1" s="1"/>
  <c r="D521" i="1" s="1"/>
  <c r="D522" i="1" s="1"/>
  <c r="D523" i="1" s="1"/>
  <c r="D524" i="1" s="1"/>
  <c r="D525" i="1" s="1"/>
  <c r="D526" i="1" s="1"/>
  <c r="D527" i="1" s="1"/>
  <c r="D528" i="1" s="1"/>
  <c r="D529" i="1" s="1"/>
  <c r="D530" i="1" s="1"/>
  <c r="D531" i="1" s="1"/>
  <c r="D532" i="1" s="1"/>
  <c r="D533" i="1" s="1"/>
  <c r="D534" i="1" s="1"/>
  <c r="D535" i="1" s="1"/>
  <c r="D536" i="1" s="1"/>
  <c r="D537" i="1" s="1"/>
  <c r="D538" i="1" s="1"/>
  <c r="D539" i="1" s="1"/>
  <c r="D540" i="1" s="1"/>
  <c r="D541" i="1" s="1"/>
  <c r="D542" i="1" s="1"/>
  <c r="D543" i="1" s="1"/>
  <c r="D544" i="1" s="1"/>
  <c r="D545" i="1" s="1"/>
  <c r="D546" i="1" s="1"/>
  <c r="D547" i="1" s="1"/>
  <c r="D548" i="1" s="1"/>
  <c r="D549" i="1" s="1"/>
  <c r="D550" i="1" s="1"/>
  <c r="D551" i="1" s="1"/>
  <c r="D552" i="1" s="1"/>
  <c r="D553" i="1" s="1"/>
  <c r="D554" i="1" s="1"/>
  <c r="D555" i="1" s="1"/>
  <c r="D556" i="1" s="1"/>
  <c r="D557" i="1" s="1"/>
  <c r="B11" i="1"/>
  <c r="C11" i="1"/>
  <c r="B12" i="1"/>
  <c r="C12" i="1"/>
  <c r="B13" i="1"/>
  <c r="C13" i="1"/>
  <c r="B14" i="1"/>
  <c r="C14" i="1"/>
  <c r="B15" i="1"/>
  <c r="C15" i="1"/>
  <c r="B16" i="1"/>
  <c r="C16" i="1"/>
  <c r="B17" i="1"/>
  <c r="C17" i="1"/>
  <c r="B18" i="1"/>
  <c r="C18" i="1"/>
  <c r="B19" i="1"/>
  <c r="C19" i="1"/>
  <c r="B20" i="1"/>
  <c r="C20" i="1"/>
  <c r="B21" i="1"/>
  <c r="C21" i="1"/>
  <c r="B22" i="1"/>
  <c r="C22" i="1"/>
  <c r="B23" i="1"/>
  <c r="C23" i="1"/>
  <c r="B24" i="1"/>
  <c r="C24" i="1"/>
  <c r="B25" i="1"/>
  <c r="C25" i="1"/>
  <c r="B26" i="1"/>
  <c r="C26" i="1"/>
  <c r="B27" i="1"/>
  <c r="C27" i="1"/>
  <c r="B28" i="1"/>
  <c r="C28" i="1"/>
  <c r="B29" i="1"/>
  <c r="C29" i="1"/>
  <c r="B30" i="1"/>
  <c r="C30" i="1"/>
  <c r="B31" i="1"/>
  <c r="C31" i="1"/>
  <c r="B32" i="1"/>
  <c r="C32" i="1"/>
  <c r="B33" i="1"/>
  <c r="C33" i="1"/>
  <c r="B34" i="1"/>
  <c r="C34" i="1"/>
  <c r="B35" i="1"/>
  <c r="C35" i="1"/>
  <c r="B36" i="1"/>
  <c r="C36" i="1"/>
  <c r="B37" i="1"/>
  <c r="C37" i="1"/>
  <c r="B38" i="1"/>
  <c r="C38" i="1"/>
  <c r="B39" i="1"/>
  <c r="C39" i="1"/>
  <c r="B40" i="1"/>
  <c r="C40" i="1"/>
  <c r="B41" i="1"/>
  <c r="C41" i="1"/>
  <c r="B42" i="1"/>
  <c r="C42" i="1"/>
  <c r="B43" i="1"/>
  <c r="C43" i="1"/>
  <c r="B44" i="1"/>
  <c r="C44" i="1"/>
  <c r="B45" i="1"/>
  <c r="C45" i="1"/>
  <c r="B46" i="1"/>
  <c r="C46" i="1"/>
  <c r="B47" i="1"/>
  <c r="C47" i="1"/>
  <c r="B48" i="1"/>
  <c r="C48" i="1"/>
  <c r="B49" i="1"/>
  <c r="C49" i="1"/>
  <c r="B50" i="1"/>
  <c r="C50" i="1"/>
  <c r="B51" i="1"/>
  <c r="C51" i="1"/>
  <c r="B52" i="1"/>
  <c r="C52" i="1"/>
  <c r="B53" i="1"/>
  <c r="C53" i="1"/>
  <c r="B54" i="1"/>
  <c r="C54" i="1"/>
  <c r="B55" i="1"/>
  <c r="C55" i="1"/>
  <c r="B56" i="1"/>
  <c r="C56" i="1"/>
  <c r="B57" i="1"/>
  <c r="C57" i="1"/>
  <c r="B58" i="1"/>
  <c r="C58" i="1"/>
  <c r="B59" i="1"/>
  <c r="C59" i="1"/>
  <c r="B60" i="1"/>
  <c r="C60" i="1"/>
  <c r="B61" i="1"/>
  <c r="C61" i="1"/>
  <c r="B62" i="1"/>
  <c r="C62" i="1"/>
  <c r="B63" i="1"/>
  <c r="C63" i="1"/>
  <c r="B64" i="1"/>
  <c r="C64" i="1"/>
  <c r="B65" i="1"/>
  <c r="C65" i="1"/>
  <c r="B66" i="1"/>
  <c r="C66" i="1"/>
  <c r="B67" i="1"/>
  <c r="C67" i="1"/>
  <c r="B68" i="1"/>
  <c r="C68" i="1"/>
  <c r="B69" i="1"/>
  <c r="C69" i="1"/>
  <c r="B70" i="1"/>
  <c r="C70" i="1"/>
  <c r="B71" i="1"/>
  <c r="C71" i="1"/>
  <c r="B72" i="1"/>
  <c r="C72" i="1"/>
  <c r="B73" i="1"/>
  <c r="C73" i="1"/>
  <c r="B74" i="1"/>
  <c r="C74" i="1"/>
  <c r="B75" i="1"/>
  <c r="C75" i="1"/>
  <c r="B76" i="1"/>
  <c r="C76" i="1"/>
  <c r="B77" i="1"/>
  <c r="C77" i="1"/>
  <c r="B78" i="1"/>
  <c r="C78" i="1"/>
  <c r="B79" i="1"/>
  <c r="C79" i="1"/>
  <c r="B80" i="1"/>
  <c r="C80" i="1"/>
  <c r="B81" i="1"/>
  <c r="C81" i="1"/>
  <c r="B82" i="1"/>
  <c r="C82" i="1"/>
  <c r="B83" i="1"/>
  <c r="C83" i="1"/>
  <c r="B84" i="1"/>
  <c r="C84" i="1"/>
  <c r="B85" i="1"/>
  <c r="C85" i="1"/>
  <c r="B86" i="1"/>
  <c r="C86" i="1"/>
  <c r="B87" i="1"/>
  <c r="C87" i="1"/>
  <c r="B88" i="1"/>
  <c r="C88" i="1"/>
  <c r="B89" i="1"/>
  <c r="C89" i="1"/>
  <c r="B90" i="1"/>
  <c r="C90" i="1"/>
  <c r="B91" i="1"/>
  <c r="C91" i="1"/>
  <c r="B92" i="1"/>
  <c r="C92" i="1"/>
  <c r="B93" i="1"/>
  <c r="C93" i="1"/>
  <c r="B94" i="1"/>
  <c r="C94" i="1"/>
  <c r="B95" i="1"/>
  <c r="C95" i="1"/>
  <c r="B96" i="1"/>
  <c r="C96" i="1"/>
  <c r="B97" i="1"/>
  <c r="C97" i="1"/>
  <c r="B98" i="1"/>
  <c r="C98" i="1"/>
  <c r="B99" i="1"/>
  <c r="C99" i="1"/>
  <c r="B100" i="1"/>
  <c r="C100" i="1"/>
  <c r="B101" i="1"/>
  <c r="C101" i="1"/>
  <c r="B102" i="1"/>
  <c r="C102" i="1"/>
  <c r="B103" i="1"/>
  <c r="C103" i="1"/>
  <c r="B104" i="1"/>
  <c r="C104" i="1"/>
  <c r="B105" i="1"/>
  <c r="C105" i="1"/>
  <c r="B106" i="1"/>
  <c r="C106" i="1"/>
  <c r="B107" i="1"/>
  <c r="C107" i="1"/>
  <c r="B108" i="1"/>
  <c r="C108" i="1"/>
  <c r="B109" i="1"/>
  <c r="C109" i="1"/>
  <c r="B110" i="1"/>
  <c r="C110" i="1"/>
  <c r="B111" i="1"/>
  <c r="C111" i="1"/>
  <c r="B112" i="1"/>
  <c r="C112" i="1"/>
  <c r="B113" i="1"/>
  <c r="C113" i="1"/>
  <c r="B114" i="1"/>
  <c r="C114" i="1"/>
  <c r="B115" i="1"/>
  <c r="C115" i="1"/>
  <c r="B116" i="1"/>
  <c r="C116" i="1"/>
  <c r="B117" i="1"/>
  <c r="C117" i="1"/>
  <c r="B118" i="1"/>
  <c r="C118" i="1"/>
  <c r="B119" i="1"/>
  <c r="C119" i="1"/>
  <c r="B120" i="1"/>
  <c r="C120" i="1"/>
  <c r="B121" i="1"/>
  <c r="C121" i="1"/>
  <c r="B122" i="1"/>
  <c r="C122" i="1"/>
  <c r="B123" i="1"/>
  <c r="C123" i="1"/>
  <c r="B124" i="1"/>
  <c r="C124" i="1"/>
  <c r="B125" i="1"/>
  <c r="C125" i="1"/>
  <c r="B126" i="1"/>
  <c r="C126" i="1"/>
  <c r="B127" i="1"/>
  <c r="C127" i="1"/>
  <c r="B128" i="1"/>
  <c r="C128" i="1"/>
  <c r="B129" i="1"/>
  <c r="C129" i="1"/>
  <c r="B130" i="1"/>
  <c r="C130" i="1"/>
  <c r="B131" i="1"/>
  <c r="C131" i="1"/>
  <c r="B132" i="1"/>
  <c r="C132" i="1"/>
  <c r="B133" i="1"/>
  <c r="C133" i="1"/>
  <c r="B134" i="1"/>
  <c r="C134" i="1"/>
  <c r="B135" i="1"/>
  <c r="C135" i="1"/>
  <c r="B136" i="1"/>
  <c r="C136" i="1"/>
  <c r="B137" i="1"/>
  <c r="C137" i="1"/>
  <c r="B138" i="1"/>
  <c r="C138" i="1"/>
  <c r="B139" i="1"/>
  <c r="C139" i="1"/>
  <c r="B140" i="1"/>
  <c r="C140" i="1"/>
  <c r="B141" i="1"/>
  <c r="C141" i="1"/>
  <c r="B142" i="1"/>
  <c r="C142" i="1"/>
  <c r="B143" i="1"/>
  <c r="C143" i="1"/>
  <c r="B144" i="1"/>
  <c r="C144" i="1"/>
  <c r="B145" i="1"/>
  <c r="C145" i="1"/>
  <c r="B146" i="1"/>
  <c r="C146" i="1"/>
  <c r="B147" i="1"/>
  <c r="C147" i="1"/>
  <c r="B148" i="1"/>
  <c r="C148" i="1"/>
  <c r="B149" i="1"/>
  <c r="C149" i="1"/>
  <c r="B150" i="1"/>
  <c r="C150" i="1"/>
  <c r="B151" i="1"/>
  <c r="C151" i="1"/>
  <c r="B152" i="1"/>
  <c r="C152" i="1"/>
  <c r="B153" i="1"/>
  <c r="C153" i="1"/>
  <c r="B154" i="1"/>
  <c r="C154" i="1"/>
  <c r="B155" i="1"/>
  <c r="C155" i="1"/>
  <c r="B156" i="1"/>
  <c r="C156" i="1"/>
  <c r="B157" i="1"/>
  <c r="C157" i="1"/>
  <c r="B158" i="1"/>
  <c r="C158" i="1"/>
  <c r="B159" i="1"/>
  <c r="C159" i="1"/>
  <c r="B160" i="1"/>
  <c r="C160" i="1"/>
  <c r="B161" i="1"/>
  <c r="C161" i="1"/>
  <c r="B162" i="1"/>
  <c r="C162" i="1"/>
  <c r="B163" i="1"/>
  <c r="C163" i="1"/>
  <c r="B164" i="1"/>
  <c r="C164" i="1"/>
  <c r="B165" i="1"/>
  <c r="C165" i="1"/>
  <c r="B166" i="1"/>
  <c r="C166" i="1"/>
  <c r="B167" i="1"/>
  <c r="C167" i="1"/>
  <c r="B168" i="1"/>
  <c r="C168" i="1"/>
  <c r="B169" i="1"/>
  <c r="C169" i="1"/>
  <c r="B170" i="1"/>
  <c r="C170" i="1"/>
  <c r="B171" i="1"/>
  <c r="C171" i="1"/>
  <c r="B172" i="1"/>
  <c r="C172" i="1"/>
  <c r="B173" i="1"/>
  <c r="C173" i="1"/>
  <c r="B174" i="1"/>
  <c r="C174" i="1"/>
  <c r="B175" i="1"/>
  <c r="C175" i="1"/>
  <c r="A176" i="1"/>
  <c r="A177" i="1" s="1"/>
  <c r="B176" i="1"/>
  <c r="C176" i="1"/>
  <c r="B177" i="1"/>
  <c r="C177" i="1"/>
  <c r="A178" i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A527" i="1" s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A555" i="1" s="1"/>
  <c r="A556" i="1" s="1"/>
  <c r="A557" i="1" s="1"/>
  <c r="B178" i="1"/>
  <c r="C178" i="1"/>
  <c r="B179" i="1"/>
  <c r="C179" i="1"/>
  <c r="B180" i="1"/>
  <c r="C180" i="1"/>
  <c r="B181" i="1"/>
  <c r="C181" i="1"/>
  <c r="B182" i="1"/>
  <c r="C182" i="1"/>
  <c r="B183" i="1"/>
  <c r="C183" i="1"/>
  <c r="B184" i="1"/>
  <c r="C184" i="1"/>
  <c r="B185" i="1"/>
  <c r="C185" i="1"/>
  <c r="B186" i="1"/>
  <c r="C186" i="1"/>
  <c r="B187" i="1"/>
  <c r="C187" i="1"/>
  <c r="B188" i="1"/>
  <c r="C188" i="1"/>
  <c r="B189" i="1"/>
  <c r="C189" i="1"/>
  <c r="B190" i="1"/>
  <c r="C190" i="1"/>
  <c r="B191" i="1"/>
  <c r="C191" i="1"/>
  <c r="B192" i="1"/>
  <c r="C192" i="1"/>
  <c r="B193" i="1"/>
  <c r="C193" i="1"/>
  <c r="B194" i="1"/>
  <c r="C194" i="1"/>
  <c r="B195" i="1"/>
  <c r="C195" i="1"/>
  <c r="B196" i="1"/>
  <c r="C196" i="1"/>
  <c r="B197" i="1"/>
  <c r="C197" i="1"/>
  <c r="B198" i="1"/>
  <c r="C198" i="1"/>
  <c r="B199" i="1"/>
  <c r="C199" i="1"/>
  <c r="B200" i="1"/>
  <c r="C200" i="1"/>
  <c r="B201" i="1"/>
  <c r="C201" i="1"/>
  <c r="B202" i="1"/>
  <c r="C202" i="1"/>
  <c r="B203" i="1"/>
  <c r="C203" i="1"/>
  <c r="B204" i="1"/>
  <c r="C204" i="1"/>
  <c r="B205" i="1"/>
  <c r="C205" i="1"/>
  <c r="B206" i="1"/>
  <c r="C206" i="1"/>
  <c r="B207" i="1"/>
  <c r="C207" i="1"/>
  <c r="B208" i="1"/>
  <c r="C208" i="1"/>
  <c r="B209" i="1"/>
  <c r="C209" i="1"/>
  <c r="B210" i="1"/>
  <c r="C210" i="1"/>
  <c r="B211" i="1"/>
  <c r="C211" i="1"/>
  <c r="B212" i="1"/>
  <c r="C212" i="1"/>
  <c r="B213" i="1"/>
  <c r="C213" i="1"/>
  <c r="B214" i="1"/>
  <c r="C214" i="1"/>
  <c r="B215" i="1"/>
  <c r="C215" i="1"/>
  <c r="B216" i="1"/>
  <c r="C216" i="1"/>
  <c r="B217" i="1"/>
  <c r="C217" i="1"/>
  <c r="B218" i="1"/>
  <c r="C218" i="1"/>
  <c r="B219" i="1"/>
  <c r="C219" i="1"/>
  <c r="B220" i="1"/>
  <c r="C220" i="1"/>
  <c r="B221" i="1"/>
  <c r="C221" i="1"/>
  <c r="B222" i="1"/>
  <c r="C222" i="1"/>
  <c r="B223" i="1"/>
  <c r="C223" i="1"/>
  <c r="B224" i="1"/>
  <c r="C224" i="1"/>
  <c r="B225" i="1"/>
  <c r="C225" i="1"/>
  <c r="B226" i="1"/>
  <c r="C226" i="1"/>
  <c r="B227" i="1"/>
  <c r="C227" i="1"/>
  <c r="B228" i="1"/>
  <c r="C228" i="1"/>
  <c r="B229" i="1"/>
  <c r="C229" i="1"/>
  <c r="B230" i="1"/>
  <c r="C230" i="1"/>
  <c r="B231" i="1"/>
  <c r="C231" i="1"/>
  <c r="B232" i="1"/>
  <c r="C232" i="1"/>
  <c r="B233" i="1"/>
  <c r="C233" i="1"/>
  <c r="B234" i="1"/>
  <c r="C234" i="1"/>
  <c r="B235" i="1"/>
  <c r="C235" i="1"/>
  <c r="B236" i="1"/>
  <c r="C236" i="1"/>
  <c r="B237" i="1"/>
  <c r="C237" i="1"/>
  <c r="B238" i="1"/>
  <c r="C238" i="1"/>
  <c r="B239" i="1"/>
  <c r="C239" i="1"/>
  <c r="B240" i="1"/>
  <c r="C240" i="1"/>
  <c r="B241" i="1"/>
  <c r="C241" i="1"/>
  <c r="B242" i="1"/>
  <c r="C242" i="1"/>
  <c r="B243" i="1"/>
  <c r="C243" i="1"/>
  <c r="B244" i="1"/>
  <c r="C244" i="1"/>
  <c r="B245" i="1"/>
  <c r="C245" i="1"/>
  <c r="B246" i="1"/>
  <c r="C246" i="1"/>
  <c r="B247" i="1"/>
  <c r="C247" i="1"/>
  <c r="B248" i="1"/>
  <c r="C248" i="1"/>
  <c r="B249" i="1"/>
  <c r="C249" i="1"/>
  <c r="B250" i="1"/>
  <c r="C250" i="1"/>
  <c r="B251" i="1"/>
  <c r="C251" i="1"/>
  <c r="B252" i="1"/>
  <c r="C252" i="1"/>
  <c r="B253" i="1"/>
  <c r="C253" i="1"/>
  <c r="B254" i="1"/>
  <c r="C254" i="1"/>
  <c r="B255" i="1"/>
  <c r="C255" i="1"/>
  <c r="B256" i="1"/>
  <c r="C256" i="1"/>
  <c r="B257" i="1"/>
  <c r="C257" i="1"/>
  <c r="B258" i="1"/>
  <c r="C258" i="1"/>
  <c r="B259" i="1"/>
  <c r="C259" i="1"/>
  <c r="B260" i="1"/>
  <c r="C260" i="1"/>
  <c r="B261" i="1"/>
  <c r="C261" i="1"/>
  <c r="B262" i="1"/>
  <c r="C262" i="1"/>
  <c r="B263" i="1"/>
  <c r="C263" i="1"/>
  <c r="B264" i="1"/>
  <c r="C264" i="1"/>
  <c r="B265" i="1"/>
  <c r="C265" i="1"/>
  <c r="B266" i="1"/>
  <c r="C266" i="1"/>
  <c r="B267" i="1"/>
  <c r="C267" i="1"/>
  <c r="B268" i="1"/>
  <c r="C268" i="1"/>
  <c r="B269" i="1"/>
  <c r="C269" i="1"/>
  <c r="B270" i="1"/>
  <c r="C270" i="1"/>
  <c r="B271" i="1"/>
  <c r="C271" i="1"/>
  <c r="B272" i="1"/>
  <c r="C272" i="1"/>
  <c r="B273" i="1"/>
  <c r="C273" i="1"/>
  <c r="B274" i="1"/>
  <c r="C274" i="1"/>
  <c r="B275" i="1"/>
  <c r="C275" i="1"/>
  <c r="B276" i="1"/>
  <c r="C276" i="1"/>
  <c r="B277" i="1"/>
  <c r="C277" i="1"/>
  <c r="B278" i="1"/>
  <c r="C278" i="1"/>
  <c r="B279" i="1"/>
  <c r="C279" i="1"/>
  <c r="B280" i="1"/>
  <c r="C280" i="1"/>
  <c r="B281" i="1"/>
  <c r="C281" i="1"/>
  <c r="B282" i="1"/>
  <c r="C282" i="1"/>
  <c r="B283" i="1"/>
  <c r="C283" i="1"/>
  <c r="B284" i="1"/>
  <c r="C284" i="1"/>
  <c r="B285" i="1"/>
  <c r="C285" i="1"/>
  <c r="B286" i="1"/>
  <c r="C286" i="1"/>
  <c r="B287" i="1"/>
  <c r="C287" i="1"/>
  <c r="B288" i="1"/>
  <c r="C288" i="1"/>
  <c r="B289" i="1"/>
  <c r="C289" i="1"/>
  <c r="B290" i="1"/>
  <c r="C290" i="1"/>
  <c r="B291" i="1"/>
  <c r="C291" i="1"/>
  <c r="B292" i="1"/>
  <c r="C292" i="1"/>
  <c r="B293" i="1"/>
  <c r="C293" i="1"/>
  <c r="B294" i="1"/>
  <c r="C294" i="1"/>
  <c r="B295" i="1"/>
  <c r="C295" i="1"/>
  <c r="B296" i="1"/>
  <c r="C296" i="1"/>
  <c r="B297" i="1"/>
  <c r="C297" i="1"/>
  <c r="B298" i="1"/>
  <c r="C298" i="1"/>
  <c r="B299" i="1"/>
  <c r="C299" i="1"/>
  <c r="B300" i="1"/>
  <c r="C300" i="1"/>
  <c r="B301" i="1"/>
  <c r="C301" i="1"/>
  <c r="B302" i="1"/>
  <c r="C302" i="1"/>
  <c r="B303" i="1"/>
  <c r="C303" i="1"/>
  <c r="B304" i="1"/>
  <c r="C304" i="1"/>
  <c r="B305" i="1"/>
  <c r="C305" i="1"/>
  <c r="B306" i="1"/>
  <c r="C306" i="1"/>
  <c r="B307" i="1"/>
  <c r="C307" i="1"/>
  <c r="B308" i="1"/>
  <c r="C308" i="1"/>
  <c r="B309" i="1"/>
  <c r="C309" i="1"/>
  <c r="B310" i="1"/>
  <c r="C310" i="1"/>
  <c r="B311" i="1"/>
  <c r="C311" i="1"/>
  <c r="B312" i="1"/>
  <c r="C312" i="1"/>
  <c r="B313" i="1"/>
  <c r="C313" i="1"/>
  <c r="B314" i="1"/>
  <c r="C314" i="1"/>
  <c r="B315" i="1"/>
  <c r="C315" i="1"/>
  <c r="B316" i="1"/>
  <c r="C316" i="1"/>
  <c r="B317" i="1"/>
  <c r="C317" i="1"/>
  <c r="B318" i="1"/>
  <c r="C318" i="1"/>
  <c r="B319" i="1"/>
  <c r="C319" i="1"/>
  <c r="B320" i="1"/>
  <c r="C320" i="1"/>
  <c r="B321" i="1"/>
  <c r="C321" i="1"/>
  <c r="B322" i="1"/>
  <c r="C322" i="1"/>
  <c r="B323" i="1"/>
  <c r="C323" i="1"/>
  <c r="B324" i="1"/>
  <c r="C324" i="1"/>
  <c r="B325" i="1"/>
  <c r="C325" i="1"/>
  <c r="B326" i="1"/>
  <c r="C326" i="1"/>
  <c r="B327" i="1"/>
  <c r="C327" i="1"/>
  <c r="B328" i="1"/>
  <c r="C328" i="1"/>
  <c r="B329" i="1"/>
  <c r="C329" i="1"/>
  <c r="B330" i="1"/>
  <c r="C330" i="1"/>
  <c r="B331" i="1"/>
  <c r="C331" i="1"/>
  <c r="B332" i="1"/>
  <c r="C332" i="1"/>
  <c r="B333" i="1"/>
  <c r="C333" i="1"/>
  <c r="B334" i="1"/>
  <c r="C334" i="1"/>
  <c r="B335" i="1"/>
  <c r="C335" i="1"/>
  <c r="B336" i="1"/>
  <c r="C336" i="1"/>
  <c r="B337" i="1"/>
  <c r="C337" i="1"/>
  <c r="B338" i="1"/>
  <c r="C338" i="1"/>
  <c r="B339" i="1"/>
  <c r="C339" i="1"/>
  <c r="B340" i="1"/>
  <c r="C340" i="1"/>
  <c r="B341" i="1"/>
  <c r="C341" i="1"/>
  <c r="B342" i="1"/>
  <c r="C342" i="1"/>
  <c r="B343" i="1"/>
  <c r="C343" i="1"/>
  <c r="B344" i="1"/>
  <c r="C344" i="1"/>
  <c r="B345" i="1"/>
  <c r="C345" i="1"/>
  <c r="B346" i="1"/>
  <c r="C346" i="1"/>
  <c r="B347" i="1"/>
  <c r="C347" i="1"/>
  <c r="B348" i="1"/>
  <c r="C348" i="1"/>
  <c r="B349" i="1"/>
  <c r="C349" i="1"/>
  <c r="B350" i="1"/>
  <c r="C350" i="1"/>
  <c r="B351" i="1"/>
  <c r="C351" i="1"/>
  <c r="B352" i="1"/>
  <c r="C352" i="1"/>
  <c r="B353" i="1"/>
  <c r="C353" i="1"/>
  <c r="B354" i="1"/>
  <c r="C354" i="1"/>
  <c r="B355" i="1"/>
  <c r="C355" i="1"/>
  <c r="B356" i="1"/>
  <c r="C356" i="1"/>
  <c r="B357" i="1"/>
  <c r="C357" i="1"/>
  <c r="B358" i="1"/>
  <c r="C358" i="1"/>
  <c r="B359" i="1"/>
  <c r="C359" i="1"/>
  <c r="B360" i="1"/>
  <c r="C360" i="1"/>
  <c r="B361" i="1"/>
  <c r="C361" i="1"/>
  <c r="B362" i="1"/>
  <c r="C362" i="1"/>
  <c r="B363" i="1"/>
  <c r="C363" i="1"/>
  <c r="B364" i="1"/>
  <c r="C364" i="1"/>
  <c r="B365" i="1"/>
  <c r="C365" i="1"/>
  <c r="B366" i="1"/>
  <c r="C366" i="1"/>
  <c r="B367" i="1"/>
  <c r="C367" i="1"/>
  <c r="B368" i="1"/>
  <c r="C368" i="1"/>
  <c r="B369" i="1"/>
  <c r="C369" i="1"/>
  <c r="B370" i="1"/>
  <c r="C370" i="1"/>
  <c r="B371" i="1"/>
  <c r="C371" i="1"/>
  <c r="B372" i="1"/>
  <c r="C372" i="1"/>
  <c r="B373" i="1"/>
  <c r="C373" i="1"/>
  <c r="B374" i="1"/>
  <c r="C374" i="1"/>
  <c r="B375" i="1"/>
  <c r="C375" i="1"/>
  <c r="B376" i="1"/>
  <c r="C376" i="1"/>
  <c r="B377" i="1"/>
  <c r="C377" i="1"/>
  <c r="B378" i="1"/>
  <c r="C378" i="1"/>
  <c r="B379" i="1"/>
  <c r="C379" i="1"/>
  <c r="B380" i="1"/>
  <c r="C380" i="1"/>
  <c r="B381" i="1"/>
  <c r="C381" i="1"/>
  <c r="B382" i="1"/>
  <c r="C382" i="1"/>
  <c r="B383" i="1"/>
  <c r="C383" i="1"/>
  <c r="B384" i="1"/>
  <c r="C384" i="1"/>
  <c r="B385" i="1"/>
  <c r="C385" i="1"/>
  <c r="B386" i="1"/>
  <c r="C386" i="1"/>
  <c r="B387" i="1"/>
  <c r="C387" i="1"/>
  <c r="B388" i="1"/>
  <c r="C388" i="1"/>
  <c r="B389" i="1"/>
  <c r="C389" i="1"/>
  <c r="B390" i="1"/>
  <c r="C390" i="1"/>
  <c r="B391" i="1"/>
  <c r="C391" i="1"/>
  <c r="B392" i="1"/>
  <c r="C392" i="1"/>
  <c r="B393" i="1"/>
  <c r="C393" i="1"/>
  <c r="B394" i="1"/>
  <c r="C394" i="1"/>
  <c r="B395" i="1"/>
  <c r="C395" i="1"/>
  <c r="B396" i="1"/>
  <c r="C396" i="1"/>
  <c r="B397" i="1"/>
  <c r="C397" i="1"/>
  <c r="B398" i="1"/>
  <c r="C398" i="1"/>
  <c r="B399" i="1"/>
  <c r="C399" i="1"/>
  <c r="B400" i="1"/>
  <c r="C400" i="1"/>
  <c r="B401" i="1"/>
  <c r="C401" i="1"/>
  <c r="B402" i="1"/>
  <c r="C402" i="1"/>
  <c r="B403" i="1"/>
  <c r="C403" i="1"/>
  <c r="B404" i="1"/>
  <c r="C404" i="1"/>
  <c r="B405" i="1"/>
  <c r="C405" i="1"/>
  <c r="B406" i="1"/>
  <c r="C406" i="1"/>
  <c r="B407" i="1"/>
  <c r="C407" i="1"/>
  <c r="B408" i="1"/>
  <c r="C408" i="1"/>
  <c r="B409" i="1"/>
  <c r="C409" i="1"/>
  <c r="B410" i="1"/>
  <c r="C410" i="1"/>
  <c r="B411" i="1"/>
  <c r="C411" i="1"/>
  <c r="B412" i="1"/>
  <c r="C412" i="1"/>
  <c r="B413" i="1"/>
  <c r="C413" i="1"/>
  <c r="B414" i="1"/>
  <c r="C414" i="1"/>
  <c r="B415" i="1"/>
  <c r="C415" i="1"/>
  <c r="B416" i="1"/>
  <c r="C416" i="1"/>
  <c r="B417" i="1"/>
  <c r="C417" i="1"/>
  <c r="B418" i="1"/>
  <c r="C418" i="1"/>
  <c r="B419" i="1"/>
  <c r="C419" i="1"/>
  <c r="B420" i="1"/>
  <c r="C420" i="1"/>
  <c r="B421" i="1"/>
  <c r="C421" i="1"/>
  <c r="B422" i="1"/>
  <c r="C422" i="1"/>
  <c r="B423" i="1"/>
  <c r="C423" i="1"/>
  <c r="B424" i="1"/>
  <c r="C424" i="1"/>
  <c r="B425" i="1"/>
  <c r="C425" i="1"/>
  <c r="B426" i="1"/>
  <c r="C426" i="1"/>
  <c r="B427" i="1"/>
  <c r="C427" i="1"/>
  <c r="B428" i="1"/>
  <c r="C428" i="1"/>
  <c r="B429" i="1"/>
  <c r="C429" i="1"/>
  <c r="B430" i="1"/>
  <c r="C430" i="1"/>
  <c r="B431" i="1"/>
  <c r="C431" i="1"/>
  <c r="B432" i="1"/>
  <c r="C432" i="1"/>
  <c r="B433" i="1"/>
  <c r="C433" i="1"/>
  <c r="B434" i="1"/>
  <c r="C434" i="1"/>
  <c r="B435" i="1"/>
  <c r="C435" i="1"/>
  <c r="B436" i="1"/>
  <c r="C436" i="1"/>
  <c r="B437" i="1"/>
  <c r="C437" i="1"/>
  <c r="B438" i="1"/>
  <c r="C438" i="1"/>
  <c r="B439" i="1"/>
  <c r="C439" i="1"/>
  <c r="B440" i="1"/>
  <c r="C440" i="1"/>
  <c r="B441" i="1"/>
  <c r="C441" i="1"/>
  <c r="B442" i="1"/>
  <c r="C442" i="1"/>
  <c r="B443" i="1"/>
  <c r="C443" i="1"/>
  <c r="B444" i="1"/>
  <c r="C444" i="1"/>
  <c r="B445" i="1"/>
  <c r="C445" i="1"/>
  <c r="B446" i="1"/>
  <c r="C446" i="1"/>
  <c r="B447" i="1"/>
  <c r="C447" i="1"/>
  <c r="B448" i="1"/>
  <c r="C448" i="1"/>
  <c r="B449" i="1"/>
  <c r="C449" i="1"/>
  <c r="B450" i="1"/>
  <c r="C450" i="1"/>
  <c r="B451" i="1"/>
  <c r="C451" i="1"/>
  <c r="B452" i="1"/>
  <c r="C452" i="1"/>
  <c r="B453" i="1"/>
  <c r="C453" i="1"/>
  <c r="B454" i="1"/>
  <c r="C454" i="1"/>
  <c r="B455" i="1"/>
  <c r="C455" i="1"/>
  <c r="B456" i="1"/>
  <c r="C456" i="1"/>
  <c r="B457" i="1"/>
  <c r="C457" i="1"/>
  <c r="B458" i="1"/>
  <c r="C458" i="1"/>
  <c r="B459" i="1"/>
  <c r="C459" i="1"/>
  <c r="B460" i="1"/>
  <c r="C460" i="1"/>
  <c r="B461" i="1"/>
  <c r="C461" i="1"/>
  <c r="B462" i="1"/>
  <c r="C462" i="1"/>
  <c r="B463" i="1"/>
  <c r="C463" i="1"/>
  <c r="B464" i="1"/>
  <c r="C464" i="1"/>
  <c r="B465" i="1"/>
  <c r="C465" i="1"/>
  <c r="B466" i="1"/>
  <c r="C466" i="1"/>
  <c r="B467" i="1"/>
  <c r="C467" i="1"/>
  <c r="B468" i="1"/>
  <c r="C468" i="1"/>
  <c r="B469" i="1"/>
  <c r="C469" i="1"/>
  <c r="B470" i="1"/>
  <c r="C470" i="1"/>
  <c r="B471" i="1"/>
  <c r="C471" i="1"/>
  <c r="B472" i="1"/>
  <c r="C472" i="1"/>
  <c r="B473" i="1"/>
  <c r="C473" i="1"/>
  <c r="B474" i="1"/>
  <c r="C474" i="1"/>
  <c r="B475" i="1"/>
  <c r="C475" i="1"/>
  <c r="B476" i="1"/>
  <c r="C476" i="1"/>
  <c r="B477" i="1"/>
  <c r="C477" i="1"/>
  <c r="B478" i="1"/>
  <c r="C478" i="1"/>
  <c r="B479" i="1"/>
  <c r="C479" i="1"/>
  <c r="B480" i="1"/>
  <c r="C480" i="1"/>
  <c r="B481" i="1"/>
  <c r="C481" i="1"/>
  <c r="B482" i="1"/>
  <c r="C482" i="1"/>
  <c r="B483" i="1"/>
  <c r="C483" i="1"/>
  <c r="B484" i="1"/>
  <c r="C484" i="1"/>
  <c r="B485" i="1"/>
  <c r="C485" i="1"/>
  <c r="B486" i="1"/>
  <c r="C486" i="1"/>
  <c r="B487" i="1"/>
  <c r="C487" i="1"/>
  <c r="B488" i="1"/>
  <c r="C488" i="1"/>
  <c r="B489" i="1"/>
  <c r="C489" i="1"/>
  <c r="B490" i="1"/>
  <c r="C490" i="1"/>
  <c r="B491" i="1"/>
  <c r="C491" i="1"/>
  <c r="B492" i="1"/>
  <c r="C492" i="1"/>
  <c r="B493" i="1"/>
  <c r="C493" i="1"/>
  <c r="B494" i="1"/>
  <c r="C494" i="1"/>
  <c r="B495" i="1"/>
  <c r="C495" i="1"/>
  <c r="B496" i="1"/>
  <c r="C496" i="1"/>
  <c r="B497" i="1"/>
  <c r="C497" i="1"/>
  <c r="B498" i="1"/>
  <c r="C498" i="1"/>
  <c r="B499" i="1"/>
  <c r="C499" i="1"/>
  <c r="B500" i="1"/>
  <c r="C500" i="1"/>
  <c r="B501" i="1"/>
  <c r="C501" i="1"/>
  <c r="B502" i="1"/>
  <c r="C502" i="1"/>
  <c r="B503" i="1"/>
  <c r="C503" i="1"/>
  <c r="B504" i="1"/>
  <c r="C504" i="1"/>
  <c r="B505" i="1"/>
  <c r="C505" i="1"/>
  <c r="B506" i="1"/>
  <c r="C506" i="1"/>
  <c r="B507" i="1"/>
  <c r="C507" i="1"/>
  <c r="B508" i="1"/>
  <c r="C508" i="1"/>
  <c r="B509" i="1"/>
  <c r="C509" i="1"/>
  <c r="B510" i="1"/>
  <c r="C510" i="1"/>
  <c r="B511" i="1"/>
  <c r="C511" i="1"/>
  <c r="B512" i="1"/>
  <c r="C512" i="1"/>
  <c r="B513" i="1"/>
  <c r="C513" i="1"/>
  <c r="B514" i="1"/>
  <c r="C514" i="1"/>
  <c r="B515" i="1"/>
  <c r="C515" i="1"/>
  <c r="B516" i="1"/>
  <c r="C516" i="1"/>
  <c r="B517" i="1"/>
  <c r="C517" i="1"/>
  <c r="B518" i="1"/>
  <c r="C518" i="1"/>
  <c r="B519" i="1"/>
  <c r="C519" i="1"/>
  <c r="B520" i="1"/>
  <c r="C520" i="1"/>
  <c r="B521" i="1"/>
  <c r="C521" i="1"/>
  <c r="B522" i="1"/>
  <c r="C522" i="1"/>
  <c r="B523" i="1"/>
  <c r="C523" i="1"/>
  <c r="B524" i="1"/>
  <c r="C524" i="1"/>
  <c r="B525" i="1"/>
  <c r="C525" i="1"/>
  <c r="B526" i="1"/>
  <c r="C526" i="1"/>
  <c r="B527" i="1"/>
  <c r="C527" i="1"/>
  <c r="B528" i="1"/>
  <c r="C528" i="1"/>
  <c r="B529" i="1"/>
  <c r="C529" i="1"/>
  <c r="B530" i="1"/>
  <c r="C530" i="1"/>
  <c r="B531" i="1"/>
  <c r="C531" i="1"/>
  <c r="B532" i="1"/>
  <c r="C532" i="1"/>
  <c r="B533" i="1"/>
  <c r="C533" i="1"/>
  <c r="B534" i="1"/>
  <c r="C534" i="1"/>
  <c r="B535" i="1"/>
  <c r="C535" i="1"/>
  <c r="B536" i="1"/>
  <c r="C536" i="1"/>
  <c r="B537" i="1"/>
  <c r="C537" i="1"/>
  <c r="B538" i="1"/>
  <c r="C538" i="1"/>
  <c r="B539" i="1"/>
  <c r="C539" i="1"/>
  <c r="B540" i="1"/>
  <c r="C540" i="1"/>
  <c r="B541" i="1"/>
  <c r="C541" i="1"/>
  <c r="B542" i="1"/>
  <c r="C542" i="1"/>
  <c r="B543" i="1"/>
  <c r="C543" i="1"/>
  <c r="B544" i="1"/>
  <c r="C544" i="1"/>
  <c r="B545" i="1"/>
  <c r="C545" i="1"/>
  <c r="B546" i="1"/>
  <c r="C546" i="1"/>
  <c r="B547" i="1"/>
  <c r="C547" i="1"/>
  <c r="B548" i="1"/>
  <c r="C548" i="1"/>
  <c r="B549" i="1"/>
  <c r="C549" i="1"/>
  <c r="B550" i="1"/>
  <c r="C550" i="1"/>
  <c r="B551" i="1"/>
  <c r="C551" i="1"/>
  <c r="B552" i="1"/>
  <c r="C552" i="1"/>
  <c r="B553" i="1"/>
  <c r="C553" i="1"/>
  <c r="B554" i="1"/>
  <c r="C554" i="1"/>
  <c r="B555" i="1"/>
  <c r="C555" i="1"/>
  <c r="B556" i="1"/>
  <c r="C556" i="1"/>
  <c r="B557" i="1"/>
  <c r="C557" i="1"/>
  <c r="A4" i="1"/>
  <c r="B4" i="1"/>
  <c r="C4" i="1"/>
  <c r="D4" i="1"/>
  <c r="J4" i="1"/>
  <c r="J5" i="1"/>
  <c r="J6" i="1" s="1"/>
  <c r="J7" i="1" s="1"/>
  <c r="J8" i="1" s="1"/>
  <c r="J9" i="1" s="1"/>
  <c r="J10" i="1" s="1"/>
  <c r="J11" i="1" s="1"/>
  <c r="J12" i="1" s="1"/>
  <c r="J13" i="1" s="1"/>
  <c r="J14" i="1" s="1"/>
  <c r="J15" i="1" s="1"/>
  <c r="J16" i="1"/>
  <c r="J17" i="1"/>
  <c r="J18" i="1" s="1"/>
  <c r="J19" i="1" s="1"/>
  <c r="J20" i="1" s="1"/>
  <c r="J21" i="1" s="1"/>
  <c r="J22" i="1" s="1"/>
  <c r="J23" i="1" s="1"/>
  <c r="J24" i="1" s="1"/>
  <c r="J25" i="1" s="1"/>
  <c r="J26" i="1" s="1"/>
  <c r="J27" i="1" s="1"/>
  <c r="J28" i="1" s="1"/>
  <c r="J29" i="1" s="1"/>
  <c r="J30" i="1" s="1"/>
  <c r="J31" i="1" s="1"/>
  <c r="J32" i="1" s="1"/>
  <c r="J33" i="1" s="1"/>
  <c r="J34" i="1" s="1"/>
  <c r="J35" i="1" s="1"/>
  <c r="J36" i="1" s="1"/>
  <c r="J37" i="1" s="1"/>
  <c r="J38" i="1" s="1"/>
  <c r="J39" i="1" s="1"/>
  <c r="J40" i="1"/>
  <c r="J41" i="1"/>
  <c r="J42" i="1" s="1"/>
  <c r="J43" i="1" s="1"/>
  <c r="J44" i="1" s="1"/>
  <c r="J45" i="1" s="1"/>
  <c r="J46" i="1" s="1"/>
  <c r="J47" i="1" s="1"/>
  <c r="J48" i="1" s="1"/>
  <c r="J49" i="1" s="1"/>
  <c r="J50" i="1" s="1"/>
  <c r="J51" i="1" s="1"/>
  <c r="J52" i="1"/>
  <c r="J53" i="1"/>
  <c r="J54" i="1" s="1"/>
  <c r="J55" i="1" s="1"/>
  <c r="J56" i="1" s="1"/>
  <c r="J57" i="1" s="1"/>
  <c r="J58" i="1" s="1"/>
  <c r="J59" i="1" s="1"/>
  <c r="J60" i="1" s="1"/>
  <c r="J61" i="1" s="1"/>
  <c r="J62" i="1" s="1"/>
  <c r="J63" i="1" s="1"/>
  <c r="J64" i="1"/>
  <c r="J65" i="1"/>
  <c r="J66" i="1" s="1"/>
  <c r="J67" i="1" s="1"/>
  <c r="J68" i="1" s="1"/>
  <c r="J69" i="1" s="1"/>
  <c r="J70" i="1" s="1"/>
  <c r="J71" i="1" s="1"/>
  <c r="J72" i="1" s="1"/>
  <c r="J73" i="1" s="1"/>
  <c r="J74" i="1" s="1"/>
  <c r="J75" i="1" s="1"/>
  <c r="J76" i="1" s="1"/>
  <c r="J77" i="1" s="1"/>
  <c r="J78" i="1" s="1"/>
  <c r="J79" i="1" s="1"/>
  <c r="J80" i="1"/>
  <c r="J81" i="1"/>
  <c r="J82" i="1" s="1"/>
  <c r="J83" i="1" s="1"/>
  <c r="J84" i="1" s="1"/>
  <c r="J85" i="1" s="1"/>
  <c r="J86" i="1" s="1"/>
  <c r="J87" i="1" s="1"/>
  <c r="J88" i="1" s="1"/>
  <c r="J89" i="1" s="1"/>
  <c r="J90" i="1" s="1"/>
  <c r="J91" i="1"/>
  <c r="J92" i="1" s="1"/>
  <c r="J93" i="1" s="1"/>
  <c r="J94" i="1" s="1"/>
  <c r="J95" i="1" s="1"/>
  <c r="J96" i="1" s="1"/>
  <c r="J97" i="1" s="1"/>
  <c r="J98" i="1" s="1"/>
  <c r="J99" i="1" s="1"/>
  <c r="J100" i="1" s="1"/>
  <c r="J101" i="1" s="1"/>
  <c r="J102" i="1" s="1"/>
  <c r="J103" i="1" s="1"/>
  <c r="J104" i="1" s="1"/>
  <c r="J105" i="1" s="1"/>
  <c r="J106" i="1" s="1"/>
  <c r="J107" i="1" s="1"/>
  <c r="J108" i="1" s="1"/>
  <c r="J109" i="1" s="1"/>
  <c r="J110" i="1" s="1"/>
  <c r="J111" i="1" s="1"/>
  <c r="J112" i="1" s="1"/>
  <c r="J113" i="1" s="1"/>
  <c r="J114" i="1" s="1"/>
  <c r="J115" i="1"/>
  <c r="J116" i="1" s="1"/>
  <c r="J117" i="1"/>
  <c r="J118" i="1" s="1"/>
  <c r="J119" i="1" s="1"/>
  <c r="J120" i="1" s="1"/>
  <c r="J121" i="1" s="1"/>
  <c r="J122" i="1"/>
  <c r="J123" i="1"/>
  <c r="J124" i="1" s="1"/>
  <c r="J125" i="1" s="1"/>
  <c r="J126" i="1" s="1"/>
  <c r="J127" i="1" s="1"/>
  <c r="J128" i="1" s="1"/>
  <c r="J129" i="1" s="1"/>
  <c r="J130" i="1" s="1"/>
  <c r="J131" i="1" s="1"/>
  <c r="J132" i="1" s="1"/>
  <c r="J133" i="1" s="1"/>
  <c r="J134" i="1" s="1"/>
  <c r="J135" i="1" s="1"/>
  <c r="J136" i="1"/>
  <c r="J137" i="1"/>
  <c r="J138" i="1" s="1"/>
  <c r="J139" i="1" s="1"/>
  <c r="J140" i="1" s="1"/>
  <c r="J141" i="1" s="1"/>
  <c r="J142" i="1" s="1"/>
  <c r="J143" i="1" s="1"/>
  <c r="J144" i="1" s="1"/>
  <c r="J145" i="1" s="1"/>
  <c r="J146" i="1" s="1"/>
  <c r="J147" i="1" s="1"/>
  <c r="J148" i="1" s="1"/>
  <c r="J149" i="1"/>
  <c r="J150" i="1"/>
  <c r="J151" i="1" s="1"/>
  <c r="J152" i="1"/>
  <c r="J153" i="1"/>
  <c r="J154" i="1" s="1"/>
  <c r="J155" i="1" s="1"/>
  <c r="J156" i="1" s="1"/>
  <c r="J157" i="1" s="1"/>
  <c r="J158" i="1" s="1"/>
  <c r="J159" i="1" s="1"/>
  <c r="J160" i="1" s="1"/>
  <c r="J161" i="1"/>
  <c r="J162" i="1" s="1"/>
  <c r="J163" i="1" s="1"/>
  <c r="J164" i="1" s="1"/>
  <c r="J165" i="1" s="1"/>
  <c r="J166" i="1"/>
  <c r="J167" i="1" s="1"/>
  <c r="J168" i="1" s="1"/>
  <c r="J169" i="1" s="1"/>
  <c r="J170" i="1" s="1"/>
  <c r="J171" i="1" s="1"/>
  <c r="J172" i="1" s="1"/>
  <c r="J173" i="1" s="1"/>
  <c r="J174" i="1" s="1"/>
  <c r="J175" i="1"/>
  <c r="J176" i="1" s="1"/>
  <c r="J177" i="1" s="1"/>
  <c r="J178" i="1" s="1"/>
  <c r="J179" i="1" s="1"/>
  <c r="J180" i="1" s="1"/>
  <c r="J181" i="1" s="1"/>
  <c r="J182" i="1" s="1"/>
  <c r="J183" i="1" s="1"/>
  <c r="J184" i="1" s="1"/>
  <c r="J185" i="1" s="1"/>
  <c r="J186" i="1" s="1"/>
  <c r="J187" i="1"/>
  <c r="J188" i="1" s="1"/>
  <c r="J189" i="1" s="1"/>
  <c r="J190" i="1" s="1"/>
  <c r="J191" i="1" s="1"/>
  <c r="J192" i="1" s="1"/>
  <c r="J193" i="1"/>
  <c r="J194" i="1" s="1"/>
  <c r="J195" i="1" s="1"/>
  <c r="J196" i="1" s="1"/>
  <c r="J197" i="1" s="1"/>
  <c r="J198" i="1" s="1"/>
  <c r="J199" i="1" s="1"/>
  <c r="J200" i="1" s="1"/>
  <c r="J201" i="1" s="1"/>
  <c r="J202" i="1" s="1"/>
  <c r="J203" i="1" s="1"/>
  <c r="J204" i="1" s="1"/>
  <c r="J205" i="1" s="1"/>
  <c r="J206" i="1"/>
  <c r="J207" i="1"/>
  <c r="J208" i="1" s="1"/>
  <c r="J209" i="1" s="1"/>
  <c r="J210" i="1" s="1"/>
  <c r="J211" i="1"/>
  <c r="J212" i="1" s="1"/>
  <c r="J213" i="1" s="1"/>
  <c r="J214" i="1" s="1"/>
  <c r="J215" i="1" s="1"/>
  <c r="J216" i="1" s="1"/>
  <c r="J217" i="1" s="1"/>
  <c r="J218" i="1" s="1"/>
  <c r="J219" i="1" s="1"/>
  <c r="J220" i="1" s="1"/>
  <c r="J221" i="1" s="1"/>
  <c r="J222" i="1" s="1"/>
  <c r="J223" i="1" s="1"/>
  <c r="J224" i="1" s="1"/>
  <c r="J225" i="1" s="1"/>
  <c r="J226" i="1" s="1"/>
  <c r="J227" i="1" s="1"/>
  <c r="J228" i="1" s="1"/>
  <c r="J229" i="1" s="1"/>
  <c r="J230" i="1" s="1"/>
  <c r="J231" i="1" s="1"/>
  <c r="J232" i="1" s="1"/>
  <c r="J233" i="1" s="1"/>
  <c r="J234" i="1" s="1"/>
  <c r="J235" i="1" s="1"/>
  <c r="J236" i="1" s="1"/>
  <c r="J237" i="1"/>
  <c r="J238" i="1" s="1"/>
  <c r="J239" i="1" s="1"/>
  <c r="J240" i="1" s="1"/>
  <c r="J241" i="1" s="1"/>
  <c r="J242" i="1" s="1"/>
  <c r="J243" i="1" s="1"/>
  <c r="J244" i="1" s="1"/>
  <c r="J245" i="1" s="1"/>
  <c r="J246" i="1" s="1"/>
  <c r="J247" i="1"/>
  <c r="J248" i="1" s="1"/>
  <c r="J249" i="1" s="1"/>
  <c r="J250" i="1" s="1"/>
  <c r="J251" i="1" s="1"/>
  <c r="J252" i="1" s="1"/>
  <c r="J253" i="1" s="1"/>
  <c r="J254" i="1" s="1"/>
  <c r="J255" i="1"/>
  <c r="J256" i="1" s="1"/>
  <c r="J257" i="1" s="1"/>
  <c r="J258" i="1" s="1"/>
  <c r="J259" i="1" s="1"/>
  <c r="J260" i="1" s="1"/>
  <c r="J261" i="1" s="1"/>
  <c r="J262" i="1" s="1"/>
  <c r="J263" i="1" s="1"/>
  <c r="J264" i="1" s="1"/>
  <c r="J265" i="1" s="1"/>
  <c r="J266" i="1" s="1"/>
  <c r="J267" i="1" s="1"/>
  <c r="J268" i="1" s="1"/>
  <c r="J269" i="1" s="1"/>
  <c r="J270" i="1" s="1"/>
  <c r="J271" i="1" s="1"/>
  <c r="J272" i="1" s="1"/>
  <c r="J273" i="1" s="1"/>
  <c r="J274" i="1" s="1"/>
  <c r="J275" i="1" s="1"/>
  <c r="J276" i="1" s="1"/>
  <c r="J277" i="1" s="1"/>
  <c r="J278" i="1" s="1"/>
  <c r="J279" i="1" s="1"/>
  <c r="J280" i="1" s="1"/>
  <c r="J281" i="1" s="1"/>
  <c r="J282" i="1" s="1"/>
  <c r="J283" i="1" s="1"/>
  <c r="J284" i="1" s="1"/>
  <c r="J285" i="1" s="1"/>
  <c r="J286" i="1" s="1"/>
  <c r="J287" i="1" s="1"/>
  <c r="J288" i="1" s="1"/>
  <c r="J289" i="1" s="1"/>
  <c r="J290" i="1"/>
  <c r="J291" i="1"/>
  <c r="J292" i="1" s="1"/>
  <c r="J293" i="1" s="1"/>
  <c r="J294" i="1" s="1"/>
  <c r="J295" i="1" s="1"/>
  <c r="J296" i="1" s="1"/>
  <c r="J297" i="1" s="1"/>
  <c r="J298" i="1" s="1"/>
  <c r="J299" i="1" s="1"/>
  <c r="J300" i="1" s="1"/>
  <c r="J301" i="1" s="1"/>
  <c r="J302" i="1" s="1"/>
  <c r="J303" i="1" s="1"/>
  <c r="J304" i="1" s="1"/>
  <c r="J305" i="1"/>
  <c r="J306" i="1" s="1"/>
  <c r="J307" i="1" s="1"/>
  <c r="J308" i="1" s="1"/>
  <c r="J309" i="1" s="1"/>
  <c r="J310" i="1" s="1"/>
  <c r="J311" i="1" s="1"/>
  <c r="J312" i="1" s="1"/>
  <c r="J313" i="1" s="1"/>
  <c r="J314" i="1" s="1"/>
  <c r="J315" i="1" s="1"/>
  <c r="J316" i="1" s="1"/>
  <c r="J317" i="1"/>
  <c r="J318" i="1" s="1"/>
  <c r="J319" i="1" s="1"/>
  <c r="J320" i="1" s="1"/>
  <c r="J321" i="1" s="1"/>
  <c r="J322" i="1" s="1"/>
  <c r="J323" i="1"/>
  <c r="J324" i="1" s="1"/>
  <c r="J325" i="1" s="1"/>
  <c r="J326" i="1" s="1"/>
  <c r="J327" i="1" s="1"/>
  <c r="J328" i="1" s="1"/>
  <c r="J329" i="1" s="1"/>
  <c r="J330" i="1" s="1"/>
  <c r="J331" i="1" s="1"/>
  <c r="J332" i="1" s="1"/>
  <c r="J333" i="1" s="1"/>
  <c r="J334" i="1" s="1"/>
  <c r="J335" i="1" s="1"/>
  <c r="J336" i="1" s="1"/>
  <c r="J337" i="1" s="1"/>
  <c r="J338" i="1" s="1"/>
  <c r="J339" i="1" s="1"/>
  <c r="J340" i="1" s="1"/>
  <c r="J341" i="1" s="1"/>
  <c r="J342" i="1" s="1"/>
  <c r="J343" i="1" s="1"/>
  <c r="J344" i="1" s="1"/>
  <c r="J345" i="1" s="1"/>
  <c r="J346" i="1" s="1"/>
  <c r="J347" i="1" s="1"/>
  <c r="J348" i="1" s="1"/>
  <c r="J349" i="1" s="1"/>
  <c r="J350" i="1" s="1"/>
  <c r="J351" i="1" s="1"/>
  <c r="J352" i="1" s="1"/>
  <c r="J353" i="1"/>
  <c r="J354" i="1" s="1"/>
  <c r="J355" i="1" s="1"/>
  <c r="J356" i="1" s="1"/>
  <c r="J357" i="1" s="1"/>
  <c r="J358" i="1" s="1"/>
  <c r="J359" i="1" s="1"/>
  <c r="J360" i="1" s="1"/>
  <c r="J361" i="1" s="1"/>
  <c r="J362" i="1" s="1"/>
  <c r="J363" i="1" s="1"/>
  <c r="J364" i="1" s="1"/>
  <c r="J365" i="1" s="1"/>
  <c r="J366" i="1" s="1"/>
  <c r="J367" i="1" s="1"/>
  <c r="J368" i="1" s="1"/>
  <c r="J369" i="1" s="1"/>
  <c r="J370" i="1" s="1"/>
  <c r="J371" i="1" s="1"/>
  <c r="J372" i="1" s="1"/>
  <c r="J373" i="1"/>
  <c r="J374" i="1" s="1"/>
  <c r="J375" i="1" s="1"/>
  <c r="J376" i="1" s="1"/>
  <c r="J377" i="1" s="1"/>
  <c r="J378" i="1" s="1"/>
  <c r="J379" i="1" s="1"/>
  <c r="J380" i="1" s="1"/>
  <c r="J381" i="1"/>
  <c r="J382" i="1" s="1"/>
  <c r="J383" i="1" s="1"/>
  <c r="J384" i="1" s="1"/>
  <c r="J385" i="1" s="1"/>
  <c r="J386" i="1" s="1"/>
  <c r="J387" i="1" s="1"/>
  <c r="J388" i="1" s="1"/>
  <c r="J389" i="1" s="1"/>
  <c r="J390" i="1" s="1"/>
  <c r="J391" i="1" s="1"/>
  <c r="J392" i="1" s="1"/>
  <c r="J393" i="1" s="1"/>
  <c r="J394" i="1" s="1"/>
  <c r="J395" i="1" s="1"/>
  <c r="J396" i="1" s="1"/>
  <c r="J397" i="1" s="1"/>
  <c r="J398" i="1" s="1"/>
  <c r="J399" i="1" s="1"/>
  <c r="J400" i="1" s="1"/>
  <c r="J401" i="1" s="1"/>
  <c r="J402" i="1" s="1"/>
  <c r="J403" i="1" s="1"/>
  <c r="J404" i="1" s="1"/>
  <c r="J405" i="1" s="1"/>
  <c r="J406" i="1" s="1"/>
  <c r="J407" i="1" s="1"/>
  <c r="J408" i="1" s="1"/>
  <c r="J409" i="1" s="1"/>
  <c r="J410" i="1" s="1"/>
  <c r="J411" i="1" s="1"/>
  <c r="J412" i="1" s="1"/>
  <c r="J413" i="1" s="1"/>
  <c r="J414" i="1"/>
  <c r="J415" i="1"/>
  <c r="J416" i="1" s="1"/>
  <c r="J417" i="1" s="1"/>
  <c r="J418" i="1" s="1"/>
  <c r="J419" i="1" s="1"/>
  <c r="J420" i="1" s="1"/>
  <c r="J421" i="1" s="1"/>
  <c r="J422" i="1" s="1"/>
  <c r="J423" i="1" s="1"/>
  <c r="J424" i="1" s="1"/>
  <c r="J425" i="1"/>
  <c r="J426" i="1" s="1"/>
  <c r="J427" i="1" s="1"/>
  <c r="J428" i="1" s="1"/>
  <c r="J429" i="1" s="1"/>
  <c r="J430" i="1" s="1"/>
  <c r="J431" i="1" s="1"/>
  <c r="J432" i="1" s="1"/>
  <c r="J433" i="1" s="1"/>
  <c r="J434" i="1"/>
  <c r="J435" i="1"/>
  <c r="J436" i="1" s="1"/>
  <c r="J437" i="1" s="1"/>
  <c r="J438" i="1" s="1"/>
  <c r="J439" i="1" s="1"/>
  <c r="J440" i="1" s="1"/>
  <c r="J441" i="1" s="1"/>
  <c r="J442" i="1" s="1"/>
  <c r="J443" i="1"/>
  <c r="J444" i="1" s="1"/>
  <c r="J445" i="1" s="1"/>
  <c r="J446" i="1" s="1"/>
  <c r="J447" i="1" s="1"/>
  <c r="J448" i="1" s="1"/>
  <c r="J449" i="1" s="1"/>
  <c r="J450" i="1" s="1"/>
  <c r="J451" i="1" s="1"/>
  <c r="J452" i="1" s="1"/>
  <c r="J453" i="1" s="1"/>
  <c r="J454" i="1" s="1"/>
  <c r="J455" i="1" s="1"/>
  <c r="J456" i="1" s="1"/>
  <c r="J457" i="1" s="1"/>
  <c r="J458" i="1" s="1"/>
  <c r="J459" i="1" s="1"/>
  <c r="J460" i="1" s="1"/>
  <c r="J461" i="1"/>
  <c r="J462" i="1" s="1"/>
  <c r="J463" i="1" s="1"/>
  <c r="J464" i="1" s="1"/>
  <c r="J465" i="1" s="1"/>
  <c r="J466" i="1" s="1"/>
  <c r="J467" i="1"/>
  <c r="J468" i="1" s="1"/>
  <c r="J469" i="1" s="1"/>
  <c r="J470" i="1" s="1"/>
  <c r="J471" i="1" s="1"/>
  <c r="J472" i="1" s="1"/>
  <c r="J473" i="1" s="1"/>
  <c r="J474" i="1" s="1"/>
  <c r="J475" i="1" s="1"/>
  <c r="J476" i="1" s="1"/>
  <c r="J477" i="1"/>
  <c r="J478" i="1" s="1"/>
  <c r="J479" i="1" s="1"/>
  <c r="J480" i="1" s="1"/>
  <c r="J481" i="1" s="1"/>
  <c r="J482" i="1" s="1"/>
  <c r="J483" i="1" s="1"/>
  <c r="J484" i="1" s="1"/>
  <c r="J485" i="1" s="1"/>
  <c r="J486" i="1" s="1"/>
  <c r="J487" i="1" s="1"/>
  <c r="J488" i="1" s="1"/>
  <c r="J489" i="1" s="1"/>
  <c r="J490" i="1" s="1"/>
  <c r="J491" i="1" s="1"/>
  <c r="J492" i="1" s="1"/>
  <c r="J493" i="1" s="1"/>
  <c r="J494" i="1" s="1"/>
  <c r="J495" i="1" s="1"/>
  <c r="J496" i="1" s="1"/>
  <c r="J497" i="1" s="1"/>
  <c r="J498" i="1" s="1"/>
  <c r="J499" i="1"/>
  <c r="J500" i="1" s="1"/>
  <c r="J501" i="1" s="1"/>
  <c r="J502" i="1" s="1"/>
  <c r="J503" i="1" s="1"/>
  <c r="J504" i="1" s="1"/>
  <c r="J505" i="1" s="1"/>
  <c r="J506" i="1" s="1"/>
  <c r="J507" i="1"/>
  <c r="J508" i="1" s="1"/>
  <c r="J509" i="1" s="1"/>
  <c r="J510" i="1" s="1"/>
  <c r="J511" i="1" s="1"/>
  <c r="J512" i="1" s="1"/>
  <c r="J513" i="1" s="1"/>
  <c r="J514" i="1" s="1"/>
  <c r="J515" i="1" s="1"/>
  <c r="J516" i="1"/>
  <c r="J517" i="1" s="1"/>
  <c r="J518" i="1" s="1"/>
  <c r="J519" i="1" s="1"/>
  <c r="J520" i="1" s="1"/>
  <c r="J521" i="1" s="1"/>
  <c r="J522" i="1"/>
  <c r="J523" i="1"/>
  <c r="J524" i="1" s="1"/>
  <c r="J525" i="1" s="1"/>
  <c r="J526" i="1" s="1"/>
  <c r="J527" i="1" s="1"/>
  <c r="J528" i="1" s="1"/>
  <c r="J529" i="1" s="1"/>
  <c r="J530" i="1" s="1"/>
  <c r="J531" i="1"/>
  <c r="J532" i="1" s="1"/>
  <c r="J533" i="1" s="1"/>
  <c r="J534" i="1" s="1"/>
  <c r="J535" i="1" s="1"/>
  <c r="J536" i="1" s="1"/>
  <c r="J537" i="1" s="1"/>
  <c r="J538" i="1" s="1"/>
  <c r="J539" i="1"/>
  <c r="J540" i="1" s="1"/>
  <c r="J541" i="1" s="1"/>
  <c r="J542" i="1"/>
  <c r="J543" i="1"/>
  <c r="J544" i="1" s="1"/>
  <c r="J545" i="1" s="1"/>
  <c r="J546" i="1" s="1"/>
  <c r="J547" i="1" s="1"/>
  <c r="J548" i="1" s="1"/>
  <c r="J549" i="1" s="1"/>
  <c r="J550" i="1" s="1"/>
  <c r="J551" i="1" s="1"/>
  <c r="J552" i="1" s="1"/>
  <c r="J553" i="1" s="1"/>
  <c r="J554" i="1" s="1"/>
  <c r="J555" i="1" s="1"/>
  <c r="J556" i="1" s="1"/>
  <c r="J557" i="1" s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H13" i="1" l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AC423" i="1"/>
  <c r="AC421" i="1"/>
  <c r="AC420" i="1"/>
  <c r="AC422" i="1"/>
  <c r="AC424" i="1"/>
  <c r="AC415" i="1"/>
  <c r="AC416" i="1"/>
  <c r="AC417" i="1"/>
  <c r="AC418" i="1"/>
  <c r="AC419" i="1"/>
  <c r="AC414" i="1"/>
  <c r="AC555" i="1"/>
  <c r="M4" i="1" l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S3" i="1"/>
  <c r="AA3" i="1"/>
  <c r="AC236" i="1"/>
  <c r="AC226" i="1"/>
  <c r="AC208" i="1"/>
  <c r="AC206" i="1"/>
  <c r="AC116" i="1"/>
  <c r="C1" i="7"/>
  <c r="D1" i="7" s="1"/>
  <c r="E1" i="7" s="1"/>
  <c r="F1" i="7" s="1"/>
  <c r="G1" i="7" s="1"/>
  <c r="H1" i="7" s="1"/>
  <c r="I1" i="7" s="1"/>
  <c r="J1" i="7" s="1"/>
  <c r="K1" i="7" s="1"/>
  <c r="L1" i="7" s="1"/>
  <c r="M1" i="7" s="1"/>
  <c r="C3102" i="5"/>
  <c r="C3101" i="5"/>
  <c r="C3100" i="5"/>
  <c r="C3099" i="5"/>
  <c r="C3098" i="5"/>
  <c r="C3097" i="5"/>
  <c r="C3096" i="5"/>
  <c r="C3095" i="5"/>
  <c r="C3094" i="5"/>
  <c r="C3093" i="5"/>
  <c r="C3092" i="5"/>
  <c r="C3091" i="5"/>
  <c r="C3090" i="5"/>
  <c r="C3089" i="5"/>
  <c r="C3088" i="5"/>
  <c r="C3087" i="5"/>
  <c r="C3086" i="5"/>
  <c r="C3085" i="5"/>
  <c r="C3084" i="5"/>
  <c r="C3083" i="5"/>
  <c r="C3082" i="5"/>
  <c r="C3081" i="5"/>
  <c r="C3080" i="5"/>
  <c r="C3079" i="5"/>
  <c r="C3078" i="5"/>
  <c r="C3077" i="5"/>
  <c r="C3076" i="5"/>
  <c r="C3075" i="5"/>
  <c r="C3074" i="5"/>
  <c r="C3073" i="5"/>
  <c r="C3072" i="5"/>
  <c r="C3071" i="5"/>
  <c r="C3070" i="5"/>
  <c r="C3069" i="5"/>
  <c r="C3068" i="5"/>
  <c r="C3067" i="5"/>
  <c r="C3066" i="5"/>
  <c r="C3065" i="5"/>
  <c r="C3064" i="5"/>
  <c r="C3063" i="5"/>
  <c r="C3062" i="5"/>
  <c r="C3061" i="5"/>
  <c r="C3060" i="5"/>
  <c r="C3059" i="5"/>
  <c r="C3058" i="5"/>
  <c r="C3057" i="5"/>
  <c r="C3056" i="5"/>
  <c r="C3055" i="5"/>
  <c r="C3054" i="5"/>
  <c r="C3053" i="5"/>
  <c r="C3052" i="5"/>
  <c r="C3051" i="5"/>
  <c r="C3050" i="5"/>
  <c r="C3049" i="5"/>
  <c r="C3048" i="5"/>
  <c r="C3047" i="5"/>
  <c r="C3046" i="5"/>
  <c r="C3045" i="5"/>
  <c r="C3044" i="5"/>
  <c r="C3043" i="5"/>
  <c r="C3042" i="5"/>
  <c r="C3041" i="5"/>
  <c r="C3040" i="5"/>
  <c r="C3039" i="5"/>
  <c r="C3038" i="5"/>
  <c r="C3037" i="5"/>
  <c r="C3036" i="5"/>
  <c r="C3035" i="5"/>
  <c r="C3034" i="5"/>
  <c r="C3033" i="5"/>
  <c r="C3032" i="5"/>
  <c r="C3031" i="5"/>
  <c r="C3030" i="5"/>
  <c r="C3029" i="5"/>
  <c r="C3028" i="5"/>
  <c r="C3027" i="5"/>
  <c r="C3026" i="5"/>
  <c r="C3025" i="5"/>
  <c r="C3024" i="5"/>
  <c r="C3023" i="5"/>
  <c r="C3022" i="5"/>
  <c r="C3021" i="5"/>
  <c r="C3020" i="5"/>
  <c r="C3019" i="5"/>
  <c r="C3018" i="5"/>
  <c r="C3017" i="5"/>
  <c r="C3016" i="5"/>
  <c r="C3015" i="5"/>
  <c r="C3014" i="5"/>
  <c r="C3013" i="5"/>
  <c r="C3012" i="5"/>
  <c r="C3011" i="5"/>
  <c r="C3010" i="5"/>
  <c r="C3009" i="5"/>
  <c r="C3008" i="5"/>
  <c r="C3007" i="5"/>
  <c r="C3006" i="5"/>
  <c r="C3005" i="5"/>
  <c r="C3004" i="5"/>
  <c r="C3003" i="5"/>
  <c r="C3002" i="5"/>
  <c r="C3001" i="5"/>
  <c r="C3000" i="5"/>
  <c r="C2999" i="5"/>
  <c r="C2998" i="5"/>
  <c r="C2997" i="5"/>
  <c r="C2996" i="5"/>
  <c r="C2995" i="5"/>
  <c r="C2994" i="5"/>
  <c r="C2993" i="5"/>
  <c r="C2992" i="5"/>
  <c r="C2991" i="5"/>
  <c r="C2990" i="5"/>
  <c r="C2989" i="5"/>
  <c r="C2988" i="5"/>
  <c r="C2987" i="5"/>
  <c r="C2986" i="5"/>
  <c r="C2985" i="5"/>
  <c r="C2984" i="5"/>
  <c r="C2983" i="5"/>
  <c r="C2982" i="5"/>
  <c r="C2981" i="5"/>
  <c r="C2980" i="5"/>
  <c r="C2979" i="5"/>
  <c r="C2978" i="5"/>
  <c r="C2977" i="5"/>
  <c r="C2976" i="5"/>
  <c r="C2975" i="5"/>
  <c r="C2974" i="5"/>
  <c r="C2973" i="5"/>
  <c r="C2972" i="5"/>
  <c r="C2971" i="5"/>
  <c r="C2970" i="5"/>
  <c r="C2969" i="5"/>
  <c r="C2968" i="5"/>
  <c r="C2967" i="5"/>
  <c r="C2966" i="5"/>
  <c r="C2965" i="5"/>
  <c r="C2964" i="5"/>
  <c r="C2963" i="5"/>
  <c r="C2962" i="5"/>
  <c r="C2961" i="5"/>
  <c r="C2960" i="5"/>
  <c r="C2959" i="5"/>
  <c r="C2958" i="5"/>
  <c r="C2957" i="5"/>
  <c r="C2956" i="5"/>
  <c r="C2955" i="5"/>
  <c r="C2954" i="5"/>
  <c r="C2953" i="5"/>
  <c r="C2952" i="5"/>
  <c r="C2951" i="5"/>
  <c r="C2950" i="5"/>
  <c r="C2949" i="5"/>
  <c r="C2948" i="5"/>
  <c r="C2947" i="5"/>
  <c r="C2946" i="5"/>
  <c r="C2945" i="5"/>
  <c r="C2944" i="5"/>
  <c r="C2943" i="5"/>
  <c r="C2942" i="5"/>
  <c r="C2941" i="5"/>
  <c r="C2940" i="5"/>
  <c r="C2939" i="5"/>
  <c r="C2938" i="5"/>
  <c r="C2937" i="5"/>
  <c r="C2936" i="5"/>
  <c r="C2935" i="5"/>
  <c r="C2934" i="5"/>
  <c r="C2933" i="5"/>
  <c r="C2932" i="5"/>
  <c r="C2931" i="5"/>
  <c r="C2930" i="5"/>
  <c r="C2929" i="5"/>
  <c r="C2928" i="5"/>
  <c r="C2927" i="5"/>
  <c r="C2926" i="5"/>
  <c r="C2925" i="5"/>
  <c r="C2924" i="5"/>
  <c r="C2923" i="5"/>
  <c r="C2922" i="5"/>
  <c r="C2921" i="5"/>
  <c r="C2920" i="5"/>
  <c r="C2919" i="5"/>
  <c r="C2918" i="5"/>
  <c r="C2917" i="5"/>
  <c r="C2916" i="5"/>
  <c r="C2915" i="5"/>
  <c r="C2914" i="5"/>
  <c r="C2913" i="5"/>
  <c r="C2912" i="5"/>
  <c r="C2911" i="5"/>
  <c r="C2910" i="5"/>
  <c r="C2909" i="5"/>
  <c r="C2908" i="5"/>
  <c r="C2907" i="5"/>
  <c r="C2906" i="5"/>
  <c r="C2905" i="5"/>
  <c r="C2904" i="5"/>
  <c r="C2903" i="5"/>
  <c r="C2902" i="5"/>
  <c r="C2901" i="5"/>
  <c r="C2900" i="5"/>
  <c r="C2899" i="5"/>
  <c r="C2898" i="5"/>
  <c r="C2897" i="5"/>
  <c r="C2896" i="5"/>
  <c r="C2895" i="5"/>
  <c r="C2894" i="5"/>
  <c r="C2893" i="5"/>
  <c r="C2892" i="5"/>
  <c r="C2891" i="5"/>
  <c r="C2890" i="5"/>
  <c r="C2889" i="5"/>
  <c r="C2888" i="5"/>
  <c r="C2887" i="5"/>
  <c r="C2886" i="5"/>
  <c r="C2885" i="5"/>
  <c r="C2884" i="5"/>
  <c r="C2883" i="5"/>
  <c r="C2882" i="5"/>
  <c r="C2881" i="5"/>
  <c r="C2880" i="5"/>
  <c r="C2879" i="5"/>
  <c r="C2878" i="5"/>
  <c r="C2877" i="5"/>
  <c r="C2876" i="5"/>
  <c r="C2875" i="5"/>
  <c r="C2874" i="5"/>
  <c r="C2873" i="5"/>
  <c r="C2872" i="5"/>
  <c r="C2871" i="5"/>
  <c r="C2870" i="5"/>
  <c r="C2869" i="5"/>
  <c r="C2868" i="5"/>
  <c r="C2867" i="5"/>
  <c r="C2866" i="5"/>
  <c r="C2865" i="5"/>
  <c r="C2864" i="5"/>
  <c r="C2863" i="5"/>
  <c r="C2862" i="5"/>
  <c r="C2861" i="5"/>
  <c r="C2860" i="5"/>
  <c r="C2859" i="5"/>
  <c r="C2858" i="5"/>
  <c r="C2857" i="5"/>
  <c r="C2856" i="5"/>
  <c r="C2855" i="5"/>
  <c r="C2854" i="5"/>
  <c r="C2853" i="5"/>
  <c r="C2852" i="5"/>
  <c r="C2851" i="5"/>
  <c r="C2850" i="5"/>
  <c r="C2849" i="5"/>
  <c r="C2848" i="5"/>
  <c r="C2847" i="5"/>
  <c r="C2846" i="5"/>
  <c r="C2845" i="5"/>
  <c r="C2844" i="5"/>
  <c r="C2843" i="5"/>
  <c r="C2842" i="5"/>
  <c r="C2841" i="5"/>
  <c r="C2840" i="5"/>
  <c r="C2839" i="5"/>
  <c r="C2838" i="5"/>
  <c r="C2837" i="5"/>
  <c r="C2836" i="5"/>
  <c r="C2835" i="5"/>
  <c r="C2834" i="5"/>
  <c r="C2833" i="5"/>
  <c r="C2832" i="5"/>
  <c r="C2831" i="5"/>
  <c r="C2830" i="5"/>
  <c r="C2829" i="5"/>
  <c r="C2828" i="5"/>
  <c r="C2827" i="5"/>
  <c r="C2826" i="5"/>
  <c r="C2825" i="5"/>
  <c r="C2824" i="5"/>
  <c r="C2823" i="5"/>
  <c r="C2822" i="5"/>
  <c r="C2821" i="5"/>
  <c r="C2820" i="5"/>
  <c r="C2819" i="5"/>
  <c r="C2818" i="5"/>
  <c r="C2817" i="5"/>
  <c r="C2816" i="5"/>
  <c r="C2815" i="5"/>
  <c r="C2814" i="5"/>
  <c r="C2813" i="5"/>
  <c r="C2812" i="5"/>
  <c r="C2811" i="5"/>
  <c r="C2810" i="5"/>
  <c r="C2809" i="5"/>
  <c r="C2808" i="5"/>
  <c r="C2807" i="5"/>
  <c r="C2806" i="5"/>
  <c r="C2805" i="5"/>
  <c r="C2804" i="5"/>
  <c r="C2803" i="5"/>
  <c r="C2802" i="5"/>
  <c r="C2801" i="5"/>
  <c r="C2800" i="5"/>
  <c r="C2799" i="5"/>
  <c r="C2798" i="5"/>
  <c r="C2797" i="5"/>
  <c r="C2796" i="5"/>
  <c r="C2795" i="5"/>
  <c r="C2794" i="5"/>
  <c r="C2793" i="5"/>
  <c r="C2792" i="5"/>
  <c r="C2791" i="5"/>
  <c r="C2790" i="5"/>
  <c r="C2789" i="5"/>
  <c r="C2788" i="5"/>
  <c r="C2787" i="5"/>
  <c r="C2786" i="5"/>
  <c r="C2785" i="5"/>
  <c r="C2784" i="5"/>
  <c r="C2783" i="5"/>
  <c r="C2782" i="5"/>
  <c r="C2781" i="5"/>
  <c r="C2780" i="5"/>
  <c r="C2779" i="5"/>
  <c r="C2778" i="5"/>
  <c r="C2777" i="5"/>
  <c r="C2776" i="5"/>
  <c r="C2775" i="5"/>
  <c r="C2774" i="5"/>
  <c r="C2773" i="5"/>
  <c r="C2772" i="5"/>
  <c r="C2771" i="5"/>
  <c r="C2770" i="5"/>
  <c r="C2769" i="5"/>
  <c r="C2768" i="5"/>
  <c r="C2767" i="5"/>
  <c r="C2766" i="5"/>
  <c r="C2765" i="5"/>
  <c r="C2764" i="5"/>
  <c r="C2763" i="5"/>
  <c r="C2762" i="5"/>
  <c r="C2761" i="5"/>
  <c r="C2760" i="5"/>
  <c r="C2759" i="5"/>
  <c r="C2758" i="5"/>
  <c r="C2757" i="5"/>
  <c r="C2756" i="5"/>
  <c r="C2755" i="5"/>
  <c r="C2754" i="5"/>
  <c r="C2753" i="5"/>
  <c r="C2752" i="5"/>
  <c r="C2751" i="5"/>
  <c r="C2750" i="5"/>
  <c r="C2749" i="5"/>
  <c r="C2748" i="5"/>
  <c r="C2747" i="5"/>
  <c r="C2746" i="5"/>
  <c r="C2745" i="5"/>
  <c r="C2744" i="5"/>
  <c r="C2743" i="5"/>
  <c r="C2742" i="5"/>
  <c r="C2741" i="5"/>
  <c r="C2740" i="5"/>
  <c r="C2739" i="5"/>
  <c r="C2738" i="5"/>
  <c r="C2737" i="5"/>
  <c r="C2736" i="5"/>
  <c r="C2735" i="5"/>
  <c r="C2734" i="5"/>
  <c r="C2733" i="5"/>
  <c r="C2732" i="5"/>
  <c r="C2731" i="5"/>
  <c r="C2730" i="5"/>
  <c r="C2729" i="5"/>
  <c r="C2728" i="5"/>
  <c r="C2727" i="5"/>
  <c r="C2726" i="5"/>
  <c r="C2725" i="5"/>
  <c r="C2724" i="5"/>
  <c r="C2723" i="5"/>
  <c r="C2722" i="5"/>
  <c r="C2721" i="5"/>
  <c r="C2720" i="5"/>
  <c r="C2719" i="5"/>
  <c r="C2718" i="5"/>
  <c r="C2717" i="5"/>
  <c r="C2716" i="5"/>
  <c r="C2715" i="5"/>
  <c r="C2714" i="5"/>
  <c r="C2713" i="5"/>
  <c r="C2712" i="5"/>
  <c r="C2711" i="5"/>
  <c r="C2710" i="5"/>
  <c r="C2709" i="5"/>
  <c r="C2708" i="5"/>
  <c r="C2707" i="5"/>
  <c r="C2706" i="5"/>
  <c r="C2705" i="5"/>
  <c r="C2704" i="5"/>
  <c r="C2703" i="5"/>
  <c r="C2702" i="5"/>
  <c r="C2701" i="5"/>
  <c r="C2700" i="5"/>
  <c r="C2699" i="5"/>
  <c r="C2698" i="5"/>
  <c r="C2697" i="5"/>
  <c r="C2696" i="5"/>
  <c r="C2695" i="5"/>
  <c r="C2694" i="5"/>
  <c r="C2693" i="5"/>
  <c r="C2692" i="5"/>
  <c r="C2691" i="5"/>
  <c r="C2690" i="5"/>
  <c r="C2689" i="5"/>
  <c r="C2688" i="5"/>
  <c r="C2687" i="5"/>
  <c r="C2686" i="5"/>
  <c r="C2685" i="5"/>
  <c r="C2684" i="5"/>
  <c r="C2683" i="5"/>
  <c r="C2682" i="5"/>
  <c r="C2681" i="5"/>
  <c r="C2680" i="5"/>
  <c r="C2679" i="5"/>
  <c r="C2678" i="5"/>
  <c r="C2677" i="5"/>
  <c r="C2676" i="5"/>
  <c r="C2675" i="5"/>
  <c r="C2674" i="5"/>
  <c r="C2673" i="5"/>
  <c r="C2672" i="5"/>
  <c r="C2671" i="5"/>
  <c r="C2670" i="5"/>
  <c r="C2669" i="5"/>
  <c r="C2668" i="5"/>
  <c r="C2667" i="5"/>
  <c r="C2666" i="5"/>
  <c r="C2665" i="5"/>
  <c r="C2664" i="5"/>
  <c r="C2663" i="5"/>
  <c r="C2662" i="5"/>
  <c r="C2661" i="5"/>
  <c r="C2660" i="5"/>
  <c r="C2659" i="5"/>
  <c r="C2658" i="5"/>
  <c r="C2657" i="5"/>
  <c r="C2656" i="5"/>
  <c r="C2655" i="5"/>
  <c r="C2654" i="5"/>
  <c r="C2653" i="5"/>
  <c r="C2652" i="5"/>
  <c r="C2651" i="5"/>
  <c r="C2650" i="5"/>
  <c r="C2649" i="5"/>
  <c r="C2648" i="5"/>
  <c r="C2647" i="5"/>
  <c r="C2646" i="5"/>
  <c r="C2645" i="5"/>
  <c r="C2644" i="5"/>
  <c r="C2643" i="5"/>
  <c r="C2642" i="5"/>
  <c r="C2641" i="5"/>
  <c r="C2640" i="5"/>
  <c r="C2639" i="5"/>
  <c r="C2638" i="5"/>
  <c r="C2637" i="5"/>
  <c r="C2636" i="5"/>
  <c r="C2635" i="5"/>
  <c r="C2634" i="5"/>
  <c r="C2633" i="5"/>
  <c r="C2632" i="5"/>
  <c r="C2631" i="5"/>
  <c r="C2630" i="5"/>
  <c r="C2629" i="5"/>
  <c r="C2628" i="5"/>
  <c r="C2627" i="5"/>
  <c r="C2626" i="5"/>
  <c r="C2625" i="5"/>
  <c r="C2624" i="5"/>
  <c r="C2623" i="5"/>
  <c r="C2622" i="5"/>
  <c r="C2621" i="5"/>
  <c r="C2620" i="5"/>
  <c r="C2619" i="5"/>
  <c r="C2618" i="5"/>
  <c r="C2617" i="5"/>
  <c r="C2616" i="5"/>
  <c r="C2615" i="5"/>
  <c r="C2614" i="5"/>
  <c r="C2613" i="5"/>
  <c r="C2612" i="5"/>
  <c r="C2611" i="5"/>
  <c r="C2610" i="5"/>
  <c r="C2609" i="5"/>
  <c r="C2608" i="5"/>
  <c r="C2607" i="5"/>
  <c r="C2606" i="5"/>
  <c r="C2605" i="5"/>
  <c r="C2604" i="5"/>
  <c r="C2603" i="5"/>
  <c r="C2602" i="5"/>
  <c r="C2601" i="5"/>
  <c r="C2600" i="5"/>
  <c r="C2599" i="5"/>
  <c r="C2598" i="5"/>
  <c r="C2597" i="5"/>
  <c r="C2596" i="5"/>
  <c r="C2595" i="5"/>
  <c r="C2594" i="5"/>
  <c r="C2593" i="5"/>
  <c r="C2592" i="5"/>
  <c r="C2591" i="5"/>
  <c r="C2590" i="5"/>
  <c r="C2589" i="5"/>
  <c r="C2588" i="5"/>
  <c r="C2587" i="5"/>
  <c r="C2586" i="5"/>
  <c r="C2585" i="5"/>
  <c r="C2584" i="5"/>
  <c r="C2583" i="5"/>
  <c r="C2582" i="5"/>
  <c r="C2581" i="5"/>
  <c r="C2580" i="5"/>
  <c r="C2579" i="5"/>
  <c r="C2578" i="5"/>
  <c r="C2577" i="5"/>
  <c r="C2576" i="5"/>
  <c r="C2575" i="5"/>
  <c r="C2574" i="5"/>
  <c r="C2573" i="5"/>
  <c r="C2572" i="5"/>
  <c r="C2571" i="5"/>
  <c r="C2570" i="5"/>
  <c r="C2569" i="5"/>
  <c r="C2568" i="5"/>
  <c r="C2567" i="5"/>
  <c r="C2566" i="5"/>
  <c r="C2565" i="5"/>
  <c r="C2564" i="5"/>
  <c r="C2563" i="5"/>
  <c r="C2562" i="5"/>
  <c r="C2561" i="5"/>
  <c r="C2560" i="5"/>
  <c r="C2559" i="5"/>
  <c r="C2558" i="5"/>
  <c r="C2557" i="5"/>
  <c r="C2556" i="5"/>
  <c r="C2555" i="5"/>
  <c r="C2554" i="5"/>
  <c r="C2553" i="5"/>
  <c r="C2552" i="5"/>
  <c r="C2551" i="5"/>
  <c r="C2550" i="5"/>
  <c r="C2549" i="5"/>
  <c r="C2548" i="5"/>
  <c r="C2547" i="5"/>
  <c r="C2546" i="5"/>
  <c r="C2545" i="5"/>
  <c r="C2544" i="5"/>
  <c r="C2543" i="5"/>
  <c r="C2542" i="5"/>
  <c r="C2541" i="5"/>
  <c r="C2540" i="5"/>
  <c r="C2539" i="5"/>
  <c r="C2538" i="5"/>
  <c r="C2537" i="5"/>
  <c r="C2536" i="5"/>
  <c r="C2535" i="5"/>
  <c r="C2534" i="5"/>
  <c r="C2533" i="5"/>
  <c r="C2532" i="5"/>
  <c r="C2531" i="5"/>
  <c r="C2530" i="5"/>
  <c r="C2529" i="5"/>
  <c r="C2528" i="5"/>
  <c r="C2527" i="5"/>
  <c r="C2526" i="5"/>
  <c r="C2525" i="5"/>
  <c r="C2524" i="5"/>
  <c r="C2523" i="5"/>
  <c r="C2522" i="5"/>
  <c r="C2521" i="5"/>
  <c r="C2520" i="5"/>
  <c r="C2519" i="5"/>
  <c r="C2518" i="5"/>
  <c r="C2517" i="5"/>
  <c r="C2516" i="5"/>
  <c r="C2515" i="5"/>
  <c r="C2514" i="5"/>
  <c r="C2513" i="5"/>
  <c r="C2512" i="5"/>
  <c r="C2511" i="5"/>
  <c r="C2510" i="5"/>
  <c r="C2509" i="5"/>
  <c r="C2508" i="5"/>
  <c r="C2507" i="5"/>
  <c r="C2506" i="5"/>
  <c r="C2505" i="5"/>
  <c r="C2504" i="5"/>
  <c r="C2503" i="5"/>
  <c r="C2502" i="5"/>
  <c r="C2501" i="5"/>
  <c r="C2500" i="5"/>
  <c r="C2499" i="5"/>
  <c r="C2498" i="5"/>
  <c r="C2497" i="5"/>
  <c r="C2496" i="5"/>
  <c r="C2495" i="5"/>
  <c r="C2494" i="5"/>
  <c r="C2493" i="5"/>
  <c r="C2492" i="5"/>
  <c r="C2491" i="5"/>
  <c r="C2490" i="5"/>
  <c r="C2489" i="5"/>
  <c r="C2488" i="5"/>
  <c r="C2487" i="5"/>
  <c r="C2486" i="5"/>
  <c r="C2485" i="5"/>
  <c r="C2484" i="5"/>
  <c r="C2483" i="5"/>
  <c r="C2482" i="5"/>
  <c r="C2481" i="5"/>
  <c r="C2480" i="5"/>
  <c r="C2479" i="5"/>
  <c r="C2478" i="5"/>
  <c r="C2477" i="5"/>
  <c r="C2476" i="5"/>
  <c r="C2475" i="5"/>
  <c r="C2474" i="5"/>
  <c r="C2473" i="5"/>
  <c r="C2472" i="5"/>
  <c r="C2471" i="5"/>
  <c r="C2470" i="5"/>
  <c r="C2469" i="5"/>
  <c r="C2468" i="5"/>
  <c r="C2467" i="5"/>
  <c r="C2466" i="5"/>
  <c r="C2465" i="5"/>
  <c r="C2464" i="5"/>
  <c r="C2463" i="5"/>
  <c r="C2462" i="5"/>
  <c r="C2461" i="5"/>
  <c r="C2460" i="5"/>
  <c r="C2459" i="5"/>
  <c r="C2458" i="5"/>
  <c r="C2457" i="5"/>
  <c r="C2456" i="5"/>
  <c r="C2455" i="5"/>
  <c r="C2454" i="5"/>
  <c r="C2453" i="5"/>
  <c r="C2452" i="5"/>
  <c r="C2451" i="5"/>
  <c r="C2450" i="5"/>
  <c r="C2449" i="5"/>
  <c r="C2448" i="5"/>
  <c r="C2447" i="5"/>
  <c r="C2446" i="5"/>
  <c r="C2445" i="5"/>
  <c r="C2444" i="5"/>
  <c r="C2443" i="5"/>
  <c r="C2442" i="5"/>
  <c r="C2441" i="5"/>
  <c r="C2440" i="5"/>
  <c r="C2439" i="5"/>
  <c r="C2438" i="5"/>
  <c r="C2437" i="5"/>
  <c r="C2436" i="5"/>
  <c r="C2435" i="5"/>
  <c r="C2434" i="5"/>
  <c r="C2433" i="5"/>
  <c r="C2432" i="5"/>
  <c r="C2431" i="5"/>
  <c r="C2430" i="5"/>
  <c r="C2429" i="5"/>
  <c r="C2428" i="5"/>
  <c r="C2427" i="5"/>
  <c r="C2426" i="5"/>
  <c r="C2425" i="5"/>
  <c r="C2424" i="5"/>
  <c r="C2423" i="5"/>
  <c r="C2422" i="5"/>
  <c r="C2421" i="5"/>
  <c r="C2420" i="5"/>
  <c r="C2419" i="5"/>
  <c r="C2418" i="5"/>
  <c r="C2417" i="5"/>
  <c r="C2416" i="5"/>
  <c r="C2415" i="5"/>
  <c r="C2414" i="5"/>
  <c r="C2413" i="5"/>
  <c r="C2412" i="5"/>
  <c r="C2411" i="5"/>
  <c r="C2410" i="5"/>
  <c r="C2409" i="5"/>
  <c r="C2408" i="5"/>
  <c r="C2407" i="5"/>
  <c r="C2406" i="5"/>
  <c r="C2405" i="5"/>
  <c r="C2404" i="5"/>
  <c r="C2403" i="5"/>
  <c r="C2402" i="5"/>
  <c r="C2401" i="5"/>
  <c r="C2400" i="5"/>
  <c r="C2399" i="5"/>
  <c r="C2398" i="5"/>
  <c r="C2397" i="5"/>
  <c r="C2396" i="5"/>
  <c r="C2395" i="5"/>
  <c r="C2394" i="5"/>
  <c r="C2393" i="5"/>
  <c r="C2392" i="5"/>
  <c r="C2391" i="5"/>
  <c r="C2390" i="5"/>
  <c r="C2389" i="5"/>
  <c r="C2388" i="5"/>
  <c r="C2387" i="5"/>
  <c r="C2386" i="5"/>
  <c r="C2385" i="5"/>
  <c r="C2384" i="5"/>
  <c r="C2383" i="5"/>
  <c r="C2382" i="5"/>
  <c r="C2381" i="5"/>
  <c r="C2380" i="5"/>
  <c r="C2379" i="5"/>
  <c r="C2378" i="5"/>
  <c r="C2377" i="5"/>
  <c r="C2376" i="5"/>
  <c r="C2375" i="5"/>
  <c r="C2374" i="5"/>
  <c r="C2373" i="5"/>
  <c r="C2372" i="5"/>
  <c r="C2371" i="5"/>
  <c r="C2370" i="5"/>
  <c r="C2369" i="5"/>
  <c r="C2368" i="5"/>
  <c r="C2367" i="5"/>
  <c r="C2366" i="5"/>
  <c r="C2365" i="5"/>
  <c r="C2364" i="5"/>
  <c r="C2363" i="5"/>
  <c r="C2362" i="5"/>
  <c r="C2361" i="5"/>
  <c r="C2360" i="5"/>
  <c r="C2359" i="5"/>
  <c r="C2358" i="5"/>
  <c r="C2357" i="5"/>
  <c r="C2356" i="5"/>
  <c r="C2355" i="5"/>
  <c r="C2354" i="5"/>
  <c r="C2353" i="5"/>
  <c r="C2352" i="5"/>
  <c r="C2351" i="5"/>
  <c r="C2350" i="5"/>
  <c r="C2349" i="5"/>
  <c r="C2348" i="5"/>
  <c r="C2347" i="5"/>
  <c r="C2346" i="5"/>
  <c r="C2345" i="5"/>
  <c r="C2344" i="5"/>
  <c r="C2343" i="5"/>
  <c r="C2342" i="5"/>
  <c r="C2341" i="5"/>
  <c r="C2340" i="5"/>
  <c r="C2339" i="5"/>
  <c r="C2338" i="5"/>
  <c r="C2337" i="5"/>
  <c r="C2336" i="5"/>
  <c r="C2335" i="5"/>
  <c r="C2334" i="5"/>
  <c r="C2333" i="5"/>
  <c r="C2332" i="5"/>
  <c r="C2331" i="5"/>
  <c r="C2330" i="5"/>
  <c r="C2329" i="5"/>
  <c r="C2328" i="5"/>
  <c r="C2327" i="5"/>
  <c r="C2326" i="5"/>
  <c r="C2325" i="5"/>
  <c r="C2324" i="5"/>
  <c r="C2323" i="5"/>
  <c r="C2322" i="5"/>
  <c r="C2321" i="5"/>
  <c r="C2320" i="5"/>
  <c r="C2319" i="5"/>
  <c r="C2318" i="5"/>
  <c r="C2317" i="5"/>
  <c r="C2316" i="5"/>
  <c r="C2315" i="5"/>
  <c r="C2314" i="5"/>
  <c r="C2313" i="5"/>
  <c r="C2312" i="5"/>
  <c r="C2311" i="5"/>
  <c r="C2310" i="5"/>
  <c r="C2309" i="5"/>
  <c r="C2308" i="5"/>
  <c r="C2307" i="5"/>
  <c r="C2306" i="5"/>
  <c r="C2305" i="5"/>
  <c r="C2304" i="5"/>
  <c r="C2303" i="5"/>
  <c r="C2302" i="5"/>
  <c r="C2301" i="5"/>
  <c r="C2300" i="5"/>
  <c r="C2299" i="5"/>
  <c r="C2298" i="5"/>
  <c r="C2297" i="5"/>
  <c r="C2296" i="5"/>
  <c r="C2295" i="5"/>
  <c r="C2294" i="5"/>
  <c r="C2293" i="5"/>
  <c r="C2292" i="5"/>
  <c r="C2291" i="5"/>
  <c r="C2290" i="5"/>
  <c r="C2289" i="5"/>
  <c r="C2288" i="5"/>
  <c r="C2287" i="5"/>
  <c r="C2286" i="5"/>
  <c r="C2285" i="5"/>
  <c r="C2284" i="5"/>
  <c r="C2283" i="5"/>
  <c r="C2282" i="5"/>
  <c r="C2281" i="5"/>
  <c r="C2280" i="5"/>
  <c r="C2279" i="5"/>
  <c r="C2278" i="5"/>
  <c r="C2277" i="5"/>
  <c r="C2276" i="5"/>
  <c r="C2275" i="5"/>
  <c r="C2274" i="5"/>
  <c r="C2273" i="5"/>
  <c r="C2272" i="5"/>
  <c r="C2271" i="5"/>
  <c r="C2270" i="5"/>
  <c r="C2269" i="5"/>
  <c r="C2268" i="5"/>
  <c r="C2267" i="5"/>
  <c r="C2266" i="5"/>
  <c r="C2265" i="5"/>
  <c r="C2264" i="5"/>
  <c r="C2263" i="5"/>
  <c r="C2262" i="5"/>
  <c r="C2261" i="5"/>
  <c r="C2260" i="5"/>
  <c r="C2259" i="5"/>
  <c r="C2258" i="5"/>
  <c r="C2257" i="5"/>
  <c r="C2256" i="5"/>
  <c r="C2255" i="5"/>
  <c r="C2254" i="5"/>
  <c r="C2253" i="5"/>
  <c r="C2252" i="5"/>
  <c r="C2251" i="5"/>
  <c r="C2250" i="5"/>
  <c r="C2249" i="5"/>
  <c r="C2248" i="5"/>
  <c r="C2247" i="5"/>
  <c r="C2246" i="5"/>
  <c r="C2245" i="5"/>
  <c r="C2244" i="5"/>
  <c r="C2243" i="5"/>
  <c r="C2242" i="5"/>
  <c r="C2241" i="5"/>
  <c r="C2240" i="5"/>
  <c r="C2239" i="5"/>
  <c r="C2238" i="5"/>
  <c r="C2237" i="5"/>
  <c r="C2236" i="5"/>
  <c r="C2235" i="5"/>
  <c r="C2234" i="5"/>
  <c r="C2233" i="5"/>
  <c r="C2232" i="5"/>
  <c r="C2231" i="5"/>
  <c r="C2230" i="5"/>
  <c r="C2229" i="5"/>
  <c r="C2228" i="5"/>
  <c r="C2227" i="5"/>
  <c r="C2226" i="5"/>
  <c r="C2225" i="5"/>
  <c r="C2224" i="5"/>
  <c r="C2223" i="5"/>
  <c r="C2222" i="5"/>
  <c r="C2221" i="5"/>
  <c r="C2220" i="5"/>
  <c r="C2219" i="5"/>
  <c r="C2218" i="5"/>
  <c r="C2217" i="5"/>
  <c r="C2216" i="5"/>
  <c r="C2215" i="5"/>
  <c r="C2214" i="5"/>
  <c r="C2213" i="5"/>
  <c r="C2212" i="5"/>
  <c r="C2211" i="5"/>
  <c r="C2210" i="5"/>
  <c r="C2209" i="5"/>
  <c r="C2208" i="5"/>
  <c r="C2207" i="5"/>
  <c r="C2206" i="5"/>
  <c r="C2205" i="5"/>
  <c r="C2204" i="5"/>
  <c r="C2203" i="5"/>
  <c r="C2202" i="5"/>
  <c r="C2201" i="5"/>
  <c r="C2200" i="5"/>
  <c r="C2199" i="5"/>
  <c r="C2198" i="5"/>
  <c r="C2197" i="5"/>
  <c r="C2196" i="5"/>
  <c r="C2195" i="5"/>
  <c r="C2194" i="5"/>
  <c r="C2193" i="5"/>
  <c r="C2192" i="5"/>
  <c r="C2191" i="5"/>
  <c r="C2190" i="5"/>
  <c r="C2189" i="5"/>
  <c r="C2188" i="5"/>
  <c r="C2187" i="5"/>
  <c r="C2186" i="5"/>
  <c r="C2185" i="5"/>
  <c r="C2184" i="5"/>
  <c r="C2183" i="5"/>
  <c r="C2182" i="5"/>
  <c r="C2181" i="5"/>
  <c r="C2180" i="5"/>
  <c r="C2179" i="5"/>
  <c r="C2178" i="5"/>
  <c r="C2177" i="5"/>
  <c r="C2176" i="5"/>
  <c r="C2175" i="5"/>
  <c r="C2174" i="5"/>
  <c r="C2173" i="5"/>
  <c r="C2172" i="5"/>
  <c r="C2171" i="5"/>
  <c r="C2170" i="5"/>
  <c r="C2169" i="5"/>
  <c r="C2168" i="5"/>
  <c r="C2167" i="5"/>
  <c r="C2166" i="5"/>
  <c r="C2165" i="5"/>
  <c r="C2164" i="5"/>
  <c r="C2163" i="5"/>
  <c r="C2162" i="5"/>
  <c r="C2161" i="5"/>
  <c r="C2160" i="5"/>
  <c r="C2159" i="5"/>
  <c r="C2158" i="5"/>
  <c r="C2157" i="5"/>
  <c r="C2156" i="5"/>
  <c r="C2155" i="5"/>
  <c r="C2154" i="5"/>
  <c r="C2153" i="5"/>
  <c r="C2152" i="5"/>
  <c r="C2151" i="5"/>
  <c r="C2150" i="5"/>
  <c r="C2149" i="5"/>
  <c r="C2148" i="5"/>
  <c r="C2147" i="5"/>
  <c r="C2146" i="5"/>
  <c r="C2145" i="5"/>
  <c r="C2144" i="5"/>
  <c r="C2143" i="5"/>
  <c r="C2142" i="5"/>
  <c r="C2141" i="5"/>
  <c r="C2140" i="5"/>
  <c r="C2139" i="5"/>
  <c r="C2138" i="5"/>
  <c r="C2137" i="5"/>
  <c r="C2136" i="5"/>
  <c r="C2135" i="5"/>
  <c r="C2134" i="5"/>
  <c r="C2133" i="5"/>
  <c r="C2132" i="5"/>
  <c r="C2131" i="5"/>
  <c r="C2130" i="5"/>
  <c r="C2129" i="5"/>
  <c r="C2128" i="5"/>
  <c r="C2127" i="5"/>
  <c r="C2126" i="5"/>
  <c r="C2125" i="5"/>
  <c r="C2124" i="5"/>
  <c r="C2123" i="5"/>
  <c r="C2122" i="5"/>
  <c r="C2121" i="5"/>
  <c r="C2120" i="5"/>
  <c r="C2119" i="5"/>
  <c r="C2118" i="5"/>
  <c r="C2117" i="5"/>
  <c r="C2116" i="5"/>
  <c r="C2115" i="5"/>
  <c r="C2114" i="5"/>
  <c r="C2113" i="5"/>
  <c r="C2112" i="5"/>
  <c r="C2111" i="5"/>
  <c r="C2110" i="5"/>
  <c r="C2109" i="5"/>
  <c r="C2108" i="5"/>
  <c r="C2107" i="5"/>
  <c r="C2106" i="5"/>
  <c r="C2105" i="5"/>
  <c r="C2104" i="5"/>
  <c r="C2103" i="5"/>
  <c r="C2102" i="5"/>
  <c r="C2101" i="5"/>
  <c r="C2100" i="5"/>
  <c r="C2099" i="5"/>
  <c r="C2098" i="5"/>
  <c r="C2097" i="5"/>
  <c r="C2096" i="5"/>
  <c r="C2095" i="5"/>
  <c r="C2094" i="5"/>
  <c r="C2093" i="5"/>
  <c r="C2092" i="5"/>
  <c r="C2091" i="5"/>
  <c r="C2090" i="5"/>
  <c r="C2089" i="5"/>
  <c r="C2088" i="5"/>
  <c r="C2087" i="5"/>
  <c r="C2086" i="5"/>
  <c r="C2085" i="5"/>
  <c r="C2084" i="5"/>
  <c r="C2083" i="5"/>
  <c r="C2082" i="5"/>
  <c r="C2081" i="5"/>
  <c r="C2080" i="5"/>
  <c r="C2079" i="5"/>
  <c r="C2078" i="5"/>
  <c r="C2077" i="5"/>
  <c r="C2076" i="5"/>
  <c r="C2075" i="5"/>
  <c r="C2074" i="5"/>
  <c r="C2073" i="5"/>
  <c r="C2072" i="5"/>
  <c r="C2071" i="5"/>
  <c r="C2070" i="5"/>
  <c r="C2069" i="5"/>
  <c r="C2068" i="5"/>
  <c r="C2067" i="5"/>
  <c r="C2066" i="5"/>
  <c r="C2065" i="5"/>
  <c r="C2064" i="5"/>
  <c r="C2063" i="5"/>
  <c r="C2062" i="5"/>
  <c r="C2061" i="5"/>
  <c r="C2060" i="5"/>
  <c r="C2059" i="5"/>
  <c r="C2058" i="5"/>
  <c r="C2057" i="5"/>
  <c r="C2056" i="5"/>
  <c r="C2055" i="5"/>
  <c r="C2054" i="5"/>
  <c r="C2053" i="5"/>
  <c r="C2052" i="5"/>
  <c r="C2051" i="5"/>
  <c r="C2050" i="5"/>
  <c r="C2049" i="5"/>
  <c r="C2048" i="5"/>
  <c r="C2047" i="5"/>
  <c r="C2046" i="5"/>
  <c r="C2045" i="5"/>
  <c r="C2044" i="5"/>
  <c r="C2043" i="5"/>
  <c r="C2042" i="5"/>
  <c r="C2041" i="5"/>
  <c r="C2040" i="5"/>
  <c r="C2039" i="5"/>
  <c r="C2038" i="5"/>
  <c r="C2037" i="5"/>
  <c r="C2036" i="5"/>
  <c r="C2035" i="5"/>
  <c r="C2034" i="5"/>
  <c r="C2033" i="5"/>
  <c r="C2032" i="5"/>
  <c r="C2031" i="5"/>
  <c r="C2030" i="5"/>
  <c r="C2029" i="5"/>
  <c r="C2028" i="5"/>
  <c r="C2027" i="5"/>
  <c r="C2026" i="5"/>
  <c r="C2025" i="5"/>
  <c r="C2024" i="5"/>
  <c r="C2023" i="5"/>
  <c r="C2022" i="5"/>
  <c r="C2021" i="5"/>
  <c r="C2020" i="5"/>
  <c r="C2019" i="5"/>
  <c r="C2018" i="5"/>
  <c r="C2017" i="5"/>
  <c r="C2016" i="5"/>
  <c r="C2015" i="5"/>
  <c r="C2014" i="5"/>
  <c r="C2013" i="5"/>
  <c r="C2012" i="5"/>
  <c r="C2011" i="5"/>
  <c r="C2010" i="5"/>
  <c r="C2009" i="5"/>
  <c r="C2008" i="5"/>
  <c r="C2007" i="5"/>
  <c r="C2006" i="5"/>
  <c r="C2005" i="5"/>
  <c r="C2004" i="5"/>
  <c r="C2003" i="5"/>
  <c r="C2002" i="5"/>
  <c r="C2001" i="5"/>
  <c r="C2000" i="5"/>
  <c r="C1999" i="5"/>
  <c r="C1998" i="5"/>
  <c r="C1997" i="5"/>
  <c r="C1996" i="5"/>
  <c r="C1995" i="5"/>
  <c r="C1994" i="5"/>
  <c r="C1993" i="5"/>
  <c r="C1992" i="5"/>
  <c r="C1991" i="5"/>
  <c r="C1990" i="5"/>
  <c r="C1989" i="5"/>
  <c r="C1988" i="5"/>
  <c r="C1987" i="5"/>
  <c r="C1986" i="5"/>
  <c r="C1985" i="5"/>
  <c r="C1984" i="5"/>
  <c r="C1983" i="5"/>
  <c r="C1982" i="5"/>
  <c r="C1981" i="5"/>
  <c r="C1980" i="5"/>
  <c r="C1979" i="5"/>
  <c r="C1978" i="5"/>
  <c r="C1977" i="5"/>
  <c r="C1976" i="5"/>
  <c r="C1975" i="5"/>
  <c r="C1974" i="5"/>
  <c r="C1973" i="5"/>
  <c r="C1972" i="5"/>
  <c r="C1971" i="5"/>
  <c r="C1970" i="5"/>
  <c r="C1969" i="5"/>
  <c r="C1968" i="5"/>
  <c r="C1967" i="5"/>
  <c r="C1966" i="5"/>
  <c r="C1965" i="5"/>
  <c r="C1964" i="5"/>
  <c r="C1963" i="5"/>
  <c r="C1962" i="5"/>
  <c r="C1961" i="5"/>
  <c r="C1960" i="5"/>
  <c r="C1959" i="5"/>
  <c r="C1958" i="5"/>
  <c r="C1957" i="5"/>
  <c r="C1956" i="5"/>
  <c r="C1955" i="5"/>
  <c r="C1954" i="5"/>
  <c r="C1953" i="5"/>
  <c r="C1952" i="5"/>
  <c r="C1951" i="5"/>
  <c r="C1950" i="5"/>
  <c r="C1949" i="5"/>
  <c r="C1948" i="5"/>
  <c r="C1947" i="5"/>
  <c r="C1946" i="5"/>
  <c r="C1945" i="5"/>
  <c r="C1944" i="5"/>
  <c r="C1943" i="5"/>
  <c r="C1942" i="5"/>
  <c r="C1941" i="5"/>
  <c r="C1940" i="5"/>
  <c r="C1939" i="5"/>
  <c r="C1938" i="5"/>
  <c r="C1937" i="5"/>
  <c r="C1936" i="5"/>
  <c r="C1935" i="5"/>
  <c r="C1934" i="5"/>
  <c r="C1933" i="5"/>
  <c r="C1932" i="5"/>
  <c r="C1931" i="5"/>
  <c r="C1930" i="5"/>
  <c r="C1929" i="5"/>
  <c r="C1928" i="5"/>
  <c r="C1927" i="5"/>
  <c r="C1926" i="5"/>
  <c r="C1925" i="5"/>
  <c r="C1924" i="5"/>
  <c r="C1923" i="5"/>
  <c r="C1922" i="5"/>
  <c r="C1921" i="5"/>
  <c r="C1920" i="5"/>
  <c r="C1919" i="5"/>
  <c r="C1918" i="5"/>
  <c r="C1917" i="5"/>
  <c r="C1916" i="5"/>
  <c r="C1915" i="5"/>
  <c r="C1914" i="5"/>
  <c r="C1913" i="5"/>
  <c r="C1912" i="5"/>
  <c r="C1911" i="5"/>
  <c r="C1910" i="5"/>
  <c r="C1909" i="5"/>
  <c r="C1908" i="5"/>
  <c r="C1907" i="5"/>
  <c r="C1906" i="5"/>
  <c r="C1905" i="5"/>
  <c r="C1904" i="5"/>
  <c r="C1903" i="5"/>
  <c r="C1902" i="5"/>
  <c r="C1901" i="5"/>
  <c r="C1900" i="5"/>
  <c r="C1899" i="5"/>
  <c r="C1898" i="5"/>
  <c r="C1897" i="5"/>
  <c r="C1896" i="5"/>
  <c r="C1895" i="5"/>
  <c r="C1894" i="5"/>
  <c r="C1893" i="5"/>
  <c r="C1892" i="5"/>
  <c r="C1891" i="5"/>
  <c r="C1890" i="5"/>
  <c r="C1889" i="5"/>
  <c r="C1888" i="5"/>
  <c r="C1887" i="5"/>
  <c r="C1886" i="5"/>
  <c r="C1885" i="5"/>
  <c r="C1884" i="5"/>
  <c r="C1883" i="5"/>
  <c r="C1882" i="5"/>
  <c r="C1881" i="5"/>
  <c r="C1880" i="5"/>
  <c r="C1879" i="5"/>
  <c r="C1878" i="5"/>
  <c r="C1877" i="5"/>
  <c r="C1876" i="5"/>
  <c r="C1875" i="5"/>
  <c r="C1874" i="5"/>
  <c r="C1873" i="5"/>
  <c r="C1872" i="5"/>
  <c r="C1871" i="5"/>
  <c r="C1870" i="5"/>
  <c r="C1869" i="5"/>
  <c r="C1868" i="5"/>
  <c r="C1867" i="5"/>
  <c r="C1866" i="5"/>
  <c r="C1865" i="5"/>
  <c r="C1864" i="5"/>
  <c r="C1863" i="5"/>
  <c r="C1862" i="5"/>
  <c r="C1861" i="5"/>
  <c r="C1860" i="5"/>
  <c r="C1859" i="5"/>
  <c r="C1858" i="5"/>
  <c r="C1857" i="5"/>
  <c r="C1856" i="5"/>
  <c r="C1855" i="5"/>
  <c r="C1854" i="5"/>
  <c r="C1853" i="5"/>
  <c r="C1852" i="5"/>
  <c r="C1851" i="5"/>
  <c r="C1850" i="5"/>
  <c r="C1849" i="5"/>
  <c r="C1848" i="5"/>
  <c r="C1847" i="5"/>
  <c r="C1846" i="5"/>
  <c r="C1845" i="5"/>
  <c r="C1844" i="5"/>
  <c r="C1843" i="5"/>
  <c r="C1842" i="5"/>
  <c r="C1841" i="5"/>
  <c r="C1840" i="5"/>
  <c r="C1839" i="5"/>
  <c r="C1838" i="5"/>
  <c r="C1837" i="5"/>
  <c r="C1836" i="5"/>
  <c r="C1835" i="5"/>
  <c r="C1834" i="5"/>
  <c r="C1833" i="5"/>
  <c r="C1832" i="5"/>
  <c r="C1831" i="5"/>
  <c r="C1830" i="5"/>
  <c r="C1829" i="5"/>
  <c r="C1828" i="5"/>
  <c r="C1827" i="5"/>
  <c r="C1826" i="5"/>
  <c r="C1825" i="5"/>
  <c r="C1824" i="5"/>
  <c r="C1823" i="5"/>
  <c r="C1822" i="5"/>
  <c r="C1821" i="5"/>
  <c r="C1820" i="5"/>
  <c r="C1819" i="5"/>
  <c r="C1818" i="5"/>
  <c r="C1817" i="5"/>
  <c r="C1816" i="5"/>
  <c r="C1815" i="5"/>
  <c r="C1814" i="5"/>
  <c r="C1813" i="5"/>
  <c r="C1812" i="5"/>
  <c r="C1811" i="5"/>
  <c r="C1810" i="5"/>
  <c r="C1809" i="5"/>
  <c r="C1808" i="5"/>
  <c r="C1807" i="5"/>
  <c r="C1806" i="5"/>
  <c r="C1805" i="5"/>
  <c r="C1804" i="5"/>
  <c r="C1803" i="5"/>
  <c r="C1802" i="5"/>
  <c r="C1801" i="5"/>
  <c r="C1800" i="5"/>
  <c r="C1799" i="5"/>
  <c r="C1798" i="5"/>
  <c r="C1797" i="5"/>
  <c r="C1796" i="5"/>
  <c r="C1795" i="5"/>
  <c r="C1794" i="5"/>
  <c r="C1793" i="5"/>
  <c r="C1792" i="5"/>
  <c r="C1791" i="5"/>
  <c r="C1790" i="5"/>
  <c r="C1789" i="5"/>
  <c r="C1788" i="5"/>
  <c r="C1787" i="5"/>
  <c r="C1786" i="5"/>
  <c r="C1785" i="5"/>
  <c r="C1784" i="5"/>
  <c r="C1783" i="5"/>
  <c r="C1782" i="5"/>
  <c r="C1781" i="5"/>
  <c r="C1780" i="5"/>
  <c r="C1779" i="5"/>
  <c r="C1778" i="5"/>
  <c r="C1777" i="5"/>
  <c r="C1776" i="5"/>
  <c r="C1775" i="5"/>
  <c r="C1774" i="5"/>
  <c r="C1773" i="5"/>
  <c r="C1772" i="5"/>
  <c r="C1771" i="5"/>
  <c r="C1770" i="5"/>
  <c r="C1769" i="5"/>
  <c r="C1768" i="5"/>
  <c r="C1767" i="5"/>
  <c r="C1766" i="5"/>
  <c r="C1765" i="5"/>
  <c r="C1764" i="5"/>
  <c r="C1763" i="5"/>
  <c r="C1762" i="5"/>
  <c r="C1761" i="5"/>
  <c r="C1760" i="5"/>
  <c r="C1759" i="5"/>
  <c r="C1758" i="5"/>
  <c r="C1757" i="5"/>
  <c r="C1756" i="5"/>
  <c r="C1755" i="5"/>
  <c r="C1754" i="5"/>
  <c r="C1753" i="5"/>
  <c r="C1752" i="5"/>
  <c r="C1751" i="5"/>
  <c r="C1750" i="5"/>
  <c r="C1749" i="5"/>
  <c r="C1748" i="5"/>
  <c r="C1747" i="5"/>
  <c r="C1746" i="5"/>
  <c r="C1745" i="5"/>
  <c r="C1744" i="5"/>
  <c r="C1743" i="5"/>
  <c r="C1742" i="5"/>
  <c r="C1741" i="5"/>
  <c r="C1740" i="5"/>
  <c r="C1739" i="5"/>
  <c r="C1738" i="5"/>
  <c r="C1737" i="5"/>
  <c r="C1736" i="5"/>
  <c r="C1735" i="5"/>
  <c r="C1734" i="5"/>
  <c r="C1733" i="5"/>
  <c r="C1732" i="5"/>
  <c r="C1731" i="5"/>
  <c r="C1730" i="5"/>
  <c r="C1729" i="5"/>
  <c r="C1728" i="5"/>
  <c r="C1727" i="5"/>
  <c r="C1726" i="5"/>
  <c r="C1725" i="5"/>
  <c r="C1724" i="5"/>
  <c r="C1723" i="5"/>
  <c r="C1722" i="5"/>
  <c r="C1721" i="5"/>
  <c r="C1720" i="5"/>
  <c r="C1719" i="5"/>
  <c r="C1718" i="5"/>
  <c r="C1717" i="5"/>
  <c r="C1716" i="5"/>
  <c r="C1715" i="5"/>
  <c r="C1714" i="5"/>
  <c r="C1713" i="5"/>
  <c r="C1712" i="5"/>
  <c r="C1711" i="5"/>
  <c r="C1710" i="5"/>
  <c r="C1709" i="5"/>
  <c r="C1708" i="5"/>
  <c r="C1707" i="5"/>
  <c r="C1706" i="5"/>
  <c r="C1705" i="5"/>
  <c r="C1704" i="5"/>
  <c r="C1703" i="5"/>
  <c r="C1702" i="5"/>
  <c r="C1701" i="5"/>
  <c r="C1700" i="5"/>
  <c r="C1699" i="5"/>
  <c r="C1698" i="5"/>
  <c r="C1697" i="5"/>
  <c r="C1696" i="5"/>
  <c r="C1695" i="5"/>
  <c r="C1694" i="5"/>
  <c r="C1693" i="5"/>
  <c r="C1692" i="5"/>
  <c r="C1691" i="5"/>
  <c r="C1690" i="5"/>
  <c r="C1689" i="5"/>
  <c r="C1688" i="5"/>
  <c r="C1687" i="5"/>
  <c r="C1686" i="5"/>
  <c r="C1685" i="5"/>
  <c r="C1684" i="5"/>
  <c r="C1683" i="5"/>
  <c r="C1682" i="5"/>
  <c r="C1681" i="5"/>
  <c r="C1680" i="5"/>
  <c r="C1679" i="5"/>
  <c r="C1678" i="5"/>
  <c r="C1677" i="5"/>
  <c r="C1676" i="5"/>
  <c r="C1675" i="5"/>
  <c r="C1674" i="5"/>
  <c r="C1673" i="5"/>
  <c r="C1672" i="5"/>
  <c r="C1671" i="5"/>
  <c r="C1670" i="5"/>
  <c r="C1669" i="5"/>
  <c r="C1668" i="5"/>
  <c r="C1667" i="5"/>
  <c r="C1666" i="5"/>
  <c r="C1665" i="5"/>
  <c r="C1664" i="5"/>
  <c r="C1663" i="5"/>
  <c r="C1662" i="5"/>
  <c r="C1661" i="5"/>
  <c r="C1660" i="5"/>
  <c r="C1659" i="5"/>
  <c r="C1658" i="5"/>
  <c r="C1657" i="5"/>
  <c r="C1656" i="5"/>
  <c r="C1655" i="5"/>
  <c r="C1654" i="5"/>
  <c r="C1653" i="5"/>
  <c r="C1652" i="5"/>
  <c r="C1651" i="5"/>
  <c r="C1650" i="5"/>
  <c r="C1649" i="5"/>
  <c r="C1648" i="5"/>
  <c r="C1647" i="5"/>
  <c r="C1646" i="5"/>
  <c r="C1645" i="5"/>
  <c r="C1644" i="5"/>
  <c r="C1643" i="5"/>
  <c r="C1642" i="5"/>
  <c r="C1641" i="5"/>
  <c r="C1640" i="5"/>
  <c r="C1639" i="5"/>
  <c r="C1638" i="5"/>
  <c r="C1637" i="5"/>
  <c r="C1636" i="5"/>
  <c r="C1635" i="5"/>
  <c r="C1634" i="5"/>
  <c r="C1633" i="5"/>
  <c r="C1632" i="5"/>
  <c r="C1631" i="5"/>
  <c r="C1630" i="5"/>
  <c r="C1629" i="5"/>
  <c r="C1628" i="5"/>
  <c r="C1627" i="5"/>
  <c r="C1626" i="5"/>
  <c r="C1625" i="5"/>
  <c r="C1624" i="5"/>
  <c r="C1623" i="5"/>
  <c r="C1622" i="5"/>
  <c r="C1621" i="5"/>
  <c r="C1620" i="5"/>
  <c r="C1619" i="5"/>
  <c r="C1618" i="5"/>
  <c r="C1617" i="5"/>
  <c r="C1616" i="5"/>
  <c r="C1615" i="5"/>
  <c r="C1614" i="5"/>
  <c r="C1613" i="5"/>
  <c r="C1612" i="5"/>
  <c r="C1611" i="5"/>
  <c r="C1610" i="5"/>
  <c r="C1609" i="5"/>
  <c r="C1608" i="5"/>
  <c r="C1607" i="5"/>
  <c r="C1606" i="5"/>
  <c r="C1605" i="5"/>
  <c r="C1604" i="5"/>
  <c r="C1603" i="5"/>
  <c r="C1602" i="5"/>
  <c r="C1601" i="5"/>
  <c r="C1600" i="5"/>
  <c r="C1599" i="5"/>
  <c r="C1598" i="5"/>
  <c r="C1597" i="5"/>
  <c r="C1596" i="5"/>
  <c r="C1595" i="5"/>
  <c r="C1594" i="5"/>
  <c r="C1593" i="5"/>
  <c r="C1592" i="5"/>
  <c r="C1591" i="5"/>
  <c r="C1590" i="5"/>
  <c r="C1589" i="5"/>
  <c r="C1588" i="5"/>
  <c r="C1587" i="5"/>
  <c r="C1586" i="5"/>
  <c r="C1585" i="5"/>
  <c r="C1584" i="5"/>
  <c r="C1583" i="5"/>
  <c r="C1582" i="5"/>
  <c r="C1581" i="5"/>
  <c r="C1580" i="5"/>
  <c r="C1579" i="5"/>
  <c r="C1578" i="5"/>
  <c r="C1577" i="5"/>
  <c r="C1576" i="5"/>
  <c r="C1575" i="5"/>
  <c r="C1574" i="5"/>
  <c r="C1573" i="5"/>
  <c r="C1572" i="5"/>
  <c r="C1571" i="5"/>
  <c r="C1570" i="5"/>
  <c r="C1569" i="5"/>
  <c r="C1568" i="5"/>
  <c r="C1567" i="5"/>
  <c r="C1566" i="5"/>
  <c r="C1565" i="5"/>
  <c r="C1564" i="5"/>
  <c r="C1563" i="5"/>
  <c r="C1562" i="5"/>
  <c r="C1561" i="5"/>
  <c r="C1560" i="5"/>
  <c r="C1559" i="5"/>
  <c r="C1558" i="5"/>
  <c r="C1557" i="5"/>
  <c r="C1556" i="5"/>
  <c r="C1555" i="5"/>
  <c r="C1554" i="5"/>
  <c r="C1553" i="5"/>
  <c r="C1552" i="5"/>
  <c r="C1551" i="5"/>
  <c r="C1550" i="5"/>
  <c r="C1549" i="5"/>
  <c r="C1548" i="5"/>
  <c r="C1547" i="5"/>
  <c r="C1546" i="5"/>
  <c r="C1545" i="5"/>
  <c r="C1544" i="5"/>
  <c r="C1543" i="5"/>
  <c r="C1542" i="5"/>
  <c r="C1541" i="5"/>
  <c r="C1540" i="5"/>
  <c r="C1539" i="5"/>
  <c r="C1538" i="5"/>
  <c r="C1537" i="5"/>
  <c r="C1536" i="5"/>
  <c r="C1535" i="5"/>
  <c r="C1534" i="5"/>
  <c r="C1533" i="5"/>
  <c r="C1532" i="5"/>
  <c r="C1531" i="5"/>
  <c r="C1530" i="5"/>
  <c r="C1529" i="5"/>
  <c r="C1528" i="5"/>
  <c r="C1527" i="5"/>
  <c r="C1526" i="5"/>
  <c r="C1525" i="5"/>
  <c r="C1524" i="5"/>
  <c r="C1523" i="5"/>
  <c r="C1522" i="5"/>
  <c r="C1521" i="5"/>
  <c r="C1520" i="5"/>
  <c r="C1519" i="5"/>
  <c r="C1518" i="5"/>
  <c r="C1517" i="5"/>
  <c r="C1516" i="5"/>
  <c r="C1515" i="5"/>
  <c r="C1514" i="5"/>
  <c r="C1513" i="5"/>
  <c r="C1512" i="5"/>
  <c r="C1511" i="5"/>
  <c r="C1510" i="5"/>
  <c r="C1509" i="5"/>
  <c r="C1508" i="5"/>
  <c r="C1507" i="5"/>
  <c r="C1506" i="5"/>
  <c r="C1505" i="5"/>
  <c r="C1504" i="5"/>
  <c r="C1503" i="5"/>
  <c r="C1502" i="5"/>
  <c r="C1501" i="5"/>
  <c r="C1500" i="5"/>
  <c r="C1499" i="5"/>
  <c r="C1498" i="5"/>
  <c r="C1497" i="5"/>
  <c r="C1496" i="5"/>
  <c r="C1495" i="5"/>
  <c r="C1494" i="5"/>
  <c r="C1493" i="5"/>
  <c r="C1492" i="5"/>
  <c r="C1491" i="5"/>
  <c r="C1490" i="5"/>
  <c r="C1489" i="5"/>
  <c r="C1488" i="5"/>
  <c r="C1487" i="5"/>
  <c r="C1486" i="5"/>
  <c r="C1485" i="5"/>
  <c r="C1484" i="5"/>
  <c r="C1483" i="5"/>
  <c r="C1482" i="5"/>
  <c r="C1481" i="5"/>
  <c r="C1480" i="5"/>
  <c r="C1479" i="5"/>
  <c r="C1478" i="5"/>
  <c r="C1477" i="5"/>
  <c r="C1476" i="5"/>
  <c r="C1475" i="5"/>
  <c r="C1474" i="5"/>
  <c r="C1473" i="5"/>
  <c r="C1472" i="5"/>
  <c r="C1471" i="5"/>
  <c r="C1470" i="5"/>
  <c r="C1469" i="5"/>
  <c r="C1468" i="5"/>
  <c r="C1467" i="5"/>
  <c r="C1466" i="5"/>
  <c r="C1465" i="5"/>
  <c r="C1464" i="5"/>
  <c r="C1463" i="5"/>
  <c r="C1462" i="5"/>
  <c r="C1461" i="5"/>
  <c r="C1460" i="5"/>
  <c r="C1459" i="5"/>
  <c r="C1458" i="5"/>
  <c r="C1457" i="5"/>
  <c r="C1456" i="5"/>
  <c r="C1455" i="5"/>
  <c r="C1454" i="5"/>
  <c r="C1453" i="5"/>
  <c r="C1452" i="5"/>
  <c r="C1451" i="5"/>
  <c r="C1450" i="5"/>
  <c r="C1449" i="5"/>
  <c r="C1448" i="5"/>
  <c r="C1447" i="5"/>
  <c r="C1446" i="5"/>
  <c r="C1445" i="5"/>
  <c r="C1444" i="5"/>
  <c r="C1443" i="5"/>
  <c r="C1442" i="5"/>
  <c r="C1441" i="5"/>
  <c r="C1440" i="5"/>
  <c r="C1439" i="5"/>
  <c r="C1438" i="5"/>
  <c r="C1437" i="5"/>
  <c r="C1436" i="5"/>
  <c r="C1435" i="5"/>
  <c r="C1434" i="5"/>
  <c r="C1433" i="5"/>
  <c r="C1432" i="5"/>
  <c r="C1431" i="5"/>
  <c r="C1430" i="5"/>
  <c r="C1429" i="5"/>
  <c r="C1428" i="5"/>
  <c r="C1427" i="5"/>
  <c r="C1426" i="5"/>
  <c r="C1425" i="5"/>
  <c r="C1424" i="5"/>
  <c r="C1423" i="5"/>
  <c r="C1422" i="5"/>
  <c r="C1421" i="5"/>
  <c r="C1420" i="5"/>
  <c r="C1419" i="5"/>
  <c r="C1418" i="5"/>
  <c r="C1417" i="5"/>
  <c r="C1416" i="5"/>
  <c r="C1415" i="5"/>
  <c r="C1414" i="5"/>
  <c r="C1413" i="5"/>
  <c r="C1412" i="5"/>
  <c r="C1411" i="5"/>
  <c r="C1410" i="5"/>
  <c r="C1409" i="5"/>
  <c r="C1408" i="5"/>
  <c r="C1407" i="5"/>
  <c r="C1406" i="5"/>
  <c r="C1405" i="5"/>
  <c r="C1404" i="5"/>
  <c r="C1403" i="5"/>
  <c r="C1402" i="5"/>
  <c r="C1401" i="5"/>
  <c r="C1400" i="5"/>
  <c r="C1399" i="5"/>
  <c r="C1398" i="5"/>
  <c r="C1397" i="5"/>
  <c r="C1396" i="5"/>
  <c r="C1395" i="5"/>
  <c r="C1394" i="5"/>
  <c r="C1393" i="5"/>
  <c r="C1392" i="5"/>
  <c r="C1391" i="5"/>
  <c r="C1390" i="5"/>
  <c r="C1389" i="5"/>
  <c r="C1388" i="5"/>
  <c r="C1387" i="5"/>
  <c r="C1386" i="5"/>
  <c r="C1385" i="5"/>
  <c r="C1384" i="5"/>
  <c r="C1383" i="5"/>
  <c r="C1382" i="5"/>
  <c r="C1381" i="5"/>
  <c r="C1380" i="5"/>
  <c r="C1379" i="5"/>
  <c r="C1378" i="5"/>
  <c r="C1377" i="5"/>
  <c r="C1376" i="5"/>
  <c r="C1375" i="5"/>
  <c r="C1374" i="5"/>
  <c r="C1373" i="5"/>
  <c r="C1372" i="5"/>
  <c r="C1371" i="5"/>
  <c r="C1370" i="5"/>
  <c r="C1369" i="5"/>
  <c r="C1368" i="5"/>
  <c r="C1367" i="5"/>
  <c r="C1366" i="5"/>
  <c r="C1365" i="5"/>
  <c r="C1364" i="5"/>
  <c r="C1363" i="5"/>
  <c r="C1362" i="5"/>
  <c r="C1361" i="5"/>
  <c r="C1360" i="5"/>
  <c r="C1359" i="5"/>
  <c r="C1358" i="5"/>
  <c r="C1357" i="5"/>
  <c r="C1356" i="5"/>
  <c r="C1355" i="5"/>
  <c r="C1354" i="5"/>
  <c r="C1353" i="5"/>
  <c r="C1352" i="5"/>
  <c r="C1351" i="5"/>
  <c r="C1350" i="5"/>
  <c r="C1349" i="5"/>
  <c r="C1348" i="5"/>
  <c r="C1347" i="5"/>
  <c r="C1346" i="5"/>
  <c r="C1345" i="5"/>
  <c r="C1344" i="5"/>
  <c r="C1343" i="5"/>
  <c r="C1342" i="5"/>
  <c r="C1341" i="5"/>
  <c r="C1340" i="5"/>
  <c r="C1339" i="5"/>
  <c r="C1338" i="5"/>
  <c r="C1337" i="5"/>
  <c r="C1336" i="5"/>
  <c r="C1335" i="5"/>
  <c r="C1334" i="5"/>
  <c r="C1333" i="5"/>
  <c r="C1332" i="5"/>
  <c r="C1331" i="5"/>
  <c r="C1330" i="5"/>
  <c r="C1329" i="5"/>
  <c r="C1328" i="5"/>
  <c r="C1327" i="5"/>
  <c r="C1326" i="5"/>
  <c r="C1325" i="5"/>
  <c r="C1324" i="5"/>
  <c r="C1323" i="5"/>
  <c r="C1322" i="5"/>
  <c r="C1321" i="5"/>
  <c r="C1320" i="5"/>
  <c r="C1319" i="5"/>
  <c r="C1318" i="5"/>
  <c r="C1317" i="5"/>
  <c r="C1316" i="5"/>
  <c r="C1315" i="5"/>
  <c r="C1314" i="5"/>
  <c r="C1313" i="5"/>
  <c r="C1312" i="5"/>
  <c r="C1311" i="5"/>
  <c r="C1310" i="5"/>
  <c r="C1309" i="5"/>
  <c r="C1308" i="5"/>
  <c r="C1307" i="5"/>
  <c r="C1306" i="5"/>
  <c r="C1305" i="5"/>
  <c r="C1304" i="5"/>
  <c r="C1303" i="5"/>
  <c r="C1302" i="5"/>
  <c r="C1301" i="5"/>
  <c r="C1300" i="5"/>
  <c r="C1299" i="5"/>
  <c r="C1298" i="5"/>
  <c r="C1297" i="5"/>
  <c r="C1296" i="5"/>
  <c r="C1295" i="5"/>
  <c r="C1294" i="5"/>
  <c r="C1293" i="5"/>
  <c r="C1292" i="5"/>
  <c r="C1291" i="5"/>
  <c r="C1290" i="5"/>
  <c r="C1289" i="5"/>
  <c r="C1288" i="5"/>
  <c r="C1287" i="5"/>
  <c r="C1286" i="5"/>
  <c r="C1285" i="5"/>
  <c r="C1284" i="5"/>
  <c r="C1283" i="5"/>
  <c r="C1282" i="5"/>
  <c r="C1281" i="5"/>
  <c r="C1280" i="5"/>
  <c r="C1279" i="5"/>
  <c r="C1278" i="5"/>
  <c r="C1277" i="5"/>
  <c r="C1276" i="5"/>
  <c r="C1275" i="5"/>
  <c r="C1274" i="5"/>
  <c r="C1273" i="5"/>
  <c r="C1272" i="5"/>
  <c r="C1271" i="5"/>
  <c r="C1270" i="5"/>
  <c r="C1269" i="5"/>
  <c r="C1268" i="5"/>
  <c r="C1267" i="5"/>
  <c r="C1266" i="5"/>
  <c r="C1265" i="5"/>
  <c r="C1264" i="5"/>
  <c r="C1263" i="5"/>
  <c r="C1262" i="5"/>
  <c r="C1261" i="5"/>
  <c r="C1260" i="5"/>
  <c r="C1259" i="5"/>
  <c r="C1258" i="5"/>
  <c r="C1257" i="5"/>
  <c r="C1256" i="5"/>
  <c r="C1255" i="5"/>
  <c r="C1254" i="5"/>
  <c r="C1253" i="5"/>
  <c r="C1252" i="5"/>
  <c r="C1251" i="5"/>
  <c r="C1250" i="5"/>
  <c r="C1249" i="5"/>
  <c r="C1248" i="5"/>
  <c r="C1247" i="5"/>
  <c r="C1246" i="5"/>
  <c r="C1245" i="5"/>
  <c r="C1244" i="5"/>
  <c r="C1243" i="5"/>
  <c r="C1242" i="5"/>
  <c r="C1241" i="5"/>
  <c r="C1240" i="5"/>
  <c r="C1239" i="5"/>
  <c r="C1238" i="5"/>
  <c r="C1237" i="5"/>
  <c r="C1236" i="5"/>
  <c r="C1235" i="5"/>
  <c r="C1234" i="5"/>
  <c r="C1233" i="5"/>
  <c r="C1232" i="5"/>
  <c r="C1231" i="5"/>
  <c r="C1230" i="5"/>
  <c r="C1229" i="5"/>
  <c r="C1228" i="5"/>
  <c r="C1227" i="5"/>
  <c r="C1226" i="5"/>
  <c r="C1225" i="5"/>
  <c r="C1224" i="5"/>
  <c r="C1223" i="5"/>
  <c r="C1222" i="5"/>
  <c r="C1221" i="5"/>
  <c r="C1220" i="5"/>
  <c r="C1219" i="5"/>
  <c r="C1218" i="5"/>
  <c r="C1217" i="5"/>
  <c r="C1216" i="5"/>
  <c r="C1215" i="5"/>
  <c r="C1214" i="5"/>
  <c r="C1213" i="5"/>
  <c r="C1212" i="5"/>
  <c r="C1211" i="5"/>
  <c r="C1210" i="5"/>
  <c r="C1209" i="5"/>
  <c r="C1208" i="5"/>
  <c r="C1207" i="5"/>
  <c r="C1206" i="5"/>
  <c r="C1205" i="5"/>
  <c r="C1204" i="5"/>
  <c r="C1203" i="5"/>
  <c r="C1202" i="5"/>
  <c r="C1201" i="5"/>
  <c r="C1200" i="5"/>
  <c r="C1199" i="5"/>
  <c r="C1198" i="5"/>
  <c r="C1197" i="5"/>
  <c r="C1196" i="5"/>
  <c r="C1195" i="5"/>
  <c r="C1194" i="5"/>
  <c r="C1193" i="5"/>
  <c r="C1192" i="5"/>
  <c r="C1191" i="5"/>
  <c r="C1190" i="5"/>
  <c r="C1189" i="5"/>
  <c r="C1188" i="5"/>
  <c r="C1187" i="5"/>
  <c r="C1186" i="5"/>
  <c r="C1185" i="5"/>
  <c r="C1184" i="5"/>
  <c r="C1183" i="5"/>
  <c r="C1182" i="5"/>
  <c r="C1181" i="5"/>
  <c r="C1180" i="5"/>
  <c r="C1179" i="5"/>
  <c r="C1178" i="5"/>
  <c r="C1177" i="5"/>
  <c r="C1176" i="5"/>
  <c r="C1175" i="5"/>
  <c r="C1174" i="5"/>
  <c r="C1173" i="5"/>
  <c r="C1172" i="5"/>
  <c r="C1171" i="5"/>
  <c r="C1170" i="5"/>
  <c r="C1169" i="5"/>
  <c r="C1168" i="5"/>
  <c r="C1167" i="5"/>
  <c r="C1166" i="5"/>
  <c r="C1165" i="5"/>
  <c r="C1164" i="5"/>
  <c r="C1163" i="5"/>
  <c r="C1162" i="5"/>
  <c r="C1161" i="5"/>
  <c r="C1160" i="5"/>
  <c r="C1159" i="5"/>
  <c r="C1158" i="5"/>
  <c r="C1157" i="5"/>
  <c r="C1156" i="5"/>
  <c r="C1155" i="5"/>
  <c r="C1154" i="5"/>
  <c r="C1153" i="5"/>
  <c r="C1152" i="5"/>
  <c r="C1151" i="5"/>
  <c r="C1150" i="5"/>
  <c r="C1149" i="5"/>
  <c r="C1148" i="5"/>
  <c r="C1147" i="5"/>
  <c r="C1146" i="5"/>
  <c r="C1145" i="5"/>
  <c r="C1144" i="5"/>
  <c r="C1143" i="5"/>
  <c r="C1142" i="5"/>
  <c r="C1141" i="5"/>
  <c r="C1140" i="5"/>
  <c r="C1139" i="5"/>
  <c r="C1138" i="5"/>
  <c r="C1137" i="5"/>
  <c r="C1136" i="5"/>
  <c r="C1135" i="5"/>
  <c r="C1134" i="5"/>
  <c r="C1133" i="5"/>
  <c r="C1132" i="5"/>
  <c r="C1131" i="5"/>
  <c r="C1130" i="5"/>
  <c r="C1129" i="5"/>
  <c r="C1128" i="5"/>
  <c r="C1127" i="5"/>
  <c r="C1126" i="5"/>
  <c r="C1125" i="5"/>
  <c r="C1124" i="5"/>
  <c r="C1123" i="5"/>
  <c r="C1122" i="5"/>
  <c r="C1121" i="5"/>
  <c r="C1120" i="5"/>
  <c r="C1119" i="5"/>
  <c r="C1118" i="5"/>
  <c r="C1117" i="5"/>
  <c r="C1116" i="5"/>
  <c r="C1115" i="5"/>
  <c r="C1114" i="5"/>
  <c r="C1113" i="5"/>
  <c r="C1112" i="5"/>
  <c r="C1111" i="5"/>
  <c r="C1110" i="5"/>
  <c r="C1109" i="5"/>
  <c r="C1108" i="5"/>
  <c r="C1107" i="5"/>
  <c r="C1106" i="5"/>
  <c r="C1105" i="5"/>
  <c r="C1104" i="5"/>
  <c r="C1103" i="5"/>
  <c r="C1102" i="5"/>
  <c r="C1101" i="5"/>
  <c r="C1100" i="5"/>
  <c r="C1099" i="5"/>
  <c r="C1098" i="5"/>
  <c r="C1097" i="5"/>
  <c r="C1096" i="5"/>
  <c r="C1095" i="5"/>
  <c r="C1094" i="5"/>
  <c r="C1093" i="5"/>
  <c r="C1092" i="5"/>
  <c r="C1091" i="5"/>
  <c r="C1090" i="5"/>
  <c r="C1089" i="5"/>
  <c r="C1088" i="5"/>
  <c r="C1087" i="5"/>
  <c r="C1086" i="5"/>
  <c r="C1085" i="5"/>
  <c r="C1084" i="5"/>
  <c r="C1083" i="5"/>
  <c r="C1082" i="5"/>
  <c r="C1081" i="5"/>
  <c r="C1080" i="5"/>
  <c r="C1079" i="5"/>
  <c r="C1078" i="5"/>
  <c r="C1077" i="5"/>
  <c r="C1076" i="5"/>
  <c r="C1075" i="5"/>
  <c r="C1074" i="5"/>
  <c r="C1073" i="5"/>
  <c r="C1072" i="5"/>
  <c r="C1071" i="5"/>
  <c r="C1070" i="5"/>
  <c r="C1069" i="5"/>
  <c r="C1068" i="5"/>
  <c r="C1067" i="5"/>
  <c r="C1066" i="5"/>
  <c r="C1065" i="5"/>
  <c r="C1064" i="5"/>
  <c r="C1063" i="5"/>
  <c r="C1062" i="5"/>
  <c r="C1061" i="5"/>
  <c r="C1060" i="5"/>
  <c r="C1059" i="5"/>
  <c r="C1058" i="5"/>
  <c r="C1057" i="5"/>
  <c r="C1056" i="5"/>
  <c r="C1055" i="5"/>
  <c r="C1054" i="5"/>
  <c r="C1053" i="5"/>
  <c r="C1052" i="5"/>
  <c r="C1051" i="5"/>
  <c r="C1050" i="5"/>
  <c r="C1049" i="5"/>
  <c r="C1048" i="5"/>
  <c r="C1047" i="5"/>
  <c r="C1046" i="5"/>
  <c r="C1045" i="5"/>
  <c r="C1044" i="5"/>
  <c r="C1043" i="5"/>
  <c r="C1042" i="5"/>
  <c r="C1041" i="5"/>
  <c r="C1040" i="5"/>
  <c r="C1039" i="5"/>
  <c r="C1038" i="5"/>
  <c r="C1037" i="5"/>
  <c r="C1036" i="5"/>
  <c r="C1035" i="5"/>
  <c r="C1034" i="5"/>
  <c r="C1033" i="5"/>
  <c r="C1032" i="5"/>
  <c r="C1031" i="5"/>
  <c r="C1030" i="5"/>
  <c r="C1029" i="5"/>
  <c r="C1028" i="5"/>
  <c r="C1027" i="5"/>
  <c r="C1026" i="5"/>
  <c r="C1025" i="5"/>
  <c r="C1024" i="5"/>
  <c r="C1023" i="5"/>
  <c r="C1022" i="5"/>
  <c r="C1021" i="5"/>
  <c r="C1020" i="5"/>
  <c r="C1019" i="5"/>
  <c r="C1018" i="5"/>
  <c r="C1017" i="5"/>
  <c r="C1016" i="5"/>
  <c r="C1015" i="5"/>
  <c r="C1014" i="5"/>
  <c r="C1013" i="5"/>
  <c r="C1012" i="5"/>
  <c r="C1011" i="5"/>
  <c r="C1010" i="5"/>
  <c r="C1009" i="5"/>
  <c r="C1008" i="5"/>
  <c r="C1007" i="5"/>
  <c r="C1006" i="5"/>
  <c r="C1005" i="5"/>
  <c r="C1004" i="5"/>
  <c r="C1003" i="5"/>
  <c r="C1002" i="5"/>
  <c r="C1001" i="5"/>
  <c r="C1000" i="5"/>
  <c r="C999" i="5"/>
  <c r="C998" i="5"/>
  <c r="C997" i="5"/>
  <c r="C996" i="5"/>
  <c r="C995" i="5"/>
  <c r="C994" i="5"/>
  <c r="C993" i="5"/>
  <c r="C992" i="5"/>
  <c r="C991" i="5"/>
  <c r="C990" i="5"/>
  <c r="C989" i="5"/>
  <c r="C988" i="5"/>
  <c r="C987" i="5"/>
  <c r="C986" i="5"/>
  <c r="C985" i="5"/>
  <c r="C984" i="5"/>
  <c r="C983" i="5"/>
  <c r="C982" i="5"/>
  <c r="C981" i="5"/>
  <c r="C980" i="5"/>
  <c r="C979" i="5"/>
  <c r="C978" i="5"/>
  <c r="C977" i="5"/>
  <c r="C976" i="5"/>
  <c r="C975" i="5"/>
  <c r="C974" i="5"/>
  <c r="C973" i="5"/>
  <c r="C972" i="5"/>
  <c r="C971" i="5"/>
  <c r="C970" i="5"/>
  <c r="C969" i="5"/>
  <c r="C968" i="5"/>
  <c r="C967" i="5"/>
  <c r="C966" i="5"/>
  <c r="C965" i="5"/>
  <c r="C964" i="5"/>
  <c r="C963" i="5"/>
  <c r="C962" i="5"/>
  <c r="C961" i="5"/>
  <c r="C960" i="5"/>
  <c r="C959" i="5"/>
  <c r="C958" i="5"/>
  <c r="C957" i="5"/>
  <c r="C956" i="5"/>
  <c r="C955" i="5"/>
  <c r="C954" i="5"/>
  <c r="C953" i="5"/>
  <c r="C952" i="5"/>
  <c r="C951" i="5"/>
  <c r="C950" i="5"/>
  <c r="C949" i="5"/>
  <c r="C948" i="5"/>
  <c r="C947" i="5"/>
  <c r="C946" i="5"/>
  <c r="C945" i="5"/>
  <c r="C944" i="5"/>
  <c r="C943" i="5"/>
  <c r="C942" i="5"/>
  <c r="C941" i="5"/>
  <c r="C940" i="5"/>
  <c r="C939" i="5"/>
  <c r="C938" i="5"/>
  <c r="C937" i="5"/>
  <c r="C936" i="5"/>
  <c r="C935" i="5"/>
  <c r="C934" i="5"/>
  <c r="C933" i="5"/>
  <c r="C932" i="5"/>
  <c r="C931" i="5"/>
  <c r="C930" i="5"/>
  <c r="C929" i="5"/>
  <c r="C928" i="5"/>
  <c r="C927" i="5"/>
  <c r="C926" i="5"/>
  <c r="C925" i="5"/>
  <c r="C924" i="5"/>
  <c r="C923" i="5"/>
  <c r="C922" i="5"/>
  <c r="C921" i="5"/>
  <c r="C920" i="5"/>
  <c r="C919" i="5"/>
  <c r="C918" i="5"/>
  <c r="C917" i="5"/>
  <c r="C916" i="5"/>
  <c r="C915" i="5"/>
  <c r="C914" i="5"/>
  <c r="C913" i="5"/>
  <c r="C912" i="5"/>
  <c r="C911" i="5"/>
  <c r="C910" i="5"/>
  <c r="C909" i="5"/>
  <c r="C908" i="5"/>
  <c r="C907" i="5"/>
  <c r="C906" i="5"/>
  <c r="C905" i="5"/>
  <c r="C904" i="5"/>
  <c r="C903" i="5"/>
  <c r="C902" i="5"/>
  <c r="C901" i="5"/>
  <c r="C900" i="5"/>
  <c r="C899" i="5"/>
  <c r="C898" i="5"/>
  <c r="C897" i="5"/>
  <c r="C896" i="5"/>
  <c r="C895" i="5"/>
  <c r="C894" i="5"/>
  <c r="C893" i="5"/>
  <c r="C892" i="5"/>
  <c r="C891" i="5"/>
  <c r="C890" i="5"/>
  <c r="C889" i="5"/>
  <c r="C888" i="5"/>
  <c r="C887" i="5"/>
  <c r="C886" i="5"/>
  <c r="C885" i="5"/>
  <c r="C884" i="5"/>
  <c r="C883" i="5"/>
  <c r="C882" i="5"/>
  <c r="C881" i="5"/>
  <c r="C880" i="5"/>
  <c r="C879" i="5"/>
  <c r="C878" i="5"/>
  <c r="C877" i="5"/>
  <c r="C876" i="5"/>
  <c r="C875" i="5"/>
  <c r="C874" i="5"/>
  <c r="C873" i="5"/>
  <c r="C872" i="5"/>
  <c r="C871" i="5"/>
  <c r="C870" i="5"/>
  <c r="C869" i="5"/>
  <c r="C868" i="5"/>
  <c r="C867" i="5"/>
  <c r="C866" i="5"/>
  <c r="C865" i="5"/>
  <c r="C864" i="5"/>
  <c r="C863" i="5"/>
  <c r="C862" i="5"/>
  <c r="C861" i="5"/>
  <c r="C860" i="5"/>
  <c r="C859" i="5"/>
  <c r="C858" i="5"/>
  <c r="C857" i="5"/>
  <c r="C856" i="5"/>
  <c r="C855" i="5"/>
  <c r="C854" i="5"/>
  <c r="C853" i="5"/>
  <c r="C852" i="5"/>
  <c r="C851" i="5"/>
  <c r="C850" i="5"/>
  <c r="C849" i="5"/>
  <c r="C848" i="5"/>
  <c r="C847" i="5"/>
  <c r="C846" i="5"/>
  <c r="C845" i="5"/>
  <c r="C844" i="5"/>
  <c r="C843" i="5"/>
  <c r="C842" i="5"/>
  <c r="C841" i="5"/>
  <c r="C840" i="5"/>
  <c r="C839" i="5"/>
  <c r="C838" i="5"/>
  <c r="C837" i="5"/>
  <c r="C836" i="5"/>
  <c r="C835" i="5"/>
  <c r="C834" i="5"/>
  <c r="C833" i="5"/>
  <c r="C832" i="5"/>
  <c r="C831" i="5"/>
  <c r="C830" i="5"/>
  <c r="C829" i="5"/>
  <c r="C828" i="5"/>
  <c r="C827" i="5"/>
  <c r="C826" i="5"/>
  <c r="C825" i="5"/>
  <c r="C824" i="5"/>
  <c r="C823" i="5"/>
  <c r="C822" i="5"/>
  <c r="C821" i="5"/>
  <c r="C820" i="5"/>
  <c r="C819" i="5"/>
  <c r="C818" i="5"/>
  <c r="C817" i="5"/>
  <c r="C816" i="5"/>
  <c r="C815" i="5"/>
  <c r="C814" i="5"/>
  <c r="C813" i="5"/>
  <c r="C812" i="5"/>
  <c r="C811" i="5"/>
  <c r="C810" i="5"/>
  <c r="C809" i="5"/>
  <c r="C808" i="5"/>
  <c r="C807" i="5"/>
  <c r="C806" i="5"/>
  <c r="C805" i="5"/>
  <c r="C804" i="5"/>
  <c r="C803" i="5"/>
  <c r="C802" i="5"/>
  <c r="C801" i="5"/>
  <c r="C800" i="5"/>
  <c r="C799" i="5"/>
  <c r="C798" i="5"/>
  <c r="C797" i="5"/>
  <c r="C796" i="5"/>
  <c r="C795" i="5"/>
  <c r="C794" i="5"/>
  <c r="C793" i="5"/>
  <c r="C792" i="5"/>
  <c r="C791" i="5"/>
  <c r="C790" i="5"/>
  <c r="C789" i="5"/>
  <c r="C788" i="5"/>
  <c r="C787" i="5"/>
  <c r="C786" i="5"/>
  <c r="C785" i="5"/>
  <c r="C784" i="5"/>
  <c r="C783" i="5"/>
  <c r="C782" i="5"/>
  <c r="C781" i="5"/>
  <c r="C780" i="5"/>
  <c r="C779" i="5"/>
  <c r="C778" i="5"/>
  <c r="C777" i="5"/>
  <c r="C776" i="5"/>
  <c r="C775" i="5"/>
  <c r="C774" i="5"/>
  <c r="C773" i="5"/>
  <c r="C772" i="5"/>
  <c r="C771" i="5"/>
  <c r="C770" i="5"/>
  <c r="C769" i="5"/>
  <c r="C768" i="5"/>
  <c r="C767" i="5"/>
  <c r="C766" i="5"/>
  <c r="C765" i="5"/>
  <c r="C764" i="5"/>
  <c r="C763" i="5"/>
  <c r="C762" i="5"/>
  <c r="C761" i="5"/>
  <c r="C760" i="5"/>
  <c r="C759" i="5"/>
  <c r="C758" i="5"/>
  <c r="C757" i="5"/>
  <c r="C756" i="5"/>
  <c r="C755" i="5"/>
  <c r="C754" i="5"/>
  <c r="C753" i="5"/>
  <c r="C752" i="5"/>
  <c r="C751" i="5"/>
  <c r="C750" i="5"/>
  <c r="C749" i="5"/>
  <c r="C748" i="5"/>
  <c r="C747" i="5"/>
  <c r="C746" i="5"/>
  <c r="C745" i="5"/>
  <c r="C744" i="5"/>
  <c r="C743" i="5"/>
  <c r="C742" i="5"/>
  <c r="C741" i="5"/>
  <c r="C740" i="5"/>
  <c r="C739" i="5"/>
  <c r="C738" i="5"/>
  <c r="C737" i="5"/>
  <c r="C736" i="5"/>
  <c r="C735" i="5"/>
  <c r="C734" i="5"/>
  <c r="C733" i="5"/>
  <c r="C732" i="5"/>
  <c r="C731" i="5"/>
  <c r="C730" i="5"/>
  <c r="C729" i="5"/>
  <c r="C728" i="5"/>
  <c r="C727" i="5"/>
  <c r="C726" i="5"/>
  <c r="C725" i="5"/>
  <c r="C724" i="5"/>
  <c r="C723" i="5"/>
  <c r="C722" i="5"/>
  <c r="C721" i="5"/>
  <c r="C720" i="5"/>
  <c r="C719" i="5"/>
  <c r="C718" i="5"/>
  <c r="C717" i="5"/>
  <c r="C716" i="5"/>
  <c r="C715" i="5"/>
  <c r="C714" i="5"/>
  <c r="C713" i="5"/>
  <c r="C712" i="5"/>
  <c r="C711" i="5"/>
  <c r="C710" i="5"/>
  <c r="C709" i="5"/>
  <c r="C708" i="5"/>
  <c r="C707" i="5"/>
  <c r="C706" i="5"/>
  <c r="C705" i="5"/>
  <c r="C704" i="5"/>
  <c r="C703" i="5"/>
  <c r="C702" i="5"/>
  <c r="C701" i="5"/>
  <c r="C700" i="5"/>
  <c r="C699" i="5"/>
  <c r="C698" i="5"/>
  <c r="C697" i="5"/>
  <c r="C696" i="5"/>
  <c r="C695" i="5"/>
  <c r="C694" i="5"/>
  <c r="C693" i="5"/>
  <c r="C692" i="5"/>
  <c r="C691" i="5"/>
  <c r="C690" i="5"/>
  <c r="C689" i="5"/>
  <c r="C688" i="5"/>
  <c r="C687" i="5"/>
  <c r="C686" i="5"/>
  <c r="C685" i="5"/>
  <c r="C684" i="5"/>
  <c r="C683" i="5"/>
  <c r="C682" i="5"/>
  <c r="C681" i="5"/>
  <c r="C680" i="5"/>
  <c r="C679" i="5"/>
  <c r="C678" i="5"/>
  <c r="C677" i="5"/>
  <c r="C676" i="5"/>
  <c r="C675" i="5"/>
  <c r="C674" i="5"/>
  <c r="C673" i="5"/>
  <c r="C672" i="5"/>
  <c r="C671" i="5"/>
  <c r="C670" i="5"/>
  <c r="C669" i="5"/>
  <c r="C668" i="5"/>
  <c r="C667" i="5"/>
  <c r="C666" i="5"/>
  <c r="C665" i="5"/>
  <c r="C664" i="5"/>
  <c r="C663" i="5"/>
  <c r="C662" i="5"/>
  <c r="C661" i="5"/>
  <c r="C660" i="5"/>
  <c r="C659" i="5"/>
  <c r="C658" i="5"/>
  <c r="C657" i="5"/>
  <c r="C656" i="5"/>
  <c r="C655" i="5"/>
  <c r="C654" i="5"/>
  <c r="C653" i="5"/>
  <c r="C652" i="5"/>
  <c r="C651" i="5"/>
  <c r="C650" i="5"/>
  <c r="C649" i="5"/>
  <c r="C648" i="5"/>
  <c r="C647" i="5"/>
  <c r="C646" i="5"/>
  <c r="C645" i="5"/>
  <c r="C644" i="5"/>
  <c r="C643" i="5"/>
  <c r="C642" i="5"/>
  <c r="C641" i="5"/>
  <c r="C640" i="5"/>
  <c r="C639" i="5"/>
  <c r="C638" i="5"/>
  <c r="C637" i="5"/>
  <c r="C636" i="5"/>
  <c r="C635" i="5"/>
  <c r="C634" i="5"/>
  <c r="C633" i="5"/>
  <c r="C632" i="5"/>
  <c r="C631" i="5"/>
  <c r="C630" i="5"/>
  <c r="C629" i="5"/>
  <c r="C628" i="5"/>
  <c r="C627" i="5"/>
  <c r="C626" i="5"/>
  <c r="C625" i="5"/>
  <c r="C624" i="5"/>
  <c r="C623" i="5"/>
  <c r="C622" i="5"/>
  <c r="C621" i="5"/>
  <c r="C620" i="5"/>
  <c r="C619" i="5"/>
  <c r="C618" i="5"/>
  <c r="C617" i="5"/>
  <c r="C616" i="5"/>
  <c r="C615" i="5"/>
  <c r="C614" i="5"/>
  <c r="C613" i="5"/>
  <c r="C612" i="5"/>
  <c r="C611" i="5"/>
  <c r="C610" i="5"/>
  <c r="C609" i="5"/>
  <c r="C608" i="5"/>
  <c r="C607" i="5"/>
  <c r="C606" i="5"/>
  <c r="C605" i="5"/>
  <c r="C604" i="5"/>
  <c r="C603" i="5"/>
  <c r="C602" i="5"/>
  <c r="C601" i="5"/>
  <c r="C600" i="5"/>
  <c r="C599" i="5"/>
  <c r="C598" i="5"/>
  <c r="C597" i="5"/>
  <c r="C596" i="5"/>
  <c r="C595" i="5"/>
  <c r="C594" i="5"/>
  <c r="C593" i="5"/>
  <c r="C592" i="5"/>
  <c r="C591" i="5"/>
  <c r="C590" i="5"/>
  <c r="C589" i="5"/>
  <c r="C588" i="5"/>
  <c r="C587" i="5"/>
  <c r="C586" i="5"/>
  <c r="C585" i="5"/>
  <c r="C584" i="5"/>
  <c r="C583" i="5"/>
  <c r="C582" i="5"/>
  <c r="C581" i="5"/>
  <c r="C580" i="5"/>
  <c r="C579" i="5"/>
  <c r="C578" i="5"/>
  <c r="C577" i="5"/>
  <c r="C576" i="5"/>
  <c r="C575" i="5"/>
  <c r="C574" i="5"/>
  <c r="C573" i="5"/>
  <c r="C572" i="5"/>
  <c r="C571" i="5"/>
  <c r="C570" i="5"/>
  <c r="C569" i="5"/>
  <c r="C568" i="5"/>
  <c r="C567" i="5"/>
  <c r="C566" i="5"/>
  <c r="C565" i="5"/>
  <c r="C564" i="5"/>
  <c r="C563" i="5"/>
  <c r="C562" i="5"/>
  <c r="C561" i="5"/>
  <c r="C560" i="5"/>
  <c r="C559" i="5"/>
  <c r="C558" i="5"/>
  <c r="C557" i="5"/>
  <c r="C556" i="5"/>
  <c r="C555" i="5"/>
  <c r="C554" i="5"/>
  <c r="C553" i="5"/>
  <c r="C552" i="5"/>
  <c r="C551" i="5"/>
  <c r="C550" i="5"/>
  <c r="C549" i="5"/>
  <c r="C548" i="5"/>
  <c r="C547" i="5"/>
  <c r="C546" i="5"/>
  <c r="C545" i="5"/>
  <c r="C544" i="5"/>
  <c r="C543" i="5"/>
  <c r="C542" i="5"/>
  <c r="C541" i="5"/>
  <c r="C540" i="5"/>
  <c r="C539" i="5"/>
  <c r="C538" i="5"/>
  <c r="C537" i="5"/>
  <c r="C536" i="5"/>
  <c r="C535" i="5"/>
  <c r="C534" i="5"/>
  <c r="C533" i="5"/>
  <c r="C532" i="5"/>
  <c r="C531" i="5"/>
  <c r="C530" i="5"/>
  <c r="C529" i="5"/>
  <c r="C528" i="5"/>
  <c r="C527" i="5"/>
  <c r="C526" i="5"/>
  <c r="C525" i="5"/>
  <c r="C524" i="5"/>
  <c r="C523" i="5"/>
  <c r="C522" i="5"/>
  <c r="C521" i="5"/>
  <c r="C520" i="5"/>
  <c r="C519" i="5"/>
  <c r="C518" i="5"/>
  <c r="C517" i="5"/>
  <c r="C516" i="5"/>
  <c r="C515" i="5"/>
  <c r="C514" i="5"/>
  <c r="C513" i="5"/>
  <c r="C512" i="5"/>
  <c r="C511" i="5"/>
  <c r="C510" i="5"/>
  <c r="C509" i="5"/>
  <c r="C508" i="5"/>
  <c r="C507" i="5"/>
  <c r="C506" i="5"/>
  <c r="C505" i="5"/>
  <c r="C504" i="5"/>
  <c r="C503" i="5"/>
  <c r="C502" i="5"/>
  <c r="C501" i="5"/>
  <c r="C500" i="5"/>
  <c r="C499" i="5"/>
  <c r="C498" i="5"/>
  <c r="C497" i="5"/>
  <c r="C496" i="5"/>
  <c r="C495" i="5"/>
  <c r="C494" i="5"/>
  <c r="C493" i="5"/>
  <c r="C492" i="5"/>
  <c r="C491" i="5"/>
  <c r="C490" i="5"/>
  <c r="C489" i="5"/>
  <c r="C488" i="5"/>
  <c r="C487" i="5"/>
  <c r="C486" i="5"/>
  <c r="C485" i="5"/>
  <c r="C484" i="5"/>
  <c r="C483" i="5"/>
  <c r="C482" i="5"/>
  <c r="C481" i="5"/>
  <c r="C480" i="5"/>
  <c r="C479" i="5"/>
  <c r="C478" i="5"/>
  <c r="C477" i="5"/>
  <c r="C476" i="5"/>
  <c r="C475" i="5"/>
  <c r="C474" i="5"/>
  <c r="C473" i="5"/>
  <c r="C472" i="5"/>
  <c r="C471" i="5"/>
  <c r="C470" i="5"/>
  <c r="C469" i="5"/>
  <c r="C468" i="5"/>
  <c r="C467" i="5"/>
  <c r="C466" i="5"/>
  <c r="C465" i="5"/>
  <c r="C464" i="5"/>
  <c r="C463" i="5"/>
  <c r="C462" i="5"/>
  <c r="C461" i="5"/>
  <c r="C460" i="5"/>
  <c r="C459" i="5"/>
  <c r="C458" i="5"/>
  <c r="C457" i="5"/>
  <c r="C456" i="5"/>
  <c r="C455" i="5"/>
  <c r="C454" i="5"/>
  <c r="C453" i="5"/>
  <c r="C452" i="5"/>
  <c r="C451" i="5"/>
  <c r="C450" i="5"/>
  <c r="C449" i="5"/>
  <c r="C448" i="5"/>
  <c r="C447" i="5"/>
  <c r="C446" i="5"/>
  <c r="C445" i="5"/>
  <c r="C444" i="5"/>
  <c r="C443" i="5"/>
  <c r="C442" i="5"/>
  <c r="C441" i="5"/>
  <c r="C440" i="5"/>
  <c r="C439" i="5"/>
  <c r="C438" i="5"/>
  <c r="C437" i="5"/>
  <c r="C436" i="5"/>
  <c r="C435" i="5"/>
  <c r="C434" i="5"/>
  <c r="C433" i="5"/>
  <c r="C432" i="5"/>
  <c r="C431" i="5"/>
  <c r="C430" i="5"/>
  <c r="C429" i="5"/>
  <c r="C428" i="5"/>
  <c r="C427" i="5"/>
  <c r="C426" i="5"/>
  <c r="C425" i="5"/>
  <c r="C424" i="5"/>
  <c r="C423" i="5"/>
  <c r="C422" i="5"/>
  <c r="C421" i="5"/>
  <c r="C420" i="5"/>
  <c r="C419" i="5"/>
  <c r="C418" i="5"/>
  <c r="C417" i="5"/>
  <c r="C416" i="5"/>
  <c r="C415" i="5"/>
  <c r="C414" i="5"/>
  <c r="C413" i="5"/>
  <c r="C412" i="5"/>
  <c r="C411" i="5"/>
  <c r="C410" i="5"/>
  <c r="C409" i="5"/>
  <c r="C408" i="5"/>
  <c r="C407" i="5"/>
  <c r="C406" i="5"/>
  <c r="C405" i="5"/>
  <c r="C404" i="5"/>
  <c r="C403" i="5"/>
  <c r="C402" i="5"/>
  <c r="C401" i="5"/>
  <c r="C400" i="5"/>
  <c r="C399" i="5"/>
  <c r="C398" i="5"/>
  <c r="C397" i="5"/>
  <c r="C396" i="5"/>
  <c r="C395" i="5"/>
  <c r="C394" i="5"/>
  <c r="C393" i="5"/>
  <c r="C392" i="5"/>
  <c r="C391" i="5"/>
  <c r="C390" i="5"/>
  <c r="C389" i="5"/>
  <c r="C388" i="5"/>
  <c r="C387" i="5"/>
  <c r="C386" i="5"/>
  <c r="C385" i="5"/>
  <c r="C384" i="5"/>
  <c r="C383" i="5"/>
  <c r="C382" i="5"/>
  <c r="C381" i="5"/>
  <c r="C380" i="5"/>
  <c r="C379" i="5"/>
  <c r="C378" i="5"/>
  <c r="C377" i="5"/>
  <c r="C376" i="5"/>
  <c r="C375" i="5"/>
  <c r="C374" i="5"/>
  <c r="C373" i="5"/>
  <c r="C372" i="5"/>
  <c r="C371" i="5"/>
  <c r="C370" i="5"/>
  <c r="C369" i="5"/>
  <c r="C368" i="5"/>
  <c r="C367" i="5"/>
  <c r="C366" i="5"/>
  <c r="C365" i="5"/>
  <c r="C364" i="5"/>
  <c r="C363" i="5"/>
  <c r="C362" i="5"/>
  <c r="C361" i="5"/>
  <c r="C360" i="5"/>
  <c r="C359" i="5"/>
  <c r="C358" i="5"/>
  <c r="C357" i="5"/>
  <c r="C356" i="5"/>
  <c r="C355" i="5"/>
  <c r="C354" i="5"/>
  <c r="C353" i="5"/>
  <c r="C352" i="5"/>
  <c r="C351" i="5"/>
  <c r="C350" i="5"/>
  <c r="C349" i="5"/>
  <c r="C348" i="5"/>
  <c r="C347" i="5"/>
  <c r="C346" i="5"/>
  <c r="C345" i="5"/>
  <c r="C344" i="5"/>
  <c r="C343" i="5"/>
  <c r="C342" i="5"/>
  <c r="C341" i="5"/>
  <c r="C340" i="5"/>
  <c r="C339" i="5"/>
  <c r="C338" i="5"/>
  <c r="C337" i="5"/>
  <c r="C336" i="5"/>
  <c r="C335" i="5"/>
  <c r="C334" i="5"/>
  <c r="C333" i="5"/>
  <c r="C332" i="5"/>
  <c r="C331" i="5"/>
  <c r="C330" i="5"/>
  <c r="C329" i="5"/>
  <c r="C328" i="5"/>
  <c r="C327" i="5"/>
  <c r="C326" i="5"/>
  <c r="C325" i="5"/>
  <c r="C324" i="5"/>
  <c r="C323" i="5"/>
  <c r="C322" i="5"/>
  <c r="C321" i="5"/>
  <c r="C320" i="5"/>
  <c r="C319" i="5"/>
  <c r="C318" i="5"/>
  <c r="C317" i="5"/>
  <c r="C316" i="5"/>
  <c r="C315" i="5"/>
  <c r="C314" i="5"/>
  <c r="C313" i="5"/>
  <c r="C312" i="5"/>
  <c r="C311" i="5"/>
  <c r="C310" i="5"/>
  <c r="C309" i="5"/>
  <c r="C308" i="5"/>
  <c r="C307" i="5"/>
  <c r="C306" i="5"/>
  <c r="C305" i="5"/>
  <c r="C304" i="5"/>
  <c r="C303" i="5"/>
  <c r="C302" i="5"/>
  <c r="C301" i="5"/>
  <c r="C300" i="5"/>
  <c r="C299" i="5"/>
  <c r="C298" i="5"/>
  <c r="C297" i="5"/>
  <c r="C296" i="5"/>
  <c r="C295" i="5"/>
  <c r="C294" i="5"/>
  <c r="C293" i="5"/>
  <c r="C292" i="5"/>
  <c r="C291" i="5"/>
  <c r="C290" i="5"/>
  <c r="C289" i="5"/>
  <c r="C288" i="5"/>
  <c r="C287" i="5"/>
  <c r="C286" i="5"/>
  <c r="C285" i="5"/>
  <c r="C284" i="5"/>
  <c r="C283" i="5"/>
  <c r="C282" i="5"/>
  <c r="C281" i="5"/>
  <c r="C280" i="5"/>
  <c r="C279" i="5"/>
  <c r="C278" i="5"/>
  <c r="C277" i="5"/>
  <c r="C276" i="5"/>
  <c r="C275" i="5"/>
  <c r="C274" i="5"/>
  <c r="C273" i="5"/>
  <c r="C272" i="5"/>
  <c r="C271" i="5"/>
  <c r="C270" i="5"/>
  <c r="C269" i="5"/>
  <c r="C268" i="5"/>
  <c r="C267" i="5"/>
  <c r="C266" i="5"/>
  <c r="C265" i="5"/>
  <c r="C264" i="5"/>
  <c r="C263" i="5"/>
  <c r="C262" i="5"/>
  <c r="C261" i="5"/>
  <c r="C260" i="5"/>
  <c r="C259" i="5"/>
  <c r="C258" i="5"/>
  <c r="C257" i="5"/>
  <c r="C256" i="5"/>
  <c r="C255" i="5"/>
  <c r="C254" i="5"/>
  <c r="C253" i="5"/>
  <c r="C252" i="5"/>
  <c r="C251" i="5"/>
  <c r="C250" i="5"/>
  <c r="C249" i="5"/>
  <c r="C248" i="5"/>
  <c r="C247" i="5"/>
  <c r="C246" i="5"/>
  <c r="C245" i="5"/>
  <c r="C244" i="5"/>
  <c r="C243" i="5"/>
  <c r="C242" i="5"/>
  <c r="C241" i="5"/>
  <c r="C240" i="5"/>
  <c r="C239" i="5"/>
  <c r="C238" i="5"/>
  <c r="C237" i="5"/>
  <c r="C236" i="5"/>
  <c r="C235" i="5"/>
  <c r="C234" i="5"/>
  <c r="C233" i="5"/>
  <c r="C232" i="5"/>
  <c r="C231" i="5"/>
  <c r="C230" i="5"/>
  <c r="C229" i="5"/>
  <c r="C228" i="5"/>
  <c r="C227" i="5"/>
  <c r="C226" i="5"/>
  <c r="C225" i="5"/>
  <c r="C224" i="5"/>
  <c r="C223" i="5"/>
  <c r="C222" i="5"/>
  <c r="C221" i="5"/>
  <c r="C220" i="5"/>
  <c r="C219" i="5"/>
  <c r="C218" i="5"/>
  <c r="C217" i="5"/>
  <c r="C216" i="5"/>
  <c r="C215" i="5"/>
  <c r="C214" i="5"/>
  <c r="C213" i="5"/>
  <c r="C212" i="5"/>
  <c r="C211" i="5"/>
  <c r="C210" i="5"/>
  <c r="C209" i="5"/>
  <c r="C208" i="5"/>
  <c r="C207" i="5"/>
  <c r="C206" i="5"/>
  <c r="C205" i="5"/>
  <c r="C204" i="5"/>
  <c r="C203" i="5"/>
  <c r="C202" i="5"/>
  <c r="C201" i="5"/>
  <c r="C200" i="5"/>
  <c r="C199" i="5"/>
  <c r="C198" i="5"/>
  <c r="C197" i="5"/>
  <c r="C196" i="5"/>
  <c r="C195" i="5"/>
  <c r="C194" i="5"/>
  <c r="C193" i="5"/>
  <c r="C192" i="5"/>
  <c r="C191" i="5"/>
  <c r="C190" i="5"/>
  <c r="C189" i="5"/>
  <c r="C188" i="5"/>
  <c r="C187" i="5"/>
  <c r="C186" i="5"/>
  <c r="C185" i="5"/>
  <c r="C184" i="5"/>
  <c r="C183" i="5"/>
  <c r="C182" i="5"/>
  <c r="C181" i="5"/>
  <c r="C180" i="5"/>
  <c r="C179" i="5"/>
  <c r="C178" i="5"/>
  <c r="C177" i="5"/>
  <c r="C176" i="5"/>
  <c r="C175" i="5"/>
  <c r="C174" i="5"/>
  <c r="C173" i="5"/>
  <c r="C172" i="5"/>
  <c r="C171" i="5"/>
  <c r="C170" i="5"/>
  <c r="C169" i="5"/>
  <c r="C168" i="5"/>
  <c r="C167" i="5"/>
  <c r="C166" i="5"/>
  <c r="C165" i="5"/>
  <c r="C164" i="5"/>
  <c r="C163" i="5"/>
  <c r="C162" i="5"/>
  <c r="C161" i="5"/>
  <c r="C160" i="5"/>
  <c r="C159" i="5"/>
  <c r="C158" i="5"/>
  <c r="C157" i="5"/>
  <c r="C156" i="5"/>
  <c r="C155" i="5"/>
  <c r="C154" i="5"/>
  <c r="C153" i="5"/>
  <c r="C152" i="5"/>
  <c r="C151" i="5"/>
  <c r="C150" i="5"/>
  <c r="C149" i="5"/>
  <c r="C148" i="5"/>
  <c r="C147" i="5"/>
  <c r="C146" i="5"/>
  <c r="C145" i="5"/>
  <c r="C144" i="5"/>
  <c r="C143" i="5"/>
  <c r="C142" i="5"/>
  <c r="C141" i="5"/>
  <c r="C140" i="5"/>
  <c r="C139" i="5"/>
  <c r="C138" i="5"/>
  <c r="C137" i="5"/>
  <c r="C136" i="5"/>
  <c r="C135" i="5"/>
  <c r="C134" i="5"/>
  <c r="C133" i="5"/>
  <c r="C132" i="5"/>
  <c r="C131" i="5"/>
  <c r="C130" i="5"/>
  <c r="C129" i="5"/>
  <c r="C128" i="5"/>
  <c r="C127" i="5"/>
  <c r="C126" i="5"/>
  <c r="C125" i="5"/>
  <c r="C124" i="5"/>
  <c r="C123" i="5"/>
  <c r="C122" i="5"/>
  <c r="C121" i="5"/>
  <c r="C120" i="5"/>
  <c r="C119" i="5"/>
  <c r="C118" i="5"/>
  <c r="C117" i="5"/>
  <c r="C116" i="5"/>
  <c r="C115" i="5"/>
  <c r="C114" i="5"/>
  <c r="C113" i="5"/>
  <c r="C112" i="5"/>
  <c r="C111" i="5"/>
  <c r="C110" i="5"/>
  <c r="C109" i="5"/>
  <c r="C108" i="5"/>
  <c r="C107" i="5"/>
  <c r="C106" i="5"/>
  <c r="C105" i="5"/>
  <c r="C104" i="5"/>
  <c r="C103" i="5"/>
  <c r="C102" i="5"/>
  <c r="C101" i="5"/>
  <c r="C100" i="5"/>
  <c r="C99" i="5"/>
  <c r="C98" i="5"/>
  <c r="C97" i="5"/>
  <c r="C96" i="5"/>
  <c r="C95" i="5"/>
  <c r="C94" i="5"/>
  <c r="C93" i="5"/>
  <c r="C92" i="5"/>
  <c r="C91" i="5"/>
  <c r="C90" i="5"/>
  <c r="C89" i="5"/>
  <c r="C88" i="5"/>
  <c r="C87" i="5"/>
  <c r="C86" i="5"/>
  <c r="C85" i="5"/>
  <c r="C84" i="5"/>
  <c r="C83" i="5"/>
  <c r="C82" i="5"/>
  <c r="C81" i="5"/>
  <c r="C80" i="5"/>
  <c r="C79" i="5"/>
  <c r="C78" i="5"/>
  <c r="C77" i="5"/>
  <c r="C76" i="5"/>
  <c r="C75" i="5"/>
  <c r="C74" i="5"/>
  <c r="C73" i="5"/>
  <c r="C72" i="5"/>
  <c r="C71" i="5"/>
  <c r="C70" i="5"/>
  <c r="C69" i="5"/>
  <c r="C68" i="5"/>
  <c r="C67" i="5"/>
  <c r="C66" i="5"/>
  <c r="C65" i="5"/>
  <c r="C64" i="5"/>
  <c r="C63" i="5"/>
  <c r="C62" i="5"/>
  <c r="C61" i="5"/>
  <c r="C60" i="5"/>
  <c r="C59" i="5"/>
  <c r="C58" i="5"/>
  <c r="C57" i="5"/>
  <c r="C56" i="5"/>
  <c r="C55" i="5"/>
  <c r="C54" i="5"/>
  <c r="C53" i="5"/>
  <c r="C52" i="5"/>
  <c r="C51" i="5"/>
  <c r="C50" i="5"/>
  <c r="C49" i="5"/>
  <c r="C48" i="5"/>
  <c r="C47" i="5"/>
  <c r="C46" i="5"/>
  <c r="C45" i="5"/>
  <c r="C44" i="5"/>
  <c r="C43" i="5"/>
  <c r="C42" i="5"/>
  <c r="C41" i="5"/>
  <c r="C40" i="5"/>
  <c r="C39" i="5"/>
  <c r="C38" i="5"/>
  <c r="C37" i="5"/>
  <c r="C36" i="5"/>
  <c r="C35" i="5"/>
  <c r="C34" i="5"/>
  <c r="C33" i="5"/>
  <c r="C32" i="5"/>
  <c r="C31" i="5"/>
  <c r="C30" i="5"/>
  <c r="C29" i="5"/>
  <c r="C28" i="5"/>
  <c r="F27" i="5"/>
  <c r="C27" i="5"/>
  <c r="C26" i="5"/>
  <c r="C25" i="5"/>
  <c r="C24" i="5"/>
  <c r="C23" i="5"/>
  <c r="C22" i="5"/>
  <c r="C21" i="5"/>
  <c r="C20" i="5"/>
  <c r="C19" i="5"/>
  <c r="C18" i="5"/>
  <c r="C17" i="5"/>
  <c r="C16" i="5"/>
  <c r="C15" i="5"/>
  <c r="C14" i="5"/>
  <c r="C13" i="5"/>
  <c r="C12" i="5"/>
  <c r="C11" i="5"/>
  <c r="C10" i="5"/>
  <c r="C9" i="5"/>
  <c r="C8" i="5"/>
  <c r="C7" i="5"/>
  <c r="C6" i="5"/>
  <c r="C5" i="5"/>
  <c r="C4" i="5"/>
  <c r="C3" i="5"/>
  <c r="C2" i="5"/>
  <c r="AC44" i="1"/>
  <c r="AC50" i="1"/>
  <c r="AC46" i="1"/>
  <c r="AC45" i="1"/>
  <c r="AC42" i="1"/>
  <c r="AC51" i="1"/>
  <c r="AC41" i="1"/>
  <c r="AC49" i="1"/>
  <c r="AC48" i="1"/>
  <c r="AC43" i="1"/>
  <c r="AC40" i="1"/>
  <c r="AC47" i="1"/>
  <c r="J26" i="5"/>
  <c r="L37" i="5"/>
  <c r="I26" i="5"/>
  <c r="K37" i="5"/>
  <c r="H26" i="5"/>
  <c r="K26" i="5"/>
  <c r="J37" i="5"/>
  <c r="G26" i="5"/>
  <c r="I37" i="5"/>
  <c r="K27" i="5"/>
  <c r="H37" i="5"/>
  <c r="G37" i="5"/>
  <c r="L26" i="5"/>
  <c r="J27" i="5"/>
  <c r="F28" i="5" l="1"/>
  <c r="AC4" i="1"/>
  <c r="AB4" i="1"/>
  <c r="AC3" i="1"/>
  <c r="AB3" i="1"/>
  <c r="AC547" i="1"/>
  <c r="AC548" i="1"/>
  <c r="AC544" i="1"/>
  <c r="AC543" i="1"/>
  <c r="AC542" i="1"/>
  <c r="AC545" i="1"/>
  <c r="AC546" i="1"/>
  <c r="AC554" i="1"/>
  <c r="AC552" i="1"/>
  <c r="AC551" i="1"/>
  <c r="AC550" i="1"/>
  <c r="AC557" i="1"/>
  <c r="AC553" i="1"/>
  <c r="AC549" i="1"/>
  <c r="AC556" i="1"/>
  <c r="AC449" i="1"/>
  <c r="AC459" i="1"/>
  <c r="AC452" i="1"/>
  <c r="AC445" i="1"/>
  <c r="AC444" i="1"/>
  <c r="AC442" i="1"/>
  <c r="AC440" i="1"/>
  <c r="AC437" i="1"/>
  <c r="AC443" i="1"/>
  <c r="AC441" i="1"/>
  <c r="AC439" i="1"/>
  <c r="AC438" i="1"/>
  <c r="AC436" i="1"/>
  <c r="AC448" i="1"/>
  <c r="AC434" i="1"/>
  <c r="AC447" i="1"/>
  <c r="AC446" i="1"/>
  <c r="AC435" i="1"/>
  <c r="AC432" i="1"/>
  <c r="AC433" i="1"/>
  <c r="AC427" i="1"/>
  <c r="AC429" i="1"/>
  <c r="AC428" i="1"/>
  <c r="AC425" i="1"/>
  <c r="AC426" i="1"/>
  <c r="AC118" i="1"/>
  <c r="AC235" i="1"/>
  <c r="AC234" i="1"/>
  <c r="AC233" i="1"/>
  <c r="AC232" i="1"/>
  <c r="AC231" i="1"/>
  <c r="AC230" i="1"/>
  <c r="AC229" i="1"/>
  <c r="AC228" i="1"/>
  <c r="AC227" i="1"/>
  <c r="AC218" i="1"/>
  <c r="AC219" i="1"/>
  <c r="AC220" i="1"/>
  <c r="AC221" i="1"/>
  <c r="AC222" i="1"/>
  <c r="AC223" i="1"/>
  <c r="AC224" i="1"/>
  <c r="AC225" i="1"/>
  <c r="AC217" i="1"/>
  <c r="AC216" i="1"/>
  <c r="AC215" i="1"/>
  <c r="AC214" i="1"/>
  <c r="AC213" i="1"/>
  <c r="AC212" i="1"/>
  <c r="AC211" i="1"/>
  <c r="AC210" i="1"/>
  <c r="AC209" i="1"/>
  <c r="AC207" i="1"/>
  <c r="AC151" i="1"/>
  <c r="AC149" i="1"/>
  <c r="AC150" i="1"/>
  <c r="AC6" i="1"/>
  <c r="AB6" i="1"/>
  <c r="AC5" i="1"/>
  <c r="L27" i="5"/>
  <c r="G27" i="5"/>
  <c r="H27" i="5"/>
  <c r="I27" i="5"/>
  <c r="F29" i="5" l="1"/>
  <c r="P3" i="1"/>
  <c r="Z3" i="1"/>
  <c r="H12" i="1"/>
  <c r="H11" i="1"/>
  <c r="H10" i="1"/>
  <c r="H9" i="1"/>
  <c r="H8" i="1"/>
  <c r="H7" i="1"/>
  <c r="H6" i="1"/>
  <c r="H5" i="1"/>
  <c r="H4" i="1"/>
  <c r="X3" i="1"/>
  <c r="U3" i="1"/>
  <c r="M3" i="1"/>
  <c r="N3" i="1" s="1"/>
  <c r="J3" i="1"/>
  <c r="H3" i="1"/>
  <c r="D3" i="1"/>
  <c r="C3" i="1"/>
  <c r="B3" i="1"/>
  <c r="J28" i="5"/>
  <c r="K28" i="5"/>
  <c r="I28" i="5"/>
  <c r="H28" i="5"/>
  <c r="G28" i="5"/>
  <c r="L28" i="5"/>
  <c r="F30" i="5" l="1"/>
  <c r="J29" i="5"/>
  <c r="I29" i="5"/>
  <c r="H29" i="5"/>
  <c r="G29" i="5"/>
  <c r="L29" i="5"/>
  <c r="K29" i="5"/>
  <c r="F31" i="5" l="1"/>
  <c r="K30" i="5"/>
  <c r="G30" i="5"/>
  <c r="H30" i="5"/>
  <c r="L30" i="5"/>
  <c r="F32" i="5" l="1"/>
  <c r="K31" i="5"/>
  <c r="J31" i="5"/>
  <c r="I31" i="5"/>
  <c r="H31" i="5"/>
  <c r="G31" i="5"/>
  <c r="L31" i="5"/>
  <c r="F33" i="5" l="1"/>
  <c r="I32" i="5"/>
  <c r="H32" i="5"/>
  <c r="G32" i="5"/>
  <c r="J32" i="5"/>
  <c r="L32" i="5"/>
  <c r="K32" i="5"/>
  <c r="F34" i="5" l="1"/>
  <c r="G33" i="5"/>
  <c r="I33" i="5"/>
  <c r="L33" i="5"/>
  <c r="K33" i="5"/>
  <c r="J33" i="5"/>
  <c r="H33" i="5"/>
  <c r="F35" i="5" l="1"/>
  <c r="L34" i="5"/>
  <c r="K34" i="5"/>
  <c r="I34" i="5"/>
  <c r="H34" i="5"/>
  <c r="G34" i="5"/>
  <c r="J34" i="5"/>
  <c r="F36" i="5" l="1"/>
  <c r="K35" i="5"/>
  <c r="H35" i="5"/>
  <c r="L35" i="5"/>
  <c r="J35" i="5"/>
  <c r="I35" i="5"/>
  <c r="G35" i="5"/>
  <c r="K36" i="5" l="1"/>
  <c r="I36" i="5"/>
  <c r="G36" i="5"/>
  <c r="L36" i="5"/>
  <c r="J36" i="5"/>
  <c r="H36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<sst xmlns="http://schemas.openxmlformats.org/spreadsheetml/2006/main" count="4485" uniqueCount="720">
  <si>
    <t>ID</t>
  </si>
  <si>
    <t>Apoio</t>
  </si>
  <si>
    <t>Apoio 2</t>
  </si>
  <si>
    <r>
      <t>Empresa (</t>
    </r>
    <r>
      <rPr>
        <i/>
        <sz val="11"/>
        <color theme="1"/>
        <rFont val="Calibri"/>
        <family val="2"/>
        <scheme val="minor"/>
      </rPr>
      <t>j</t>
    </r>
    <r>
      <rPr>
        <sz val="11"/>
        <color theme="1"/>
        <rFont val="Calibri"/>
        <family val="2"/>
        <scheme val="minor"/>
      </rPr>
      <t>)</t>
    </r>
  </si>
  <si>
    <t xml:space="preserve">Empresa        </t>
  </si>
  <si>
    <t>Grupo Econômico</t>
  </si>
  <si>
    <t>Ativo</t>
  </si>
  <si>
    <r>
      <t>β</t>
    </r>
    <r>
      <rPr>
        <i/>
        <sz val="11"/>
        <color theme="1"/>
        <rFont val="Calibri"/>
        <family val="2"/>
      </rPr>
      <t>Ext</t>
    </r>
  </si>
  <si>
    <t>Codigo do Ativo</t>
  </si>
  <si>
    <t>Emissao (i)</t>
  </si>
  <si>
    <t>Data de Emissao</t>
  </si>
  <si>
    <t xml:space="preserve"> Data de Vencimento</t>
  </si>
  <si>
    <t>Prazo</t>
  </si>
  <si>
    <r>
      <rPr>
        <sz val="11"/>
        <color theme="1"/>
        <rFont val="Calibri"/>
        <family val="2"/>
      </rPr>
      <t>β</t>
    </r>
    <r>
      <rPr>
        <i/>
        <sz val="11"/>
        <color theme="1"/>
        <rFont val="Calibri"/>
        <family val="2"/>
      </rPr>
      <t>LP</t>
    </r>
  </si>
  <si>
    <t>Garantia/Especie</t>
  </si>
  <si>
    <r>
      <t>β</t>
    </r>
    <r>
      <rPr>
        <i/>
        <sz val="11"/>
        <color theme="1"/>
        <rFont val="Calibri"/>
        <family val="2"/>
      </rPr>
      <t>Garantia</t>
    </r>
  </si>
  <si>
    <t>Quantidade Emitida</t>
  </si>
  <si>
    <t>Valor Nominal na Emissao</t>
  </si>
  <si>
    <t>Preço USD</t>
  </si>
  <si>
    <t>Volume Emissão</t>
  </si>
  <si>
    <t>Volume R$ (100 MM)</t>
  </si>
  <si>
    <t>indice</t>
  </si>
  <si>
    <t>Resgate Antecipado</t>
  </si>
  <si>
    <r>
      <rPr>
        <sz val="11"/>
        <color theme="1"/>
        <rFont val="Calibri"/>
        <family val="2"/>
      </rPr>
      <t>β</t>
    </r>
    <r>
      <rPr>
        <i/>
        <sz val="11"/>
        <color theme="1"/>
        <rFont val="Calibri"/>
        <family val="2"/>
        <scheme val="minor"/>
      </rPr>
      <t>Call</t>
    </r>
  </si>
  <si>
    <t>Corporate Rating na data da Emissão</t>
  </si>
  <si>
    <r>
      <rPr>
        <sz val="11"/>
        <color theme="1"/>
        <rFont val="Calibri"/>
        <family val="2"/>
      </rPr>
      <t>β</t>
    </r>
    <r>
      <rPr>
        <i/>
        <sz val="11"/>
        <color theme="1"/>
        <rFont val="Calibri"/>
        <family val="2"/>
        <scheme val="minor"/>
      </rPr>
      <t>HighGrade</t>
    </r>
  </si>
  <si>
    <t>RiscoPaís (%)</t>
  </si>
  <si>
    <t>ADECOAGRO VALE DO IVINHEMA S.A.</t>
  </si>
  <si>
    <t>Adecoagro</t>
  </si>
  <si>
    <t>Debêntures</t>
  </si>
  <si>
    <t xml:space="preserve">ADAG11    </t>
  </si>
  <si>
    <t>Real</t>
  </si>
  <si>
    <t>IPCA</t>
  </si>
  <si>
    <t>-</t>
  </si>
  <si>
    <t>S</t>
  </si>
  <si>
    <t>N</t>
  </si>
  <si>
    <t>Adecoagro SA</t>
  </si>
  <si>
    <t>Bonds</t>
  </si>
  <si>
    <t>21/09/2027</t>
  </si>
  <si>
    <t>COMPANY GUARNT</t>
  </si>
  <si>
    <t>USD</t>
  </si>
  <si>
    <t>AEGEA SANEAMENTO E PARTICIPACOES S/A</t>
  </si>
  <si>
    <t>Aegea</t>
  </si>
  <si>
    <t xml:space="preserve">AEGA11    </t>
  </si>
  <si>
    <t>DI</t>
  </si>
  <si>
    <t xml:space="preserve">AEGA12    </t>
  </si>
  <si>
    <t xml:space="preserve">AEGP13    </t>
  </si>
  <si>
    <t>Quirografária</t>
  </si>
  <si>
    <t xml:space="preserve">AEGP14    </t>
  </si>
  <si>
    <t xml:space="preserve">AEGP15    </t>
  </si>
  <si>
    <t xml:space="preserve">AEGP17    </t>
  </si>
  <si>
    <t xml:space="preserve">AEGP19    </t>
  </si>
  <si>
    <t xml:space="preserve">AEGP23    </t>
  </si>
  <si>
    <t>Aegea Finance Sarl</t>
  </si>
  <si>
    <t>10/10/2024</t>
  </si>
  <si>
    <t>AMERICANAS S/A</t>
  </si>
  <si>
    <t>Americanas</t>
  </si>
  <si>
    <t xml:space="preserve">BTOW13    </t>
  </si>
  <si>
    <t xml:space="preserve">BTOW15    </t>
  </si>
  <si>
    <t xml:space="preserve">LAME10    </t>
  </si>
  <si>
    <t xml:space="preserve">LAME14    </t>
  </si>
  <si>
    <t>Flutuante</t>
  </si>
  <si>
    <t xml:space="preserve">LAME16    </t>
  </si>
  <si>
    <t xml:space="preserve">LAME17    </t>
  </si>
  <si>
    <t xml:space="preserve">LAME18    </t>
  </si>
  <si>
    <t xml:space="preserve">LAME19    </t>
  </si>
  <si>
    <t xml:space="preserve">LAME26    </t>
  </si>
  <si>
    <t xml:space="preserve">LAME27    </t>
  </si>
  <si>
    <t xml:space="preserve">LAME28    </t>
  </si>
  <si>
    <t xml:space="preserve">LAME29    </t>
  </si>
  <si>
    <t xml:space="preserve">LAME38    </t>
  </si>
  <si>
    <t xml:space="preserve">LAMEA1    </t>
  </si>
  <si>
    <t xml:space="preserve">LAMEA2    </t>
  </si>
  <si>
    <t xml:space="preserve">LAMEA3    </t>
  </si>
  <si>
    <t xml:space="preserve">LAMEA4    </t>
  </si>
  <si>
    <t xml:space="preserve">LAMEA5    </t>
  </si>
  <si>
    <t xml:space="preserve">LAMEA6    </t>
  </si>
  <si>
    <t xml:space="preserve">LAMEB1    </t>
  </si>
  <si>
    <t>B2W Digital Lux Sarl</t>
  </si>
  <si>
    <t>20/12/2030</t>
  </si>
  <si>
    <t>JSM Global Sarl</t>
  </si>
  <si>
    <t>20/10/2030</t>
  </si>
  <si>
    <t>ANDRADE GUTIERREZ PARTICIPACOES S.A.</t>
  </si>
  <si>
    <t>Andrade Gutierrez</t>
  </si>
  <si>
    <t xml:space="preserve">ANDG11    </t>
  </si>
  <si>
    <t xml:space="preserve">ANDG12    </t>
  </si>
  <si>
    <t xml:space="preserve">CANT12    </t>
  </si>
  <si>
    <t xml:space="preserve">CANT13    </t>
  </si>
  <si>
    <t xml:space="preserve">CANT15    </t>
  </si>
  <si>
    <t xml:space="preserve">CANT22    </t>
  </si>
  <si>
    <t xml:space="preserve">CANT32    </t>
  </si>
  <si>
    <t>ANDRADE GUTIERREZ S/A</t>
  </si>
  <si>
    <t xml:space="preserve">AGUT12    </t>
  </si>
  <si>
    <t xml:space="preserve">AGUT13    </t>
  </si>
  <si>
    <t xml:space="preserve">AGUT14    </t>
  </si>
  <si>
    <t xml:space="preserve">AGUT15    </t>
  </si>
  <si>
    <t>Andrade Gutierrez International SA</t>
  </si>
  <si>
    <t>30/12/2024</t>
  </si>
  <si>
    <t>SR SECURED</t>
  </si>
  <si>
    <t>AZUL LINHAS AEREAS BRASILEIRAS S.A.</t>
  </si>
  <si>
    <t>Azul Linhas Aéreas</t>
  </si>
  <si>
    <t xml:space="preserve">AZLA11    </t>
  </si>
  <si>
    <t xml:space="preserve">AZLA12    </t>
  </si>
  <si>
    <t xml:space="preserve">AZLA13    </t>
  </si>
  <si>
    <t xml:space="preserve">AZLA14    </t>
  </si>
  <si>
    <t xml:space="preserve">AZLA15    </t>
  </si>
  <si>
    <t xml:space="preserve">AZLA16    </t>
  </si>
  <si>
    <t xml:space="preserve">AZLA17    </t>
  </si>
  <si>
    <t xml:space="preserve">AZLA18    </t>
  </si>
  <si>
    <t xml:space="preserve">AZLA19    </t>
  </si>
  <si>
    <t xml:space="preserve">AZLAA0    </t>
  </si>
  <si>
    <t>Azul Investments LLP</t>
  </si>
  <si>
    <t>15/06/2026</t>
  </si>
  <si>
    <t>26/10/2024</t>
  </si>
  <si>
    <t>Braskem</t>
  </si>
  <si>
    <t>Braskem America Finance Co</t>
  </si>
  <si>
    <t>22/07/2041</t>
  </si>
  <si>
    <t>Braskem Finance Ltd</t>
  </si>
  <si>
    <t>03/02/2024</t>
  </si>
  <si>
    <t>02/05/2022</t>
  </si>
  <si>
    <t>15/04/2021</t>
  </si>
  <si>
    <t>Braskem Netherlands Finance BV</t>
  </si>
  <si>
    <t>31/01/2030</t>
  </si>
  <si>
    <t>10/01/2028</t>
  </si>
  <si>
    <t>31/01/2050</t>
  </si>
  <si>
    <t>23/01/2081</t>
  </si>
  <si>
    <t>10/01/2023</t>
  </si>
  <si>
    <t>BRF S/A</t>
  </si>
  <si>
    <t>BRF</t>
  </si>
  <si>
    <t xml:space="preserve">BRFS11    </t>
  </si>
  <si>
    <t xml:space="preserve">BRFS31    </t>
  </si>
  <si>
    <t xml:space="preserve">BRFS41    </t>
  </si>
  <si>
    <t>BRF GmbH</t>
  </si>
  <si>
    <t>29/09/2026</t>
  </si>
  <si>
    <t>BRF SA</t>
  </si>
  <si>
    <t>24/01/2030</t>
  </si>
  <si>
    <t>21/09/2050</t>
  </si>
  <si>
    <t>22/05/2024</t>
  </si>
  <si>
    <t>22/05/2023</t>
  </si>
  <si>
    <t>06/06/2022</t>
  </si>
  <si>
    <t>CEMIG CAPIM BRANCO ENERGIA S.A.</t>
  </si>
  <si>
    <t>Cemig</t>
  </si>
  <si>
    <t xml:space="preserve">CMCB11    </t>
  </si>
  <si>
    <t>CEMIG DISTRIBUICAO S/A</t>
  </si>
  <si>
    <t xml:space="preserve">CMDT13    </t>
  </si>
  <si>
    <t xml:space="preserve">CMDT14    </t>
  </si>
  <si>
    <t xml:space="preserve">CMDT23    </t>
  </si>
  <si>
    <t xml:space="preserve">CMDT33    </t>
  </si>
  <si>
    <t xml:space="preserve">CMGD15    </t>
  </si>
  <si>
    <t xml:space="preserve">CMGD16    </t>
  </si>
  <si>
    <t xml:space="preserve">CMGD17    </t>
  </si>
  <si>
    <t xml:space="preserve">CMGD27    </t>
  </si>
  <si>
    <t>CEMIG GERACAO E TRANSMISSAO S/A</t>
  </si>
  <si>
    <t xml:space="preserve">CMTR13    </t>
  </si>
  <si>
    <t xml:space="preserve">CMTR14    </t>
  </si>
  <si>
    <t xml:space="preserve">CMTR15    </t>
  </si>
  <si>
    <t xml:space="preserve">CMTR16    </t>
  </si>
  <si>
    <t xml:space="preserve">CMTR17    </t>
  </si>
  <si>
    <t xml:space="preserve">CMTR23    </t>
  </si>
  <si>
    <t xml:space="preserve">CMTR26    </t>
  </si>
  <si>
    <t xml:space="preserve">CMTR33    </t>
  </si>
  <si>
    <t>COMPANHIA ENERGETICA DE MINAS GERAIS - CEMIG</t>
  </si>
  <si>
    <t xml:space="preserve">CMTG12    </t>
  </si>
  <si>
    <t>Cemig Geracao e Transmissao SA</t>
  </si>
  <si>
    <t>05/12/2024</t>
  </si>
  <si>
    <t>COMPANHIA BRASILEIRA DE ALUMINIO</t>
  </si>
  <si>
    <t>Cia Brasileira de Alumínio</t>
  </si>
  <si>
    <t xml:space="preserve">CBAV11    </t>
  </si>
  <si>
    <t>Cia Brasileira de Aluminio</t>
  </si>
  <si>
    <t>17/06/2024</t>
  </si>
  <si>
    <t>CIELO S.A.</t>
  </si>
  <si>
    <t>Cielo</t>
  </si>
  <si>
    <t xml:space="preserve">CIEL14    </t>
  </si>
  <si>
    <t xml:space="preserve">CIEL15    </t>
  </si>
  <si>
    <t>Cielo SA</t>
  </si>
  <si>
    <t>16/11/2022</t>
  </si>
  <si>
    <t>Cielo USA Inc</t>
  </si>
  <si>
    <t>COSAN S.A.</t>
  </si>
  <si>
    <t>Cosan</t>
  </si>
  <si>
    <t xml:space="preserve">COIC11    </t>
  </si>
  <si>
    <t xml:space="preserve">COIC21    </t>
  </si>
  <si>
    <t xml:space="preserve">CSAN12    </t>
  </si>
  <si>
    <t xml:space="preserve">CSAN13    </t>
  </si>
  <si>
    <t xml:space="preserve">CSAN23    </t>
  </si>
  <si>
    <t xml:space="preserve">CSAN33    </t>
  </si>
  <si>
    <t xml:space="preserve">RLOG11    </t>
  </si>
  <si>
    <t>Cosan Ltd</t>
  </si>
  <si>
    <t>20/09/2024</t>
  </si>
  <si>
    <t>Cosan Luxembourg SA</t>
  </si>
  <si>
    <t>20/01/2027</t>
  </si>
  <si>
    <t>14/03/2023</t>
  </si>
  <si>
    <t>Cosan SA</t>
  </si>
  <si>
    <t>20/09/2029</t>
  </si>
  <si>
    <t>CSN MINERACAO S.A.</t>
  </si>
  <si>
    <t>CSN</t>
  </si>
  <si>
    <t xml:space="preserve">CMIN11    </t>
  </si>
  <si>
    <t xml:space="preserve">CMIN21    </t>
  </si>
  <si>
    <t>CSN Inova Ventures</t>
  </si>
  <si>
    <t>28/01/2028</t>
  </si>
  <si>
    <t>CSN Resources SA</t>
  </si>
  <si>
    <t>10/06/2031</t>
  </si>
  <si>
    <t>17/04/2026</t>
  </si>
  <si>
    <t>13/02/2023</t>
  </si>
  <si>
    <t>21/07/2020</t>
  </si>
  <si>
    <t>ELDORADO BRASIL CELULOSE S.A.</t>
  </si>
  <si>
    <t>Eldorado</t>
  </si>
  <si>
    <t xml:space="preserve">ELDC14    </t>
  </si>
  <si>
    <t xml:space="preserve">ELDO12    </t>
  </si>
  <si>
    <t>Eldorado Intl. Finance GmbH</t>
  </si>
  <si>
    <t>16/06/2021</t>
  </si>
  <si>
    <t>CENTRAIS ELETRICAS BRAS.S/A - ELETROBRAS</t>
  </si>
  <si>
    <t>Eletrobras</t>
  </si>
  <si>
    <t xml:space="preserve">ELET12    </t>
  </si>
  <si>
    <t xml:space="preserve">ELET13    </t>
  </si>
  <si>
    <t xml:space="preserve">ELET22    </t>
  </si>
  <si>
    <t xml:space="preserve">ELET23    </t>
  </si>
  <si>
    <t xml:space="preserve">ELET32    </t>
  </si>
  <si>
    <t xml:space="preserve">ELET42    </t>
  </si>
  <si>
    <t>Centrais Eletricas Brasileiras SA</t>
  </si>
  <si>
    <t>04/02/2030</t>
  </si>
  <si>
    <t>04/02/2025</t>
  </si>
  <si>
    <t>27/10/2021</t>
  </si>
  <si>
    <t>EQUATORIAL PARA DISTRIBUIDORA DE ENERGIA S.A.</t>
  </si>
  <si>
    <t>Equatorial</t>
  </si>
  <si>
    <t xml:space="preserve">CLPP13    </t>
  </si>
  <si>
    <t xml:space="preserve">CLPP14    </t>
  </si>
  <si>
    <t xml:space="preserve">CLPP23    </t>
  </si>
  <si>
    <t>EQUATORIAL PARA DISTRIBUIDORA</t>
  </si>
  <si>
    <t>03/06/2016</t>
  </si>
  <si>
    <t>GERDAU S/A</t>
  </si>
  <si>
    <t>Gerdau</t>
  </si>
  <si>
    <t xml:space="preserve">GGBRA5    </t>
  </si>
  <si>
    <t xml:space="preserve">GGBRA6    </t>
  </si>
  <si>
    <t xml:space="preserve">GGBRB6    </t>
  </si>
  <si>
    <t>Gerdau Trade Inc</t>
  </si>
  <si>
    <t>24/10/2027</t>
  </si>
  <si>
    <t>15/04/2023</t>
  </si>
  <si>
    <t>GTL Trade Finance Inc</t>
  </si>
  <si>
    <t>16/04/2044</t>
  </si>
  <si>
    <t>29/04/2024</t>
  </si>
  <si>
    <t>GTL Trade Finance Inc / Gerdau Holdings Inc</t>
  </si>
  <si>
    <t>GUSAP III LP</t>
  </si>
  <si>
    <t>21/01/2030</t>
  </si>
  <si>
    <t>GOL LINHAS AEREAS S/A</t>
  </si>
  <si>
    <t>Gol Linhas Aéreas</t>
  </si>
  <si>
    <t xml:space="preserve">VRGL15    </t>
  </si>
  <si>
    <t xml:space="preserve">VRGL16    </t>
  </si>
  <si>
    <t xml:space="preserve">VRGL17    </t>
  </si>
  <si>
    <t xml:space="preserve">VRGL18    </t>
  </si>
  <si>
    <t xml:space="preserve">VRGL27    </t>
  </si>
  <si>
    <t>Gol Finance Inc</t>
  </si>
  <si>
    <t>31/01/2025</t>
  </si>
  <si>
    <t>Gol Finance SA</t>
  </si>
  <si>
    <t>30/06/2026</t>
  </si>
  <si>
    <t>24/01/2022</t>
  </si>
  <si>
    <t>Gol Linhas Aereas SA</t>
  </si>
  <si>
    <t>12/02/2023</t>
  </si>
  <si>
    <t>HIDROVIAS DO BRASIL S.A.</t>
  </si>
  <si>
    <t>Hidrovias do Brasil</t>
  </si>
  <si>
    <t xml:space="preserve">HBSA11    </t>
  </si>
  <si>
    <t xml:space="preserve">HBSA21    </t>
  </si>
  <si>
    <t>Hidrovias International Finance SARL</t>
  </si>
  <si>
    <t>08/02/2031</t>
  </si>
  <si>
    <t>24/01/2025</t>
  </si>
  <si>
    <t>HYPERA S/A</t>
  </si>
  <si>
    <t>Hypera</t>
  </si>
  <si>
    <t xml:space="preserve">HYPE14    </t>
  </si>
  <si>
    <t xml:space="preserve">HYPE15    </t>
  </si>
  <si>
    <t xml:space="preserve">HYPE16    </t>
  </si>
  <si>
    <t xml:space="preserve">HYPE17    </t>
  </si>
  <si>
    <t xml:space="preserve">HYPE18    </t>
  </si>
  <si>
    <t xml:space="preserve">HYPE19    </t>
  </si>
  <si>
    <t xml:space="preserve">HYPE24    </t>
  </si>
  <si>
    <t xml:space="preserve">HYPEA0    </t>
  </si>
  <si>
    <t xml:space="preserve">HYPEA1    </t>
  </si>
  <si>
    <t xml:space="preserve">HYPEB0    </t>
  </si>
  <si>
    <t>Hypera SA</t>
  </si>
  <si>
    <t>20/04/2021</t>
  </si>
  <si>
    <t>INTERCEMENT BRASIL S.A.</t>
  </si>
  <si>
    <t>InterCement</t>
  </si>
  <si>
    <t xml:space="preserve">CCCI12    </t>
  </si>
  <si>
    <t xml:space="preserve">CCCI13    </t>
  </si>
  <si>
    <t xml:space="preserve">CCCI22    </t>
  </si>
  <si>
    <t xml:space="preserve">CCCI23    </t>
  </si>
  <si>
    <t xml:space="preserve">CCCI33    </t>
  </si>
  <si>
    <t xml:space="preserve">CCCI43    </t>
  </si>
  <si>
    <t xml:space="preserve">CCCI53    </t>
  </si>
  <si>
    <t xml:space="preserve">CCCI63    </t>
  </si>
  <si>
    <t xml:space="preserve">CCCI73    </t>
  </si>
  <si>
    <t xml:space="preserve">CCCI83    </t>
  </si>
  <si>
    <t xml:space="preserve">CCCI93    </t>
  </si>
  <si>
    <t xml:space="preserve">ICBR14    </t>
  </si>
  <si>
    <t xml:space="preserve">ICBR24    </t>
  </si>
  <si>
    <t xml:space="preserve">ICBR34    </t>
  </si>
  <si>
    <t xml:space="preserve">ICBR44    </t>
  </si>
  <si>
    <t xml:space="preserve">ICBR54    </t>
  </si>
  <si>
    <t xml:space="preserve">ICBR64    </t>
  </si>
  <si>
    <t xml:space="preserve">ICBR74    </t>
  </si>
  <si>
    <t xml:space="preserve">ICBR84    </t>
  </si>
  <si>
    <t xml:space="preserve">ICBR94    </t>
  </si>
  <si>
    <t xml:space="preserve">SFCI11    </t>
  </si>
  <si>
    <t>INTERCEMENT PARTICIPACOES S.A.</t>
  </si>
  <si>
    <t xml:space="preserve">ITCT11    </t>
  </si>
  <si>
    <t xml:space="preserve">ITCT21    </t>
  </si>
  <si>
    <t xml:space="preserve">ITCT31    </t>
  </si>
  <si>
    <t xml:space="preserve">ITCT41    </t>
  </si>
  <si>
    <t xml:space="preserve">ITCT51    </t>
  </si>
  <si>
    <t xml:space="preserve">ITCT61    </t>
  </si>
  <si>
    <t xml:space="preserve">ITCT71    </t>
  </si>
  <si>
    <t xml:space="preserve">ITCT81    </t>
  </si>
  <si>
    <t xml:space="preserve">ITCT91    </t>
  </si>
  <si>
    <t>InterCement Financial Operations BV</t>
  </si>
  <si>
    <t>17/07/2024</t>
  </si>
  <si>
    <t>IOCHPE-MAXION S/A</t>
  </si>
  <si>
    <t>Iochpe-Maxion</t>
  </si>
  <si>
    <t xml:space="preserve">IOCH10    </t>
  </si>
  <si>
    <t xml:space="preserve">IOCH15    </t>
  </si>
  <si>
    <t xml:space="preserve">IOCH17    </t>
  </si>
  <si>
    <t xml:space="preserve">IOCH18    </t>
  </si>
  <si>
    <t xml:space="preserve">IOCH19    </t>
  </si>
  <si>
    <t xml:space="preserve">IOCH27    </t>
  </si>
  <si>
    <t xml:space="preserve">IOCH29    </t>
  </si>
  <si>
    <t>Iochpe-Maxion Austria GmbH / Maxion Wheels de Mexico S de RL de CV</t>
  </si>
  <si>
    <t>07/05/2028</t>
  </si>
  <si>
    <t>KLABIN S/A</t>
  </si>
  <si>
    <t>Klabin</t>
  </si>
  <si>
    <t xml:space="preserve">KLBNA2    </t>
  </si>
  <si>
    <t>Klabin Austria GmbH</t>
  </si>
  <si>
    <t>03/04/2049</t>
  </si>
  <si>
    <t>03/04/2029</t>
  </si>
  <si>
    <t>12/01/2031</t>
  </si>
  <si>
    <t>19/09/2027</t>
  </si>
  <si>
    <t>16/07/2024</t>
  </si>
  <si>
    <t>LIGHT ENERGIA S.A</t>
  </si>
  <si>
    <t>Light Energia</t>
  </si>
  <si>
    <t xml:space="preserve">LGTE11    </t>
  </si>
  <si>
    <t xml:space="preserve">LGTE14    </t>
  </si>
  <si>
    <t xml:space="preserve">LGTE15    </t>
  </si>
  <si>
    <t xml:space="preserve">LGTE16    </t>
  </si>
  <si>
    <t xml:space="preserve">LGTE17    </t>
  </si>
  <si>
    <t xml:space="preserve">LGTE27    </t>
  </si>
  <si>
    <t xml:space="preserve">LTEN12    </t>
  </si>
  <si>
    <t>LIGHT SERVICOS DE ELETRICIDADE S/A</t>
  </si>
  <si>
    <t xml:space="preserve">LIGH1B    </t>
  </si>
  <si>
    <t xml:space="preserve">LIGHA1    </t>
  </si>
  <si>
    <t xml:space="preserve">LIGHA2    </t>
  </si>
  <si>
    <t xml:space="preserve">LIGHA3    </t>
  </si>
  <si>
    <t xml:space="preserve">LIGHA4    </t>
  </si>
  <si>
    <t xml:space="preserve">LIGHA5    </t>
  </si>
  <si>
    <t xml:space="preserve">LIGHA6    </t>
  </si>
  <si>
    <t xml:space="preserve">LIGHA7    </t>
  </si>
  <si>
    <t xml:space="preserve">LIGHA8    </t>
  </si>
  <si>
    <t xml:space="preserve">LIGHA9    </t>
  </si>
  <si>
    <t xml:space="preserve">LIGHB0    </t>
  </si>
  <si>
    <t xml:space="preserve">LIGHB2    </t>
  </si>
  <si>
    <t xml:space="preserve">LIGHB5    </t>
  </si>
  <si>
    <t xml:space="preserve">LIGHB6    </t>
  </si>
  <si>
    <t xml:space="preserve">LIGHB7    </t>
  </si>
  <si>
    <t xml:space="preserve">LIGHC2    </t>
  </si>
  <si>
    <t xml:space="preserve">LIGHC3    </t>
  </si>
  <si>
    <t xml:space="preserve">LIGHC6    </t>
  </si>
  <si>
    <t xml:space="preserve">LIGHD2    </t>
  </si>
  <si>
    <t xml:space="preserve">LIGHD3    </t>
  </si>
  <si>
    <t xml:space="preserve">LIGHD7    </t>
  </si>
  <si>
    <t xml:space="preserve">LSVE10    </t>
  </si>
  <si>
    <t xml:space="preserve">LSVE17    </t>
  </si>
  <si>
    <t xml:space="preserve">LSVE19    </t>
  </si>
  <si>
    <t xml:space="preserve">LSVE29    </t>
  </si>
  <si>
    <t>Light Servicos de Eletricidade SA/Light Energia SA</t>
  </si>
  <si>
    <t>18/06/2026</t>
  </si>
  <si>
    <t>03/05/2023</t>
  </si>
  <si>
    <t>MARFRIG GLOBAL FOODS S.A.</t>
  </si>
  <si>
    <t>Marfrig</t>
  </si>
  <si>
    <t xml:space="preserve">MRFG13    </t>
  </si>
  <si>
    <t xml:space="preserve">MRFG23    </t>
  </si>
  <si>
    <t>MARB BondCo PLC</t>
  </si>
  <si>
    <t>29/01/2031</t>
  </si>
  <si>
    <t>19/01/2025</t>
  </si>
  <si>
    <t>15/03/2024</t>
  </si>
  <si>
    <t>Marfrig Holdings Europe BV</t>
  </si>
  <si>
    <t>08/06/2023</t>
  </si>
  <si>
    <t>24/06/2019</t>
  </si>
  <si>
    <t>09/05/2018</t>
  </si>
  <si>
    <t>20/09/2021</t>
  </si>
  <si>
    <t>24/07/2017</t>
  </si>
  <si>
    <t>NBM US Holdings Inc</t>
  </si>
  <si>
    <t>14/05/2026</t>
  </si>
  <si>
    <t>06/08/2029</t>
  </si>
  <si>
    <t>MINERVA S/A</t>
  </si>
  <si>
    <t>Minerva</t>
  </si>
  <si>
    <t xml:space="preserve">MNRV14    </t>
  </si>
  <si>
    <t xml:space="preserve">MNRV16    </t>
  </si>
  <si>
    <t xml:space="preserve">MNRVA1    </t>
  </si>
  <si>
    <t>Minerva Luxembourg SA</t>
  </si>
  <si>
    <t>18/03/2031</t>
  </si>
  <si>
    <t>19/01/2028</t>
  </si>
  <si>
    <t>20/09/2026</t>
  </si>
  <si>
    <t>31/01/2023</t>
  </si>
  <si>
    <t>10/02/2022</t>
  </si>
  <si>
    <t>MOVIDA GESTAO E TERCEIRIZACAO DE FROTAS S/A</t>
  </si>
  <si>
    <t>Movida</t>
  </si>
  <si>
    <t xml:space="preserve">JSLO11    </t>
  </si>
  <si>
    <t>MOVIDA LOCACAO DE VEICULOS S.A.</t>
  </si>
  <si>
    <t xml:space="preserve">CSBR11    </t>
  </si>
  <si>
    <t xml:space="preserve">CSBR12    </t>
  </si>
  <si>
    <t xml:space="preserve">MVLV11    </t>
  </si>
  <si>
    <t xml:space="preserve">MVLV12    </t>
  </si>
  <si>
    <t xml:space="preserve">MVLV13    </t>
  </si>
  <si>
    <t xml:space="preserve">MVLV14    </t>
  </si>
  <si>
    <t xml:space="preserve">MVLV15    </t>
  </si>
  <si>
    <t xml:space="preserve">MVLV16    </t>
  </si>
  <si>
    <t xml:space="preserve">MVLV17    </t>
  </si>
  <si>
    <t xml:space="preserve">MVLV26    </t>
  </si>
  <si>
    <t>MOVIDA PARTICIPACOES S/A</t>
  </si>
  <si>
    <t xml:space="preserve">MOVI11    </t>
  </si>
  <si>
    <t xml:space="preserve">MOVI12    </t>
  </si>
  <si>
    <t xml:space="preserve">MOVI13    </t>
  </si>
  <si>
    <t xml:space="preserve">MOVI14    </t>
  </si>
  <si>
    <t xml:space="preserve">MOVI15    </t>
  </si>
  <si>
    <t xml:space="preserve">MOVI16    </t>
  </si>
  <si>
    <t xml:space="preserve">MOVI17    </t>
  </si>
  <si>
    <t xml:space="preserve">MOVI21    </t>
  </si>
  <si>
    <t xml:space="preserve">MOVI22    </t>
  </si>
  <si>
    <t xml:space="preserve">MOVI23    </t>
  </si>
  <si>
    <t xml:space="preserve">MOVI24    </t>
  </si>
  <si>
    <t xml:space="preserve">MOVI25    </t>
  </si>
  <si>
    <t xml:space="preserve">MOVI27    </t>
  </si>
  <si>
    <t xml:space="preserve">MOVI32    </t>
  </si>
  <si>
    <t xml:space="preserve">MOVI33    </t>
  </si>
  <si>
    <t xml:space="preserve">MOVI34    </t>
  </si>
  <si>
    <t xml:space="preserve">MOVI37    </t>
  </si>
  <si>
    <t>Movida Europe SA</t>
  </si>
  <si>
    <t>NATURA COSMETICOS S/A</t>
  </si>
  <si>
    <t>Natura Cosméticos</t>
  </si>
  <si>
    <t xml:space="preserve">NATU15    </t>
  </si>
  <si>
    <t xml:space="preserve">NATU16    </t>
  </si>
  <si>
    <t xml:space="preserve">NATU17    </t>
  </si>
  <si>
    <t xml:space="preserve">NATU18    </t>
  </si>
  <si>
    <t xml:space="preserve">NATU19    </t>
  </si>
  <si>
    <t xml:space="preserve">NATU25    </t>
  </si>
  <si>
    <t xml:space="preserve">NATU26    </t>
  </si>
  <si>
    <t xml:space="preserve">NATU27    </t>
  </si>
  <si>
    <t xml:space="preserve">NATU29    </t>
  </si>
  <si>
    <t xml:space="preserve">NATU35    </t>
  </si>
  <si>
    <t xml:space="preserve">NATU36    </t>
  </si>
  <si>
    <t xml:space="preserve">NATU39    </t>
  </si>
  <si>
    <t xml:space="preserve">NATUA0    </t>
  </si>
  <si>
    <t xml:space="preserve">NATUB0    </t>
  </si>
  <si>
    <t xml:space="preserve">NATUC0    </t>
  </si>
  <si>
    <t xml:space="preserve">NATUD0    </t>
  </si>
  <si>
    <t>Natura Cosmeticos SA</t>
  </si>
  <si>
    <t>03/05/2028</t>
  </si>
  <si>
    <t>01/02/2023</t>
  </si>
  <si>
    <t>OI S/A – EM RECUPERACAO JUDICIAL</t>
  </si>
  <si>
    <t>Oi</t>
  </si>
  <si>
    <t xml:space="preserve">BRTO10    </t>
  </si>
  <si>
    <t xml:space="preserve">BRTO17    </t>
  </si>
  <si>
    <t xml:space="preserve">BRTO18    </t>
  </si>
  <si>
    <t xml:space="preserve">BRTO19    </t>
  </si>
  <si>
    <t xml:space="preserve">BRTO29    </t>
  </si>
  <si>
    <t xml:space="preserve">OIBRA2    </t>
  </si>
  <si>
    <t>Oi Brasil Holdings Cooperatief UA</t>
  </si>
  <si>
    <t>Oi SA</t>
  </si>
  <si>
    <t>27/07/2025</t>
  </si>
  <si>
    <t>PETROLEO BRASILEIRO S/A - PETROBRAS</t>
  </si>
  <si>
    <t>Petrobras</t>
  </si>
  <si>
    <t xml:space="preserve">PETR14    </t>
  </si>
  <si>
    <t xml:space="preserve">PETR15    </t>
  </si>
  <si>
    <t xml:space="preserve">PETR16    </t>
  </si>
  <si>
    <t xml:space="preserve">PETR17    </t>
  </si>
  <si>
    <t xml:space="preserve">PETR25    </t>
  </si>
  <si>
    <t xml:space="preserve">PETR26    </t>
  </si>
  <si>
    <t xml:space="preserve">PETR27    </t>
  </si>
  <si>
    <t xml:space="preserve">PETR35    </t>
  </si>
  <si>
    <t xml:space="preserve">PETR36    </t>
  </si>
  <si>
    <t xml:space="preserve">PETR45    </t>
  </si>
  <si>
    <t>Petrobras Global Finance BV</t>
  </si>
  <si>
    <t>03/01/2031</t>
  </si>
  <si>
    <t>17/03/2044</t>
  </si>
  <si>
    <t>10/06/2051</t>
  </si>
  <si>
    <t>17/01/2027</t>
  </si>
  <si>
    <t>19/03/2049</t>
  </si>
  <si>
    <t>17/03/2024</t>
  </si>
  <si>
    <t>01/02/2029</t>
  </si>
  <si>
    <t>27/01/2041</t>
  </si>
  <si>
    <t>23/05/2026</t>
  </si>
  <si>
    <t>03/06/2050</t>
  </si>
  <si>
    <t>20/05/2043</t>
  </si>
  <si>
    <t>27/01/2028</t>
  </si>
  <si>
    <t>15/01/2030</t>
  </si>
  <si>
    <t>27/01/2025</t>
  </si>
  <si>
    <t>20/05/2023</t>
  </si>
  <si>
    <t>27/01/2021</t>
  </si>
  <si>
    <t>17/01/2022</t>
  </si>
  <si>
    <t>23/05/2021</t>
  </si>
  <si>
    <t>06/02/2017</t>
  </si>
  <si>
    <t>17/03/2017</t>
  </si>
  <si>
    <t>27/01/2016</t>
  </si>
  <si>
    <t>06/02/2015</t>
  </si>
  <si>
    <t>17/03/2020</t>
  </si>
  <si>
    <t>CONSTRUTORA QUEIROZ GALVAO S/A</t>
  </si>
  <si>
    <t>Queiroz Galvão</t>
  </si>
  <si>
    <t xml:space="preserve">GALV14    </t>
  </si>
  <si>
    <t>QUEIROZ GALVAO DESENVOLVIMENTO DE NEGOCIOS S.A.</t>
  </si>
  <si>
    <t xml:space="preserve">QRZG11    </t>
  </si>
  <si>
    <t>QUEIROZ GALVAO DESENVOLVIMENTO IMOBILIARIO S.A.</t>
  </si>
  <si>
    <t xml:space="preserve">QGDI13    </t>
  </si>
  <si>
    <t xml:space="preserve">QGDI14    </t>
  </si>
  <si>
    <t xml:space="preserve">QGIM12    </t>
  </si>
  <si>
    <t xml:space="preserve">QGIM13    </t>
  </si>
  <si>
    <t>QUEIROZ GALVAO S/A</t>
  </si>
  <si>
    <t xml:space="preserve">QGSA16    </t>
  </si>
  <si>
    <t xml:space="preserve">QGSA26    </t>
  </si>
  <si>
    <t xml:space="preserve">QGSA35    </t>
  </si>
  <si>
    <t xml:space="preserve">QGSA36    </t>
  </si>
  <si>
    <t>QGOG Atlantic / Alaskan Rigs Ltd</t>
  </si>
  <si>
    <t>30/07/2018</t>
  </si>
  <si>
    <t>RAIZEN ENERGIA S/A</t>
  </si>
  <si>
    <t>Raizen</t>
  </si>
  <si>
    <t xml:space="preserve">RESA11    </t>
  </si>
  <si>
    <t xml:space="preserve">RESA14    </t>
  </si>
  <si>
    <t xml:space="preserve">RESA15    </t>
  </si>
  <si>
    <t xml:space="preserve">RESA21    </t>
  </si>
  <si>
    <t xml:space="preserve">RESA31    </t>
  </si>
  <si>
    <t>Raizen Fuels Finance SA</t>
  </si>
  <si>
    <t>REDE DOR SAO LUIZ S/A</t>
  </si>
  <si>
    <t>Rede D'or</t>
  </si>
  <si>
    <t xml:space="preserve">HMSL11    </t>
  </si>
  <si>
    <t xml:space="preserve">HMSL12    </t>
  </si>
  <si>
    <t xml:space="preserve">HMSL15    </t>
  </si>
  <si>
    <t xml:space="preserve">HMSL16    </t>
  </si>
  <si>
    <t xml:space="preserve">HSLZ17    </t>
  </si>
  <si>
    <t xml:space="preserve">HSLZ18    </t>
  </si>
  <si>
    <t xml:space="preserve">HSLZ19    </t>
  </si>
  <si>
    <t xml:space="preserve">HSLZ27    </t>
  </si>
  <si>
    <t xml:space="preserve">HSLZ29    </t>
  </si>
  <si>
    <t xml:space="preserve">HSLZ37    </t>
  </si>
  <si>
    <t xml:space="preserve">HSLZA3    </t>
  </si>
  <si>
    <t xml:space="preserve">HSLZA4    </t>
  </si>
  <si>
    <t xml:space="preserve">MEDS11    </t>
  </si>
  <si>
    <t xml:space="preserve">RDOR13    </t>
  </si>
  <si>
    <t xml:space="preserve">RDOR14    </t>
  </si>
  <si>
    <t xml:space="preserve">RDORB7    </t>
  </si>
  <si>
    <t xml:space="preserve">RDORB9    </t>
  </si>
  <si>
    <t xml:space="preserve">RDORC7    </t>
  </si>
  <si>
    <t xml:space="preserve">RDORC9    </t>
  </si>
  <si>
    <t>Rede D'or Finance Sarl</t>
  </si>
  <si>
    <t>22/01/2030</t>
  </si>
  <si>
    <t>17/01/2028</t>
  </si>
  <si>
    <t>RUMO S.A.</t>
  </si>
  <si>
    <t>Rumo</t>
  </si>
  <si>
    <t xml:space="preserve">ALLG10    </t>
  </si>
  <si>
    <t xml:space="preserve">ALLG18    </t>
  </si>
  <si>
    <t xml:space="preserve">ALLG19    </t>
  </si>
  <si>
    <t xml:space="preserve">ALLG28    </t>
  </si>
  <si>
    <t xml:space="preserve">ALLG29    </t>
  </si>
  <si>
    <t xml:space="preserve">RUMO11    </t>
  </si>
  <si>
    <t xml:space="preserve">RUMOA2    </t>
  </si>
  <si>
    <t xml:space="preserve">RUMOA3    </t>
  </si>
  <si>
    <t xml:space="preserve">RUMOA4    </t>
  </si>
  <si>
    <t xml:space="preserve">RUMOA5    </t>
  </si>
  <si>
    <t xml:space="preserve">RUMOA6    </t>
  </si>
  <si>
    <t xml:space="preserve">RUMOB3    </t>
  </si>
  <si>
    <t xml:space="preserve">RUMOB5    </t>
  </si>
  <si>
    <t xml:space="preserve">RUMOB6    </t>
  </si>
  <si>
    <t>Rumo Luxembourg Sarl</t>
  </si>
  <si>
    <t>18/01/2032</t>
  </si>
  <si>
    <t>JSL S.A</t>
  </si>
  <si>
    <t>Simpar</t>
  </si>
  <si>
    <t xml:space="preserve">JSLGA5    </t>
  </si>
  <si>
    <t xml:space="preserve">JSML14    </t>
  </si>
  <si>
    <t xml:space="preserve">JSML15    </t>
  </si>
  <si>
    <t xml:space="preserve">JSML16    </t>
  </si>
  <si>
    <t xml:space="preserve">JSML17    </t>
  </si>
  <si>
    <t xml:space="preserve">JSML18    </t>
  </si>
  <si>
    <t xml:space="preserve">JSML19    </t>
  </si>
  <si>
    <t xml:space="preserve">JSML26    </t>
  </si>
  <si>
    <t xml:space="preserve">JSML28    </t>
  </si>
  <si>
    <t xml:space="preserve">JSML29    </t>
  </si>
  <si>
    <t xml:space="preserve">JSML36    </t>
  </si>
  <si>
    <t xml:space="preserve">JSML38    </t>
  </si>
  <si>
    <t xml:space="preserve">JSMLA1    </t>
  </si>
  <si>
    <t xml:space="preserve">JSMLA2    </t>
  </si>
  <si>
    <t xml:space="preserve">JSMLA3    </t>
  </si>
  <si>
    <t xml:space="preserve">JSMLA4    </t>
  </si>
  <si>
    <t xml:space="preserve">JSMLA5    </t>
  </si>
  <si>
    <t xml:space="preserve">JSMLB3    </t>
  </si>
  <si>
    <t xml:space="preserve">JSMLB5    </t>
  </si>
  <si>
    <t>Simpar Europe SA</t>
  </si>
  <si>
    <t>26/01/2031</t>
  </si>
  <si>
    <t>26/07/2024</t>
  </si>
  <si>
    <t>SUZANO S.A.</t>
  </si>
  <si>
    <t>Suzano</t>
  </si>
  <si>
    <t xml:space="preserve">SUZB16    </t>
  </si>
  <si>
    <t xml:space="preserve">SUZB17    </t>
  </si>
  <si>
    <t xml:space="preserve">SUZB18    </t>
  </si>
  <si>
    <t>Suzano Austria GmbH</t>
  </si>
  <si>
    <t>16/03/2047</t>
  </si>
  <si>
    <t>15/01/2029</t>
  </si>
  <si>
    <t>15/01/2032</t>
  </si>
  <si>
    <t>15/01/2031</t>
  </si>
  <si>
    <t>15/09/2028</t>
  </si>
  <si>
    <t>14/07/2026</t>
  </si>
  <si>
    <t>ULTRAPAR PARTICIPACOES S/A</t>
  </si>
  <si>
    <t>Ultrapar</t>
  </si>
  <si>
    <t xml:space="preserve">UGPA14    </t>
  </si>
  <si>
    <t xml:space="preserve">UGPA15    </t>
  </si>
  <si>
    <t xml:space="preserve">UGPA16    </t>
  </si>
  <si>
    <t>Ultrapar International SA</t>
  </si>
  <si>
    <t>06/06/2029</t>
  </si>
  <si>
    <t>06/10/2026</t>
  </si>
  <si>
    <t>USINAS SIDERURGICAS DE MG S/A - USIMINAS</t>
  </si>
  <si>
    <t>Usiminas</t>
  </si>
  <si>
    <t xml:space="preserve">USIM16    </t>
  </si>
  <si>
    <t xml:space="preserve">USIM17    </t>
  </si>
  <si>
    <t xml:space="preserve">USIM27    </t>
  </si>
  <si>
    <t>Usiminas International Sarl</t>
  </si>
  <si>
    <t>18/07/2026</t>
  </si>
  <si>
    <t>VALE S/A</t>
  </si>
  <si>
    <t>Vale</t>
  </si>
  <si>
    <t xml:space="preserve">VALE18    </t>
  </si>
  <si>
    <t xml:space="preserve">VALE19    </t>
  </si>
  <si>
    <t xml:space="preserve">VALE28    </t>
  </si>
  <si>
    <t xml:space="preserve">VALE29    </t>
  </si>
  <si>
    <t xml:space="preserve">VALE38    </t>
  </si>
  <si>
    <t xml:space="preserve">VALE48    </t>
  </si>
  <si>
    <t>Vale Overseas Ltd</t>
  </si>
  <si>
    <t>08/07/2030</t>
  </si>
  <si>
    <t>10/08/2026</t>
  </si>
  <si>
    <t>10/06/2021</t>
  </si>
  <si>
    <t>11/01/2022</t>
  </si>
  <si>
    <t>Vale SA</t>
  </si>
  <si>
    <t>11/09/2042</t>
  </si>
  <si>
    <t>VOTORANTIM CIMENTOS S/A</t>
  </si>
  <si>
    <t>Votorantim Cimentos</t>
  </si>
  <si>
    <t xml:space="preserve">VEBM17    </t>
  </si>
  <si>
    <t xml:space="preserve">VEBM18    </t>
  </si>
  <si>
    <t xml:space="preserve">VEBM19    </t>
  </si>
  <si>
    <t xml:space="preserve">VEBM27    </t>
  </si>
  <si>
    <t xml:space="preserve">VEBM37    </t>
  </si>
  <si>
    <t xml:space="preserve">VEBMA2    </t>
  </si>
  <si>
    <t xml:space="preserve">VEBMA3    </t>
  </si>
  <si>
    <t xml:space="preserve">VTCM13    </t>
  </si>
  <si>
    <t xml:space="preserve">VTCM14    </t>
  </si>
  <si>
    <t xml:space="preserve">VTCM15    </t>
  </si>
  <si>
    <t xml:space="preserve">VTCM16    </t>
  </si>
  <si>
    <t xml:space="preserve">VTCM24    </t>
  </si>
  <si>
    <t>VOTORANTIM SIDERURGIA S.A.</t>
  </si>
  <si>
    <t xml:space="preserve">SDBM11    </t>
  </si>
  <si>
    <t>Votorantim Cimentos International SA</t>
  </si>
  <si>
    <t>05/04/2041</t>
  </si>
  <si>
    <t>Votorantim Cimentos SA</t>
  </si>
  <si>
    <t>Data</t>
  </si>
  <si>
    <t>EMBI+ Brasil</t>
  </si>
  <si>
    <t> O EMBI+ (Emerging Markets Bond Index Plus) estima o desempenho diário dos títulos da dívida dos países emergentes em relação aos títulos do Tesouro dos Estados Unidos. O índice é baseado nos bônus (títulos de dívida) emitidos por este grupo de países e mostra os retornos financeiros obtidos a cada dia por uma carteira selecionada de títulos. O EMBI+ auxilia os investidores na compreensão do risco de investir no país, quanto mais alto for seu valor, maior a percepção de risco. Ele foi criado para classificar somente países que apresentassem alto nível de risco segundo as agências de "rating" e que tivessem emitido títulos de valor mínimo de US$ 500 milhões, com prazo de ao menos 2,5 anos. A unidade de medida deste índice é o ponto-base, onde dez pontos-base equivalem a um décimo de 1%. Os pontos mostram a diferença entre a taxa de retorno dos títulos de países emergentes e a oferecida por títulos emitidos pelo Tesouro americano. Essa diferença é o spread, ou o spread soberano. Mais informações: Metodologia EMBI. Emerging Markets Bond Index Plus: Rules and Methodology</t>
  </si>
  <si>
    <t>Rótulos de Linha</t>
  </si>
  <si>
    <t>Média de Spread DI+</t>
  </si>
  <si>
    <t>Contagem de RiscoPaís (%)</t>
  </si>
  <si>
    <t>2011</t>
  </si>
  <si>
    <t>2012</t>
  </si>
  <si>
    <t>Total</t>
  </si>
  <si>
    <t>Títulos Emitidos</t>
  </si>
  <si>
    <t>Spread Médio (%)</t>
  </si>
  <si>
    <t>2013</t>
  </si>
  <si>
    <t>2014</t>
  </si>
  <si>
    <t>2016</t>
  </si>
  <si>
    <t>2017</t>
  </si>
  <si>
    <t>2018</t>
  </si>
  <si>
    <t>2015</t>
  </si>
  <si>
    <t>2019</t>
  </si>
  <si>
    <t>2020</t>
  </si>
  <si>
    <t>2021</t>
  </si>
  <si>
    <t>Total Geral</t>
  </si>
  <si>
    <t>Companhia</t>
  </si>
  <si>
    <t>Fitch</t>
  </si>
  <si>
    <t>Moody's</t>
  </si>
  <si>
    <t>S&amp;P</t>
  </si>
  <si>
    <t>NR</t>
  </si>
  <si>
    <t>BB</t>
  </si>
  <si>
    <t>AAA</t>
  </si>
  <si>
    <t>Aaa</t>
  </si>
  <si>
    <t>AA+</t>
  </si>
  <si>
    <t>Aa1</t>
  </si>
  <si>
    <t>BBB-</t>
  </si>
  <si>
    <t>BB+</t>
  </si>
  <si>
    <t>B-</t>
  </si>
  <si>
    <t>CCC-</t>
  </si>
  <si>
    <t>RD</t>
  </si>
  <si>
    <t xml:space="preserve">AA </t>
  </si>
  <si>
    <t>Aa2</t>
  </si>
  <si>
    <t>BB-</t>
  </si>
  <si>
    <t>CCC+</t>
  </si>
  <si>
    <t>AA-</t>
  </si>
  <si>
    <t>Aa3</t>
  </si>
  <si>
    <t>A+</t>
  </si>
  <si>
    <t>A1</t>
  </si>
  <si>
    <t>A</t>
  </si>
  <si>
    <t>A2</t>
  </si>
  <si>
    <t>BBB</t>
  </si>
  <si>
    <t>Baa3</t>
  </si>
  <si>
    <t>B+</t>
  </si>
  <si>
    <t>B</t>
  </si>
  <si>
    <t>Ba1</t>
  </si>
  <si>
    <t>Ba2</t>
  </si>
  <si>
    <t>Ba3</t>
  </si>
  <si>
    <t>BBB+</t>
  </si>
  <si>
    <t>B1</t>
  </si>
  <si>
    <t>B3</t>
  </si>
  <si>
    <t>C</t>
  </si>
  <si>
    <t>Caa3</t>
  </si>
  <si>
    <t>D</t>
  </si>
  <si>
    <t>WD</t>
  </si>
  <si>
    <t>WR</t>
  </si>
  <si>
    <t>PIF</t>
  </si>
  <si>
    <t>CC</t>
  </si>
  <si>
    <t>CCC</t>
  </si>
  <si>
    <t>TotalDebt R$ (100 MM)</t>
  </si>
  <si>
    <t>PL R$ (100 MM)</t>
  </si>
  <si>
    <t>BRASKEM S/A</t>
  </si>
  <si>
    <t>Natura &amp; Co Luxembourg Holding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</si>
</sst>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FF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i/>
      <sz val="11"/>
      <color theme="1"/>
      <name val="Calibri"/>
      <family val="2"/>
    </font>
    <font>
      <i/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37">
    <xf numFmtId="0" fontId="0" fillId="0" borderId="0" xfId="0"/>
    <xf numFmtId="0" fontId="2" fillId="0" borderId="0" xfId="0" applyFont="1"/>
    <xf numFmtId="14" fontId="3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  <xf numFmtId="0" fontId="5" fillId="2" borderId="0" xfId="0" applyFont="1" applyFill="1"/>
    <xf numFmtId="0" fontId="7" fillId="2" borderId="0" xfId="0" applyFont="1" applyFill="1"/>
    <xf numFmtId="0" fontId="4" fillId="0" borderId="0" xfId="0" applyFont="1"/>
    <xf numFmtId="0" fontId="4" fillId="2" borderId="0" xfId="0" applyFont="1" applyFill="1"/>
    <xf numFmtId="0" fontId="3" fillId="0" borderId="0" xfId="0" applyFont="1"/>
    <xf numFmtId="4" fontId="2" fillId="0" borderId="0" xfId="0" applyNumberFormat="1" applyFont="1" applyAlignment="1">
      <alignment horizontal="center"/>
    </xf>
    <xf numFmtId="3" fontId="0" fillId="0" borderId="0" xfId="0" applyNumberFormat="1"/>
    <xf numFmtId="3" fontId="3" fillId="0" borderId="0" xfId="0" applyNumberFormat="1" applyFont="1"/>
    <xf numFmtId="4" fontId="0" fillId="0" borderId="0" xfId="0" applyNumberFormat="1"/>
    <xf numFmtId="10" fontId="0" fillId="0" borderId="0" xfId="0" applyNumberFormat="1"/>
    <xf numFmtId="14" fontId="3" fillId="0" borderId="0" xfId="0" applyNumberFormat="1" applyFont="1"/>
    <xf numFmtId="14" fontId="0" fillId="0" borderId="0" xfId="0" applyNumberFormat="1"/>
    <xf numFmtId="0" fontId="8" fillId="0" borderId="0" xfId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3" fontId="0" fillId="0" borderId="5" xfId="0" applyNumberFormat="1" applyBorder="1" applyAlignment="1">
      <alignment horizontal="center"/>
    </xf>
    <xf numFmtId="10" fontId="0" fillId="0" borderId="6" xfId="0" applyNumberFormat="1" applyBorder="1" applyAlignment="1">
      <alignment horizontal="center"/>
    </xf>
    <xf numFmtId="10" fontId="0" fillId="0" borderId="7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10" fontId="0" fillId="0" borderId="9" xfId="0" applyNumberFormat="1" applyBorder="1" applyAlignment="1">
      <alignment horizontal="center"/>
    </xf>
    <xf numFmtId="10" fontId="0" fillId="0" borderId="0" xfId="0" applyNumberFormat="1" applyAlignment="1">
      <alignment horizontal="center"/>
    </xf>
    <xf numFmtId="3" fontId="0" fillId="0" borderId="2" xfId="0" applyNumberFormat="1" applyBorder="1" applyAlignment="1">
      <alignment horizontal="center"/>
    </xf>
    <xf numFmtId="10" fontId="0" fillId="0" borderId="10" xfId="0" applyNumberFormat="1" applyBorder="1" applyAlignment="1">
      <alignment horizontal="center"/>
    </xf>
    <xf numFmtId="10" fontId="0" fillId="0" borderId="1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1" xfId="0" applyFont="1" applyBorder="1"/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Hiperlink" xfId="1" builtinId="8"/>
    <cellStyle name="Normal" xfId="0" builtinId="0"/>
  </cellStyles>
  <dxfs count="6">
    <dxf>
      <numFmt numFmtId="3" formatCode="#,##0"/>
    </dxf>
    <dxf>
      <numFmt numFmtId="14" formatCode="0.00%"/>
    </dxf>
    <dxf>
      <numFmt numFmtId="3" formatCode="#,##0"/>
    </dxf>
    <dxf>
      <numFmt numFmtId="14" formatCode="0.00%"/>
    </dxf>
    <dxf>
      <numFmt numFmtId="3" formatCode="#,##0"/>
    </dxf>
    <dxf>
      <numFmt numFmtId="14" formatCode="0.00%"/>
    </dxf>
  </dxfs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pivotCacheDefinition" Target="pivotCache/pivotCacheDefinition1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'EMBI+'!$B$1</c:f>
              <c:strCache>
                <c:ptCount val="1"/>
                <c:pt idx="0">
                  <c:v>EMBI+ Brasil</c:v>
                </c:pt>
              </c:strCache>
            </c:strRef>
          </c:tx>
          <c:spPr>
            <a:ln w="28575" cap="rnd">
              <a:solidFill>
                <a:schemeClr val="bg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'EMBI+'!$A$2:$A$3102</c:f>
              <c:numCache>
                <c:formatCode>m/d/yyyy</c:formatCode>
                <c:ptCount val="3101"/>
                <c:pt idx="0">
                  <c:v>44929</c:v>
                </c:pt>
                <c:pt idx="1">
                  <c:v>44925</c:v>
                </c:pt>
                <c:pt idx="2">
                  <c:v>44924</c:v>
                </c:pt>
                <c:pt idx="3">
                  <c:v>44923</c:v>
                </c:pt>
                <c:pt idx="4">
                  <c:v>44922</c:v>
                </c:pt>
                <c:pt idx="5">
                  <c:v>44918</c:v>
                </c:pt>
                <c:pt idx="6">
                  <c:v>44917</c:v>
                </c:pt>
                <c:pt idx="7">
                  <c:v>44916</c:v>
                </c:pt>
                <c:pt idx="8">
                  <c:v>44915</c:v>
                </c:pt>
                <c:pt idx="9">
                  <c:v>44914</c:v>
                </c:pt>
                <c:pt idx="10">
                  <c:v>44911</c:v>
                </c:pt>
                <c:pt idx="11">
                  <c:v>44910</c:v>
                </c:pt>
                <c:pt idx="12">
                  <c:v>44909</c:v>
                </c:pt>
                <c:pt idx="13">
                  <c:v>44908</c:v>
                </c:pt>
                <c:pt idx="14">
                  <c:v>44907</c:v>
                </c:pt>
                <c:pt idx="15">
                  <c:v>44904</c:v>
                </c:pt>
                <c:pt idx="16">
                  <c:v>44903</c:v>
                </c:pt>
                <c:pt idx="17">
                  <c:v>44902</c:v>
                </c:pt>
                <c:pt idx="18">
                  <c:v>44901</c:v>
                </c:pt>
                <c:pt idx="19">
                  <c:v>44900</c:v>
                </c:pt>
                <c:pt idx="20">
                  <c:v>44897</c:v>
                </c:pt>
                <c:pt idx="21">
                  <c:v>44896</c:v>
                </c:pt>
                <c:pt idx="22">
                  <c:v>44895</c:v>
                </c:pt>
                <c:pt idx="23">
                  <c:v>44894</c:v>
                </c:pt>
                <c:pt idx="24">
                  <c:v>44893</c:v>
                </c:pt>
                <c:pt idx="25">
                  <c:v>44890</c:v>
                </c:pt>
                <c:pt idx="26">
                  <c:v>44888</c:v>
                </c:pt>
                <c:pt idx="27">
                  <c:v>44887</c:v>
                </c:pt>
                <c:pt idx="28">
                  <c:v>44886</c:v>
                </c:pt>
                <c:pt idx="29">
                  <c:v>44883</c:v>
                </c:pt>
                <c:pt idx="30">
                  <c:v>44882</c:v>
                </c:pt>
                <c:pt idx="31">
                  <c:v>44881</c:v>
                </c:pt>
                <c:pt idx="32">
                  <c:v>44880</c:v>
                </c:pt>
                <c:pt idx="33">
                  <c:v>44879</c:v>
                </c:pt>
                <c:pt idx="34">
                  <c:v>44875</c:v>
                </c:pt>
                <c:pt idx="35">
                  <c:v>44874</c:v>
                </c:pt>
                <c:pt idx="36">
                  <c:v>44873</c:v>
                </c:pt>
                <c:pt idx="37">
                  <c:v>44872</c:v>
                </c:pt>
                <c:pt idx="38">
                  <c:v>44869</c:v>
                </c:pt>
                <c:pt idx="39">
                  <c:v>44868</c:v>
                </c:pt>
                <c:pt idx="40">
                  <c:v>44867</c:v>
                </c:pt>
                <c:pt idx="41">
                  <c:v>44866</c:v>
                </c:pt>
                <c:pt idx="42">
                  <c:v>44862</c:v>
                </c:pt>
                <c:pt idx="43">
                  <c:v>44861</c:v>
                </c:pt>
                <c:pt idx="44">
                  <c:v>44860</c:v>
                </c:pt>
                <c:pt idx="45">
                  <c:v>44859</c:v>
                </c:pt>
                <c:pt idx="46">
                  <c:v>44858</c:v>
                </c:pt>
                <c:pt idx="47">
                  <c:v>44856</c:v>
                </c:pt>
                <c:pt idx="48">
                  <c:v>44855</c:v>
                </c:pt>
                <c:pt idx="49">
                  <c:v>44854</c:v>
                </c:pt>
                <c:pt idx="50">
                  <c:v>44853</c:v>
                </c:pt>
                <c:pt idx="51">
                  <c:v>44852</c:v>
                </c:pt>
                <c:pt idx="52">
                  <c:v>44851</c:v>
                </c:pt>
                <c:pt idx="53">
                  <c:v>44848</c:v>
                </c:pt>
                <c:pt idx="54">
                  <c:v>44847</c:v>
                </c:pt>
                <c:pt idx="55">
                  <c:v>44846</c:v>
                </c:pt>
                <c:pt idx="56">
                  <c:v>44845</c:v>
                </c:pt>
                <c:pt idx="57">
                  <c:v>44841</c:v>
                </c:pt>
                <c:pt idx="58">
                  <c:v>44840</c:v>
                </c:pt>
                <c:pt idx="59">
                  <c:v>44839</c:v>
                </c:pt>
                <c:pt idx="60">
                  <c:v>44838</c:v>
                </c:pt>
                <c:pt idx="61">
                  <c:v>44837</c:v>
                </c:pt>
                <c:pt idx="62">
                  <c:v>44834</c:v>
                </c:pt>
                <c:pt idx="63">
                  <c:v>44833</c:v>
                </c:pt>
                <c:pt idx="64">
                  <c:v>44832</c:v>
                </c:pt>
                <c:pt idx="65">
                  <c:v>44831</c:v>
                </c:pt>
                <c:pt idx="66">
                  <c:v>44830</c:v>
                </c:pt>
                <c:pt idx="67">
                  <c:v>44827</c:v>
                </c:pt>
                <c:pt idx="68">
                  <c:v>44826</c:v>
                </c:pt>
                <c:pt idx="69">
                  <c:v>44825</c:v>
                </c:pt>
                <c:pt idx="70">
                  <c:v>44824</c:v>
                </c:pt>
                <c:pt idx="71">
                  <c:v>44823</c:v>
                </c:pt>
                <c:pt idx="72">
                  <c:v>44820</c:v>
                </c:pt>
                <c:pt idx="73">
                  <c:v>44819</c:v>
                </c:pt>
                <c:pt idx="74">
                  <c:v>44818</c:v>
                </c:pt>
                <c:pt idx="75">
                  <c:v>44817</c:v>
                </c:pt>
                <c:pt idx="76">
                  <c:v>44816</c:v>
                </c:pt>
                <c:pt idx="77">
                  <c:v>44813</c:v>
                </c:pt>
                <c:pt idx="78">
                  <c:v>44812</c:v>
                </c:pt>
                <c:pt idx="79">
                  <c:v>44811</c:v>
                </c:pt>
                <c:pt idx="80">
                  <c:v>44810</c:v>
                </c:pt>
                <c:pt idx="81">
                  <c:v>44809</c:v>
                </c:pt>
                <c:pt idx="82">
                  <c:v>44806</c:v>
                </c:pt>
                <c:pt idx="83">
                  <c:v>44805</c:v>
                </c:pt>
                <c:pt idx="84">
                  <c:v>44804</c:v>
                </c:pt>
                <c:pt idx="85">
                  <c:v>44803</c:v>
                </c:pt>
                <c:pt idx="86">
                  <c:v>44802</c:v>
                </c:pt>
                <c:pt idx="87">
                  <c:v>44799</c:v>
                </c:pt>
                <c:pt idx="88">
                  <c:v>44798</c:v>
                </c:pt>
                <c:pt idx="89">
                  <c:v>44797</c:v>
                </c:pt>
                <c:pt idx="90">
                  <c:v>44796</c:v>
                </c:pt>
                <c:pt idx="91">
                  <c:v>44795</c:v>
                </c:pt>
                <c:pt idx="92">
                  <c:v>44792</c:v>
                </c:pt>
                <c:pt idx="93">
                  <c:v>44791</c:v>
                </c:pt>
                <c:pt idx="94">
                  <c:v>44790</c:v>
                </c:pt>
                <c:pt idx="95">
                  <c:v>44789</c:v>
                </c:pt>
                <c:pt idx="96">
                  <c:v>44788</c:v>
                </c:pt>
                <c:pt idx="97">
                  <c:v>44785</c:v>
                </c:pt>
                <c:pt idx="98">
                  <c:v>44784</c:v>
                </c:pt>
                <c:pt idx="99">
                  <c:v>44783</c:v>
                </c:pt>
                <c:pt idx="100">
                  <c:v>44782</c:v>
                </c:pt>
                <c:pt idx="101">
                  <c:v>44781</c:v>
                </c:pt>
                <c:pt idx="102">
                  <c:v>44778</c:v>
                </c:pt>
                <c:pt idx="103">
                  <c:v>44777</c:v>
                </c:pt>
                <c:pt idx="104">
                  <c:v>44776</c:v>
                </c:pt>
                <c:pt idx="105">
                  <c:v>44775</c:v>
                </c:pt>
                <c:pt idx="106">
                  <c:v>44774</c:v>
                </c:pt>
                <c:pt idx="107">
                  <c:v>44771</c:v>
                </c:pt>
                <c:pt idx="108">
                  <c:v>44770</c:v>
                </c:pt>
                <c:pt idx="109">
                  <c:v>44769</c:v>
                </c:pt>
                <c:pt idx="110">
                  <c:v>44768</c:v>
                </c:pt>
                <c:pt idx="111">
                  <c:v>44767</c:v>
                </c:pt>
                <c:pt idx="112">
                  <c:v>44764</c:v>
                </c:pt>
                <c:pt idx="113">
                  <c:v>44763</c:v>
                </c:pt>
                <c:pt idx="114">
                  <c:v>44762</c:v>
                </c:pt>
                <c:pt idx="115">
                  <c:v>44761</c:v>
                </c:pt>
                <c:pt idx="116">
                  <c:v>44760</c:v>
                </c:pt>
                <c:pt idx="117">
                  <c:v>44757</c:v>
                </c:pt>
                <c:pt idx="118">
                  <c:v>44755</c:v>
                </c:pt>
                <c:pt idx="119">
                  <c:v>44754</c:v>
                </c:pt>
                <c:pt idx="120">
                  <c:v>44753</c:v>
                </c:pt>
                <c:pt idx="121">
                  <c:v>44750</c:v>
                </c:pt>
                <c:pt idx="122">
                  <c:v>44749</c:v>
                </c:pt>
                <c:pt idx="123">
                  <c:v>44748</c:v>
                </c:pt>
                <c:pt idx="124">
                  <c:v>44747</c:v>
                </c:pt>
                <c:pt idx="125">
                  <c:v>44746</c:v>
                </c:pt>
                <c:pt idx="126">
                  <c:v>44743</c:v>
                </c:pt>
                <c:pt idx="127">
                  <c:v>44742</c:v>
                </c:pt>
                <c:pt idx="128">
                  <c:v>44741</c:v>
                </c:pt>
                <c:pt idx="129">
                  <c:v>44740</c:v>
                </c:pt>
                <c:pt idx="130">
                  <c:v>44739</c:v>
                </c:pt>
                <c:pt idx="131">
                  <c:v>44736</c:v>
                </c:pt>
                <c:pt idx="132">
                  <c:v>44735</c:v>
                </c:pt>
                <c:pt idx="133">
                  <c:v>44734</c:v>
                </c:pt>
                <c:pt idx="134">
                  <c:v>44733</c:v>
                </c:pt>
                <c:pt idx="135">
                  <c:v>44732</c:v>
                </c:pt>
                <c:pt idx="136">
                  <c:v>44729</c:v>
                </c:pt>
                <c:pt idx="137">
                  <c:v>44728</c:v>
                </c:pt>
                <c:pt idx="138">
                  <c:v>44727</c:v>
                </c:pt>
                <c:pt idx="139">
                  <c:v>44726</c:v>
                </c:pt>
                <c:pt idx="140">
                  <c:v>44725</c:v>
                </c:pt>
                <c:pt idx="141">
                  <c:v>44722</c:v>
                </c:pt>
                <c:pt idx="142">
                  <c:v>44721</c:v>
                </c:pt>
                <c:pt idx="143">
                  <c:v>44720</c:v>
                </c:pt>
                <c:pt idx="144">
                  <c:v>44719</c:v>
                </c:pt>
                <c:pt idx="145">
                  <c:v>44718</c:v>
                </c:pt>
                <c:pt idx="146">
                  <c:v>44715</c:v>
                </c:pt>
                <c:pt idx="147">
                  <c:v>44714</c:v>
                </c:pt>
                <c:pt idx="148">
                  <c:v>44713</c:v>
                </c:pt>
                <c:pt idx="149">
                  <c:v>44712</c:v>
                </c:pt>
                <c:pt idx="150">
                  <c:v>44711</c:v>
                </c:pt>
                <c:pt idx="151">
                  <c:v>44708</c:v>
                </c:pt>
                <c:pt idx="152">
                  <c:v>44707</c:v>
                </c:pt>
                <c:pt idx="153">
                  <c:v>44706</c:v>
                </c:pt>
                <c:pt idx="154">
                  <c:v>44705</c:v>
                </c:pt>
                <c:pt idx="155">
                  <c:v>44704</c:v>
                </c:pt>
                <c:pt idx="156">
                  <c:v>44701</c:v>
                </c:pt>
                <c:pt idx="157">
                  <c:v>44700</c:v>
                </c:pt>
                <c:pt idx="158">
                  <c:v>44699</c:v>
                </c:pt>
                <c:pt idx="159">
                  <c:v>44698</c:v>
                </c:pt>
                <c:pt idx="160">
                  <c:v>44697</c:v>
                </c:pt>
                <c:pt idx="161">
                  <c:v>44694</c:v>
                </c:pt>
                <c:pt idx="162">
                  <c:v>44693</c:v>
                </c:pt>
                <c:pt idx="163">
                  <c:v>44692</c:v>
                </c:pt>
                <c:pt idx="164">
                  <c:v>44691</c:v>
                </c:pt>
                <c:pt idx="165">
                  <c:v>44690</c:v>
                </c:pt>
                <c:pt idx="166">
                  <c:v>44687</c:v>
                </c:pt>
                <c:pt idx="167">
                  <c:v>44686</c:v>
                </c:pt>
                <c:pt idx="168">
                  <c:v>44685</c:v>
                </c:pt>
                <c:pt idx="169">
                  <c:v>44684</c:v>
                </c:pt>
                <c:pt idx="170">
                  <c:v>44683</c:v>
                </c:pt>
                <c:pt idx="171">
                  <c:v>44680</c:v>
                </c:pt>
                <c:pt idx="172">
                  <c:v>44679</c:v>
                </c:pt>
                <c:pt idx="173">
                  <c:v>44678</c:v>
                </c:pt>
                <c:pt idx="174">
                  <c:v>44677</c:v>
                </c:pt>
                <c:pt idx="175">
                  <c:v>44676</c:v>
                </c:pt>
                <c:pt idx="176">
                  <c:v>44673</c:v>
                </c:pt>
                <c:pt idx="177">
                  <c:v>44672</c:v>
                </c:pt>
                <c:pt idx="178">
                  <c:v>44671</c:v>
                </c:pt>
                <c:pt idx="179">
                  <c:v>44670</c:v>
                </c:pt>
                <c:pt idx="180">
                  <c:v>44669</c:v>
                </c:pt>
                <c:pt idx="181">
                  <c:v>44665</c:v>
                </c:pt>
                <c:pt idx="182">
                  <c:v>44664</c:v>
                </c:pt>
                <c:pt idx="183">
                  <c:v>44663</c:v>
                </c:pt>
                <c:pt idx="184">
                  <c:v>44662</c:v>
                </c:pt>
                <c:pt idx="185">
                  <c:v>44659</c:v>
                </c:pt>
                <c:pt idx="186">
                  <c:v>44658</c:v>
                </c:pt>
                <c:pt idx="187">
                  <c:v>44657</c:v>
                </c:pt>
                <c:pt idx="188">
                  <c:v>44656</c:v>
                </c:pt>
                <c:pt idx="189">
                  <c:v>44655</c:v>
                </c:pt>
                <c:pt idx="190">
                  <c:v>44652</c:v>
                </c:pt>
                <c:pt idx="191">
                  <c:v>44651</c:v>
                </c:pt>
                <c:pt idx="192">
                  <c:v>44650</c:v>
                </c:pt>
                <c:pt idx="193">
                  <c:v>44649</c:v>
                </c:pt>
                <c:pt idx="194">
                  <c:v>44648</c:v>
                </c:pt>
                <c:pt idx="195">
                  <c:v>44645</c:v>
                </c:pt>
                <c:pt idx="196">
                  <c:v>44644</c:v>
                </c:pt>
                <c:pt idx="197">
                  <c:v>44643</c:v>
                </c:pt>
                <c:pt idx="198">
                  <c:v>44642</c:v>
                </c:pt>
                <c:pt idx="199">
                  <c:v>44641</c:v>
                </c:pt>
                <c:pt idx="200">
                  <c:v>44638</c:v>
                </c:pt>
                <c:pt idx="201">
                  <c:v>44637</c:v>
                </c:pt>
                <c:pt idx="202">
                  <c:v>44636</c:v>
                </c:pt>
                <c:pt idx="203">
                  <c:v>44635</c:v>
                </c:pt>
                <c:pt idx="204">
                  <c:v>44634</c:v>
                </c:pt>
                <c:pt idx="205">
                  <c:v>44631</c:v>
                </c:pt>
                <c:pt idx="206">
                  <c:v>44630</c:v>
                </c:pt>
                <c:pt idx="207">
                  <c:v>44629</c:v>
                </c:pt>
                <c:pt idx="208">
                  <c:v>44628</c:v>
                </c:pt>
                <c:pt idx="209">
                  <c:v>44627</c:v>
                </c:pt>
                <c:pt idx="210">
                  <c:v>44624</c:v>
                </c:pt>
                <c:pt idx="211">
                  <c:v>44623</c:v>
                </c:pt>
                <c:pt idx="212">
                  <c:v>44622</c:v>
                </c:pt>
                <c:pt idx="213">
                  <c:v>44621</c:v>
                </c:pt>
                <c:pt idx="214">
                  <c:v>44620</c:v>
                </c:pt>
                <c:pt idx="215">
                  <c:v>44617</c:v>
                </c:pt>
                <c:pt idx="216">
                  <c:v>44616</c:v>
                </c:pt>
                <c:pt idx="217">
                  <c:v>44615</c:v>
                </c:pt>
                <c:pt idx="218">
                  <c:v>44614</c:v>
                </c:pt>
                <c:pt idx="219">
                  <c:v>44610</c:v>
                </c:pt>
                <c:pt idx="220">
                  <c:v>44609</c:v>
                </c:pt>
                <c:pt idx="221">
                  <c:v>44608</c:v>
                </c:pt>
                <c:pt idx="222">
                  <c:v>44607</c:v>
                </c:pt>
                <c:pt idx="223">
                  <c:v>44606</c:v>
                </c:pt>
                <c:pt idx="224">
                  <c:v>44603</c:v>
                </c:pt>
                <c:pt idx="225">
                  <c:v>44602</c:v>
                </c:pt>
                <c:pt idx="226">
                  <c:v>44601</c:v>
                </c:pt>
                <c:pt idx="227">
                  <c:v>44600</c:v>
                </c:pt>
                <c:pt idx="228">
                  <c:v>44599</c:v>
                </c:pt>
                <c:pt idx="229">
                  <c:v>44596</c:v>
                </c:pt>
                <c:pt idx="230">
                  <c:v>44595</c:v>
                </c:pt>
                <c:pt idx="231">
                  <c:v>44594</c:v>
                </c:pt>
                <c:pt idx="232">
                  <c:v>44593</c:v>
                </c:pt>
                <c:pt idx="233">
                  <c:v>44592</c:v>
                </c:pt>
                <c:pt idx="234">
                  <c:v>44589</c:v>
                </c:pt>
                <c:pt idx="235">
                  <c:v>44588</c:v>
                </c:pt>
                <c:pt idx="236">
                  <c:v>44587</c:v>
                </c:pt>
                <c:pt idx="237">
                  <c:v>44586</c:v>
                </c:pt>
                <c:pt idx="238">
                  <c:v>44585</c:v>
                </c:pt>
                <c:pt idx="239">
                  <c:v>44582</c:v>
                </c:pt>
                <c:pt idx="240">
                  <c:v>44581</c:v>
                </c:pt>
                <c:pt idx="241">
                  <c:v>44580</c:v>
                </c:pt>
                <c:pt idx="242">
                  <c:v>44579</c:v>
                </c:pt>
                <c:pt idx="243">
                  <c:v>44578</c:v>
                </c:pt>
                <c:pt idx="244">
                  <c:v>44575</c:v>
                </c:pt>
                <c:pt idx="245">
                  <c:v>44574</c:v>
                </c:pt>
                <c:pt idx="246">
                  <c:v>44573</c:v>
                </c:pt>
                <c:pt idx="247">
                  <c:v>44572</c:v>
                </c:pt>
                <c:pt idx="248">
                  <c:v>44571</c:v>
                </c:pt>
                <c:pt idx="249">
                  <c:v>44568</c:v>
                </c:pt>
                <c:pt idx="250">
                  <c:v>44567</c:v>
                </c:pt>
                <c:pt idx="251">
                  <c:v>44566</c:v>
                </c:pt>
                <c:pt idx="252">
                  <c:v>44565</c:v>
                </c:pt>
                <c:pt idx="253">
                  <c:v>44564</c:v>
                </c:pt>
                <c:pt idx="254">
                  <c:v>44561</c:v>
                </c:pt>
                <c:pt idx="255">
                  <c:v>44560</c:v>
                </c:pt>
                <c:pt idx="256">
                  <c:v>44559</c:v>
                </c:pt>
                <c:pt idx="257">
                  <c:v>44558</c:v>
                </c:pt>
                <c:pt idx="258">
                  <c:v>44557</c:v>
                </c:pt>
                <c:pt idx="259">
                  <c:v>44554</c:v>
                </c:pt>
                <c:pt idx="260">
                  <c:v>44553</c:v>
                </c:pt>
                <c:pt idx="261">
                  <c:v>44552</c:v>
                </c:pt>
                <c:pt idx="262">
                  <c:v>44551</c:v>
                </c:pt>
                <c:pt idx="263">
                  <c:v>44550</c:v>
                </c:pt>
                <c:pt idx="264">
                  <c:v>44547</c:v>
                </c:pt>
                <c:pt idx="265">
                  <c:v>44546</c:v>
                </c:pt>
                <c:pt idx="266">
                  <c:v>44545</c:v>
                </c:pt>
                <c:pt idx="267">
                  <c:v>44544</c:v>
                </c:pt>
                <c:pt idx="268">
                  <c:v>44543</c:v>
                </c:pt>
                <c:pt idx="269">
                  <c:v>44540</c:v>
                </c:pt>
                <c:pt idx="270">
                  <c:v>44539</c:v>
                </c:pt>
                <c:pt idx="271">
                  <c:v>44538</c:v>
                </c:pt>
                <c:pt idx="272">
                  <c:v>44537</c:v>
                </c:pt>
                <c:pt idx="273">
                  <c:v>44536</c:v>
                </c:pt>
                <c:pt idx="274">
                  <c:v>44533</c:v>
                </c:pt>
                <c:pt idx="275">
                  <c:v>44532</c:v>
                </c:pt>
                <c:pt idx="276">
                  <c:v>44531</c:v>
                </c:pt>
                <c:pt idx="277">
                  <c:v>44530</c:v>
                </c:pt>
                <c:pt idx="278">
                  <c:v>44529</c:v>
                </c:pt>
                <c:pt idx="279">
                  <c:v>44526</c:v>
                </c:pt>
                <c:pt idx="280">
                  <c:v>44525</c:v>
                </c:pt>
                <c:pt idx="281">
                  <c:v>44524</c:v>
                </c:pt>
                <c:pt idx="282">
                  <c:v>44523</c:v>
                </c:pt>
                <c:pt idx="283">
                  <c:v>44522</c:v>
                </c:pt>
                <c:pt idx="284">
                  <c:v>44519</c:v>
                </c:pt>
                <c:pt idx="285">
                  <c:v>44518</c:v>
                </c:pt>
                <c:pt idx="286">
                  <c:v>44517</c:v>
                </c:pt>
                <c:pt idx="287">
                  <c:v>44516</c:v>
                </c:pt>
                <c:pt idx="288">
                  <c:v>44515</c:v>
                </c:pt>
                <c:pt idx="289">
                  <c:v>44512</c:v>
                </c:pt>
                <c:pt idx="290">
                  <c:v>44511</c:v>
                </c:pt>
                <c:pt idx="291">
                  <c:v>44510</c:v>
                </c:pt>
                <c:pt idx="292">
                  <c:v>44509</c:v>
                </c:pt>
                <c:pt idx="293">
                  <c:v>44508</c:v>
                </c:pt>
                <c:pt idx="294">
                  <c:v>44505</c:v>
                </c:pt>
                <c:pt idx="295">
                  <c:v>44504</c:v>
                </c:pt>
                <c:pt idx="296">
                  <c:v>44503</c:v>
                </c:pt>
                <c:pt idx="297">
                  <c:v>44502</c:v>
                </c:pt>
                <c:pt idx="298">
                  <c:v>44501</c:v>
                </c:pt>
                <c:pt idx="299">
                  <c:v>44498</c:v>
                </c:pt>
                <c:pt idx="300">
                  <c:v>44497</c:v>
                </c:pt>
                <c:pt idx="301">
                  <c:v>44496</c:v>
                </c:pt>
                <c:pt idx="302">
                  <c:v>44495</c:v>
                </c:pt>
                <c:pt idx="303">
                  <c:v>44494</c:v>
                </c:pt>
                <c:pt idx="304">
                  <c:v>44491</c:v>
                </c:pt>
                <c:pt idx="305">
                  <c:v>44490</c:v>
                </c:pt>
                <c:pt idx="306">
                  <c:v>44489</c:v>
                </c:pt>
                <c:pt idx="307">
                  <c:v>44488</c:v>
                </c:pt>
                <c:pt idx="308">
                  <c:v>44487</c:v>
                </c:pt>
                <c:pt idx="309">
                  <c:v>44484</c:v>
                </c:pt>
                <c:pt idx="310">
                  <c:v>44483</c:v>
                </c:pt>
                <c:pt idx="311">
                  <c:v>44482</c:v>
                </c:pt>
                <c:pt idx="312">
                  <c:v>44481</c:v>
                </c:pt>
                <c:pt idx="313">
                  <c:v>44480</c:v>
                </c:pt>
                <c:pt idx="314">
                  <c:v>44477</c:v>
                </c:pt>
                <c:pt idx="315">
                  <c:v>44476</c:v>
                </c:pt>
                <c:pt idx="316">
                  <c:v>44475</c:v>
                </c:pt>
                <c:pt idx="317">
                  <c:v>44474</c:v>
                </c:pt>
                <c:pt idx="318">
                  <c:v>44473</c:v>
                </c:pt>
                <c:pt idx="319">
                  <c:v>44470</c:v>
                </c:pt>
                <c:pt idx="320">
                  <c:v>44469</c:v>
                </c:pt>
                <c:pt idx="321">
                  <c:v>44468</c:v>
                </c:pt>
                <c:pt idx="322">
                  <c:v>44467</c:v>
                </c:pt>
                <c:pt idx="323">
                  <c:v>44466</c:v>
                </c:pt>
                <c:pt idx="324">
                  <c:v>44463</c:v>
                </c:pt>
                <c:pt idx="325">
                  <c:v>44462</c:v>
                </c:pt>
                <c:pt idx="326">
                  <c:v>44461</c:v>
                </c:pt>
                <c:pt idx="327">
                  <c:v>44460</c:v>
                </c:pt>
                <c:pt idx="328">
                  <c:v>44459</c:v>
                </c:pt>
                <c:pt idx="329">
                  <c:v>44456</c:v>
                </c:pt>
                <c:pt idx="330">
                  <c:v>44455</c:v>
                </c:pt>
                <c:pt idx="331">
                  <c:v>44454</c:v>
                </c:pt>
                <c:pt idx="332">
                  <c:v>44453</c:v>
                </c:pt>
                <c:pt idx="333">
                  <c:v>44452</c:v>
                </c:pt>
                <c:pt idx="334">
                  <c:v>44449</c:v>
                </c:pt>
                <c:pt idx="335">
                  <c:v>44448</c:v>
                </c:pt>
                <c:pt idx="336">
                  <c:v>44447</c:v>
                </c:pt>
                <c:pt idx="337">
                  <c:v>44446</c:v>
                </c:pt>
                <c:pt idx="338">
                  <c:v>44445</c:v>
                </c:pt>
                <c:pt idx="339">
                  <c:v>44442</c:v>
                </c:pt>
                <c:pt idx="340">
                  <c:v>44441</c:v>
                </c:pt>
                <c:pt idx="341">
                  <c:v>44440</c:v>
                </c:pt>
                <c:pt idx="342">
                  <c:v>44439</c:v>
                </c:pt>
                <c:pt idx="343">
                  <c:v>44438</c:v>
                </c:pt>
                <c:pt idx="344">
                  <c:v>44435</c:v>
                </c:pt>
                <c:pt idx="345">
                  <c:v>44434</c:v>
                </c:pt>
                <c:pt idx="346">
                  <c:v>44433</c:v>
                </c:pt>
                <c:pt idx="347">
                  <c:v>44432</c:v>
                </c:pt>
                <c:pt idx="348">
                  <c:v>44431</c:v>
                </c:pt>
                <c:pt idx="349">
                  <c:v>44428</c:v>
                </c:pt>
                <c:pt idx="350">
                  <c:v>44427</c:v>
                </c:pt>
                <c:pt idx="351">
                  <c:v>44426</c:v>
                </c:pt>
                <c:pt idx="352">
                  <c:v>44425</c:v>
                </c:pt>
                <c:pt idx="353">
                  <c:v>44424</c:v>
                </c:pt>
                <c:pt idx="354">
                  <c:v>44421</c:v>
                </c:pt>
                <c:pt idx="355">
                  <c:v>44420</c:v>
                </c:pt>
                <c:pt idx="356">
                  <c:v>44419</c:v>
                </c:pt>
                <c:pt idx="357">
                  <c:v>44418</c:v>
                </c:pt>
                <c:pt idx="358">
                  <c:v>44417</c:v>
                </c:pt>
                <c:pt idx="359">
                  <c:v>44414</c:v>
                </c:pt>
                <c:pt idx="360">
                  <c:v>44413</c:v>
                </c:pt>
                <c:pt idx="361">
                  <c:v>44412</c:v>
                </c:pt>
                <c:pt idx="362">
                  <c:v>44411</c:v>
                </c:pt>
                <c:pt idx="363">
                  <c:v>44410</c:v>
                </c:pt>
                <c:pt idx="364">
                  <c:v>44407</c:v>
                </c:pt>
                <c:pt idx="365">
                  <c:v>44406</c:v>
                </c:pt>
                <c:pt idx="366">
                  <c:v>44405</c:v>
                </c:pt>
                <c:pt idx="367">
                  <c:v>44404</c:v>
                </c:pt>
                <c:pt idx="368">
                  <c:v>44403</c:v>
                </c:pt>
                <c:pt idx="369">
                  <c:v>44400</c:v>
                </c:pt>
                <c:pt idx="370">
                  <c:v>44399</c:v>
                </c:pt>
                <c:pt idx="371">
                  <c:v>44398</c:v>
                </c:pt>
                <c:pt idx="372">
                  <c:v>44397</c:v>
                </c:pt>
                <c:pt idx="373">
                  <c:v>44396</c:v>
                </c:pt>
                <c:pt idx="374">
                  <c:v>44393</c:v>
                </c:pt>
                <c:pt idx="375">
                  <c:v>44392</c:v>
                </c:pt>
                <c:pt idx="376">
                  <c:v>44391</c:v>
                </c:pt>
                <c:pt idx="377">
                  <c:v>44390</c:v>
                </c:pt>
                <c:pt idx="378">
                  <c:v>44389</c:v>
                </c:pt>
                <c:pt idx="379">
                  <c:v>44386</c:v>
                </c:pt>
                <c:pt idx="380">
                  <c:v>44385</c:v>
                </c:pt>
                <c:pt idx="381">
                  <c:v>44384</c:v>
                </c:pt>
                <c:pt idx="382">
                  <c:v>44383</c:v>
                </c:pt>
                <c:pt idx="383">
                  <c:v>44382</c:v>
                </c:pt>
                <c:pt idx="384">
                  <c:v>44379</c:v>
                </c:pt>
                <c:pt idx="385">
                  <c:v>44378</c:v>
                </c:pt>
                <c:pt idx="386">
                  <c:v>44377</c:v>
                </c:pt>
                <c:pt idx="387">
                  <c:v>44376</c:v>
                </c:pt>
                <c:pt idx="388">
                  <c:v>44375</c:v>
                </c:pt>
                <c:pt idx="389">
                  <c:v>44372</c:v>
                </c:pt>
                <c:pt idx="390">
                  <c:v>44371</c:v>
                </c:pt>
                <c:pt idx="391">
                  <c:v>44370</c:v>
                </c:pt>
                <c:pt idx="392">
                  <c:v>44369</c:v>
                </c:pt>
                <c:pt idx="393">
                  <c:v>44368</c:v>
                </c:pt>
                <c:pt idx="394">
                  <c:v>44365</c:v>
                </c:pt>
                <c:pt idx="395">
                  <c:v>44364</c:v>
                </c:pt>
                <c:pt idx="396">
                  <c:v>44363</c:v>
                </c:pt>
                <c:pt idx="397">
                  <c:v>44362</c:v>
                </c:pt>
                <c:pt idx="398">
                  <c:v>44361</c:v>
                </c:pt>
                <c:pt idx="399">
                  <c:v>44358</c:v>
                </c:pt>
                <c:pt idx="400">
                  <c:v>44357</c:v>
                </c:pt>
                <c:pt idx="401">
                  <c:v>44356</c:v>
                </c:pt>
                <c:pt idx="402">
                  <c:v>44355</c:v>
                </c:pt>
                <c:pt idx="403">
                  <c:v>44354</c:v>
                </c:pt>
                <c:pt idx="404">
                  <c:v>44351</c:v>
                </c:pt>
                <c:pt idx="405">
                  <c:v>44350</c:v>
                </c:pt>
                <c:pt idx="406">
                  <c:v>44349</c:v>
                </c:pt>
                <c:pt idx="407">
                  <c:v>44348</c:v>
                </c:pt>
                <c:pt idx="408">
                  <c:v>44347</c:v>
                </c:pt>
                <c:pt idx="409">
                  <c:v>44344</c:v>
                </c:pt>
                <c:pt idx="410">
                  <c:v>44343</c:v>
                </c:pt>
                <c:pt idx="411">
                  <c:v>44342</c:v>
                </c:pt>
                <c:pt idx="412">
                  <c:v>44341</c:v>
                </c:pt>
                <c:pt idx="413">
                  <c:v>44340</c:v>
                </c:pt>
                <c:pt idx="414">
                  <c:v>44337</c:v>
                </c:pt>
                <c:pt idx="415">
                  <c:v>44336</c:v>
                </c:pt>
                <c:pt idx="416">
                  <c:v>44335</c:v>
                </c:pt>
                <c:pt idx="417">
                  <c:v>44334</c:v>
                </c:pt>
                <c:pt idx="418">
                  <c:v>44333</c:v>
                </c:pt>
                <c:pt idx="419">
                  <c:v>44330</c:v>
                </c:pt>
                <c:pt idx="420">
                  <c:v>44329</c:v>
                </c:pt>
                <c:pt idx="421">
                  <c:v>44328</c:v>
                </c:pt>
                <c:pt idx="422">
                  <c:v>44327</c:v>
                </c:pt>
                <c:pt idx="423">
                  <c:v>44326</c:v>
                </c:pt>
                <c:pt idx="424">
                  <c:v>44323</c:v>
                </c:pt>
                <c:pt idx="425">
                  <c:v>44322</c:v>
                </c:pt>
                <c:pt idx="426">
                  <c:v>44321</c:v>
                </c:pt>
                <c:pt idx="427">
                  <c:v>44320</c:v>
                </c:pt>
                <c:pt idx="428">
                  <c:v>44319</c:v>
                </c:pt>
                <c:pt idx="429">
                  <c:v>44316</c:v>
                </c:pt>
                <c:pt idx="430">
                  <c:v>44315</c:v>
                </c:pt>
                <c:pt idx="431">
                  <c:v>44314</c:v>
                </c:pt>
                <c:pt idx="432">
                  <c:v>44313</c:v>
                </c:pt>
                <c:pt idx="433">
                  <c:v>44312</c:v>
                </c:pt>
                <c:pt idx="434">
                  <c:v>44309</c:v>
                </c:pt>
                <c:pt idx="435">
                  <c:v>44308</c:v>
                </c:pt>
                <c:pt idx="436">
                  <c:v>44307</c:v>
                </c:pt>
                <c:pt idx="437">
                  <c:v>44306</c:v>
                </c:pt>
                <c:pt idx="438">
                  <c:v>44305</c:v>
                </c:pt>
                <c:pt idx="439">
                  <c:v>44302</c:v>
                </c:pt>
                <c:pt idx="440">
                  <c:v>44301</c:v>
                </c:pt>
                <c:pt idx="441">
                  <c:v>44300</c:v>
                </c:pt>
                <c:pt idx="442">
                  <c:v>44299</c:v>
                </c:pt>
                <c:pt idx="443">
                  <c:v>44298</c:v>
                </c:pt>
                <c:pt idx="444">
                  <c:v>44295</c:v>
                </c:pt>
                <c:pt idx="445">
                  <c:v>44294</c:v>
                </c:pt>
                <c:pt idx="446">
                  <c:v>44293</c:v>
                </c:pt>
                <c:pt idx="447">
                  <c:v>44292</c:v>
                </c:pt>
                <c:pt idx="448">
                  <c:v>44291</c:v>
                </c:pt>
                <c:pt idx="449">
                  <c:v>44287</c:v>
                </c:pt>
                <c:pt idx="450">
                  <c:v>44286</c:v>
                </c:pt>
                <c:pt idx="451">
                  <c:v>44285</c:v>
                </c:pt>
                <c:pt idx="452">
                  <c:v>44284</c:v>
                </c:pt>
                <c:pt idx="453">
                  <c:v>44281</c:v>
                </c:pt>
                <c:pt idx="454">
                  <c:v>44280</c:v>
                </c:pt>
                <c:pt idx="455">
                  <c:v>44279</c:v>
                </c:pt>
                <c:pt idx="456">
                  <c:v>44278</c:v>
                </c:pt>
                <c:pt idx="457">
                  <c:v>44277</c:v>
                </c:pt>
                <c:pt idx="458">
                  <c:v>44274</c:v>
                </c:pt>
                <c:pt idx="459">
                  <c:v>44273</c:v>
                </c:pt>
                <c:pt idx="460">
                  <c:v>44272</c:v>
                </c:pt>
                <c:pt idx="461">
                  <c:v>44271</c:v>
                </c:pt>
                <c:pt idx="462">
                  <c:v>44270</c:v>
                </c:pt>
                <c:pt idx="463">
                  <c:v>44267</c:v>
                </c:pt>
                <c:pt idx="464">
                  <c:v>44266</c:v>
                </c:pt>
                <c:pt idx="465">
                  <c:v>44265</c:v>
                </c:pt>
                <c:pt idx="466">
                  <c:v>44264</c:v>
                </c:pt>
                <c:pt idx="467">
                  <c:v>44263</c:v>
                </c:pt>
                <c:pt idx="468">
                  <c:v>44260</c:v>
                </c:pt>
                <c:pt idx="469">
                  <c:v>44259</c:v>
                </c:pt>
                <c:pt idx="470">
                  <c:v>44258</c:v>
                </c:pt>
                <c:pt idx="471">
                  <c:v>44257</c:v>
                </c:pt>
                <c:pt idx="472">
                  <c:v>44256</c:v>
                </c:pt>
                <c:pt idx="473">
                  <c:v>44253</c:v>
                </c:pt>
                <c:pt idx="474">
                  <c:v>44252</c:v>
                </c:pt>
                <c:pt idx="475">
                  <c:v>44251</c:v>
                </c:pt>
                <c:pt idx="476">
                  <c:v>44250</c:v>
                </c:pt>
                <c:pt idx="477">
                  <c:v>44249</c:v>
                </c:pt>
                <c:pt idx="478">
                  <c:v>44246</c:v>
                </c:pt>
                <c:pt idx="479">
                  <c:v>44245</c:v>
                </c:pt>
                <c:pt idx="480">
                  <c:v>44244</c:v>
                </c:pt>
                <c:pt idx="481">
                  <c:v>44243</c:v>
                </c:pt>
                <c:pt idx="482">
                  <c:v>44242</c:v>
                </c:pt>
                <c:pt idx="483">
                  <c:v>44239</c:v>
                </c:pt>
                <c:pt idx="484">
                  <c:v>44238</c:v>
                </c:pt>
                <c:pt idx="485">
                  <c:v>44237</c:v>
                </c:pt>
                <c:pt idx="486">
                  <c:v>44236</c:v>
                </c:pt>
                <c:pt idx="487">
                  <c:v>44235</c:v>
                </c:pt>
                <c:pt idx="488">
                  <c:v>44232</c:v>
                </c:pt>
                <c:pt idx="489">
                  <c:v>44231</c:v>
                </c:pt>
                <c:pt idx="490">
                  <c:v>44230</c:v>
                </c:pt>
                <c:pt idx="491">
                  <c:v>44229</c:v>
                </c:pt>
                <c:pt idx="492">
                  <c:v>44228</c:v>
                </c:pt>
                <c:pt idx="493">
                  <c:v>44225</c:v>
                </c:pt>
                <c:pt idx="494">
                  <c:v>44224</c:v>
                </c:pt>
                <c:pt idx="495">
                  <c:v>44223</c:v>
                </c:pt>
                <c:pt idx="496">
                  <c:v>44222</c:v>
                </c:pt>
                <c:pt idx="497">
                  <c:v>44221</c:v>
                </c:pt>
                <c:pt idx="498">
                  <c:v>44218</c:v>
                </c:pt>
                <c:pt idx="499">
                  <c:v>44217</c:v>
                </c:pt>
                <c:pt idx="500">
                  <c:v>44216</c:v>
                </c:pt>
                <c:pt idx="501">
                  <c:v>44215</c:v>
                </c:pt>
                <c:pt idx="502">
                  <c:v>44214</c:v>
                </c:pt>
                <c:pt idx="503">
                  <c:v>44211</c:v>
                </c:pt>
                <c:pt idx="504">
                  <c:v>44210</c:v>
                </c:pt>
                <c:pt idx="505">
                  <c:v>44209</c:v>
                </c:pt>
                <c:pt idx="506">
                  <c:v>44208</c:v>
                </c:pt>
                <c:pt idx="507">
                  <c:v>44207</c:v>
                </c:pt>
                <c:pt idx="508">
                  <c:v>44204</c:v>
                </c:pt>
                <c:pt idx="509">
                  <c:v>44203</c:v>
                </c:pt>
                <c:pt idx="510">
                  <c:v>44202</c:v>
                </c:pt>
                <c:pt idx="511">
                  <c:v>44201</c:v>
                </c:pt>
                <c:pt idx="512">
                  <c:v>44200</c:v>
                </c:pt>
                <c:pt idx="513">
                  <c:v>44196</c:v>
                </c:pt>
                <c:pt idx="514">
                  <c:v>44195</c:v>
                </c:pt>
                <c:pt idx="515">
                  <c:v>44194</c:v>
                </c:pt>
                <c:pt idx="516">
                  <c:v>44193</c:v>
                </c:pt>
                <c:pt idx="517">
                  <c:v>44189</c:v>
                </c:pt>
                <c:pt idx="518">
                  <c:v>44188</c:v>
                </c:pt>
                <c:pt idx="519">
                  <c:v>44187</c:v>
                </c:pt>
                <c:pt idx="520">
                  <c:v>44186</c:v>
                </c:pt>
                <c:pt idx="521">
                  <c:v>44183</c:v>
                </c:pt>
                <c:pt idx="522">
                  <c:v>44182</c:v>
                </c:pt>
                <c:pt idx="523">
                  <c:v>44181</c:v>
                </c:pt>
                <c:pt idx="524">
                  <c:v>44180</c:v>
                </c:pt>
                <c:pt idx="525">
                  <c:v>44179</c:v>
                </c:pt>
                <c:pt idx="526">
                  <c:v>44176</c:v>
                </c:pt>
                <c:pt idx="527">
                  <c:v>44175</c:v>
                </c:pt>
                <c:pt idx="528">
                  <c:v>44174</c:v>
                </c:pt>
                <c:pt idx="529">
                  <c:v>44173</c:v>
                </c:pt>
                <c:pt idx="530">
                  <c:v>44172</c:v>
                </c:pt>
                <c:pt idx="531">
                  <c:v>44169</c:v>
                </c:pt>
                <c:pt idx="532">
                  <c:v>44168</c:v>
                </c:pt>
                <c:pt idx="533">
                  <c:v>44167</c:v>
                </c:pt>
                <c:pt idx="534">
                  <c:v>44166</c:v>
                </c:pt>
                <c:pt idx="535">
                  <c:v>44165</c:v>
                </c:pt>
                <c:pt idx="536">
                  <c:v>44164</c:v>
                </c:pt>
                <c:pt idx="537">
                  <c:v>44163</c:v>
                </c:pt>
                <c:pt idx="538">
                  <c:v>44162</c:v>
                </c:pt>
                <c:pt idx="539">
                  <c:v>44161</c:v>
                </c:pt>
                <c:pt idx="540">
                  <c:v>44160</c:v>
                </c:pt>
                <c:pt idx="541">
                  <c:v>44159</c:v>
                </c:pt>
                <c:pt idx="542">
                  <c:v>44158</c:v>
                </c:pt>
                <c:pt idx="543">
                  <c:v>44157</c:v>
                </c:pt>
                <c:pt idx="544">
                  <c:v>44156</c:v>
                </c:pt>
                <c:pt idx="545">
                  <c:v>44155</c:v>
                </c:pt>
                <c:pt idx="546">
                  <c:v>44154</c:v>
                </c:pt>
                <c:pt idx="547">
                  <c:v>44153</c:v>
                </c:pt>
                <c:pt idx="548">
                  <c:v>44152</c:v>
                </c:pt>
                <c:pt idx="549">
                  <c:v>44151</c:v>
                </c:pt>
                <c:pt idx="550">
                  <c:v>44148</c:v>
                </c:pt>
                <c:pt idx="551">
                  <c:v>44147</c:v>
                </c:pt>
                <c:pt idx="552">
                  <c:v>44146</c:v>
                </c:pt>
                <c:pt idx="553">
                  <c:v>44145</c:v>
                </c:pt>
                <c:pt idx="554">
                  <c:v>44144</c:v>
                </c:pt>
                <c:pt idx="555">
                  <c:v>44141</c:v>
                </c:pt>
                <c:pt idx="556">
                  <c:v>44140</c:v>
                </c:pt>
                <c:pt idx="557">
                  <c:v>44139</c:v>
                </c:pt>
                <c:pt idx="558">
                  <c:v>44138</c:v>
                </c:pt>
                <c:pt idx="559">
                  <c:v>44137</c:v>
                </c:pt>
                <c:pt idx="560">
                  <c:v>44134</c:v>
                </c:pt>
                <c:pt idx="561">
                  <c:v>44133</c:v>
                </c:pt>
                <c:pt idx="562">
                  <c:v>44132</c:v>
                </c:pt>
                <c:pt idx="563">
                  <c:v>44131</c:v>
                </c:pt>
                <c:pt idx="564">
                  <c:v>44130</c:v>
                </c:pt>
                <c:pt idx="565">
                  <c:v>44127</c:v>
                </c:pt>
                <c:pt idx="566">
                  <c:v>44126</c:v>
                </c:pt>
                <c:pt idx="567">
                  <c:v>44125</c:v>
                </c:pt>
                <c:pt idx="568">
                  <c:v>44124</c:v>
                </c:pt>
                <c:pt idx="569">
                  <c:v>44123</c:v>
                </c:pt>
                <c:pt idx="570">
                  <c:v>44120</c:v>
                </c:pt>
                <c:pt idx="571">
                  <c:v>44119</c:v>
                </c:pt>
                <c:pt idx="572">
                  <c:v>44118</c:v>
                </c:pt>
                <c:pt idx="573">
                  <c:v>44117</c:v>
                </c:pt>
                <c:pt idx="574">
                  <c:v>44116</c:v>
                </c:pt>
                <c:pt idx="575">
                  <c:v>44113</c:v>
                </c:pt>
                <c:pt idx="576">
                  <c:v>44112</c:v>
                </c:pt>
                <c:pt idx="577">
                  <c:v>44111</c:v>
                </c:pt>
                <c:pt idx="578">
                  <c:v>44110</c:v>
                </c:pt>
                <c:pt idx="579">
                  <c:v>44109</c:v>
                </c:pt>
                <c:pt idx="580">
                  <c:v>44106</c:v>
                </c:pt>
                <c:pt idx="581">
                  <c:v>44105</c:v>
                </c:pt>
                <c:pt idx="582">
                  <c:v>44104</c:v>
                </c:pt>
                <c:pt idx="583">
                  <c:v>44103</c:v>
                </c:pt>
                <c:pt idx="584">
                  <c:v>44102</c:v>
                </c:pt>
                <c:pt idx="585">
                  <c:v>44099</c:v>
                </c:pt>
                <c:pt idx="586">
                  <c:v>44098</c:v>
                </c:pt>
                <c:pt idx="587">
                  <c:v>44097</c:v>
                </c:pt>
                <c:pt idx="588">
                  <c:v>44096</c:v>
                </c:pt>
                <c:pt idx="589">
                  <c:v>44095</c:v>
                </c:pt>
                <c:pt idx="590">
                  <c:v>44092</c:v>
                </c:pt>
                <c:pt idx="591">
                  <c:v>44091</c:v>
                </c:pt>
                <c:pt idx="592">
                  <c:v>44090</c:v>
                </c:pt>
                <c:pt idx="593">
                  <c:v>44089</c:v>
                </c:pt>
                <c:pt idx="594">
                  <c:v>44088</c:v>
                </c:pt>
                <c:pt idx="595">
                  <c:v>44085</c:v>
                </c:pt>
                <c:pt idx="596">
                  <c:v>44084</c:v>
                </c:pt>
                <c:pt idx="597">
                  <c:v>44083</c:v>
                </c:pt>
                <c:pt idx="598">
                  <c:v>44082</c:v>
                </c:pt>
                <c:pt idx="599">
                  <c:v>44081</c:v>
                </c:pt>
                <c:pt idx="600">
                  <c:v>44078</c:v>
                </c:pt>
                <c:pt idx="601">
                  <c:v>44077</c:v>
                </c:pt>
                <c:pt idx="602">
                  <c:v>44076</c:v>
                </c:pt>
                <c:pt idx="603">
                  <c:v>44075</c:v>
                </c:pt>
                <c:pt idx="604">
                  <c:v>44074</c:v>
                </c:pt>
                <c:pt idx="605">
                  <c:v>44071</c:v>
                </c:pt>
                <c:pt idx="606">
                  <c:v>44070</c:v>
                </c:pt>
                <c:pt idx="607">
                  <c:v>44069</c:v>
                </c:pt>
                <c:pt idx="608">
                  <c:v>44068</c:v>
                </c:pt>
                <c:pt idx="609">
                  <c:v>44067</c:v>
                </c:pt>
                <c:pt idx="610">
                  <c:v>44064</c:v>
                </c:pt>
                <c:pt idx="611">
                  <c:v>44063</c:v>
                </c:pt>
                <c:pt idx="612">
                  <c:v>44062</c:v>
                </c:pt>
                <c:pt idx="613">
                  <c:v>44061</c:v>
                </c:pt>
                <c:pt idx="614">
                  <c:v>44060</c:v>
                </c:pt>
                <c:pt idx="615">
                  <c:v>44057</c:v>
                </c:pt>
                <c:pt idx="616">
                  <c:v>44056</c:v>
                </c:pt>
                <c:pt idx="617">
                  <c:v>44055</c:v>
                </c:pt>
                <c:pt idx="618">
                  <c:v>44054</c:v>
                </c:pt>
                <c:pt idx="619">
                  <c:v>44053</c:v>
                </c:pt>
                <c:pt idx="620">
                  <c:v>44050</c:v>
                </c:pt>
                <c:pt idx="621">
                  <c:v>44049</c:v>
                </c:pt>
                <c:pt idx="622">
                  <c:v>44048</c:v>
                </c:pt>
                <c:pt idx="623">
                  <c:v>44047</c:v>
                </c:pt>
                <c:pt idx="624">
                  <c:v>44046</c:v>
                </c:pt>
                <c:pt idx="625">
                  <c:v>44043</c:v>
                </c:pt>
                <c:pt idx="626">
                  <c:v>44042</c:v>
                </c:pt>
                <c:pt idx="627">
                  <c:v>44041</c:v>
                </c:pt>
                <c:pt idx="628">
                  <c:v>44040</c:v>
                </c:pt>
                <c:pt idx="629">
                  <c:v>44039</c:v>
                </c:pt>
                <c:pt idx="630">
                  <c:v>44036</c:v>
                </c:pt>
                <c:pt idx="631">
                  <c:v>44035</c:v>
                </c:pt>
                <c:pt idx="632">
                  <c:v>44034</c:v>
                </c:pt>
                <c:pt idx="633">
                  <c:v>44033</c:v>
                </c:pt>
                <c:pt idx="634">
                  <c:v>44032</c:v>
                </c:pt>
                <c:pt idx="635">
                  <c:v>44029</c:v>
                </c:pt>
                <c:pt idx="636">
                  <c:v>44028</c:v>
                </c:pt>
                <c:pt idx="637">
                  <c:v>44027</c:v>
                </c:pt>
                <c:pt idx="638">
                  <c:v>44026</c:v>
                </c:pt>
                <c:pt idx="639">
                  <c:v>44025</c:v>
                </c:pt>
                <c:pt idx="640">
                  <c:v>44022</c:v>
                </c:pt>
                <c:pt idx="641">
                  <c:v>44021</c:v>
                </c:pt>
                <c:pt idx="642">
                  <c:v>44020</c:v>
                </c:pt>
                <c:pt idx="643">
                  <c:v>44019</c:v>
                </c:pt>
                <c:pt idx="644">
                  <c:v>44018</c:v>
                </c:pt>
                <c:pt idx="645">
                  <c:v>44015</c:v>
                </c:pt>
                <c:pt idx="646">
                  <c:v>44014</c:v>
                </c:pt>
                <c:pt idx="647">
                  <c:v>44013</c:v>
                </c:pt>
                <c:pt idx="648">
                  <c:v>44012</c:v>
                </c:pt>
                <c:pt idx="649">
                  <c:v>44011</c:v>
                </c:pt>
                <c:pt idx="650">
                  <c:v>44008</c:v>
                </c:pt>
                <c:pt idx="651">
                  <c:v>44007</c:v>
                </c:pt>
                <c:pt idx="652">
                  <c:v>44006</c:v>
                </c:pt>
                <c:pt idx="653">
                  <c:v>44005</c:v>
                </c:pt>
                <c:pt idx="654">
                  <c:v>44004</c:v>
                </c:pt>
                <c:pt idx="655">
                  <c:v>44001</c:v>
                </c:pt>
                <c:pt idx="656">
                  <c:v>44000</c:v>
                </c:pt>
                <c:pt idx="657">
                  <c:v>43999</c:v>
                </c:pt>
                <c:pt idx="658">
                  <c:v>43998</c:v>
                </c:pt>
                <c:pt idx="659">
                  <c:v>43997</c:v>
                </c:pt>
                <c:pt idx="660">
                  <c:v>43994</c:v>
                </c:pt>
                <c:pt idx="661">
                  <c:v>43993</c:v>
                </c:pt>
                <c:pt idx="662">
                  <c:v>43992</c:v>
                </c:pt>
                <c:pt idx="663">
                  <c:v>43991</c:v>
                </c:pt>
                <c:pt idx="664">
                  <c:v>43990</c:v>
                </c:pt>
                <c:pt idx="665">
                  <c:v>43987</c:v>
                </c:pt>
                <c:pt idx="666">
                  <c:v>43986</c:v>
                </c:pt>
                <c:pt idx="667">
                  <c:v>43985</c:v>
                </c:pt>
                <c:pt idx="668">
                  <c:v>43984</c:v>
                </c:pt>
                <c:pt idx="669">
                  <c:v>43983</c:v>
                </c:pt>
                <c:pt idx="670">
                  <c:v>43980</c:v>
                </c:pt>
                <c:pt idx="671">
                  <c:v>43979</c:v>
                </c:pt>
                <c:pt idx="672">
                  <c:v>43978</c:v>
                </c:pt>
                <c:pt idx="673">
                  <c:v>43977</c:v>
                </c:pt>
                <c:pt idx="674">
                  <c:v>43976</c:v>
                </c:pt>
                <c:pt idx="675">
                  <c:v>43973</c:v>
                </c:pt>
                <c:pt idx="676">
                  <c:v>43972</c:v>
                </c:pt>
                <c:pt idx="677">
                  <c:v>43971</c:v>
                </c:pt>
                <c:pt idx="678">
                  <c:v>43970</c:v>
                </c:pt>
                <c:pt idx="679">
                  <c:v>43969</c:v>
                </c:pt>
                <c:pt idx="680">
                  <c:v>43966</c:v>
                </c:pt>
                <c:pt idx="681">
                  <c:v>43965</c:v>
                </c:pt>
                <c:pt idx="682">
                  <c:v>43964</c:v>
                </c:pt>
                <c:pt idx="683">
                  <c:v>43963</c:v>
                </c:pt>
                <c:pt idx="684">
                  <c:v>43962</c:v>
                </c:pt>
                <c:pt idx="685">
                  <c:v>43959</c:v>
                </c:pt>
                <c:pt idx="686">
                  <c:v>43958</c:v>
                </c:pt>
                <c:pt idx="687">
                  <c:v>43957</c:v>
                </c:pt>
                <c:pt idx="688">
                  <c:v>43956</c:v>
                </c:pt>
                <c:pt idx="689">
                  <c:v>43955</c:v>
                </c:pt>
                <c:pt idx="690">
                  <c:v>43952</c:v>
                </c:pt>
                <c:pt idx="691">
                  <c:v>43951</c:v>
                </c:pt>
                <c:pt idx="692">
                  <c:v>43950</c:v>
                </c:pt>
                <c:pt idx="693">
                  <c:v>43949</c:v>
                </c:pt>
                <c:pt idx="694">
                  <c:v>43948</c:v>
                </c:pt>
                <c:pt idx="695">
                  <c:v>43945</c:v>
                </c:pt>
                <c:pt idx="696">
                  <c:v>43944</c:v>
                </c:pt>
                <c:pt idx="697">
                  <c:v>43943</c:v>
                </c:pt>
                <c:pt idx="698">
                  <c:v>43942</c:v>
                </c:pt>
                <c:pt idx="699">
                  <c:v>43941</c:v>
                </c:pt>
                <c:pt idx="700">
                  <c:v>43938</c:v>
                </c:pt>
                <c:pt idx="701">
                  <c:v>43937</c:v>
                </c:pt>
                <c:pt idx="702">
                  <c:v>43936</c:v>
                </c:pt>
                <c:pt idx="703">
                  <c:v>43935</c:v>
                </c:pt>
                <c:pt idx="704">
                  <c:v>43934</c:v>
                </c:pt>
                <c:pt idx="705">
                  <c:v>43930</c:v>
                </c:pt>
                <c:pt idx="706">
                  <c:v>43929</c:v>
                </c:pt>
                <c:pt idx="707">
                  <c:v>43928</c:v>
                </c:pt>
                <c:pt idx="708">
                  <c:v>43927</c:v>
                </c:pt>
                <c:pt idx="709">
                  <c:v>43924</c:v>
                </c:pt>
                <c:pt idx="710">
                  <c:v>43923</c:v>
                </c:pt>
                <c:pt idx="711">
                  <c:v>43922</c:v>
                </c:pt>
                <c:pt idx="712">
                  <c:v>43921</c:v>
                </c:pt>
                <c:pt idx="713">
                  <c:v>43920</c:v>
                </c:pt>
                <c:pt idx="714">
                  <c:v>43917</c:v>
                </c:pt>
                <c:pt idx="715">
                  <c:v>43916</c:v>
                </c:pt>
                <c:pt idx="716">
                  <c:v>43915</c:v>
                </c:pt>
                <c:pt idx="717">
                  <c:v>43914</c:v>
                </c:pt>
                <c:pt idx="718">
                  <c:v>43913</c:v>
                </c:pt>
                <c:pt idx="719">
                  <c:v>43910</c:v>
                </c:pt>
                <c:pt idx="720">
                  <c:v>43909</c:v>
                </c:pt>
                <c:pt idx="721">
                  <c:v>43908</c:v>
                </c:pt>
                <c:pt idx="722">
                  <c:v>43907</c:v>
                </c:pt>
                <c:pt idx="723">
                  <c:v>43906</c:v>
                </c:pt>
                <c:pt idx="724">
                  <c:v>43903</c:v>
                </c:pt>
                <c:pt idx="725">
                  <c:v>43902</c:v>
                </c:pt>
                <c:pt idx="726">
                  <c:v>43901</c:v>
                </c:pt>
                <c:pt idx="727">
                  <c:v>43900</c:v>
                </c:pt>
                <c:pt idx="728">
                  <c:v>43899</c:v>
                </c:pt>
                <c:pt idx="729">
                  <c:v>43896</c:v>
                </c:pt>
                <c:pt idx="730">
                  <c:v>43895</c:v>
                </c:pt>
                <c:pt idx="731">
                  <c:v>43894</c:v>
                </c:pt>
                <c:pt idx="732">
                  <c:v>43893</c:v>
                </c:pt>
                <c:pt idx="733">
                  <c:v>43892</c:v>
                </c:pt>
                <c:pt idx="734">
                  <c:v>43889</c:v>
                </c:pt>
                <c:pt idx="735">
                  <c:v>43888</c:v>
                </c:pt>
                <c:pt idx="736">
                  <c:v>43887</c:v>
                </c:pt>
                <c:pt idx="737">
                  <c:v>43886</c:v>
                </c:pt>
                <c:pt idx="738">
                  <c:v>43885</c:v>
                </c:pt>
                <c:pt idx="739">
                  <c:v>43882</c:v>
                </c:pt>
                <c:pt idx="740">
                  <c:v>43881</c:v>
                </c:pt>
                <c:pt idx="741">
                  <c:v>43880</c:v>
                </c:pt>
                <c:pt idx="742">
                  <c:v>43879</c:v>
                </c:pt>
                <c:pt idx="743">
                  <c:v>43878</c:v>
                </c:pt>
                <c:pt idx="744">
                  <c:v>43875</c:v>
                </c:pt>
                <c:pt idx="745">
                  <c:v>43874</c:v>
                </c:pt>
                <c:pt idx="746">
                  <c:v>43873</c:v>
                </c:pt>
                <c:pt idx="747">
                  <c:v>43872</c:v>
                </c:pt>
                <c:pt idx="748">
                  <c:v>43871</c:v>
                </c:pt>
                <c:pt idx="749">
                  <c:v>43868</c:v>
                </c:pt>
                <c:pt idx="750">
                  <c:v>43867</c:v>
                </c:pt>
                <c:pt idx="751">
                  <c:v>43866</c:v>
                </c:pt>
                <c:pt idx="752">
                  <c:v>43865</c:v>
                </c:pt>
                <c:pt idx="753">
                  <c:v>43864</c:v>
                </c:pt>
                <c:pt idx="754">
                  <c:v>43861</c:v>
                </c:pt>
                <c:pt idx="755">
                  <c:v>43860</c:v>
                </c:pt>
                <c:pt idx="756">
                  <c:v>43859</c:v>
                </c:pt>
                <c:pt idx="757">
                  <c:v>43858</c:v>
                </c:pt>
                <c:pt idx="758">
                  <c:v>43857</c:v>
                </c:pt>
                <c:pt idx="759">
                  <c:v>43854</c:v>
                </c:pt>
                <c:pt idx="760">
                  <c:v>43853</c:v>
                </c:pt>
                <c:pt idx="761">
                  <c:v>43852</c:v>
                </c:pt>
                <c:pt idx="762">
                  <c:v>43851</c:v>
                </c:pt>
                <c:pt idx="763">
                  <c:v>43850</c:v>
                </c:pt>
                <c:pt idx="764">
                  <c:v>43847</c:v>
                </c:pt>
                <c:pt idx="765">
                  <c:v>43846</c:v>
                </c:pt>
                <c:pt idx="766">
                  <c:v>43845</c:v>
                </c:pt>
                <c:pt idx="767">
                  <c:v>43844</c:v>
                </c:pt>
                <c:pt idx="768">
                  <c:v>43843</c:v>
                </c:pt>
                <c:pt idx="769">
                  <c:v>43840</c:v>
                </c:pt>
                <c:pt idx="770">
                  <c:v>43839</c:v>
                </c:pt>
                <c:pt idx="771">
                  <c:v>43838</c:v>
                </c:pt>
                <c:pt idx="772">
                  <c:v>43837</c:v>
                </c:pt>
                <c:pt idx="773">
                  <c:v>43836</c:v>
                </c:pt>
                <c:pt idx="774">
                  <c:v>43833</c:v>
                </c:pt>
                <c:pt idx="775">
                  <c:v>43832</c:v>
                </c:pt>
                <c:pt idx="776">
                  <c:v>43830</c:v>
                </c:pt>
                <c:pt idx="777">
                  <c:v>43829</c:v>
                </c:pt>
                <c:pt idx="778">
                  <c:v>43826</c:v>
                </c:pt>
                <c:pt idx="779">
                  <c:v>43825</c:v>
                </c:pt>
                <c:pt idx="780">
                  <c:v>43823</c:v>
                </c:pt>
                <c:pt idx="781">
                  <c:v>43822</c:v>
                </c:pt>
                <c:pt idx="782">
                  <c:v>43819</c:v>
                </c:pt>
                <c:pt idx="783">
                  <c:v>43818</c:v>
                </c:pt>
                <c:pt idx="784">
                  <c:v>43817</c:v>
                </c:pt>
                <c:pt idx="785">
                  <c:v>43816</c:v>
                </c:pt>
                <c:pt idx="786">
                  <c:v>43815</c:v>
                </c:pt>
                <c:pt idx="787">
                  <c:v>43812</c:v>
                </c:pt>
                <c:pt idx="788">
                  <c:v>43811</c:v>
                </c:pt>
                <c:pt idx="789">
                  <c:v>43810</c:v>
                </c:pt>
                <c:pt idx="790">
                  <c:v>43809</c:v>
                </c:pt>
                <c:pt idx="791">
                  <c:v>43808</c:v>
                </c:pt>
                <c:pt idx="792">
                  <c:v>43805</c:v>
                </c:pt>
                <c:pt idx="793">
                  <c:v>43804</c:v>
                </c:pt>
                <c:pt idx="794">
                  <c:v>43803</c:v>
                </c:pt>
                <c:pt idx="795">
                  <c:v>43802</c:v>
                </c:pt>
                <c:pt idx="796">
                  <c:v>43801</c:v>
                </c:pt>
                <c:pt idx="797">
                  <c:v>43798</c:v>
                </c:pt>
                <c:pt idx="798">
                  <c:v>43797</c:v>
                </c:pt>
                <c:pt idx="799">
                  <c:v>43796</c:v>
                </c:pt>
                <c:pt idx="800">
                  <c:v>43795</c:v>
                </c:pt>
                <c:pt idx="801">
                  <c:v>43794</c:v>
                </c:pt>
                <c:pt idx="802">
                  <c:v>43791</c:v>
                </c:pt>
                <c:pt idx="803">
                  <c:v>43790</c:v>
                </c:pt>
                <c:pt idx="804">
                  <c:v>43789</c:v>
                </c:pt>
                <c:pt idx="805">
                  <c:v>43788</c:v>
                </c:pt>
                <c:pt idx="806">
                  <c:v>43787</c:v>
                </c:pt>
                <c:pt idx="807">
                  <c:v>43784</c:v>
                </c:pt>
                <c:pt idx="808">
                  <c:v>43783</c:v>
                </c:pt>
                <c:pt idx="809">
                  <c:v>43782</c:v>
                </c:pt>
                <c:pt idx="810">
                  <c:v>43781</c:v>
                </c:pt>
                <c:pt idx="811">
                  <c:v>43780</c:v>
                </c:pt>
                <c:pt idx="812">
                  <c:v>43777</c:v>
                </c:pt>
                <c:pt idx="813">
                  <c:v>43776</c:v>
                </c:pt>
                <c:pt idx="814">
                  <c:v>43775</c:v>
                </c:pt>
                <c:pt idx="815">
                  <c:v>43774</c:v>
                </c:pt>
                <c:pt idx="816">
                  <c:v>43773</c:v>
                </c:pt>
                <c:pt idx="817">
                  <c:v>43770</c:v>
                </c:pt>
                <c:pt idx="818">
                  <c:v>43769</c:v>
                </c:pt>
                <c:pt idx="819">
                  <c:v>43768</c:v>
                </c:pt>
                <c:pt idx="820">
                  <c:v>43767</c:v>
                </c:pt>
                <c:pt idx="821">
                  <c:v>43766</c:v>
                </c:pt>
                <c:pt idx="822">
                  <c:v>43763</c:v>
                </c:pt>
                <c:pt idx="823">
                  <c:v>43762</c:v>
                </c:pt>
                <c:pt idx="824">
                  <c:v>43761</c:v>
                </c:pt>
                <c:pt idx="825">
                  <c:v>43760</c:v>
                </c:pt>
                <c:pt idx="826">
                  <c:v>43759</c:v>
                </c:pt>
                <c:pt idx="827">
                  <c:v>43756</c:v>
                </c:pt>
                <c:pt idx="828">
                  <c:v>43755</c:v>
                </c:pt>
                <c:pt idx="829">
                  <c:v>43754</c:v>
                </c:pt>
                <c:pt idx="830">
                  <c:v>43753</c:v>
                </c:pt>
                <c:pt idx="831">
                  <c:v>43752</c:v>
                </c:pt>
                <c:pt idx="832">
                  <c:v>43749</c:v>
                </c:pt>
                <c:pt idx="833">
                  <c:v>43748</c:v>
                </c:pt>
                <c:pt idx="834">
                  <c:v>43747</c:v>
                </c:pt>
                <c:pt idx="835">
                  <c:v>43746</c:v>
                </c:pt>
                <c:pt idx="836">
                  <c:v>43745</c:v>
                </c:pt>
                <c:pt idx="837">
                  <c:v>43742</c:v>
                </c:pt>
                <c:pt idx="838">
                  <c:v>43741</c:v>
                </c:pt>
                <c:pt idx="839">
                  <c:v>43740</c:v>
                </c:pt>
                <c:pt idx="840">
                  <c:v>43739</c:v>
                </c:pt>
                <c:pt idx="841">
                  <c:v>43738</c:v>
                </c:pt>
                <c:pt idx="842">
                  <c:v>43735</c:v>
                </c:pt>
                <c:pt idx="843">
                  <c:v>43734</c:v>
                </c:pt>
                <c:pt idx="844">
                  <c:v>43733</c:v>
                </c:pt>
                <c:pt idx="845">
                  <c:v>43732</c:v>
                </c:pt>
                <c:pt idx="846">
                  <c:v>43731</c:v>
                </c:pt>
                <c:pt idx="847">
                  <c:v>43728</c:v>
                </c:pt>
                <c:pt idx="848">
                  <c:v>43727</c:v>
                </c:pt>
                <c:pt idx="849">
                  <c:v>43726</c:v>
                </c:pt>
                <c:pt idx="850">
                  <c:v>43725</c:v>
                </c:pt>
                <c:pt idx="851">
                  <c:v>43724</c:v>
                </c:pt>
                <c:pt idx="852">
                  <c:v>43721</c:v>
                </c:pt>
                <c:pt idx="853">
                  <c:v>43720</c:v>
                </c:pt>
                <c:pt idx="854">
                  <c:v>43719</c:v>
                </c:pt>
                <c:pt idx="855">
                  <c:v>43718</c:v>
                </c:pt>
                <c:pt idx="856">
                  <c:v>43717</c:v>
                </c:pt>
                <c:pt idx="857">
                  <c:v>43714</c:v>
                </c:pt>
                <c:pt idx="858">
                  <c:v>43713</c:v>
                </c:pt>
                <c:pt idx="859">
                  <c:v>43712</c:v>
                </c:pt>
                <c:pt idx="860">
                  <c:v>43711</c:v>
                </c:pt>
                <c:pt idx="861">
                  <c:v>43710</c:v>
                </c:pt>
                <c:pt idx="862">
                  <c:v>43707</c:v>
                </c:pt>
                <c:pt idx="863">
                  <c:v>43706</c:v>
                </c:pt>
                <c:pt idx="864">
                  <c:v>43705</c:v>
                </c:pt>
                <c:pt idx="865">
                  <c:v>43704</c:v>
                </c:pt>
                <c:pt idx="866">
                  <c:v>43703</c:v>
                </c:pt>
                <c:pt idx="867">
                  <c:v>43700</c:v>
                </c:pt>
                <c:pt idx="868">
                  <c:v>43699</c:v>
                </c:pt>
                <c:pt idx="869">
                  <c:v>43698</c:v>
                </c:pt>
                <c:pt idx="870">
                  <c:v>43697</c:v>
                </c:pt>
                <c:pt idx="871">
                  <c:v>43696</c:v>
                </c:pt>
                <c:pt idx="872">
                  <c:v>43693</c:v>
                </c:pt>
                <c:pt idx="873">
                  <c:v>43692</c:v>
                </c:pt>
                <c:pt idx="874">
                  <c:v>43691</c:v>
                </c:pt>
                <c:pt idx="875">
                  <c:v>43690</c:v>
                </c:pt>
                <c:pt idx="876">
                  <c:v>43689</c:v>
                </c:pt>
                <c:pt idx="877">
                  <c:v>43686</c:v>
                </c:pt>
                <c:pt idx="878">
                  <c:v>43685</c:v>
                </c:pt>
                <c:pt idx="879">
                  <c:v>43684</c:v>
                </c:pt>
                <c:pt idx="880">
                  <c:v>43683</c:v>
                </c:pt>
                <c:pt idx="881">
                  <c:v>43682</c:v>
                </c:pt>
                <c:pt idx="882">
                  <c:v>43679</c:v>
                </c:pt>
                <c:pt idx="883">
                  <c:v>43678</c:v>
                </c:pt>
                <c:pt idx="884">
                  <c:v>43677</c:v>
                </c:pt>
                <c:pt idx="885">
                  <c:v>43676</c:v>
                </c:pt>
                <c:pt idx="886">
                  <c:v>43675</c:v>
                </c:pt>
                <c:pt idx="887">
                  <c:v>43672</c:v>
                </c:pt>
                <c:pt idx="888">
                  <c:v>43671</c:v>
                </c:pt>
                <c:pt idx="889">
                  <c:v>43670</c:v>
                </c:pt>
                <c:pt idx="890">
                  <c:v>43669</c:v>
                </c:pt>
                <c:pt idx="891">
                  <c:v>43668</c:v>
                </c:pt>
                <c:pt idx="892">
                  <c:v>43665</c:v>
                </c:pt>
                <c:pt idx="893">
                  <c:v>43664</c:v>
                </c:pt>
                <c:pt idx="894">
                  <c:v>43663</c:v>
                </c:pt>
                <c:pt idx="895">
                  <c:v>43662</c:v>
                </c:pt>
                <c:pt idx="896">
                  <c:v>43661</c:v>
                </c:pt>
                <c:pt idx="897">
                  <c:v>43658</c:v>
                </c:pt>
                <c:pt idx="898">
                  <c:v>43657</c:v>
                </c:pt>
                <c:pt idx="899">
                  <c:v>43656</c:v>
                </c:pt>
                <c:pt idx="900">
                  <c:v>43655</c:v>
                </c:pt>
                <c:pt idx="901">
                  <c:v>43654</c:v>
                </c:pt>
                <c:pt idx="902">
                  <c:v>43651</c:v>
                </c:pt>
                <c:pt idx="903">
                  <c:v>43650</c:v>
                </c:pt>
                <c:pt idx="904">
                  <c:v>43649</c:v>
                </c:pt>
                <c:pt idx="905">
                  <c:v>43648</c:v>
                </c:pt>
                <c:pt idx="906">
                  <c:v>43647</c:v>
                </c:pt>
                <c:pt idx="907">
                  <c:v>43644</c:v>
                </c:pt>
                <c:pt idx="908">
                  <c:v>43643</c:v>
                </c:pt>
                <c:pt idx="909">
                  <c:v>43642</c:v>
                </c:pt>
                <c:pt idx="910">
                  <c:v>43641</c:v>
                </c:pt>
                <c:pt idx="911">
                  <c:v>43640</c:v>
                </c:pt>
                <c:pt idx="912">
                  <c:v>43637</c:v>
                </c:pt>
                <c:pt idx="913">
                  <c:v>43636</c:v>
                </c:pt>
                <c:pt idx="914">
                  <c:v>43635</c:v>
                </c:pt>
                <c:pt idx="915">
                  <c:v>43634</c:v>
                </c:pt>
                <c:pt idx="916">
                  <c:v>43633</c:v>
                </c:pt>
                <c:pt idx="917">
                  <c:v>43630</c:v>
                </c:pt>
                <c:pt idx="918">
                  <c:v>43629</c:v>
                </c:pt>
                <c:pt idx="919">
                  <c:v>43628</c:v>
                </c:pt>
                <c:pt idx="920">
                  <c:v>43627</c:v>
                </c:pt>
                <c:pt idx="921">
                  <c:v>43626</c:v>
                </c:pt>
                <c:pt idx="922">
                  <c:v>43623</c:v>
                </c:pt>
                <c:pt idx="923">
                  <c:v>43622</c:v>
                </c:pt>
                <c:pt idx="924">
                  <c:v>43621</c:v>
                </c:pt>
                <c:pt idx="925">
                  <c:v>43620</c:v>
                </c:pt>
                <c:pt idx="926">
                  <c:v>43619</c:v>
                </c:pt>
                <c:pt idx="927">
                  <c:v>43616</c:v>
                </c:pt>
                <c:pt idx="928">
                  <c:v>43615</c:v>
                </c:pt>
                <c:pt idx="929">
                  <c:v>43614</c:v>
                </c:pt>
                <c:pt idx="930">
                  <c:v>43613</c:v>
                </c:pt>
                <c:pt idx="931">
                  <c:v>43612</c:v>
                </c:pt>
                <c:pt idx="932">
                  <c:v>43609</c:v>
                </c:pt>
                <c:pt idx="933">
                  <c:v>43608</c:v>
                </c:pt>
                <c:pt idx="934">
                  <c:v>43607</c:v>
                </c:pt>
                <c:pt idx="935">
                  <c:v>43606</c:v>
                </c:pt>
                <c:pt idx="936">
                  <c:v>43605</c:v>
                </c:pt>
                <c:pt idx="937">
                  <c:v>43602</c:v>
                </c:pt>
                <c:pt idx="938">
                  <c:v>43601</c:v>
                </c:pt>
                <c:pt idx="939">
                  <c:v>43600</c:v>
                </c:pt>
                <c:pt idx="940">
                  <c:v>43599</c:v>
                </c:pt>
                <c:pt idx="941">
                  <c:v>43598</c:v>
                </c:pt>
                <c:pt idx="942">
                  <c:v>43595</c:v>
                </c:pt>
                <c:pt idx="943">
                  <c:v>43594</c:v>
                </c:pt>
                <c:pt idx="944">
                  <c:v>43593</c:v>
                </c:pt>
                <c:pt idx="945">
                  <c:v>43592</c:v>
                </c:pt>
                <c:pt idx="946">
                  <c:v>43591</c:v>
                </c:pt>
                <c:pt idx="947">
                  <c:v>43588</c:v>
                </c:pt>
                <c:pt idx="948">
                  <c:v>43587</c:v>
                </c:pt>
                <c:pt idx="949">
                  <c:v>43586</c:v>
                </c:pt>
                <c:pt idx="950">
                  <c:v>43585</c:v>
                </c:pt>
                <c:pt idx="951">
                  <c:v>43584</c:v>
                </c:pt>
                <c:pt idx="952">
                  <c:v>43581</c:v>
                </c:pt>
                <c:pt idx="953">
                  <c:v>43580</c:v>
                </c:pt>
                <c:pt idx="954">
                  <c:v>43579</c:v>
                </c:pt>
                <c:pt idx="955">
                  <c:v>43578</c:v>
                </c:pt>
                <c:pt idx="956">
                  <c:v>43577</c:v>
                </c:pt>
                <c:pt idx="957">
                  <c:v>43574</c:v>
                </c:pt>
                <c:pt idx="958">
                  <c:v>43573</c:v>
                </c:pt>
                <c:pt idx="959">
                  <c:v>43572</c:v>
                </c:pt>
                <c:pt idx="960">
                  <c:v>43571</c:v>
                </c:pt>
                <c:pt idx="961">
                  <c:v>43570</c:v>
                </c:pt>
                <c:pt idx="962">
                  <c:v>43567</c:v>
                </c:pt>
                <c:pt idx="963">
                  <c:v>43566</c:v>
                </c:pt>
                <c:pt idx="964">
                  <c:v>43565</c:v>
                </c:pt>
                <c:pt idx="965">
                  <c:v>43564</c:v>
                </c:pt>
                <c:pt idx="966">
                  <c:v>43563</c:v>
                </c:pt>
                <c:pt idx="967">
                  <c:v>43560</c:v>
                </c:pt>
                <c:pt idx="968">
                  <c:v>43559</c:v>
                </c:pt>
                <c:pt idx="969">
                  <c:v>43558</c:v>
                </c:pt>
                <c:pt idx="970">
                  <c:v>43557</c:v>
                </c:pt>
                <c:pt idx="971">
                  <c:v>43556</c:v>
                </c:pt>
                <c:pt idx="972">
                  <c:v>43553</c:v>
                </c:pt>
                <c:pt idx="973">
                  <c:v>43552</c:v>
                </c:pt>
                <c:pt idx="974">
                  <c:v>43551</c:v>
                </c:pt>
                <c:pt idx="975">
                  <c:v>43550</c:v>
                </c:pt>
                <c:pt idx="976">
                  <c:v>43549</c:v>
                </c:pt>
                <c:pt idx="977">
                  <c:v>43546</c:v>
                </c:pt>
                <c:pt idx="978">
                  <c:v>43545</c:v>
                </c:pt>
                <c:pt idx="979">
                  <c:v>43544</c:v>
                </c:pt>
                <c:pt idx="980">
                  <c:v>43543</c:v>
                </c:pt>
                <c:pt idx="981">
                  <c:v>43542</c:v>
                </c:pt>
                <c:pt idx="982">
                  <c:v>43539</c:v>
                </c:pt>
                <c:pt idx="983">
                  <c:v>43538</c:v>
                </c:pt>
                <c:pt idx="984">
                  <c:v>43537</c:v>
                </c:pt>
                <c:pt idx="985">
                  <c:v>43536</c:v>
                </c:pt>
                <c:pt idx="986">
                  <c:v>43535</c:v>
                </c:pt>
                <c:pt idx="987">
                  <c:v>43532</c:v>
                </c:pt>
                <c:pt idx="988">
                  <c:v>43531</c:v>
                </c:pt>
                <c:pt idx="989">
                  <c:v>43530</c:v>
                </c:pt>
                <c:pt idx="990">
                  <c:v>43529</c:v>
                </c:pt>
                <c:pt idx="991">
                  <c:v>43528</c:v>
                </c:pt>
                <c:pt idx="992">
                  <c:v>43525</c:v>
                </c:pt>
                <c:pt idx="993">
                  <c:v>43524</c:v>
                </c:pt>
                <c:pt idx="994">
                  <c:v>43523</c:v>
                </c:pt>
                <c:pt idx="995">
                  <c:v>43522</c:v>
                </c:pt>
                <c:pt idx="996">
                  <c:v>43521</c:v>
                </c:pt>
                <c:pt idx="997">
                  <c:v>43518</c:v>
                </c:pt>
                <c:pt idx="998">
                  <c:v>43517</c:v>
                </c:pt>
                <c:pt idx="999">
                  <c:v>43516</c:v>
                </c:pt>
                <c:pt idx="1000">
                  <c:v>43515</c:v>
                </c:pt>
                <c:pt idx="1001">
                  <c:v>43514</c:v>
                </c:pt>
                <c:pt idx="1002">
                  <c:v>43511</c:v>
                </c:pt>
                <c:pt idx="1003">
                  <c:v>43510</c:v>
                </c:pt>
                <c:pt idx="1004">
                  <c:v>43509</c:v>
                </c:pt>
                <c:pt idx="1005">
                  <c:v>43508</c:v>
                </c:pt>
                <c:pt idx="1006">
                  <c:v>43507</c:v>
                </c:pt>
                <c:pt idx="1007">
                  <c:v>43504</c:v>
                </c:pt>
                <c:pt idx="1008">
                  <c:v>43503</c:v>
                </c:pt>
                <c:pt idx="1009">
                  <c:v>43502</c:v>
                </c:pt>
                <c:pt idx="1010">
                  <c:v>43501</c:v>
                </c:pt>
                <c:pt idx="1011">
                  <c:v>43500</c:v>
                </c:pt>
                <c:pt idx="1012">
                  <c:v>43497</c:v>
                </c:pt>
                <c:pt idx="1013">
                  <c:v>43496</c:v>
                </c:pt>
                <c:pt idx="1014">
                  <c:v>43495</c:v>
                </c:pt>
                <c:pt idx="1015">
                  <c:v>43494</c:v>
                </c:pt>
                <c:pt idx="1016">
                  <c:v>43493</c:v>
                </c:pt>
                <c:pt idx="1017">
                  <c:v>43490</c:v>
                </c:pt>
                <c:pt idx="1018">
                  <c:v>43489</c:v>
                </c:pt>
                <c:pt idx="1019">
                  <c:v>43488</c:v>
                </c:pt>
                <c:pt idx="1020">
                  <c:v>43487</c:v>
                </c:pt>
                <c:pt idx="1021">
                  <c:v>43486</c:v>
                </c:pt>
                <c:pt idx="1022">
                  <c:v>43483</c:v>
                </c:pt>
                <c:pt idx="1023">
                  <c:v>43482</c:v>
                </c:pt>
                <c:pt idx="1024">
                  <c:v>43481</c:v>
                </c:pt>
                <c:pt idx="1025">
                  <c:v>43480</c:v>
                </c:pt>
                <c:pt idx="1026">
                  <c:v>43479</c:v>
                </c:pt>
                <c:pt idx="1027">
                  <c:v>43476</c:v>
                </c:pt>
                <c:pt idx="1028">
                  <c:v>43475</c:v>
                </c:pt>
                <c:pt idx="1029">
                  <c:v>43474</c:v>
                </c:pt>
                <c:pt idx="1030">
                  <c:v>43473</c:v>
                </c:pt>
                <c:pt idx="1031">
                  <c:v>43472</c:v>
                </c:pt>
                <c:pt idx="1032">
                  <c:v>43469</c:v>
                </c:pt>
                <c:pt idx="1033">
                  <c:v>43468</c:v>
                </c:pt>
                <c:pt idx="1034">
                  <c:v>43467</c:v>
                </c:pt>
                <c:pt idx="1035">
                  <c:v>43465</c:v>
                </c:pt>
                <c:pt idx="1036">
                  <c:v>43462</c:v>
                </c:pt>
                <c:pt idx="1037">
                  <c:v>43461</c:v>
                </c:pt>
                <c:pt idx="1038">
                  <c:v>43460</c:v>
                </c:pt>
                <c:pt idx="1039">
                  <c:v>43458</c:v>
                </c:pt>
                <c:pt idx="1040">
                  <c:v>43455</c:v>
                </c:pt>
                <c:pt idx="1041">
                  <c:v>43454</c:v>
                </c:pt>
                <c:pt idx="1042">
                  <c:v>43453</c:v>
                </c:pt>
                <c:pt idx="1043">
                  <c:v>43452</c:v>
                </c:pt>
                <c:pt idx="1044">
                  <c:v>43451</c:v>
                </c:pt>
                <c:pt idx="1045">
                  <c:v>43448</c:v>
                </c:pt>
                <c:pt idx="1046">
                  <c:v>43447</c:v>
                </c:pt>
                <c:pt idx="1047">
                  <c:v>43446</c:v>
                </c:pt>
                <c:pt idx="1048">
                  <c:v>43445</c:v>
                </c:pt>
                <c:pt idx="1049">
                  <c:v>43444</c:v>
                </c:pt>
                <c:pt idx="1050">
                  <c:v>43441</c:v>
                </c:pt>
                <c:pt idx="1051">
                  <c:v>43440</c:v>
                </c:pt>
                <c:pt idx="1052">
                  <c:v>43439</c:v>
                </c:pt>
                <c:pt idx="1053">
                  <c:v>43438</c:v>
                </c:pt>
                <c:pt idx="1054">
                  <c:v>43437</c:v>
                </c:pt>
                <c:pt idx="1055">
                  <c:v>43434</c:v>
                </c:pt>
                <c:pt idx="1056">
                  <c:v>43433</c:v>
                </c:pt>
                <c:pt idx="1057">
                  <c:v>43432</c:v>
                </c:pt>
                <c:pt idx="1058">
                  <c:v>43431</c:v>
                </c:pt>
                <c:pt idx="1059">
                  <c:v>43430</c:v>
                </c:pt>
                <c:pt idx="1060">
                  <c:v>43427</c:v>
                </c:pt>
                <c:pt idx="1061">
                  <c:v>43426</c:v>
                </c:pt>
                <c:pt idx="1062">
                  <c:v>43425</c:v>
                </c:pt>
                <c:pt idx="1063">
                  <c:v>43424</c:v>
                </c:pt>
                <c:pt idx="1064">
                  <c:v>43423</c:v>
                </c:pt>
                <c:pt idx="1065">
                  <c:v>43420</c:v>
                </c:pt>
                <c:pt idx="1066">
                  <c:v>43419</c:v>
                </c:pt>
                <c:pt idx="1067">
                  <c:v>43418</c:v>
                </c:pt>
                <c:pt idx="1068">
                  <c:v>43417</c:v>
                </c:pt>
                <c:pt idx="1069">
                  <c:v>43416</c:v>
                </c:pt>
                <c:pt idx="1070">
                  <c:v>43413</c:v>
                </c:pt>
                <c:pt idx="1071">
                  <c:v>43412</c:v>
                </c:pt>
                <c:pt idx="1072">
                  <c:v>43411</c:v>
                </c:pt>
                <c:pt idx="1073">
                  <c:v>43410</c:v>
                </c:pt>
                <c:pt idx="1074">
                  <c:v>43409</c:v>
                </c:pt>
                <c:pt idx="1075">
                  <c:v>43406</c:v>
                </c:pt>
                <c:pt idx="1076">
                  <c:v>43405</c:v>
                </c:pt>
                <c:pt idx="1077">
                  <c:v>43404</c:v>
                </c:pt>
                <c:pt idx="1078">
                  <c:v>43403</c:v>
                </c:pt>
                <c:pt idx="1079">
                  <c:v>43402</c:v>
                </c:pt>
                <c:pt idx="1080">
                  <c:v>43399</c:v>
                </c:pt>
                <c:pt idx="1081">
                  <c:v>43398</c:v>
                </c:pt>
                <c:pt idx="1082">
                  <c:v>43397</c:v>
                </c:pt>
                <c:pt idx="1083">
                  <c:v>43396</c:v>
                </c:pt>
                <c:pt idx="1084">
                  <c:v>43395</c:v>
                </c:pt>
                <c:pt idx="1085">
                  <c:v>43392</c:v>
                </c:pt>
                <c:pt idx="1086">
                  <c:v>43391</c:v>
                </c:pt>
                <c:pt idx="1087">
                  <c:v>43390</c:v>
                </c:pt>
                <c:pt idx="1088">
                  <c:v>43389</c:v>
                </c:pt>
                <c:pt idx="1089">
                  <c:v>43388</c:v>
                </c:pt>
                <c:pt idx="1090">
                  <c:v>43385</c:v>
                </c:pt>
                <c:pt idx="1091">
                  <c:v>43384</c:v>
                </c:pt>
                <c:pt idx="1092">
                  <c:v>43383</c:v>
                </c:pt>
                <c:pt idx="1093">
                  <c:v>43382</c:v>
                </c:pt>
                <c:pt idx="1094">
                  <c:v>43381</c:v>
                </c:pt>
                <c:pt idx="1095">
                  <c:v>43378</c:v>
                </c:pt>
                <c:pt idx="1096">
                  <c:v>43377</c:v>
                </c:pt>
                <c:pt idx="1097">
                  <c:v>43376</c:v>
                </c:pt>
                <c:pt idx="1098">
                  <c:v>43375</c:v>
                </c:pt>
                <c:pt idx="1099">
                  <c:v>43374</c:v>
                </c:pt>
                <c:pt idx="1100">
                  <c:v>43371</c:v>
                </c:pt>
                <c:pt idx="1101">
                  <c:v>43370</c:v>
                </c:pt>
                <c:pt idx="1102">
                  <c:v>43369</c:v>
                </c:pt>
                <c:pt idx="1103">
                  <c:v>43368</c:v>
                </c:pt>
                <c:pt idx="1104">
                  <c:v>43367</c:v>
                </c:pt>
                <c:pt idx="1105">
                  <c:v>43364</c:v>
                </c:pt>
                <c:pt idx="1106">
                  <c:v>43363</c:v>
                </c:pt>
                <c:pt idx="1107">
                  <c:v>43362</c:v>
                </c:pt>
                <c:pt idx="1108">
                  <c:v>43361</c:v>
                </c:pt>
                <c:pt idx="1109">
                  <c:v>43360</c:v>
                </c:pt>
                <c:pt idx="1110">
                  <c:v>43357</c:v>
                </c:pt>
                <c:pt idx="1111">
                  <c:v>43356</c:v>
                </c:pt>
                <c:pt idx="1112">
                  <c:v>43355</c:v>
                </c:pt>
                <c:pt idx="1113">
                  <c:v>43354</c:v>
                </c:pt>
                <c:pt idx="1114">
                  <c:v>43353</c:v>
                </c:pt>
                <c:pt idx="1115">
                  <c:v>43350</c:v>
                </c:pt>
                <c:pt idx="1116">
                  <c:v>43349</c:v>
                </c:pt>
                <c:pt idx="1117">
                  <c:v>43348</c:v>
                </c:pt>
                <c:pt idx="1118">
                  <c:v>43347</c:v>
                </c:pt>
                <c:pt idx="1119">
                  <c:v>43346</c:v>
                </c:pt>
                <c:pt idx="1120">
                  <c:v>43343</c:v>
                </c:pt>
                <c:pt idx="1121">
                  <c:v>43342</c:v>
                </c:pt>
                <c:pt idx="1122">
                  <c:v>43341</c:v>
                </c:pt>
                <c:pt idx="1123">
                  <c:v>43340</c:v>
                </c:pt>
                <c:pt idx="1124">
                  <c:v>43339</c:v>
                </c:pt>
                <c:pt idx="1125">
                  <c:v>43336</c:v>
                </c:pt>
                <c:pt idx="1126">
                  <c:v>43335</c:v>
                </c:pt>
                <c:pt idx="1127">
                  <c:v>43334</c:v>
                </c:pt>
                <c:pt idx="1128">
                  <c:v>43333</c:v>
                </c:pt>
                <c:pt idx="1129">
                  <c:v>43332</c:v>
                </c:pt>
                <c:pt idx="1130">
                  <c:v>43329</c:v>
                </c:pt>
                <c:pt idx="1131">
                  <c:v>43328</c:v>
                </c:pt>
                <c:pt idx="1132">
                  <c:v>43327</c:v>
                </c:pt>
                <c:pt idx="1133">
                  <c:v>43326</c:v>
                </c:pt>
                <c:pt idx="1134">
                  <c:v>43325</c:v>
                </c:pt>
                <c:pt idx="1135">
                  <c:v>43322</c:v>
                </c:pt>
                <c:pt idx="1136">
                  <c:v>43321</c:v>
                </c:pt>
                <c:pt idx="1137">
                  <c:v>43320</c:v>
                </c:pt>
                <c:pt idx="1138">
                  <c:v>43319</c:v>
                </c:pt>
                <c:pt idx="1139">
                  <c:v>43318</c:v>
                </c:pt>
                <c:pt idx="1140">
                  <c:v>43315</c:v>
                </c:pt>
                <c:pt idx="1141">
                  <c:v>43314</c:v>
                </c:pt>
                <c:pt idx="1142">
                  <c:v>43313</c:v>
                </c:pt>
                <c:pt idx="1143">
                  <c:v>43312</c:v>
                </c:pt>
                <c:pt idx="1144">
                  <c:v>43311</c:v>
                </c:pt>
                <c:pt idx="1145">
                  <c:v>43308</c:v>
                </c:pt>
                <c:pt idx="1146">
                  <c:v>43307</c:v>
                </c:pt>
                <c:pt idx="1147">
                  <c:v>43306</c:v>
                </c:pt>
                <c:pt idx="1148">
                  <c:v>43305</c:v>
                </c:pt>
                <c:pt idx="1149">
                  <c:v>43304</c:v>
                </c:pt>
                <c:pt idx="1150">
                  <c:v>43301</c:v>
                </c:pt>
                <c:pt idx="1151">
                  <c:v>43300</c:v>
                </c:pt>
                <c:pt idx="1152">
                  <c:v>43299</c:v>
                </c:pt>
                <c:pt idx="1153">
                  <c:v>43298</c:v>
                </c:pt>
                <c:pt idx="1154">
                  <c:v>43297</c:v>
                </c:pt>
                <c:pt idx="1155">
                  <c:v>43294</c:v>
                </c:pt>
                <c:pt idx="1156">
                  <c:v>43293</c:v>
                </c:pt>
                <c:pt idx="1157">
                  <c:v>43292</c:v>
                </c:pt>
                <c:pt idx="1158">
                  <c:v>43291</c:v>
                </c:pt>
                <c:pt idx="1159">
                  <c:v>43290</c:v>
                </c:pt>
                <c:pt idx="1160">
                  <c:v>43287</c:v>
                </c:pt>
                <c:pt idx="1161">
                  <c:v>43286</c:v>
                </c:pt>
                <c:pt idx="1162">
                  <c:v>43285</c:v>
                </c:pt>
                <c:pt idx="1163">
                  <c:v>43284</c:v>
                </c:pt>
                <c:pt idx="1164">
                  <c:v>43283</c:v>
                </c:pt>
                <c:pt idx="1165">
                  <c:v>43280</c:v>
                </c:pt>
                <c:pt idx="1166">
                  <c:v>43279</c:v>
                </c:pt>
                <c:pt idx="1167">
                  <c:v>43278</c:v>
                </c:pt>
                <c:pt idx="1168">
                  <c:v>43277</c:v>
                </c:pt>
                <c:pt idx="1169">
                  <c:v>43276</c:v>
                </c:pt>
                <c:pt idx="1170">
                  <c:v>43273</c:v>
                </c:pt>
                <c:pt idx="1171">
                  <c:v>43272</c:v>
                </c:pt>
                <c:pt idx="1172">
                  <c:v>43271</c:v>
                </c:pt>
                <c:pt idx="1173">
                  <c:v>43270</c:v>
                </c:pt>
                <c:pt idx="1174">
                  <c:v>43269</c:v>
                </c:pt>
                <c:pt idx="1175">
                  <c:v>43266</c:v>
                </c:pt>
                <c:pt idx="1176">
                  <c:v>43265</c:v>
                </c:pt>
                <c:pt idx="1177">
                  <c:v>43264</c:v>
                </c:pt>
                <c:pt idx="1178">
                  <c:v>43263</c:v>
                </c:pt>
                <c:pt idx="1179">
                  <c:v>43262</c:v>
                </c:pt>
                <c:pt idx="1180">
                  <c:v>43259</c:v>
                </c:pt>
                <c:pt idx="1181">
                  <c:v>43258</c:v>
                </c:pt>
                <c:pt idx="1182">
                  <c:v>43257</c:v>
                </c:pt>
                <c:pt idx="1183">
                  <c:v>43256</c:v>
                </c:pt>
                <c:pt idx="1184">
                  <c:v>43255</c:v>
                </c:pt>
                <c:pt idx="1185">
                  <c:v>43252</c:v>
                </c:pt>
                <c:pt idx="1186">
                  <c:v>43251</c:v>
                </c:pt>
                <c:pt idx="1187">
                  <c:v>43250</c:v>
                </c:pt>
                <c:pt idx="1188">
                  <c:v>43249</c:v>
                </c:pt>
                <c:pt idx="1189">
                  <c:v>43248</c:v>
                </c:pt>
                <c:pt idx="1190">
                  <c:v>43245</c:v>
                </c:pt>
                <c:pt idx="1191">
                  <c:v>43244</c:v>
                </c:pt>
                <c:pt idx="1192">
                  <c:v>43243</c:v>
                </c:pt>
                <c:pt idx="1193">
                  <c:v>43242</c:v>
                </c:pt>
                <c:pt idx="1194">
                  <c:v>43241</c:v>
                </c:pt>
                <c:pt idx="1195">
                  <c:v>43238</c:v>
                </c:pt>
                <c:pt idx="1196">
                  <c:v>43237</c:v>
                </c:pt>
                <c:pt idx="1197">
                  <c:v>43236</c:v>
                </c:pt>
                <c:pt idx="1198">
                  <c:v>43235</c:v>
                </c:pt>
                <c:pt idx="1199">
                  <c:v>43234</c:v>
                </c:pt>
                <c:pt idx="1200">
                  <c:v>43231</c:v>
                </c:pt>
                <c:pt idx="1201">
                  <c:v>43230</c:v>
                </c:pt>
                <c:pt idx="1202">
                  <c:v>43229</c:v>
                </c:pt>
                <c:pt idx="1203">
                  <c:v>43228</c:v>
                </c:pt>
                <c:pt idx="1204">
                  <c:v>43227</c:v>
                </c:pt>
                <c:pt idx="1205">
                  <c:v>43224</c:v>
                </c:pt>
                <c:pt idx="1206">
                  <c:v>43223</c:v>
                </c:pt>
                <c:pt idx="1207">
                  <c:v>43222</c:v>
                </c:pt>
                <c:pt idx="1208">
                  <c:v>43221</c:v>
                </c:pt>
                <c:pt idx="1209">
                  <c:v>43220</c:v>
                </c:pt>
                <c:pt idx="1210">
                  <c:v>43217</c:v>
                </c:pt>
                <c:pt idx="1211">
                  <c:v>43216</c:v>
                </c:pt>
                <c:pt idx="1212">
                  <c:v>43215</c:v>
                </c:pt>
                <c:pt idx="1213">
                  <c:v>43214</c:v>
                </c:pt>
                <c:pt idx="1214">
                  <c:v>43213</c:v>
                </c:pt>
                <c:pt idx="1215">
                  <c:v>43210</c:v>
                </c:pt>
                <c:pt idx="1216">
                  <c:v>43209</c:v>
                </c:pt>
                <c:pt idx="1217">
                  <c:v>43208</c:v>
                </c:pt>
                <c:pt idx="1218">
                  <c:v>43207</c:v>
                </c:pt>
                <c:pt idx="1219">
                  <c:v>43206</c:v>
                </c:pt>
                <c:pt idx="1220">
                  <c:v>43203</c:v>
                </c:pt>
                <c:pt idx="1221">
                  <c:v>43202</c:v>
                </c:pt>
                <c:pt idx="1222">
                  <c:v>43201</c:v>
                </c:pt>
                <c:pt idx="1223">
                  <c:v>43200</c:v>
                </c:pt>
                <c:pt idx="1224">
                  <c:v>43199</c:v>
                </c:pt>
                <c:pt idx="1225">
                  <c:v>43196</c:v>
                </c:pt>
                <c:pt idx="1226">
                  <c:v>43195</c:v>
                </c:pt>
                <c:pt idx="1227">
                  <c:v>43194</c:v>
                </c:pt>
                <c:pt idx="1228">
                  <c:v>43193</c:v>
                </c:pt>
                <c:pt idx="1229">
                  <c:v>43192</c:v>
                </c:pt>
                <c:pt idx="1230">
                  <c:v>43188</c:v>
                </c:pt>
                <c:pt idx="1231">
                  <c:v>43187</c:v>
                </c:pt>
                <c:pt idx="1232">
                  <c:v>43186</c:v>
                </c:pt>
                <c:pt idx="1233">
                  <c:v>43185</c:v>
                </c:pt>
                <c:pt idx="1234">
                  <c:v>43182</c:v>
                </c:pt>
                <c:pt idx="1235">
                  <c:v>43181</c:v>
                </c:pt>
                <c:pt idx="1236">
                  <c:v>43180</c:v>
                </c:pt>
                <c:pt idx="1237">
                  <c:v>43179</c:v>
                </c:pt>
                <c:pt idx="1238">
                  <c:v>43178</c:v>
                </c:pt>
                <c:pt idx="1239">
                  <c:v>43175</c:v>
                </c:pt>
                <c:pt idx="1240">
                  <c:v>43174</c:v>
                </c:pt>
                <c:pt idx="1241">
                  <c:v>43173</c:v>
                </c:pt>
                <c:pt idx="1242">
                  <c:v>43172</c:v>
                </c:pt>
                <c:pt idx="1243">
                  <c:v>43171</c:v>
                </c:pt>
                <c:pt idx="1244">
                  <c:v>43168</c:v>
                </c:pt>
                <c:pt idx="1245">
                  <c:v>43167</c:v>
                </c:pt>
                <c:pt idx="1246">
                  <c:v>43166</c:v>
                </c:pt>
                <c:pt idx="1247">
                  <c:v>43165</c:v>
                </c:pt>
                <c:pt idx="1248">
                  <c:v>43164</c:v>
                </c:pt>
                <c:pt idx="1249">
                  <c:v>43161</c:v>
                </c:pt>
                <c:pt idx="1250">
                  <c:v>43160</c:v>
                </c:pt>
                <c:pt idx="1251">
                  <c:v>43159</c:v>
                </c:pt>
                <c:pt idx="1252">
                  <c:v>43158</c:v>
                </c:pt>
                <c:pt idx="1253">
                  <c:v>43157</c:v>
                </c:pt>
                <c:pt idx="1254">
                  <c:v>43154</c:v>
                </c:pt>
                <c:pt idx="1255">
                  <c:v>43153</c:v>
                </c:pt>
                <c:pt idx="1256">
                  <c:v>43152</c:v>
                </c:pt>
                <c:pt idx="1257">
                  <c:v>43151</c:v>
                </c:pt>
                <c:pt idx="1258">
                  <c:v>43147</c:v>
                </c:pt>
                <c:pt idx="1259">
                  <c:v>43146</c:v>
                </c:pt>
                <c:pt idx="1260">
                  <c:v>43145</c:v>
                </c:pt>
                <c:pt idx="1261">
                  <c:v>43144</c:v>
                </c:pt>
                <c:pt idx="1262">
                  <c:v>43143</c:v>
                </c:pt>
                <c:pt idx="1263">
                  <c:v>43140</c:v>
                </c:pt>
                <c:pt idx="1264">
                  <c:v>43139</c:v>
                </c:pt>
                <c:pt idx="1265">
                  <c:v>43138</c:v>
                </c:pt>
                <c:pt idx="1266">
                  <c:v>43137</c:v>
                </c:pt>
                <c:pt idx="1267">
                  <c:v>43136</c:v>
                </c:pt>
                <c:pt idx="1268">
                  <c:v>43133</c:v>
                </c:pt>
                <c:pt idx="1269">
                  <c:v>43132</c:v>
                </c:pt>
                <c:pt idx="1270">
                  <c:v>43131</c:v>
                </c:pt>
                <c:pt idx="1271">
                  <c:v>43130</c:v>
                </c:pt>
                <c:pt idx="1272">
                  <c:v>43129</c:v>
                </c:pt>
                <c:pt idx="1273">
                  <c:v>43126</c:v>
                </c:pt>
                <c:pt idx="1274">
                  <c:v>43125</c:v>
                </c:pt>
                <c:pt idx="1275">
                  <c:v>43124</c:v>
                </c:pt>
                <c:pt idx="1276">
                  <c:v>43123</c:v>
                </c:pt>
                <c:pt idx="1277">
                  <c:v>43122</c:v>
                </c:pt>
                <c:pt idx="1278">
                  <c:v>43119</c:v>
                </c:pt>
                <c:pt idx="1279">
                  <c:v>43118</c:v>
                </c:pt>
                <c:pt idx="1280">
                  <c:v>43117</c:v>
                </c:pt>
                <c:pt idx="1281">
                  <c:v>43116</c:v>
                </c:pt>
                <c:pt idx="1282">
                  <c:v>43115</c:v>
                </c:pt>
                <c:pt idx="1283">
                  <c:v>43112</c:v>
                </c:pt>
                <c:pt idx="1284">
                  <c:v>43111</c:v>
                </c:pt>
                <c:pt idx="1285">
                  <c:v>43110</c:v>
                </c:pt>
                <c:pt idx="1286">
                  <c:v>43109</c:v>
                </c:pt>
                <c:pt idx="1287">
                  <c:v>43108</c:v>
                </c:pt>
                <c:pt idx="1288">
                  <c:v>43105</c:v>
                </c:pt>
                <c:pt idx="1289">
                  <c:v>43104</c:v>
                </c:pt>
                <c:pt idx="1290">
                  <c:v>43103</c:v>
                </c:pt>
                <c:pt idx="1291">
                  <c:v>43102</c:v>
                </c:pt>
                <c:pt idx="1292">
                  <c:v>43098</c:v>
                </c:pt>
                <c:pt idx="1293">
                  <c:v>43097</c:v>
                </c:pt>
                <c:pt idx="1294">
                  <c:v>43096</c:v>
                </c:pt>
                <c:pt idx="1295">
                  <c:v>43095</c:v>
                </c:pt>
                <c:pt idx="1296">
                  <c:v>43091</c:v>
                </c:pt>
                <c:pt idx="1297">
                  <c:v>43090</c:v>
                </c:pt>
                <c:pt idx="1298">
                  <c:v>43089</c:v>
                </c:pt>
                <c:pt idx="1299">
                  <c:v>43088</c:v>
                </c:pt>
                <c:pt idx="1300">
                  <c:v>43087</c:v>
                </c:pt>
                <c:pt idx="1301">
                  <c:v>43084</c:v>
                </c:pt>
                <c:pt idx="1302">
                  <c:v>43083</c:v>
                </c:pt>
                <c:pt idx="1303">
                  <c:v>43082</c:v>
                </c:pt>
                <c:pt idx="1304">
                  <c:v>43081</c:v>
                </c:pt>
                <c:pt idx="1305">
                  <c:v>43080</c:v>
                </c:pt>
                <c:pt idx="1306">
                  <c:v>43077</c:v>
                </c:pt>
                <c:pt idx="1307">
                  <c:v>43076</c:v>
                </c:pt>
                <c:pt idx="1308">
                  <c:v>43075</c:v>
                </c:pt>
                <c:pt idx="1309">
                  <c:v>43074</c:v>
                </c:pt>
                <c:pt idx="1310">
                  <c:v>43073</c:v>
                </c:pt>
                <c:pt idx="1311">
                  <c:v>43070</c:v>
                </c:pt>
                <c:pt idx="1312">
                  <c:v>43069</c:v>
                </c:pt>
                <c:pt idx="1313">
                  <c:v>43068</c:v>
                </c:pt>
                <c:pt idx="1314">
                  <c:v>43067</c:v>
                </c:pt>
                <c:pt idx="1315">
                  <c:v>43066</c:v>
                </c:pt>
                <c:pt idx="1316">
                  <c:v>43063</c:v>
                </c:pt>
                <c:pt idx="1317">
                  <c:v>43062</c:v>
                </c:pt>
                <c:pt idx="1318">
                  <c:v>43061</c:v>
                </c:pt>
                <c:pt idx="1319">
                  <c:v>43060</c:v>
                </c:pt>
                <c:pt idx="1320">
                  <c:v>43059</c:v>
                </c:pt>
                <c:pt idx="1321">
                  <c:v>43056</c:v>
                </c:pt>
                <c:pt idx="1322">
                  <c:v>43055</c:v>
                </c:pt>
                <c:pt idx="1323">
                  <c:v>43054</c:v>
                </c:pt>
                <c:pt idx="1324">
                  <c:v>43053</c:v>
                </c:pt>
                <c:pt idx="1325">
                  <c:v>43052</c:v>
                </c:pt>
                <c:pt idx="1326">
                  <c:v>43049</c:v>
                </c:pt>
                <c:pt idx="1327">
                  <c:v>43048</c:v>
                </c:pt>
                <c:pt idx="1328">
                  <c:v>43047</c:v>
                </c:pt>
                <c:pt idx="1329">
                  <c:v>43046</c:v>
                </c:pt>
                <c:pt idx="1330">
                  <c:v>43045</c:v>
                </c:pt>
                <c:pt idx="1331">
                  <c:v>43042</c:v>
                </c:pt>
                <c:pt idx="1332">
                  <c:v>43041</c:v>
                </c:pt>
                <c:pt idx="1333">
                  <c:v>43040</c:v>
                </c:pt>
                <c:pt idx="1334">
                  <c:v>43039</c:v>
                </c:pt>
                <c:pt idx="1335">
                  <c:v>43038</c:v>
                </c:pt>
                <c:pt idx="1336">
                  <c:v>43035</c:v>
                </c:pt>
                <c:pt idx="1337">
                  <c:v>43034</c:v>
                </c:pt>
                <c:pt idx="1338">
                  <c:v>43033</c:v>
                </c:pt>
                <c:pt idx="1339">
                  <c:v>43032</c:v>
                </c:pt>
                <c:pt idx="1340">
                  <c:v>43031</c:v>
                </c:pt>
                <c:pt idx="1341">
                  <c:v>43028</c:v>
                </c:pt>
                <c:pt idx="1342">
                  <c:v>43027</c:v>
                </c:pt>
                <c:pt idx="1343">
                  <c:v>43026</c:v>
                </c:pt>
                <c:pt idx="1344">
                  <c:v>43025</c:v>
                </c:pt>
                <c:pt idx="1345">
                  <c:v>43024</c:v>
                </c:pt>
                <c:pt idx="1346">
                  <c:v>43021</c:v>
                </c:pt>
                <c:pt idx="1347">
                  <c:v>43020</c:v>
                </c:pt>
                <c:pt idx="1348">
                  <c:v>43019</c:v>
                </c:pt>
                <c:pt idx="1349">
                  <c:v>43018</c:v>
                </c:pt>
                <c:pt idx="1350">
                  <c:v>43017</c:v>
                </c:pt>
                <c:pt idx="1351">
                  <c:v>43014</c:v>
                </c:pt>
                <c:pt idx="1352">
                  <c:v>43013</c:v>
                </c:pt>
                <c:pt idx="1353">
                  <c:v>43012</c:v>
                </c:pt>
                <c:pt idx="1354">
                  <c:v>43011</c:v>
                </c:pt>
                <c:pt idx="1355">
                  <c:v>43010</c:v>
                </c:pt>
                <c:pt idx="1356">
                  <c:v>43007</c:v>
                </c:pt>
                <c:pt idx="1357">
                  <c:v>43006</c:v>
                </c:pt>
                <c:pt idx="1358">
                  <c:v>43005</c:v>
                </c:pt>
                <c:pt idx="1359">
                  <c:v>43004</c:v>
                </c:pt>
                <c:pt idx="1360">
                  <c:v>43003</c:v>
                </c:pt>
                <c:pt idx="1361">
                  <c:v>43000</c:v>
                </c:pt>
                <c:pt idx="1362">
                  <c:v>42999</c:v>
                </c:pt>
                <c:pt idx="1363">
                  <c:v>42998</c:v>
                </c:pt>
                <c:pt idx="1364">
                  <c:v>42997</c:v>
                </c:pt>
                <c:pt idx="1365">
                  <c:v>42996</c:v>
                </c:pt>
                <c:pt idx="1366">
                  <c:v>42993</c:v>
                </c:pt>
                <c:pt idx="1367">
                  <c:v>42992</c:v>
                </c:pt>
                <c:pt idx="1368">
                  <c:v>42991</c:v>
                </c:pt>
                <c:pt idx="1369">
                  <c:v>42990</c:v>
                </c:pt>
                <c:pt idx="1370">
                  <c:v>42989</c:v>
                </c:pt>
                <c:pt idx="1371">
                  <c:v>42986</c:v>
                </c:pt>
                <c:pt idx="1372">
                  <c:v>42985</c:v>
                </c:pt>
                <c:pt idx="1373">
                  <c:v>42984</c:v>
                </c:pt>
                <c:pt idx="1374">
                  <c:v>42983</c:v>
                </c:pt>
                <c:pt idx="1375">
                  <c:v>42982</c:v>
                </c:pt>
                <c:pt idx="1376">
                  <c:v>42979</c:v>
                </c:pt>
                <c:pt idx="1377">
                  <c:v>42978</c:v>
                </c:pt>
                <c:pt idx="1378">
                  <c:v>42977</c:v>
                </c:pt>
                <c:pt idx="1379">
                  <c:v>42976</c:v>
                </c:pt>
                <c:pt idx="1380">
                  <c:v>42975</c:v>
                </c:pt>
                <c:pt idx="1381">
                  <c:v>42972</c:v>
                </c:pt>
                <c:pt idx="1382">
                  <c:v>42971</c:v>
                </c:pt>
                <c:pt idx="1383">
                  <c:v>42970</c:v>
                </c:pt>
                <c:pt idx="1384">
                  <c:v>42969</c:v>
                </c:pt>
                <c:pt idx="1385">
                  <c:v>42968</c:v>
                </c:pt>
                <c:pt idx="1386">
                  <c:v>42965</c:v>
                </c:pt>
                <c:pt idx="1387">
                  <c:v>42964</c:v>
                </c:pt>
                <c:pt idx="1388">
                  <c:v>42963</c:v>
                </c:pt>
                <c:pt idx="1389">
                  <c:v>42962</c:v>
                </c:pt>
                <c:pt idx="1390">
                  <c:v>42961</c:v>
                </c:pt>
                <c:pt idx="1391">
                  <c:v>42958</c:v>
                </c:pt>
                <c:pt idx="1392">
                  <c:v>42957</c:v>
                </c:pt>
                <c:pt idx="1393">
                  <c:v>42956</c:v>
                </c:pt>
                <c:pt idx="1394">
                  <c:v>42955</c:v>
                </c:pt>
                <c:pt idx="1395">
                  <c:v>42954</c:v>
                </c:pt>
                <c:pt idx="1396">
                  <c:v>42951</c:v>
                </c:pt>
                <c:pt idx="1397">
                  <c:v>42950</c:v>
                </c:pt>
                <c:pt idx="1398">
                  <c:v>42949</c:v>
                </c:pt>
                <c:pt idx="1399">
                  <c:v>42948</c:v>
                </c:pt>
                <c:pt idx="1400">
                  <c:v>42947</c:v>
                </c:pt>
                <c:pt idx="1401">
                  <c:v>42944</c:v>
                </c:pt>
                <c:pt idx="1402">
                  <c:v>42943</c:v>
                </c:pt>
                <c:pt idx="1403">
                  <c:v>42942</c:v>
                </c:pt>
                <c:pt idx="1404">
                  <c:v>42941</c:v>
                </c:pt>
                <c:pt idx="1405">
                  <c:v>42940</c:v>
                </c:pt>
                <c:pt idx="1406">
                  <c:v>42937</c:v>
                </c:pt>
                <c:pt idx="1407">
                  <c:v>42936</c:v>
                </c:pt>
                <c:pt idx="1408">
                  <c:v>42935</c:v>
                </c:pt>
                <c:pt idx="1409">
                  <c:v>42934</c:v>
                </c:pt>
                <c:pt idx="1410">
                  <c:v>42933</c:v>
                </c:pt>
                <c:pt idx="1411">
                  <c:v>42930</c:v>
                </c:pt>
                <c:pt idx="1412">
                  <c:v>42929</c:v>
                </c:pt>
                <c:pt idx="1413">
                  <c:v>42928</c:v>
                </c:pt>
                <c:pt idx="1414">
                  <c:v>42927</c:v>
                </c:pt>
                <c:pt idx="1415">
                  <c:v>42926</c:v>
                </c:pt>
                <c:pt idx="1416">
                  <c:v>42923</c:v>
                </c:pt>
                <c:pt idx="1417">
                  <c:v>42922</c:v>
                </c:pt>
                <c:pt idx="1418">
                  <c:v>42921</c:v>
                </c:pt>
                <c:pt idx="1419">
                  <c:v>42919</c:v>
                </c:pt>
                <c:pt idx="1420">
                  <c:v>42916</c:v>
                </c:pt>
                <c:pt idx="1421">
                  <c:v>42915</c:v>
                </c:pt>
                <c:pt idx="1422">
                  <c:v>42914</c:v>
                </c:pt>
                <c:pt idx="1423">
                  <c:v>42913</c:v>
                </c:pt>
                <c:pt idx="1424">
                  <c:v>42912</c:v>
                </c:pt>
                <c:pt idx="1425">
                  <c:v>42909</c:v>
                </c:pt>
                <c:pt idx="1426">
                  <c:v>42908</c:v>
                </c:pt>
                <c:pt idx="1427">
                  <c:v>42907</c:v>
                </c:pt>
                <c:pt idx="1428">
                  <c:v>42906</c:v>
                </c:pt>
                <c:pt idx="1429">
                  <c:v>42905</c:v>
                </c:pt>
                <c:pt idx="1430">
                  <c:v>42902</c:v>
                </c:pt>
                <c:pt idx="1431">
                  <c:v>42901</c:v>
                </c:pt>
                <c:pt idx="1432">
                  <c:v>42900</c:v>
                </c:pt>
                <c:pt idx="1433">
                  <c:v>42899</c:v>
                </c:pt>
                <c:pt idx="1434">
                  <c:v>42898</c:v>
                </c:pt>
                <c:pt idx="1435">
                  <c:v>42895</c:v>
                </c:pt>
                <c:pt idx="1436">
                  <c:v>42894</c:v>
                </c:pt>
                <c:pt idx="1437">
                  <c:v>42893</c:v>
                </c:pt>
                <c:pt idx="1438">
                  <c:v>42892</c:v>
                </c:pt>
                <c:pt idx="1439">
                  <c:v>42891</c:v>
                </c:pt>
                <c:pt idx="1440">
                  <c:v>42888</c:v>
                </c:pt>
                <c:pt idx="1441">
                  <c:v>42887</c:v>
                </c:pt>
                <c:pt idx="1442">
                  <c:v>42886</c:v>
                </c:pt>
                <c:pt idx="1443">
                  <c:v>42885</c:v>
                </c:pt>
                <c:pt idx="1444">
                  <c:v>42884</c:v>
                </c:pt>
                <c:pt idx="1445">
                  <c:v>42881</c:v>
                </c:pt>
                <c:pt idx="1446">
                  <c:v>42880</c:v>
                </c:pt>
                <c:pt idx="1447">
                  <c:v>42879</c:v>
                </c:pt>
                <c:pt idx="1448">
                  <c:v>42878</c:v>
                </c:pt>
                <c:pt idx="1449">
                  <c:v>42877</c:v>
                </c:pt>
                <c:pt idx="1450">
                  <c:v>42874</c:v>
                </c:pt>
                <c:pt idx="1451">
                  <c:v>42873</c:v>
                </c:pt>
                <c:pt idx="1452">
                  <c:v>42872</c:v>
                </c:pt>
                <c:pt idx="1453">
                  <c:v>42871</c:v>
                </c:pt>
                <c:pt idx="1454">
                  <c:v>42870</c:v>
                </c:pt>
                <c:pt idx="1455">
                  <c:v>42867</c:v>
                </c:pt>
                <c:pt idx="1456">
                  <c:v>42866</c:v>
                </c:pt>
                <c:pt idx="1457">
                  <c:v>42865</c:v>
                </c:pt>
                <c:pt idx="1458">
                  <c:v>42864</c:v>
                </c:pt>
                <c:pt idx="1459">
                  <c:v>42863</c:v>
                </c:pt>
                <c:pt idx="1460">
                  <c:v>42860</c:v>
                </c:pt>
                <c:pt idx="1461">
                  <c:v>42859</c:v>
                </c:pt>
                <c:pt idx="1462">
                  <c:v>42858</c:v>
                </c:pt>
                <c:pt idx="1463">
                  <c:v>42857</c:v>
                </c:pt>
                <c:pt idx="1464">
                  <c:v>42856</c:v>
                </c:pt>
                <c:pt idx="1465">
                  <c:v>42853</c:v>
                </c:pt>
                <c:pt idx="1466">
                  <c:v>42852</c:v>
                </c:pt>
                <c:pt idx="1467">
                  <c:v>42851</c:v>
                </c:pt>
                <c:pt idx="1468">
                  <c:v>42850</c:v>
                </c:pt>
                <c:pt idx="1469">
                  <c:v>42849</c:v>
                </c:pt>
                <c:pt idx="1470">
                  <c:v>42846</c:v>
                </c:pt>
                <c:pt idx="1471">
                  <c:v>42845</c:v>
                </c:pt>
                <c:pt idx="1472">
                  <c:v>42844</c:v>
                </c:pt>
                <c:pt idx="1473">
                  <c:v>42843</c:v>
                </c:pt>
                <c:pt idx="1474">
                  <c:v>42842</c:v>
                </c:pt>
                <c:pt idx="1475">
                  <c:v>42838</c:v>
                </c:pt>
                <c:pt idx="1476">
                  <c:v>42837</c:v>
                </c:pt>
                <c:pt idx="1477">
                  <c:v>42836</c:v>
                </c:pt>
                <c:pt idx="1478">
                  <c:v>42835</c:v>
                </c:pt>
                <c:pt idx="1479">
                  <c:v>42832</c:v>
                </c:pt>
                <c:pt idx="1480">
                  <c:v>42831</c:v>
                </c:pt>
                <c:pt idx="1481">
                  <c:v>42830</c:v>
                </c:pt>
                <c:pt idx="1482">
                  <c:v>42829</c:v>
                </c:pt>
                <c:pt idx="1483">
                  <c:v>42828</c:v>
                </c:pt>
                <c:pt idx="1484">
                  <c:v>42825</c:v>
                </c:pt>
                <c:pt idx="1485">
                  <c:v>42824</c:v>
                </c:pt>
                <c:pt idx="1486">
                  <c:v>42823</c:v>
                </c:pt>
                <c:pt idx="1487">
                  <c:v>42822</c:v>
                </c:pt>
                <c:pt idx="1488">
                  <c:v>42821</c:v>
                </c:pt>
                <c:pt idx="1489">
                  <c:v>42818</c:v>
                </c:pt>
                <c:pt idx="1490">
                  <c:v>42817</c:v>
                </c:pt>
                <c:pt idx="1491">
                  <c:v>42816</c:v>
                </c:pt>
                <c:pt idx="1492">
                  <c:v>42815</c:v>
                </c:pt>
                <c:pt idx="1493">
                  <c:v>42814</c:v>
                </c:pt>
                <c:pt idx="1494">
                  <c:v>42811</c:v>
                </c:pt>
                <c:pt idx="1495">
                  <c:v>42810</c:v>
                </c:pt>
                <c:pt idx="1496">
                  <c:v>42809</c:v>
                </c:pt>
                <c:pt idx="1497">
                  <c:v>42808</c:v>
                </c:pt>
                <c:pt idx="1498">
                  <c:v>42807</c:v>
                </c:pt>
                <c:pt idx="1499">
                  <c:v>42804</c:v>
                </c:pt>
                <c:pt idx="1500">
                  <c:v>42803</c:v>
                </c:pt>
                <c:pt idx="1501">
                  <c:v>42802</c:v>
                </c:pt>
                <c:pt idx="1502">
                  <c:v>42801</c:v>
                </c:pt>
                <c:pt idx="1503">
                  <c:v>42800</c:v>
                </c:pt>
                <c:pt idx="1504">
                  <c:v>42797</c:v>
                </c:pt>
                <c:pt idx="1505">
                  <c:v>42796</c:v>
                </c:pt>
                <c:pt idx="1506">
                  <c:v>42795</c:v>
                </c:pt>
                <c:pt idx="1507">
                  <c:v>42794</c:v>
                </c:pt>
                <c:pt idx="1508">
                  <c:v>42793</c:v>
                </c:pt>
                <c:pt idx="1509">
                  <c:v>42790</c:v>
                </c:pt>
                <c:pt idx="1510">
                  <c:v>42789</c:v>
                </c:pt>
                <c:pt idx="1511">
                  <c:v>42788</c:v>
                </c:pt>
                <c:pt idx="1512">
                  <c:v>42787</c:v>
                </c:pt>
                <c:pt idx="1513">
                  <c:v>42786</c:v>
                </c:pt>
                <c:pt idx="1514">
                  <c:v>42783</c:v>
                </c:pt>
                <c:pt idx="1515">
                  <c:v>42782</c:v>
                </c:pt>
                <c:pt idx="1516">
                  <c:v>42781</c:v>
                </c:pt>
                <c:pt idx="1517">
                  <c:v>42780</c:v>
                </c:pt>
                <c:pt idx="1518">
                  <c:v>42779</c:v>
                </c:pt>
                <c:pt idx="1519">
                  <c:v>42776</c:v>
                </c:pt>
                <c:pt idx="1520">
                  <c:v>42775</c:v>
                </c:pt>
                <c:pt idx="1521">
                  <c:v>42774</c:v>
                </c:pt>
                <c:pt idx="1522">
                  <c:v>42773</c:v>
                </c:pt>
                <c:pt idx="1523">
                  <c:v>42772</c:v>
                </c:pt>
                <c:pt idx="1524">
                  <c:v>42769</c:v>
                </c:pt>
                <c:pt idx="1525">
                  <c:v>42768</c:v>
                </c:pt>
                <c:pt idx="1526">
                  <c:v>42767</c:v>
                </c:pt>
                <c:pt idx="1527">
                  <c:v>42766</c:v>
                </c:pt>
                <c:pt idx="1528">
                  <c:v>42765</c:v>
                </c:pt>
                <c:pt idx="1529">
                  <c:v>42762</c:v>
                </c:pt>
                <c:pt idx="1530">
                  <c:v>42761</c:v>
                </c:pt>
                <c:pt idx="1531">
                  <c:v>42760</c:v>
                </c:pt>
                <c:pt idx="1532">
                  <c:v>42759</c:v>
                </c:pt>
                <c:pt idx="1533">
                  <c:v>42758</c:v>
                </c:pt>
                <c:pt idx="1534">
                  <c:v>42755</c:v>
                </c:pt>
                <c:pt idx="1535">
                  <c:v>42754</c:v>
                </c:pt>
                <c:pt idx="1536">
                  <c:v>42753</c:v>
                </c:pt>
                <c:pt idx="1537">
                  <c:v>42752</c:v>
                </c:pt>
                <c:pt idx="1538">
                  <c:v>42751</c:v>
                </c:pt>
                <c:pt idx="1539">
                  <c:v>42748</c:v>
                </c:pt>
                <c:pt idx="1540">
                  <c:v>42747</c:v>
                </c:pt>
                <c:pt idx="1541">
                  <c:v>42746</c:v>
                </c:pt>
                <c:pt idx="1542">
                  <c:v>42745</c:v>
                </c:pt>
                <c:pt idx="1543">
                  <c:v>42744</c:v>
                </c:pt>
                <c:pt idx="1544">
                  <c:v>42741</c:v>
                </c:pt>
                <c:pt idx="1545">
                  <c:v>42740</c:v>
                </c:pt>
                <c:pt idx="1546">
                  <c:v>42739</c:v>
                </c:pt>
                <c:pt idx="1547">
                  <c:v>42738</c:v>
                </c:pt>
                <c:pt idx="1548">
                  <c:v>42737</c:v>
                </c:pt>
                <c:pt idx="1549">
                  <c:v>42734</c:v>
                </c:pt>
                <c:pt idx="1550">
                  <c:v>42733</c:v>
                </c:pt>
                <c:pt idx="1551">
                  <c:v>42732</c:v>
                </c:pt>
                <c:pt idx="1552">
                  <c:v>42731</c:v>
                </c:pt>
                <c:pt idx="1553">
                  <c:v>42730</c:v>
                </c:pt>
                <c:pt idx="1554">
                  <c:v>42727</c:v>
                </c:pt>
                <c:pt idx="1555">
                  <c:v>42726</c:v>
                </c:pt>
                <c:pt idx="1556">
                  <c:v>42725</c:v>
                </c:pt>
                <c:pt idx="1557">
                  <c:v>42724</c:v>
                </c:pt>
                <c:pt idx="1558">
                  <c:v>42723</c:v>
                </c:pt>
                <c:pt idx="1559">
                  <c:v>42720</c:v>
                </c:pt>
                <c:pt idx="1560">
                  <c:v>42719</c:v>
                </c:pt>
                <c:pt idx="1561">
                  <c:v>42718</c:v>
                </c:pt>
                <c:pt idx="1562">
                  <c:v>42717</c:v>
                </c:pt>
                <c:pt idx="1563">
                  <c:v>42716</c:v>
                </c:pt>
                <c:pt idx="1564">
                  <c:v>42713</c:v>
                </c:pt>
                <c:pt idx="1565">
                  <c:v>42712</c:v>
                </c:pt>
                <c:pt idx="1566">
                  <c:v>42711</c:v>
                </c:pt>
                <c:pt idx="1567">
                  <c:v>42710</c:v>
                </c:pt>
                <c:pt idx="1568">
                  <c:v>42709</c:v>
                </c:pt>
                <c:pt idx="1569">
                  <c:v>42706</c:v>
                </c:pt>
                <c:pt idx="1570">
                  <c:v>42705</c:v>
                </c:pt>
                <c:pt idx="1571">
                  <c:v>42704</c:v>
                </c:pt>
                <c:pt idx="1572">
                  <c:v>42703</c:v>
                </c:pt>
                <c:pt idx="1573">
                  <c:v>42702</c:v>
                </c:pt>
                <c:pt idx="1574">
                  <c:v>42699</c:v>
                </c:pt>
                <c:pt idx="1575">
                  <c:v>42698</c:v>
                </c:pt>
                <c:pt idx="1576">
                  <c:v>42697</c:v>
                </c:pt>
                <c:pt idx="1577">
                  <c:v>42696</c:v>
                </c:pt>
                <c:pt idx="1578">
                  <c:v>42695</c:v>
                </c:pt>
                <c:pt idx="1579">
                  <c:v>42692</c:v>
                </c:pt>
                <c:pt idx="1580">
                  <c:v>42691</c:v>
                </c:pt>
                <c:pt idx="1581">
                  <c:v>42690</c:v>
                </c:pt>
                <c:pt idx="1582">
                  <c:v>42689</c:v>
                </c:pt>
                <c:pt idx="1583">
                  <c:v>42688</c:v>
                </c:pt>
                <c:pt idx="1584">
                  <c:v>42685</c:v>
                </c:pt>
                <c:pt idx="1585">
                  <c:v>42684</c:v>
                </c:pt>
                <c:pt idx="1586">
                  <c:v>42683</c:v>
                </c:pt>
                <c:pt idx="1587">
                  <c:v>42682</c:v>
                </c:pt>
                <c:pt idx="1588">
                  <c:v>42681</c:v>
                </c:pt>
                <c:pt idx="1589">
                  <c:v>42678</c:v>
                </c:pt>
                <c:pt idx="1590">
                  <c:v>42677</c:v>
                </c:pt>
                <c:pt idx="1591">
                  <c:v>42676</c:v>
                </c:pt>
                <c:pt idx="1592">
                  <c:v>42675</c:v>
                </c:pt>
                <c:pt idx="1593">
                  <c:v>42674</c:v>
                </c:pt>
                <c:pt idx="1594">
                  <c:v>42671</c:v>
                </c:pt>
                <c:pt idx="1595">
                  <c:v>42670</c:v>
                </c:pt>
                <c:pt idx="1596">
                  <c:v>42669</c:v>
                </c:pt>
                <c:pt idx="1597">
                  <c:v>42668</c:v>
                </c:pt>
                <c:pt idx="1598">
                  <c:v>42667</c:v>
                </c:pt>
                <c:pt idx="1599">
                  <c:v>42664</c:v>
                </c:pt>
                <c:pt idx="1600">
                  <c:v>42663</c:v>
                </c:pt>
                <c:pt idx="1601">
                  <c:v>42662</c:v>
                </c:pt>
                <c:pt idx="1602">
                  <c:v>42661</c:v>
                </c:pt>
                <c:pt idx="1603">
                  <c:v>42660</c:v>
                </c:pt>
                <c:pt idx="1604">
                  <c:v>42657</c:v>
                </c:pt>
                <c:pt idx="1605">
                  <c:v>42656</c:v>
                </c:pt>
                <c:pt idx="1606">
                  <c:v>42655</c:v>
                </c:pt>
                <c:pt idx="1607">
                  <c:v>42654</c:v>
                </c:pt>
                <c:pt idx="1608">
                  <c:v>42653</c:v>
                </c:pt>
                <c:pt idx="1609">
                  <c:v>42650</c:v>
                </c:pt>
                <c:pt idx="1610">
                  <c:v>42649</c:v>
                </c:pt>
                <c:pt idx="1611">
                  <c:v>42648</c:v>
                </c:pt>
                <c:pt idx="1612">
                  <c:v>42647</c:v>
                </c:pt>
                <c:pt idx="1613">
                  <c:v>42646</c:v>
                </c:pt>
                <c:pt idx="1614">
                  <c:v>42643</c:v>
                </c:pt>
                <c:pt idx="1615">
                  <c:v>42642</c:v>
                </c:pt>
                <c:pt idx="1616">
                  <c:v>42641</c:v>
                </c:pt>
                <c:pt idx="1617">
                  <c:v>42640</c:v>
                </c:pt>
                <c:pt idx="1618">
                  <c:v>42639</c:v>
                </c:pt>
                <c:pt idx="1619">
                  <c:v>42636</c:v>
                </c:pt>
                <c:pt idx="1620">
                  <c:v>42635</c:v>
                </c:pt>
                <c:pt idx="1621">
                  <c:v>42634</c:v>
                </c:pt>
                <c:pt idx="1622">
                  <c:v>42633</c:v>
                </c:pt>
                <c:pt idx="1623">
                  <c:v>42632</c:v>
                </c:pt>
                <c:pt idx="1624">
                  <c:v>42629</c:v>
                </c:pt>
                <c:pt idx="1625">
                  <c:v>42628</c:v>
                </c:pt>
                <c:pt idx="1626">
                  <c:v>42627</c:v>
                </c:pt>
                <c:pt idx="1627">
                  <c:v>42626</c:v>
                </c:pt>
                <c:pt idx="1628">
                  <c:v>42625</c:v>
                </c:pt>
                <c:pt idx="1629">
                  <c:v>42622</c:v>
                </c:pt>
                <c:pt idx="1630">
                  <c:v>42621</c:v>
                </c:pt>
                <c:pt idx="1631">
                  <c:v>42620</c:v>
                </c:pt>
                <c:pt idx="1632">
                  <c:v>42619</c:v>
                </c:pt>
                <c:pt idx="1633">
                  <c:v>42618</c:v>
                </c:pt>
                <c:pt idx="1634">
                  <c:v>42615</c:v>
                </c:pt>
                <c:pt idx="1635">
                  <c:v>42614</c:v>
                </c:pt>
                <c:pt idx="1636">
                  <c:v>42613</c:v>
                </c:pt>
                <c:pt idx="1637">
                  <c:v>42612</c:v>
                </c:pt>
                <c:pt idx="1638">
                  <c:v>42611</c:v>
                </c:pt>
                <c:pt idx="1639">
                  <c:v>42608</c:v>
                </c:pt>
                <c:pt idx="1640">
                  <c:v>42607</c:v>
                </c:pt>
                <c:pt idx="1641">
                  <c:v>42606</c:v>
                </c:pt>
                <c:pt idx="1642">
                  <c:v>42605</c:v>
                </c:pt>
                <c:pt idx="1643">
                  <c:v>42604</c:v>
                </c:pt>
                <c:pt idx="1644">
                  <c:v>42601</c:v>
                </c:pt>
                <c:pt idx="1645">
                  <c:v>42600</c:v>
                </c:pt>
                <c:pt idx="1646">
                  <c:v>42599</c:v>
                </c:pt>
                <c:pt idx="1647">
                  <c:v>42598</c:v>
                </c:pt>
                <c:pt idx="1648">
                  <c:v>42597</c:v>
                </c:pt>
                <c:pt idx="1649">
                  <c:v>42594</c:v>
                </c:pt>
                <c:pt idx="1650">
                  <c:v>42593</c:v>
                </c:pt>
                <c:pt idx="1651">
                  <c:v>42592</c:v>
                </c:pt>
                <c:pt idx="1652">
                  <c:v>42591</c:v>
                </c:pt>
                <c:pt idx="1653">
                  <c:v>42590</c:v>
                </c:pt>
                <c:pt idx="1654">
                  <c:v>42587</c:v>
                </c:pt>
                <c:pt idx="1655">
                  <c:v>42586</c:v>
                </c:pt>
                <c:pt idx="1656">
                  <c:v>42585</c:v>
                </c:pt>
                <c:pt idx="1657">
                  <c:v>42584</c:v>
                </c:pt>
                <c:pt idx="1658">
                  <c:v>42583</c:v>
                </c:pt>
                <c:pt idx="1659">
                  <c:v>42580</c:v>
                </c:pt>
                <c:pt idx="1660">
                  <c:v>42579</c:v>
                </c:pt>
                <c:pt idx="1661">
                  <c:v>42578</c:v>
                </c:pt>
                <c:pt idx="1662">
                  <c:v>42577</c:v>
                </c:pt>
                <c:pt idx="1663">
                  <c:v>42576</c:v>
                </c:pt>
                <c:pt idx="1664">
                  <c:v>42573</c:v>
                </c:pt>
                <c:pt idx="1665">
                  <c:v>42572</c:v>
                </c:pt>
                <c:pt idx="1666">
                  <c:v>42571</c:v>
                </c:pt>
                <c:pt idx="1667">
                  <c:v>42570</c:v>
                </c:pt>
                <c:pt idx="1668">
                  <c:v>42569</c:v>
                </c:pt>
                <c:pt idx="1669">
                  <c:v>42566</c:v>
                </c:pt>
                <c:pt idx="1670">
                  <c:v>42565</c:v>
                </c:pt>
                <c:pt idx="1671">
                  <c:v>42564</c:v>
                </c:pt>
                <c:pt idx="1672">
                  <c:v>42563</c:v>
                </c:pt>
                <c:pt idx="1673">
                  <c:v>42562</c:v>
                </c:pt>
                <c:pt idx="1674">
                  <c:v>42559</c:v>
                </c:pt>
                <c:pt idx="1675">
                  <c:v>42558</c:v>
                </c:pt>
                <c:pt idx="1676">
                  <c:v>42557</c:v>
                </c:pt>
                <c:pt idx="1677">
                  <c:v>42556</c:v>
                </c:pt>
                <c:pt idx="1678">
                  <c:v>42555</c:v>
                </c:pt>
                <c:pt idx="1679">
                  <c:v>42552</c:v>
                </c:pt>
                <c:pt idx="1680">
                  <c:v>42551</c:v>
                </c:pt>
                <c:pt idx="1681">
                  <c:v>42550</c:v>
                </c:pt>
                <c:pt idx="1682">
                  <c:v>42549</c:v>
                </c:pt>
                <c:pt idx="1683">
                  <c:v>42548</c:v>
                </c:pt>
                <c:pt idx="1684">
                  <c:v>42545</c:v>
                </c:pt>
                <c:pt idx="1685">
                  <c:v>42544</c:v>
                </c:pt>
                <c:pt idx="1686">
                  <c:v>42543</c:v>
                </c:pt>
                <c:pt idx="1687">
                  <c:v>42542</c:v>
                </c:pt>
                <c:pt idx="1688">
                  <c:v>42541</c:v>
                </c:pt>
                <c:pt idx="1689">
                  <c:v>42538</c:v>
                </c:pt>
                <c:pt idx="1690">
                  <c:v>42537</c:v>
                </c:pt>
                <c:pt idx="1691">
                  <c:v>42536</c:v>
                </c:pt>
                <c:pt idx="1692">
                  <c:v>42535</c:v>
                </c:pt>
                <c:pt idx="1693">
                  <c:v>42534</c:v>
                </c:pt>
                <c:pt idx="1694">
                  <c:v>42531</c:v>
                </c:pt>
                <c:pt idx="1695">
                  <c:v>42530</c:v>
                </c:pt>
                <c:pt idx="1696">
                  <c:v>42529</c:v>
                </c:pt>
                <c:pt idx="1697">
                  <c:v>42528</c:v>
                </c:pt>
                <c:pt idx="1698">
                  <c:v>42527</c:v>
                </c:pt>
                <c:pt idx="1699">
                  <c:v>42524</c:v>
                </c:pt>
                <c:pt idx="1700">
                  <c:v>42523</c:v>
                </c:pt>
                <c:pt idx="1701">
                  <c:v>42522</c:v>
                </c:pt>
                <c:pt idx="1702">
                  <c:v>42521</c:v>
                </c:pt>
                <c:pt idx="1703">
                  <c:v>42520</c:v>
                </c:pt>
                <c:pt idx="1704">
                  <c:v>42517</c:v>
                </c:pt>
                <c:pt idx="1705">
                  <c:v>42516</c:v>
                </c:pt>
                <c:pt idx="1706">
                  <c:v>42515</c:v>
                </c:pt>
                <c:pt idx="1707">
                  <c:v>42514</c:v>
                </c:pt>
                <c:pt idx="1708">
                  <c:v>42513</c:v>
                </c:pt>
                <c:pt idx="1709">
                  <c:v>42510</c:v>
                </c:pt>
                <c:pt idx="1710">
                  <c:v>42509</c:v>
                </c:pt>
                <c:pt idx="1711">
                  <c:v>42508</c:v>
                </c:pt>
                <c:pt idx="1712">
                  <c:v>42507</c:v>
                </c:pt>
                <c:pt idx="1713">
                  <c:v>42506</c:v>
                </c:pt>
                <c:pt idx="1714">
                  <c:v>42503</c:v>
                </c:pt>
                <c:pt idx="1715">
                  <c:v>42502</c:v>
                </c:pt>
                <c:pt idx="1716">
                  <c:v>42501</c:v>
                </c:pt>
                <c:pt idx="1717">
                  <c:v>42500</c:v>
                </c:pt>
                <c:pt idx="1718">
                  <c:v>42499</c:v>
                </c:pt>
                <c:pt idx="1719">
                  <c:v>42496</c:v>
                </c:pt>
                <c:pt idx="1720">
                  <c:v>42495</c:v>
                </c:pt>
                <c:pt idx="1721">
                  <c:v>42494</c:v>
                </c:pt>
                <c:pt idx="1722">
                  <c:v>42493</c:v>
                </c:pt>
                <c:pt idx="1723">
                  <c:v>42492</c:v>
                </c:pt>
                <c:pt idx="1724">
                  <c:v>42489</c:v>
                </c:pt>
                <c:pt idx="1725">
                  <c:v>42488</c:v>
                </c:pt>
                <c:pt idx="1726">
                  <c:v>42487</c:v>
                </c:pt>
                <c:pt idx="1727">
                  <c:v>42486</c:v>
                </c:pt>
                <c:pt idx="1728">
                  <c:v>42485</c:v>
                </c:pt>
                <c:pt idx="1729">
                  <c:v>42482</c:v>
                </c:pt>
                <c:pt idx="1730">
                  <c:v>42481</c:v>
                </c:pt>
                <c:pt idx="1731">
                  <c:v>42480</c:v>
                </c:pt>
                <c:pt idx="1732">
                  <c:v>42479</c:v>
                </c:pt>
                <c:pt idx="1733">
                  <c:v>42478</c:v>
                </c:pt>
                <c:pt idx="1734">
                  <c:v>42475</c:v>
                </c:pt>
                <c:pt idx="1735">
                  <c:v>42474</c:v>
                </c:pt>
                <c:pt idx="1736">
                  <c:v>42473</c:v>
                </c:pt>
                <c:pt idx="1737">
                  <c:v>42472</c:v>
                </c:pt>
                <c:pt idx="1738">
                  <c:v>42471</c:v>
                </c:pt>
                <c:pt idx="1739">
                  <c:v>42468</c:v>
                </c:pt>
                <c:pt idx="1740">
                  <c:v>42467</c:v>
                </c:pt>
                <c:pt idx="1741">
                  <c:v>42466</c:v>
                </c:pt>
                <c:pt idx="1742">
                  <c:v>42465</c:v>
                </c:pt>
                <c:pt idx="1743">
                  <c:v>42464</c:v>
                </c:pt>
                <c:pt idx="1744">
                  <c:v>42461</c:v>
                </c:pt>
                <c:pt idx="1745">
                  <c:v>42460</c:v>
                </c:pt>
                <c:pt idx="1746">
                  <c:v>42459</c:v>
                </c:pt>
                <c:pt idx="1747">
                  <c:v>42458</c:v>
                </c:pt>
                <c:pt idx="1748">
                  <c:v>42457</c:v>
                </c:pt>
                <c:pt idx="1749">
                  <c:v>42453</c:v>
                </c:pt>
                <c:pt idx="1750">
                  <c:v>42452</c:v>
                </c:pt>
                <c:pt idx="1751">
                  <c:v>42451</c:v>
                </c:pt>
                <c:pt idx="1752">
                  <c:v>42450</c:v>
                </c:pt>
                <c:pt idx="1753">
                  <c:v>42447</c:v>
                </c:pt>
                <c:pt idx="1754">
                  <c:v>42446</c:v>
                </c:pt>
                <c:pt idx="1755">
                  <c:v>42445</c:v>
                </c:pt>
                <c:pt idx="1756">
                  <c:v>42444</c:v>
                </c:pt>
                <c:pt idx="1757">
                  <c:v>42443</c:v>
                </c:pt>
                <c:pt idx="1758">
                  <c:v>42440</c:v>
                </c:pt>
                <c:pt idx="1759">
                  <c:v>42439</c:v>
                </c:pt>
                <c:pt idx="1760">
                  <c:v>42438</c:v>
                </c:pt>
                <c:pt idx="1761">
                  <c:v>42437</c:v>
                </c:pt>
                <c:pt idx="1762">
                  <c:v>42436</c:v>
                </c:pt>
                <c:pt idx="1763">
                  <c:v>42433</c:v>
                </c:pt>
                <c:pt idx="1764">
                  <c:v>42432</c:v>
                </c:pt>
                <c:pt idx="1765">
                  <c:v>42431</c:v>
                </c:pt>
                <c:pt idx="1766">
                  <c:v>42430</c:v>
                </c:pt>
                <c:pt idx="1767">
                  <c:v>42429</c:v>
                </c:pt>
                <c:pt idx="1768">
                  <c:v>42426</c:v>
                </c:pt>
                <c:pt idx="1769">
                  <c:v>42425</c:v>
                </c:pt>
                <c:pt idx="1770">
                  <c:v>42424</c:v>
                </c:pt>
                <c:pt idx="1771">
                  <c:v>42423</c:v>
                </c:pt>
                <c:pt idx="1772">
                  <c:v>42422</c:v>
                </c:pt>
                <c:pt idx="1773">
                  <c:v>42419</c:v>
                </c:pt>
                <c:pt idx="1774">
                  <c:v>42418</c:v>
                </c:pt>
                <c:pt idx="1775">
                  <c:v>42417</c:v>
                </c:pt>
                <c:pt idx="1776">
                  <c:v>42416</c:v>
                </c:pt>
                <c:pt idx="1777">
                  <c:v>42415</c:v>
                </c:pt>
                <c:pt idx="1778">
                  <c:v>42412</c:v>
                </c:pt>
                <c:pt idx="1779">
                  <c:v>42411</c:v>
                </c:pt>
                <c:pt idx="1780">
                  <c:v>42410</c:v>
                </c:pt>
                <c:pt idx="1781">
                  <c:v>42409</c:v>
                </c:pt>
                <c:pt idx="1782">
                  <c:v>42408</c:v>
                </c:pt>
                <c:pt idx="1783">
                  <c:v>42405</c:v>
                </c:pt>
                <c:pt idx="1784">
                  <c:v>42404</c:v>
                </c:pt>
                <c:pt idx="1785">
                  <c:v>42403</c:v>
                </c:pt>
                <c:pt idx="1786">
                  <c:v>42402</c:v>
                </c:pt>
                <c:pt idx="1787">
                  <c:v>42401</c:v>
                </c:pt>
                <c:pt idx="1788">
                  <c:v>42398</c:v>
                </c:pt>
                <c:pt idx="1789">
                  <c:v>42397</c:v>
                </c:pt>
                <c:pt idx="1790">
                  <c:v>42396</c:v>
                </c:pt>
                <c:pt idx="1791">
                  <c:v>42395</c:v>
                </c:pt>
                <c:pt idx="1792">
                  <c:v>42394</c:v>
                </c:pt>
                <c:pt idx="1793">
                  <c:v>42391</c:v>
                </c:pt>
                <c:pt idx="1794">
                  <c:v>42390</c:v>
                </c:pt>
                <c:pt idx="1795">
                  <c:v>42389</c:v>
                </c:pt>
                <c:pt idx="1796">
                  <c:v>42388</c:v>
                </c:pt>
                <c:pt idx="1797">
                  <c:v>42387</c:v>
                </c:pt>
                <c:pt idx="1798">
                  <c:v>42384</c:v>
                </c:pt>
                <c:pt idx="1799">
                  <c:v>42383</c:v>
                </c:pt>
                <c:pt idx="1800">
                  <c:v>42382</c:v>
                </c:pt>
                <c:pt idx="1801">
                  <c:v>42381</c:v>
                </c:pt>
                <c:pt idx="1802">
                  <c:v>42380</c:v>
                </c:pt>
                <c:pt idx="1803">
                  <c:v>42377</c:v>
                </c:pt>
                <c:pt idx="1804">
                  <c:v>42376</c:v>
                </c:pt>
                <c:pt idx="1805">
                  <c:v>42375</c:v>
                </c:pt>
                <c:pt idx="1806">
                  <c:v>42374</c:v>
                </c:pt>
                <c:pt idx="1807">
                  <c:v>42373</c:v>
                </c:pt>
                <c:pt idx="1808">
                  <c:v>42369</c:v>
                </c:pt>
                <c:pt idx="1809">
                  <c:v>42368</c:v>
                </c:pt>
                <c:pt idx="1810">
                  <c:v>42367</c:v>
                </c:pt>
                <c:pt idx="1811">
                  <c:v>42366</c:v>
                </c:pt>
                <c:pt idx="1812">
                  <c:v>42362</c:v>
                </c:pt>
                <c:pt idx="1813">
                  <c:v>42361</c:v>
                </c:pt>
                <c:pt idx="1814">
                  <c:v>42360</c:v>
                </c:pt>
                <c:pt idx="1815">
                  <c:v>42359</c:v>
                </c:pt>
                <c:pt idx="1816">
                  <c:v>42356</c:v>
                </c:pt>
                <c:pt idx="1817">
                  <c:v>42355</c:v>
                </c:pt>
                <c:pt idx="1818">
                  <c:v>42354</c:v>
                </c:pt>
                <c:pt idx="1819">
                  <c:v>42353</c:v>
                </c:pt>
                <c:pt idx="1820">
                  <c:v>42352</c:v>
                </c:pt>
                <c:pt idx="1821">
                  <c:v>42349</c:v>
                </c:pt>
                <c:pt idx="1822">
                  <c:v>42348</c:v>
                </c:pt>
                <c:pt idx="1823">
                  <c:v>42347</c:v>
                </c:pt>
                <c:pt idx="1824">
                  <c:v>42346</c:v>
                </c:pt>
                <c:pt idx="1825">
                  <c:v>42345</c:v>
                </c:pt>
                <c:pt idx="1826">
                  <c:v>42342</c:v>
                </c:pt>
                <c:pt idx="1827">
                  <c:v>42341</c:v>
                </c:pt>
                <c:pt idx="1828">
                  <c:v>42340</c:v>
                </c:pt>
                <c:pt idx="1829">
                  <c:v>42339</c:v>
                </c:pt>
                <c:pt idx="1830">
                  <c:v>42338</c:v>
                </c:pt>
                <c:pt idx="1831">
                  <c:v>42335</c:v>
                </c:pt>
                <c:pt idx="1832">
                  <c:v>42334</c:v>
                </c:pt>
                <c:pt idx="1833">
                  <c:v>42333</c:v>
                </c:pt>
                <c:pt idx="1834">
                  <c:v>42332</c:v>
                </c:pt>
                <c:pt idx="1835">
                  <c:v>42331</c:v>
                </c:pt>
                <c:pt idx="1836">
                  <c:v>42328</c:v>
                </c:pt>
                <c:pt idx="1837">
                  <c:v>42327</c:v>
                </c:pt>
                <c:pt idx="1838">
                  <c:v>42326</c:v>
                </c:pt>
                <c:pt idx="1839">
                  <c:v>42325</c:v>
                </c:pt>
                <c:pt idx="1840">
                  <c:v>42324</c:v>
                </c:pt>
                <c:pt idx="1841">
                  <c:v>42321</c:v>
                </c:pt>
                <c:pt idx="1842">
                  <c:v>42320</c:v>
                </c:pt>
                <c:pt idx="1843">
                  <c:v>42319</c:v>
                </c:pt>
                <c:pt idx="1844">
                  <c:v>42318</c:v>
                </c:pt>
                <c:pt idx="1845">
                  <c:v>42317</c:v>
                </c:pt>
                <c:pt idx="1846">
                  <c:v>42314</c:v>
                </c:pt>
                <c:pt idx="1847">
                  <c:v>42313</c:v>
                </c:pt>
                <c:pt idx="1848">
                  <c:v>42312</c:v>
                </c:pt>
                <c:pt idx="1849">
                  <c:v>42311</c:v>
                </c:pt>
                <c:pt idx="1850">
                  <c:v>42310</c:v>
                </c:pt>
                <c:pt idx="1851">
                  <c:v>42307</c:v>
                </c:pt>
                <c:pt idx="1852">
                  <c:v>42306</c:v>
                </c:pt>
                <c:pt idx="1853">
                  <c:v>42305</c:v>
                </c:pt>
                <c:pt idx="1854">
                  <c:v>42304</c:v>
                </c:pt>
                <c:pt idx="1855">
                  <c:v>42303</c:v>
                </c:pt>
                <c:pt idx="1856">
                  <c:v>42300</c:v>
                </c:pt>
                <c:pt idx="1857">
                  <c:v>42299</c:v>
                </c:pt>
                <c:pt idx="1858">
                  <c:v>42298</c:v>
                </c:pt>
                <c:pt idx="1859">
                  <c:v>42297</c:v>
                </c:pt>
                <c:pt idx="1860">
                  <c:v>42296</c:v>
                </c:pt>
                <c:pt idx="1861">
                  <c:v>42293</c:v>
                </c:pt>
                <c:pt idx="1862">
                  <c:v>42292</c:v>
                </c:pt>
                <c:pt idx="1863">
                  <c:v>42291</c:v>
                </c:pt>
                <c:pt idx="1864">
                  <c:v>42290</c:v>
                </c:pt>
                <c:pt idx="1865">
                  <c:v>42289</c:v>
                </c:pt>
                <c:pt idx="1866">
                  <c:v>42286</c:v>
                </c:pt>
                <c:pt idx="1867">
                  <c:v>42285</c:v>
                </c:pt>
                <c:pt idx="1868">
                  <c:v>42284</c:v>
                </c:pt>
                <c:pt idx="1869">
                  <c:v>42283</c:v>
                </c:pt>
                <c:pt idx="1870">
                  <c:v>42282</c:v>
                </c:pt>
                <c:pt idx="1871">
                  <c:v>42279</c:v>
                </c:pt>
                <c:pt idx="1872">
                  <c:v>42278</c:v>
                </c:pt>
                <c:pt idx="1873">
                  <c:v>42277</c:v>
                </c:pt>
                <c:pt idx="1874">
                  <c:v>42276</c:v>
                </c:pt>
                <c:pt idx="1875">
                  <c:v>42275</c:v>
                </c:pt>
                <c:pt idx="1876">
                  <c:v>42272</c:v>
                </c:pt>
                <c:pt idx="1877">
                  <c:v>42271</c:v>
                </c:pt>
                <c:pt idx="1878">
                  <c:v>42270</c:v>
                </c:pt>
                <c:pt idx="1879">
                  <c:v>42269</c:v>
                </c:pt>
                <c:pt idx="1880">
                  <c:v>42268</c:v>
                </c:pt>
                <c:pt idx="1881">
                  <c:v>42265</c:v>
                </c:pt>
                <c:pt idx="1882">
                  <c:v>42264</c:v>
                </c:pt>
                <c:pt idx="1883">
                  <c:v>42263</c:v>
                </c:pt>
                <c:pt idx="1884">
                  <c:v>42262</c:v>
                </c:pt>
                <c:pt idx="1885">
                  <c:v>42261</c:v>
                </c:pt>
                <c:pt idx="1886">
                  <c:v>42258</c:v>
                </c:pt>
                <c:pt idx="1887">
                  <c:v>42257</c:v>
                </c:pt>
                <c:pt idx="1888">
                  <c:v>42256</c:v>
                </c:pt>
                <c:pt idx="1889">
                  <c:v>42255</c:v>
                </c:pt>
                <c:pt idx="1890">
                  <c:v>42254</c:v>
                </c:pt>
                <c:pt idx="1891">
                  <c:v>42251</c:v>
                </c:pt>
                <c:pt idx="1892">
                  <c:v>42250</c:v>
                </c:pt>
                <c:pt idx="1893">
                  <c:v>42249</c:v>
                </c:pt>
                <c:pt idx="1894">
                  <c:v>42248</c:v>
                </c:pt>
                <c:pt idx="1895">
                  <c:v>42247</c:v>
                </c:pt>
                <c:pt idx="1896">
                  <c:v>42244</c:v>
                </c:pt>
                <c:pt idx="1897">
                  <c:v>42243</c:v>
                </c:pt>
                <c:pt idx="1898">
                  <c:v>42242</c:v>
                </c:pt>
                <c:pt idx="1899">
                  <c:v>42241</c:v>
                </c:pt>
                <c:pt idx="1900">
                  <c:v>42240</c:v>
                </c:pt>
                <c:pt idx="1901">
                  <c:v>42237</c:v>
                </c:pt>
                <c:pt idx="1902">
                  <c:v>42236</c:v>
                </c:pt>
                <c:pt idx="1903">
                  <c:v>42235</c:v>
                </c:pt>
                <c:pt idx="1904">
                  <c:v>42234</c:v>
                </c:pt>
                <c:pt idx="1905">
                  <c:v>42233</c:v>
                </c:pt>
                <c:pt idx="1906">
                  <c:v>42230</c:v>
                </c:pt>
                <c:pt idx="1907">
                  <c:v>42229</c:v>
                </c:pt>
                <c:pt idx="1908">
                  <c:v>42228</c:v>
                </c:pt>
                <c:pt idx="1909">
                  <c:v>42227</c:v>
                </c:pt>
                <c:pt idx="1910">
                  <c:v>42226</c:v>
                </c:pt>
                <c:pt idx="1911">
                  <c:v>42223</c:v>
                </c:pt>
                <c:pt idx="1912">
                  <c:v>42222</c:v>
                </c:pt>
                <c:pt idx="1913">
                  <c:v>42221</c:v>
                </c:pt>
                <c:pt idx="1914">
                  <c:v>42220</c:v>
                </c:pt>
                <c:pt idx="1915">
                  <c:v>42219</c:v>
                </c:pt>
                <c:pt idx="1916">
                  <c:v>42216</c:v>
                </c:pt>
                <c:pt idx="1917">
                  <c:v>42215</c:v>
                </c:pt>
                <c:pt idx="1918">
                  <c:v>42214</c:v>
                </c:pt>
                <c:pt idx="1919">
                  <c:v>42213</c:v>
                </c:pt>
                <c:pt idx="1920">
                  <c:v>42212</c:v>
                </c:pt>
                <c:pt idx="1921">
                  <c:v>42209</c:v>
                </c:pt>
                <c:pt idx="1922">
                  <c:v>42208</c:v>
                </c:pt>
                <c:pt idx="1923">
                  <c:v>42207</c:v>
                </c:pt>
                <c:pt idx="1924">
                  <c:v>42206</c:v>
                </c:pt>
                <c:pt idx="1925">
                  <c:v>42205</c:v>
                </c:pt>
                <c:pt idx="1926">
                  <c:v>42202</c:v>
                </c:pt>
                <c:pt idx="1927">
                  <c:v>42201</c:v>
                </c:pt>
                <c:pt idx="1928">
                  <c:v>42200</c:v>
                </c:pt>
                <c:pt idx="1929">
                  <c:v>42199</c:v>
                </c:pt>
                <c:pt idx="1930">
                  <c:v>42198</c:v>
                </c:pt>
                <c:pt idx="1931">
                  <c:v>42195</c:v>
                </c:pt>
                <c:pt idx="1932">
                  <c:v>42194</c:v>
                </c:pt>
                <c:pt idx="1933">
                  <c:v>42193</c:v>
                </c:pt>
                <c:pt idx="1934">
                  <c:v>42192</c:v>
                </c:pt>
                <c:pt idx="1935">
                  <c:v>42191</c:v>
                </c:pt>
                <c:pt idx="1936">
                  <c:v>42188</c:v>
                </c:pt>
                <c:pt idx="1937">
                  <c:v>42187</c:v>
                </c:pt>
                <c:pt idx="1938">
                  <c:v>42186</c:v>
                </c:pt>
                <c:pt idx="1939">
                  <c:v>42185</c:v>
                </c:pt>
                <c:pt idx="1940">
                  <c:v>42184</c:v>
                </c:pt>
                <c:pt idx="1941">
                  <c:v>42181</c:v>
                </c:pt>
                <c:pt idx="1942">
                  <c:v>42180</c:v>
                </c:pt>
                <c:pt idx="1943">
                  <c:v>42179</c:v>
                </c:pt>
                <c:pt idx="1944">
                  <c:v>42178</c:v>
                </c:pt>
                <c:pt idx="1945">
                  <c:v>42177</c:v>
                </c:pt>
                <c:pt idx="1946">
                  <c:v>42174</c:v>
                </c:pt>
                <c:pt idx="1947">
                  <c:v>42173</c:v>
                </c:pt>
                <c:pt idx="1948">
                  <c:v>42172</c:v>
                </c:pt>
                <c:pt idx="1949">
                  <c:v>42171</c:v>
                </c:pt>
                <c:pt idx="1950">
                  <c:v>42170</c:v>
                </c:pt>
                <c:pt idx="1951">
                  <c:v>42167</c:v>
                </c:pt>
                <c:pt idx="1952">
                  <c:v>42166</c:v>
                </c:pt>
                <c:pt idx="1953">
                  <c:v>42165</c:v>
                </c:pt>
                <c:pt idx="1954">
                  <c:v>42164</c:v>
                </c:pt>
                <c:pt idx="1955">
                  <c:v>42163</c:v>
                </c:pt>
                <c:pt idx="1956">
                  <c:v>42160</c:v>
                </c:pt>
                <c:pt idx="1957">
                  <c:v>42159</c:v>
                </c:pt>
                <c:pt idx="1958">
                  <c:v>42158</c:v>
                </c:pt>
                <c:pt idx="1959">
                  <c:v>42157</c:v>
                </c:pt>
                <c:pt idx="1960">
                  <c:v>42156</c:v>
                </c:pt>
                <c:pt idx="1961">
                  <c:v>42153</c:v>
                </c:pt>
                <c:pt idx="1962">
                  <c:v>42152</c:v>
                </c:pt>
                <c:pt idx="1963">
                  <c:v>42151</c:v>
                </c:pt>
                <c:pt idx="1964">
                  <c:v>42150</c:v>
                </c:pt>
                <c:pt idx="1965">
                  <c:v>42149</c:v>
                </c:pt>
                <c:pt idx="1966">
                  <c:v>42146</c:v>
                </c:pt>
                <c:pt idx="1967">
                  <c:v>42145</c:v>
                </c:pt>
                <c:pt idx="1968">
                  <c:v>42144</c:v>
                </c:pt>
                <c:pt idx="1969">
                  <c:v>42143</c:v>
                </c:pt>
                <c:pt idx="1970">
                  <c:v>42142</c:v>
                </c:pt>
                <c:pt idx="1971">
                  <c:v>42139</c:v>
                </c:pt>
                <c:pt idx="1972">
                  <c:v>42138</c:v>
                </c:pt>
                <c:pt idx="1973">
                  <c:v>42137</c:v>
                </c:pt>
                <c:pt idx="1974">
                  <c:v>42136</c:v>
                </c:pt>
                <c:pt idx="1975">
                  <c:v>42135</c:v>
                </c:pt>
                <c:pt idx="1976">
                  <c:v>42132</c:v>
                </c:pt>
                <c:pt idx="1977">
                  <c:v>42131</c:v>
                </c:pt>
                <c:pt idx="1978">
                  <c:v>42130</c:v>
                </c:pt>
                <c:pt idx="1979">
                  <c:v>42129</c:v>
                </c:pt>
                <c:pt idx="1980">
                  <c:v>42128</c:v>
                </c:pt>
                <c:pt idx="1981">
                  <c:v>42125</c:v>
                </c:pt>
                <c:pt idx="1982">
                  <c:v>42124</c:v>
                </c:pt>
                <c:pt idx="1983">
                  <c:v>42123</c:v>
                </c:pt>
                <c:pt idx="1984">
                  <c:v>42122</c:v>
                </c:pt>
                <c:pt idx="1985">
                  <c:v>42121</c:v>
                </c:pt>
                <c:pt idx="1986">
                  <c:v>42118</c:v>
                </c:pt>
                <c:pt idx="1987">
                  <c:v>42117</c:v>
                </c:pt>
                <c:pt idx="1988">
                  <c:v>42116</c:v>
                </c:pt>
                <c:pt idx="1989">
                  <c:v>42115</c:v>
                </c:pt>
                <c:pt idx="1990">
                  <c:v>42114</c:v>
                </c:pt>
                <c:pt idx="1991">
                  <c:v>42111</c:v>
                </c:pt>
                <c:pt idx="1992">
                  <c:v>42110</c:v>
                </c:pt>
                <c:pt idx="1993">
                  <c:v>42109</c:v>
                </c:pt>
                <c:pt idx="1994">
                  <c:v>42108</c:v>
                </c:pt>
                <c:pt idx="1995">
                  <c:v>42107</c:v>
                </c:pt>
                <c:pt idx="1996">
                  <c:v>42104</c:v>
                </c:pt>
                <c:pt idx="1997">
                  <c:v>42103</c:v>
                </c:pt>
                <c:pt idx="1998">
                  <c:v>42102</c:v>
                </c:pt>
                <c:pt idx="1999">
                  <c:v>42101</c:v>
                </c:pt>
                <c:pt idx="2000">
                  <c:v>42100</c:v>
                </c:pt>
                <c:pt idx="2001">
                  <c:v>42097</c:v>
                </c:pt>
                <c:pt idx="2002">
                  <c:v>42096</c:v>
                </c:pt>
                <c:pt idx="2003">
                  <c:v>42095</c:v>
                </c:pt>
                <c:pt idx="2004">
                  <c:v>42094</c:v>
                </c:pt>
                <c:pt idx="2005">
                  <c:v>42093</c:v>
                </c:pt>
                <c:pt idx="2006">
                  <c:v>42090</c:v>
                </c:pt>
                <c:pt idx="2007">
                  <c:v>42089</c:v>
                </c:pt>
                <c:pt idx="2008">
                  <c:v>42088</c:v>
                </c:pt>
                <c:pt idx="2009">
                  <c:v>42087</c:v>
                </c:pt>
                <c:pt idx="2010">
                  <c:v>42086</c:v>
                </c:pt>
                <c:pt idx="2011">
                  <c:v>42083</c:v>
                </c:pt>
                <c:pt idx="2012">
                  <c:v>42082</c:v>
                </c:pt>
                <c:pt idx="2013">
                  <c:v>42081</c:v>
                </c:pt>
                <c:pt idx="2014">
                  <c:v>42080</c:v>
                </c:pt>
                <c:pt idx="2015">
                  <c:v>42079</c:v>
                </c:pt>
                <c:pt idx="2016">
                  <c:v>42076</c:v>
                </c:pt>
                <c:pt idx="2017">
                  <c:v>42075</c:v>
                </c:pt>
                <c:pt idx="2018">
                  <c:v>42074</c:v>
                </c:pt>
                <c:pt idx="2019">
                  <c:v>42073</c:v>
                </c:pt>
                <c:pt idx="2020">
                  <c:v>42072</c:v>
                </c:pt>
                <c:pt idx="2021">
                  <c:v>42069</c:v>
                </c:pt>
                <c:pt idx="2022">
                  <c:v>42068</c:v>
                </c:pt>
                <c:pt idx="2023">
                  <c:v>42067</c:v>
                </c:pt>
                <c:pt idx="2024">
                  <c:v>42066</c:v>
                </c:pt>
                <c:pt idx="2025">
                  <c:v>42065</c:v>
                </c:pt>
                <c:pt idx="2026">
                  <c:v>42062</c:v>
                </c:pt>
                <c:pt idx="2027">
                  <c:v>42061</c:v>
                </c:pt>
                <c:pt idx="2028">
                  <c:v>42060</c:v>
                </c:pt>
                <c:pt idx="2029">
                  <c:v>42059</c:v>
                </c:pt>
                <c:pt idx="2030">
                  <c:v>42058</c:v>
                </c:pt>
                <c:pt idx="2031">
                  <c:v>42055</c:v>
                </c:pt>
                <c:pt idx="2032">
                  <c:v>42054</c:v>
                </c:pt>
                <c:pt idx="2033">
                  <c:v>42053</c:v>
                </c:pt>
                <c:pt idx="2034">
                  <c:v>42052</c:v>
                </c:pt>
                <c:pt idx="2035">
                  <c:v>42051</c:v>
                </c:pt>
                <c:pt idx="2036">
                  <c:v>42048</c:v>
                </c:pt>
                <c:pt idx="2037">
                  <c:v>42047</c:v>
                </c:pt>
                <c:pt idx="2038">
                  <c:v>42046</c:v>
                </c:pt>
                <c:pt idx="2039">
                  <c:v>42045</c:v>
                </c:pt>
                <c:pt idx="2040">
                  <c:v>42044</c:v>
                </c:pt>
                <c:pt idx="2041">
                  <c:v>42041</c:v>
                </c:pt>
                <c:pt idx="2042">
                  <c:v>42040</c:v>
                </c:pt>
                <c:pt idx="2043">
                  <c:v>42039</c:v>
                </c:pt>
                <c:pt idx="2044">
                  <c:v>42038</c:v>
                </c:pt>
                <c:pt idx="2045">
                  <c:v>42037</c:v>
                </c:pt>
                <c:pt idx="2046">
                  <c:v>42034</c:v>
                </c:pt>
                <c:pt idx="2047">
                  <c:v>42033</c:v>
                </c:pt>
                <c:pt idx="2048">
                  <c:v>42032</c:v>
                </c:pt>
                <c:pt idx="2049">
                  <c:v>42031</c:v>
                </c:pt>
                <c:pt idx="2050">
                  <c:v>42030</c:v>
                </c:pt>
                <c:pt idx="2051">
                  <c:v>42027</c:v>
                </c:pt>
                <c:pt idx="2052">
                  <c:v>42026</c:v>
                </c:pt>
                <c:pt idx="2053">
                  <c:v>42025</c:v>
                </c:pt>
                <c:pt idx="2054">
                  <c:v>42024</c:v>
                </c:pt>
                <c:pt idx="2055">
                  <c:v>42023</c:v>
                </c:pt>
                <c:pt idx="2056">
                  <c:v>42020</c:v>
                </c:pt>
                <c:pt idx="2057">
                  <c:v>42019</c:v>
                </c:pt>
                <c:pt idx="2058">
                  <c:v>42018</c:v>
                </c:pt>
                <c:pt idx="2059">
                  <c:v>42017</c:v>
                </c:pt>
                <c:pt idx="2060">
                  <c:v>42016</c:v>
                </c:pt>
                <c:pt idx="2061">
                  <c:v>42013</c:v>
                </c:pt>
                <c:pt idx="2062">
                  <c:v>42012</c:v>
                </c:pt>
                <c:pt idx="2063">
                  <c:v>42011</c:v>
                </c:pt>
                <c:pt idx="2064">
                  <c:v>42010</c:v>
                </c:pt>
                <c:pt idx="2065">
                  <c:v>42009</c:v>
                </c:pt>
                <c:pt idx="2066">
                  <c:v>42006</c:v>
                </c:pt>
                <c:pt idx="2067">
                  <c:v>42004</c:v>
                </c:pt>
                <c:pt idx="2068">
                  <c:v>42003</c:v>
                </c:pt>
                <c:pt idx="2069">
                  <c:v>42002</c:v>
                </c:pt>
                <c:pt idx="2070">
                  <c:v>41999</c:v>
                </c:pt>
                <c:pt idx="2071">
                  <c:v>41997</c:v>
                </c:pt>
                <c:pt idx="2072">
                  <c:v>41996</c:v>
                </c:pt>
                <c:pt idx="2073">
                  <c:v>41995</c:v>
                </c:pt>
                <c:pt idx="2074">
                  <c:v>41992</c:v>
                </c:pt>
                <c:pt idx="2075">
                  <c:v>41991</c:v>
                </c:pt>
                <c:pt idx="2076">
                  <c:v>41990</c:v>
                </c:pt>
                <c:pt idx="2077">
                  <c:v>41989</c:v>
                </c:pt>
                <c:pt idx="2078">
                  <c:v>41988</c:v>
                </c:pt>
                <c:pt idx="2079">
                  <c:v>41985</c:v>
                </c:pt>
                <c:pt idx="2080">
                  <c:v>41984</c:v>
                </c:pt>
                <c:pt idx="2081">
                  <c:v>41983</c:v>
                </c:pt>
                <c:pt idx="2082">
                  <c:v>41982</c:v>
                </c:pt>
                <c:pt idx="2083">
                  <c:v>41981</c:v>
                </c:pt>
                <c:pt idx="2084">
                  <c:v>41978</c:v>
                </c:pt>
                <c:pt idx="2085">
                  <c:v>41977</c:v>
                </c:pt>
                <c:pt idx="2086">
                  <c:v>41976</c:v>
                </c:pt>
                <c:pt idx="2087">
                  <c:v>41975</c:v>
                </c:pt>
                <c:pt idx="2088">
                  <c:v>41974</c:v>
                </c:pt>
                <c:pt idx="2089">
                  <c:v>41971</c:v>
                </c:pt>
                <c:pt idx="2090">
                  <c:v>41970</c:v>
                </c:pt>
                <c:pt idx="2091">
                  <c:v>41969</c:v>
                </c:pt>
                <c:pt idx="2092">
                  <c:v>41968</c:v>
                </c:pt>
                <c:pt idx="2093">
                  <c:v>41967</c:v>
                </c:pt>
                <c:pt idx="2094">
                  <c:v>41964</c:v>
                </c:pt>
                <c:pt idx="2095">
                  <c:v>41963</c:v>
                </c:pt>
                <c:pt idx="2096">
                  <c:v>41962</c:v>
                </c:pt>
                <c:pt idx="2097">
                  <c:v>41961</c:v>
                </c:pt>
                <c:pt idx="2098">
                  <c:v>41960</c:v>
                </c:pt>
                <c:pt idx="2099">
                  <c:v>41957</c:v>
                </c:pt>
                <c:pt idx="2100">
                  <c:v>41956</c:v>
                </c:pt>
                <c:pt idx="2101">
                  <c:v>41955</c:v>
                </c:pt>
                <c:pt idx="2102">
                  <c:v>41954</c:v>
                </c:pt>
                <c:pt idx="2103">
                  <c:v>41953</c:v>
                </c:pt>
                <c:pt idx="2104">
                  <c:v>41950</c:v>
                </c:pt>
                <c:pt idx="2105">
                  <c:v>41949</c:v>
                </c:pt>
                <c:pt idx="2106">
                  <c:v>41948</c:v>
                </c:pt>
                <c:pt idx="2107">
                  <c:v>41947</c:v>
                </c:pt>
                <c:pt idx="2108">
                  <c:v>41946</c:v>
                </c:pt>
                <c:pt idx="2109">
                  <c:v>41943</c:v>
                </c:pt>
                <c:pt idx="2110">
                  <c:v>41942</c:v>
                </c:pt>
                <c:pt idx="2111">
                  <c:v>41941</c:v>
                </c:pt>
                <c:pt idx="2112">
                  <c:v>41940</c:v>
                </c:pt>
                <c:pt idx="2113">
                  <c:v>41939</c:v>
                </c:pt>
                <c:pt idx="2114">
                  <c:v>41936</c:v>
                </c:pt>
                <c:pt idx="2115">
                  <c:v>41935</c:v>
                </c:pt>
                <c:pt idx="2116">
                  <c:v>41934</c:v>
                </c:pt>
                <c:pt idx="2117">
                  <c:v>41933</c:v>
                </c:pt>
                <c:pt idx="2118">
                  <c:v>41932</c:v>
                </c:pt>
                <c:pt idx="2119">
                  <c:v>41929</c:v>
                </c:pt>
                <c:pt idx="2120">
                  <c:v>41928</c:v>
                </c:pt>
                <c:pt idx="2121">
                  <c:v>41927</c:v>
                </c:pt>
                <c:pt idx="2122">
                  <c:v>41926</c:v>
                </c:pt>
                <c:pt idx="2123">
                  <c:v>41925</c:v>
                </c:pt>
                <c:pt idx="2124">
                  <c:v>41922</c:v>
                </c:pt>
                <c:pt idx="2125">
                  <c:v>41921</c:v>
                </c:pt>
                <c:pt idx="2126">
                  <c:v>41920</c:v>
                </c:pt>
                <c:pt idx="2127">
                  <c:v>41919</c:v>
                </c:pt>
                <c:pt idx="2128">
                  <c:v>41918</c:v>
                </c:pt>
                <c:pt idx="2129">
                  <c:v>41915</c:v>
                </c:pt>
                <c:pt idx="2130">
                  <c:v>41914</c:v>
                </c:pt>
                <c:pt idx="2131">
                  <c:v>41913</c:v>
                </c:pt>
                <c:pt idx="2132">
                  <c:v>41912</c:v>
                </c:pt>
                <c:pt idx="2133">
                  <c:v>41911</c:v>
                </c:pt>
                <c:pt idx="2134">
                  <c:v>41908</c:v>
                </c:pt>
                <c:pt idx="2135">
                  <c:v>41907</c:v>
                </c:pt>
                <c:pt idx="2136">
                  <c:v>41906</c:v>
                </c:pt>
                <c:pt idx="2137">
                  <c:v>41905</c:v>
                </c:pt>
                <c:pt idx="2138">
                  <c:v>41904</c:v>
                </c:pt>
                <c:pt idx="2139">
                  <c:v>41901</c:v>
                </c:pt>
                <c:pt idx="2140">
                  <c:v>41900</c:v>
                </c:pt>
                <c:pt idx="2141">
                  <c:v>41899</c:v>
                </c:pt>
                <c:pt idx="2142">
                  <c:v>41898</c:v>
                </c:pt>
                <c:pt idx="2143">
                  <c:v>41897</c:v>
                </c:pt>
                <c:pt idx="2144">
                  <c:v>41894</c:v>
                </c:pt>
                <c:pt idx="2145">
                  <c:v>41893</c:v>
                </c:pt>
                <c:pt idx="2146">
                  <c:v>41892</c:v>
                </c:pt>
                <c:pt idx="2147">
                  <c:v>41891</c:v>
                </c:pt>
                <c:pt idx="2148">
                  <c:v>41890</c:v>
                </c:pt>
                <c:pt idx="2149">
                  <c:v>41887</c:v>
                </c:pt>
                <c:pt idx="2150">
                  <c:v>41886</c:v>
                </c:pt>
                <c:pt idx="2151">
                  <c:v>41885</c:v>
                </c:pt>
                <c:pt idx="2152">
                  <c:v>41884</c:v>
                </c:pt>
                <c:pt idx="2153">
                  <c:v>41883</c:v>
                </c:pt>
                <c:pt idx="2154">
                  <c:v>41880</c:v>
                </c:pt>
                <c:pt idx="2155">
                  <c:v>41879</c:v>
                </c:pt>
                <c:pt idx="2156">
                  <c:v>41878</c:v>
                </c:pt>
                <c:pt idx="2157">
                  <c:v>41877</c:v>
                </c:pt>
                <c:pt idx="2158">
                  <c:v>41876</c:v>
                </c:pt>
                <c:pt idx="2159">
                  <c:v>41873</c:v>
                </c:pt>
                <c:pt idx="2160">
                  <c:v>41872</c:v>
                </c:pt>
                <c:pt idx="2161">
                  <c:v>41871</c:v>
                </c:pt>
                <c:pt idx="2162">
                  <c:v>41870</c:v>
                </c:pt>
                <c:pt idx="2163">
                  <c:v>41869</c:v>
                </c:pt>
                <c:pt idx="2164">
                  <c:v>41866</c:v>
                </c:pt>
                <c:pt idx="2165">
                  <c:v>41865</c:v>
                </c:pt>
                <c:pt idx="2166">
                  <c:v>41864</c:v>
                </c:pt>
                <c:pt idx="2167">
                  <c:v>41863</c:v>
                </c:pt>
                <c:pt idx="2168">
                  <c:v>41862</c:v>
                </c:pt>
                <c:pt idx="2169">
                  <c:v>41859</c:v>
                </c:pt>
                <c:pt idx="2170">
                  <c:v>41858</c:v>
                </c:pt>
                <c:pt idx="2171">
                  <c:v>41857</c:v>
                </c:pt>
                <c:pt idx="2172">
                  <c:v>41856</c:v>
                </c:pt>
                <c:pt idx="2173">
                  <c:v>41855</c:v>
                </c:pt>
                <c:pt idx="2174">
                  <c:v>41852</c:v>
                </c:pt>
                <c:pt idx="2175">
                  <c:v>41851</c:v>
                </c:pt>
                <c:pt idx="2176">
                  <c:v>41850</c:v>
                </c:pt>
                <c:pt idx="2177">
                  <c:v>41849</c:v>
                </c:pt>
                <c:pt idx="2178">
                  <c:v>41848</c:v>
                </c:pt>
                <c:pt idx="2179">
                  <c:v>41845</c:v>
                </c:pt>
                <c:pt idx="2180">
                  <c:v>41844</c:v>
                </c:pt>
                <c:pt idx="2181">
                  <c:v>41843</c:v>
                </c:pt>
                <c:pt idx="2182">
                  <c:v>41842</c:v>
                </c:pt>
                <c:pt idx="2183">
                  <c:v>41841</c:v>
                </c:pt>
                <c:pt idx="2184">
                  <c:v>41838</c:v>
                </c:pt>
                <c:pt idx="2185">
                  <c:v>41837</c:v>
                </c:pt>
                <c:pt idx="2186">
                  <c:v>41836</c:v>
                </c:pt>
                <c:pt idx="2187">
                  <c:v>41835</c:v>
                </c:pt>
                <c:pt idx="2188">
                  <c:v>41834</c:v>
                </c:pt>
                <c:pt idx="2189">
                  <c:v>41831</c:v>
                </c:pt>
                <c:pt idx="2190">
                  <c:v>41830</c:v>
                </c:pt>
                <c:pt idx="2191">
                  <c:v>41829</c:v>
                </c:pt>
                <c:pt idx="2192">
                  <c:v>41828</c:v>
                </c:pt>
                <c:pt idx="2193">
                  <c:v>41827</c:v>
                </c:pt>
                <c:pt idx="2194">
                  <c:v>41824</c:v>
                </c:pt>
                <c:pt idx="2195">
                  <c:v>41823</c:v>
                </c:pt>
                <c:pt idx="2196">
                  <c:v>41822</c:v>
                </c:pt>
                <c:pt idx="2197">
                  <c:v>41821</c:v>
                </c:pt>
                <c:pt idx="2198">
                  <c:v>41820</c:v>
                </c:pt>
                <c:pt idx="2199">
                  <c:v>41817</c:v>
                </c:pt>
                <c:pt idx="2200">
                  <c:v>41816</c:v>
                </c:pt>
                <c:pt idx="2201">
                  <c:v>41815</c:v>
                </c:pt>
                <c:pt idx="2202">
                  <c:v>41814</c:v>
                </c:pt>
                <c:pt idx="2203">
                  <c:v>41813</c:v>
                </c:pt>
                <c:pt idx="2204">
                  <c:v>41810</c:v>
                </c:pt>
                <c:pt idx="2205">
                  <c:v>41809</c:v>
                </c:pt>
                <c:pt idx="2206">
                  <c:v>41808</c:v>
                </c:pt>
                <c:pt idx="2207">
                  <c:v>41807</c:v>
                </c:pt>
                <c:pt idx="2208">
                  <c:v>41806</c:v>
                </c:pt>
                <c:pt idx="2209">
                  <c:v>41803</c:v>
                </c:pt>
                <c:pt idx="2210">
                  <c:v>41802</c:v>
                </c:pt>
                <c:pt idx="2211">
                  <c:v>41801</c:v>
                </c:pt>
                <c:pt idx="2212">
                  <c:v>41800</c:v>
                </c:pt>
                <c:pt idx="2213">
                  <c:v>41799</c:v>
                </c:pt>
                <c:pt idx="2214">
                  <c:v>41796</c:v>
                </c:pt>
                <c:pt idx="2215">
                  <c:v>41795</c:v>
                </c:pt>
                <c:pt idx="2216">
                  <c:v>41794</c:v>
                </c:pt>
                <c:pt idx="2217">
                  <c:v>41793</c:v>
                </c:pt>
                <c:pt idx="2218">
                  <c:v>41792</c:v>
                </c:pt>
                <c:pt idx="2219">
                  <c:v>41789</c:v>
                </c:pt>
                <c:pt idx="2220">
                  <c:v>41788</c:v>
                </c:pt>
                <c:pt idx="2221">
                  <c:v>41787</c:v>
                </c:pt>
                <c:pt idx="2222">
                  <c:v>41786</c:v>
                </c:pt>
                <c:pt idx="2223">
                  <c:v>41785</c:v>
                </c:pt>
                <c:pt idx="2224">
                  <c:v>41782</c:v>
                </c:pt>
                <c:pt idx="2225">
                  <c:v>41781</c:v>
                </c:pt>
                <c:pt idx="2226">
                  <c:v>41780</c:v>
                </c:pt>
                <c:pt idx="2227">
                  <c:v>41779</c:v>
                </c:pt>
                <c:pt idx="2228">
                  <c:v>41778</c:v>
                </c:pt>
                <c:pt idx="2229">
                  <c:v>41775</c:v>
                </c:pt>
                <c:pt idx="2230">
                  <c:v>41774</c:v>
                </c:pt>
                <c:pt idx="2231">
                  <c:v>41773</c:v>
                </c:pt>
                <c:pt idx="2232">
                  <c:v>41772</c:v>
                </c:pt>
                <c:pt idx="2233">
                  <c:v>41771</c:v>
                </c:pt>
                <c:pt idx="2234">
                  <c:v>41768</c:v>
                </c:pt>
                <c:pt idx="2235">
                  <c:v>41767</c:v>
                </c:pt>
                <c:pt idx="2236">
                  <c:v>41766</c:v>
                </c:pt>
                <c:pt idx="2237">
                  <c:v>41765</c:v>
                </c:pt>
                <c:pt idx="2238">
                  <c:v>41764</c:v>
                </c:pt>
                <c:pt idx="2239">
                  <c:v>41761</c:v>
                </c:pt>
                <c:pt idx="2240">
                  <c:v>41760</c:v>
                </c:pt>
                <c:pt idx="2241">
                  <c:v>41759</c:v>
                </c:pt>
                <c:pt idx="2242">
                  <c:v>41758</c:v>
                </c:pt>
                <c:pt idx="2243">
                  <c:v>41757</c:v>
                </c:pt>
                <c:pt idx="2244">
                  <c:v>41754</c:v>
                </c:pt>
                <c:pt idx="2245">
                  <c:v>41753</c:v>
                </c:pt>
                <c:pt idx="2246">
                  <c:v>41752</c:v>
                </c:pt>
                <c:pt idx="2247">
                  <c:v>41751</c:v>
                </c:pt>
                <c:pt idx="2248">
                  <c:v>41750</c:v>
                </c:pt>
                <c:pt idx="2249">
                  <c:v>41746</c:v>
                </c:pt>
                <c:pt idx="2250">
                  <c:v>41745</c:v>
                </c:pt>
                <c:pt idx="2251">
                  <c:v>41744</c:v>
                </c:pt>
                <c:pt idx="2252">
                  <c:v>41743</c:v>
                </c:pt>
                <c:pt idx="2253">
                  <c:v>41740</c:v>
                </c:pt>
                <c:pt idx="2254">
                  <c:v>41739</c:v>
                </c:pt>
                <c:pt idx="2255">
                  <c:v>41738</c:v>
                </c:pt>
                <c:pt idx="2256">
                  <c:v>41737</c:v>
                </c:pt>
                <c:pt idx="2257">
                  <c:v>41736</c:v>
                </c:pt>
                <c:pt idx="2258">
                  <c:v>41733</c:v>
                </c:pt>
                <c:pt idx="2259">
                  <c:v>41732</c:v>
                </c:pt>
                <c:pt idx="2260">
                  <c:v>41731</c:v>
                </c:pt>
                <c:pt idx="2261">
                  <c:v>41730</c:v>
                </c:pt>
                <c:pt idx="2262">
                  <c:v>41729</c:v>
                </c:pt>
                <c:pt idx="2263">
                  <c:v>41726</c:v>
                </c:pt>
                <c:pt idx="2264">
                  <c:v>41725</c:v>
                </c:pt>
                <c:pt idx="2265">
                  <c:v>41724</c:v>
                </c:pt>
                <c:pt idx="2266">
                  <c:v>41723</c:v>
                </c:pt>
                <c:pt idx="2267">
                  <c:v>41722</c:v>
                </c:pt>
                <c:pt idx="2268">
                  <c:v>41719</c:v>
                </c:pt>
                <c:pt idx="2269">
                  <c:v>41718</c:v>
                </c:pt>
                <c:pt idx="2270">
                  <c:v>41717</c:v>
                </c:pt>
                <c:pt idx="2271">
                  <c:v>41716</c:v>
                </c:pt>
                <c:pt idx="2272">
                  <c:v>41715</c:v>
                </c:pt>
                <c:pt idx="2273">
                  <c:v>41712</c:v>
                </c:pt>
                <c:pt idx="2274">
                  <c:v>41711</c:v>
                </c:pt>
                <c:pt idx="2275">
                  <c:v>41710</c:v>
                </c:pt>
                <c:pt idx="2276">
                  <c:v>41709</c:v>
                </c:pt>
                <c:pt idx="2277">
                  <c:v>41708</c:v>
                </c:pt>
                <c:pt idx="2278">
                  <c:v>41705</c:v>
                </c:pt>
                <c:pt idx="2279">
                  <c:v>41704</c:v>
                </c:pt>
                <c:pt idx="2280">
                  <c:v>41703</c:v>
                </c:pt>
                <c:pt idx="2281">
                  <c:v>41702</c:v>
                </c:pt>
                <c:pt idx="2282">
                  <c:v>41701</c:v>
                </c:pt>
                <c:pt idx="2283">
                  <c:v>41698</c:v>
                </c:pt>
                <c:pt idx="2284">
                  <c:v>41697</c:v>
                </c:pt>
                <c:pt idx="2285">
                  <c:v>41696</c:v>
                </c:pt>
                <c:pt idx="2286">
                  <c:v>41695</c:v>
                </c:pt>
                <c:pt idx="2287">
                  <c:v>41694</c:v>
                </c:pt>
                <c:pt idx="2288">
                  <c:v>41691</c:v>
                </c:pt>
                <c:pt idx="2289">
                  <c:v>41690</c:v>
                </c:pt>
                <c:pt idx="2290">
                  <c:v>41689</c:v>
                </c:pt>
                <c:pt idx="2291">
                  <c:v>41688</c:v>
                </c:pt>
                <c:pt idx="2292">
                  <c:v>41687</c:v>
                </c:pt>
                <c:pt idx="2293">
                  <c:v>41684</c:v>
                </c:pt>
                <c:pt idx="2294">
                  <c:v>41683</c:v>
                </c:pt>
                <c:pt idx="2295">
                  <c:v>41682</c:v>
                </c:pt>
                <c:pt idx="2296">
                  <c:v>41681</c:v>
                </c:pt>
                <c:pt idx="2297">
                  <c:v>41680</c:v>
                </c:pt>
                <c:pt idx="2298">
                  <c:v>41677</c:v>
                </c:pt>
                <c:pt idx="2299">
                  <c:v>41676</c:v>
                </c:pt>
                <c:pt idx="2300">
                  <c:v>41675</c:v>
                </c:pt>
                <c:pt idx="2301">
                  <c:v>41674</c:v>
                </c:pt>
                <c:pt idx="2302">
                  <c:v>41673</c:v>
                </c:pt>
                <c:pt idx="2303">
                  <c:v>41670</c:v>
                </c:pt>
                <c:pt idx="2304">
                  <c:v>41669</c:v>
                </c:pt>
                <c:pt idx="2305">
                  <c:v>41668</c:v>
                </c:pt>
                <c:pt idx="2306">
                  <c:v>41667</c:v>
                </c:pt>
                <c:pt idx="2307">
                  <c:v>41666</c:v>
                </c:pt>
                <c:pt idx="2308">
                  <c:v>41663</c:v>
                </c:pt>
                <c:pt idx="2309">
                  <c:v>41662</c:v>
                </c:pt>
                <c:pt idx="2310">
                  <c:v>41661</c:v>
                </c:pt>
                <c:pt idx="2311">
                  <c:v>41660</c:v>
                </c:pt>
                <c:pt idx="2312">
                  <c:v>41659</c:v>
                </c:pt>
                <c:pt idx="2313">
                  <c:v>41656</c:v>
                </c:pt>
                <c:pt idx="2314">
                  <c:v>41655</c:v>
                </c:pt>
                <c:pt idx="2315">
                  <c:v>41654</c:v>
                </c:pt>
                <c:pt idx="2316">
                  <c:v>41653</c:v>
                </c:pt>
                <c:pt idx="2317">
                  <c:v>41652</c:v>
                </c:pt>
                <c:pt idx="2318">
                  <c:v>41649</c:v>
                </c:pt>
                <c:pt idx="2319">
                  <c:v>41648</c:v>
                </c:pt>
                <c:pt idx="2320">
                  <c:v>41647</c:v>
                </c:pt>
                <c:pt idx="2321">
                  <c:v>41646</c:v>
                </c:pt>
                <c:pt idx="2322">
                  <c:v>41645</c:v>
                </c:pt>
                <c:pt idx="2323">
                  <c:v>41642</c:v>
                </c:pt>
                <c:pt idx="2324">
                  <c:v>41641</c:v>
                </c:pt>
                <c:pt idx="2325">
                  <c:v>41639</c:v>
                </c:pt>
                <c:pt idx="2326">
                  <c:v>41638</c:v>
                </c:pt>
                <c:pt idx="2327">
                  <c:v>41635</c:v>
                </c:pt>
                <c:pt idx="2328">
                  <c:v>41634</c:v>
                </c:pt>
                <c:pt idx="2329">
                  <c:v>41632</c:v>
                </c:pt>
                <c:pt idx="2330">
                  <c:v>41631</c:v>
                </c:pt>
                <c:pt idx="2331">
                  <c:v>41628</c:v>
                </c:pt>
                <c:pt idx="2332">
                  <c:v>41627</c:v>
                </c:pt>
                <c:pt idx="2333">
                  <c:v>41626</c:v>
                </c:pt>
                <c:pt idx="2334">
                  <c:v>41625</c:v>
                </c:pt>
                <c:pt idx="2335">
                  <c:v>41624</c:v>
                </c:pt>
                <c:pt idx="2336">
                  <c:v>41621</c:v>
                </c:pt>
                <c:pt idx="2337">
                  <c:v>41620</c:v>
                </c:pt>
                <c:pt idx="2338">
                  <c:v>41619</c:v>
                </c:pt>
                <c:pt idx="2339">
                  <c:v>41618</c:v>
                </c:pt>
                <c:pt idx="2340">
                  <c:v>41617</c:v>
                </c:pt>
                <c:pt idx="2341">
                  <c:v>41614</c:v>
                </c:pt>
                <c:pt idx="2342">
                  <c:v>41613</c:v>
                </c:pt>
                <c:pt idx="2343">
                  <c:v>41612</c:v>
                </c:pt>
                <c:pt idx="2344">
                  <c:v>41611</c:v>
                </c:pt>
                <c:pt idx="2345">
                  <c:v>41610</c:v>
                </c:pt>
                <c:pt idx="2346">
                  <c:v>41607</c:v>
                </c:pt>
                <c:pt idx="2347">
                  <c:v>41606</c:v>
                </c:pt>
                <c:pt idx="2348">
                  <c:v>41605</c:v>
                </c:pt>
                <c:pt idx="2349">
                  <c:v>41604</c:v>
                </c:pt>
                <c:pt idx="2350">
                  <c:v>41603</c:v>
                </c:pt>
                <c:pt idx="2351">
                  <c:v>41600</c:v>
                </c:pt>
                <c:pt idx="2352">
                  <c:v>41599</c:v>
                </c:pt>
                <c:pt idx="2353">
                  <c:v>41598</c:v>
                </c:pt>
                <c:pt idx="2354">
                  <c:v>41597</c:v>
                </c:pt>
                <c:pt idx="2355">
                  <c:v>41596</c:v>
                </c:pt>
                <c:pt idx="2356">
                  <c:v>41593</c:v>
                </c:pt>
                <c:pt idx="2357">
                  <c:v>41592</c:v>
                </c:pt>
                <c:pt idx="2358">
                  <c:v>41591</c:v>
                </c:pt>
                <c:pt idx="2359">
                  <c:v>41590</c:v>
                </c:pt>
                <c:pt idx="2360">
                  <c:v>41589</c:v>
                </c:pt>
                <c:pt idx="2361">
                  <c:v>41586</c:v>
                </c:pt>
                <c:pt idx="2362">
                  <c:v>41585</c:v>
                </c:pt>
                <c:pt idx="2363">
                  <c:v>41584</c:v>
                </c:pt>
                <c:pt idx="2364">
                  <c:v>41583</c:v>
                </c:pt>
                <c:pt idx="2365">
                  <c:v>41582</c:v>
                </c:pt>
                <c:pt idx="2366">
                  <c:v>41579</c:v>
                </c:pt>
                <c:pt idx="2367">
                  <c:v>41578</c:v>
                </c:pt>
                <c:pt idx="2368">
                  <c:v>41577</c:v>
                </c:pt>
                <c:pt idx="2369">
                  <c:v>41576</c:v>
                </c:pt>
                <c:pt idx="2370">
                  <c:v>41575</c:v>
                </c:pt>
                <c:pt idx="2371">
                  <c:v>41572</c:v>
                </c:pt>
                <c:pt idx="2372">
                  <c:v>41571</c:v>
                </c:pt>
                <c:pt idx="2373">
                  <c:v>41570</c:v>
                </c:pt>
                <c:pt idx="2374">
                  <c:v>41569</c:v>
                </c:pt>
                <c:pt idx="2375">
                  <c:v>41568</c:v>
                </c:pt>
                <c:pt idx="2376">
                  <c:v>41565</c:v>
                </c:pt>
                <c:pt idx="2377">
                  <c:v>41564</c:v>
                </c:pt>
                <c:pt idx="2378">
                  <c:v>41563</c:v>
                </c:pt>
                <c:pt idx="2379">
                  <c:v>41562</c:v>
                </c:pt>
                <c:pt idx="2380">
                  <c:v>41561</c:v>
                </c:pt>
                <c:pt idx="2381">
                  <c:v>41558</c:v>
                </c:pt>
                <c:pt idx="2382">
                  <c:v>41557</c:v>
                </c:pt>
                <c:pt idx="2383">
                  <c:v>41556</c:v>
                </c:pt>
                <c:pt idx="2384">
                  <c:v>41555</c:v>
                </c:pt>
                <c:pt idx="2385">
                  <c:v>41554</c:v>
                </c:pt>
                <c:pt idx="2386">
                  <c:v>41551</c:v>
                </c:pt>
                <c:pt idx="2387">
                  <c:v>41550</c:v>
                </c:pt>
                <c:pt idx="2388">
                  <c:v>41549</c:v>
                </c:pt>
                <c:pt idx="2389">
                  <c:v>41548</c:v>
                </c:pt>
                <c:pt idx="2390">
                  <c:v>41547</c:v>
                </c:pt>
                <c:pt idx="2391">
                  <c:v>41544</c:v>
                </c:pt>
                <c:pt idx="2392">
                  <c:v>41543</c:v>
                </c:pt>
                <c:pt idx="2393">
                  <c:v>41542</c:v>
                </c:pt>
                <c:pt idx="2394">
                  <c:v>41541</c:v>
                </c:pt>
                <c:pt idx="2395">
                  <c:v>41540</c:v>
                </c:pt>
                <c:pt idx="2396">
                  <c:v>41537</c:v>
                </c:pt>
                <c:pt idx="2397">
                  <c:v>41536</c:v>
                </c:pt>
                <c:pt idx="2398">
                  <c:v>41535</c:v>
                </c:pt>
                <c:pt idx="2399">
                  <c:v>41534</c:v>
                </c:pt>
                <c:pt idx="2400">
                  <c:v>41533</c:v>
                </c:pt>
                <c:pt idx="2401">
                  <c:v>41530</c:v>
                </c:pt>
                <c:pt idx="2402">
                  <c:v>41529</c:v>
                </c:pt>
                <c:pt idx="2403">
                  <c:v>41528</c:v>
                </c:pt>
                <c:pt idx="2404">
                  <c:v>41527</c:v>
                </c:pt>
                <c:pt idx="2405">
                  <c:v>41526</c:v>
                </c:pt>
                <c:pt idx="2406">
                  <c:v>41523</c:v>
                </c:pt>
                <c:pt idx="2407">
                  <c:v>41522</c:v>
                </c:pt>
                <c:pt idx="2408">
                  <c:v>41521</c:v>
                </c:pt>
                <c:pt idx="2409">
                  <c:v>41520</c:v>
                </c:pt>
                <c:pt idx="2410">
                  <c:v>41519</c:v>
                </c:pt>
                <c:pt idx="2411">
                  <c:v>41516</c:v>
                </c:pt>
                <c:pt idx="2412">
                  <c:v>41515</c:v>
                </c:pt>
                <c:pt idx="2413">
                  <c:v>41514</c:v>
                </c:pt>
                <c:pt idx="2414">
                  <c:v>41513</c:v>
                </c:pt>
                <c:pt idx="2415">
                  <c:v>41512</c:v>
                </c:pt>
                <c:pt idx="2416">
                  <c:v>41509</c:v>
                </c:pt>
                <c:pt idx="2417">
                  <c:v>41508</c:v>
                </c:pt>
                <c:pt idx="2418">
                  <c:v>41507</c:v>
                </c:pt>
                <c:pt idx="2419">
                  <c:v>41506</c:v>
                </c:pt>
                <c:pt idx="2420">
                  <c:v>41505</c:v>
                </c:pt>
                <c:pt idx="2421">
                  <c:v>41502</c:v>
                </c:pt>
                <c:pt idx="2422">
                  <c:v>41501</c:v>
                </c:pt>
                <c:pt idx="2423">
                  <c:v>41500</c:v>
                </c:pt>
                <c:pt idx="2424">
                  <c:v>41499</c:v>
                </c:pt>
                <c:pt idx="2425">
                  <c:v>41498</c:v>
                </c:pt>
                <c:pt idx="2426">
                  <c:v>41495</c:v>
                </c:pt>
                <c:pt idx="2427">
                  <c:v>41494</c:v>
                </c:pt>
                <c:pt idx="2428">
                  <c:v>41493</c:v>
                </c:pt>
                <c:pt idx="2429">
                  <c:v>41492</c:v>
                </c:pt>
                <c:pt idx="2430">
                  <c:v>41491</c:v>
                </c:pt>
                <c:pt idx="2431">
                  <c:v>41488</c:v>
                </c:pt>
                <c:pt idx="2432">
                  <c:v>41487</c:v>
                </c:pt>
                <c:pt idx="2433">
                  <c:v>41486</c:v>
                </c:pt>
                <c:pt idx="2434">
                  <c:v>41485</c:v>
                </c:pt>
                <c:pt idx="2435">
                  <c:v>41484</c:v>
                </c:pt>
                <c:pt idx="2436">
                  <c:v>41481</c:v>
                </c:pt>
                <c:pt idx="2437">
                  <c:v>41480</c:v>
                </c:pt>
                <c:pt idx="2438">
                  <c:v>41479</c:v>
                </c:pt>
                <c:pt idx="2439">
                  <c:v>41478</c:v>
                </c:pt>
                <c:pt idx="2440">
                  <c:v>41477</c:v>
                </c:pt>
                <c:pt idx="2441">
                  <c:v>41474</c:v>
                </c:pt>
                <c:pt idx="2442">
                  <c:v>41473</c:v>
                </c:pt>
                <c:pt idx="2443">
                  <c:v>41472</c:v>
                </c:pt>
                <c:pt idx="2444">
                  <c:v>41471</c:v>
                </c:pt>
                <c:pt idx="2445">
                  <c:v>41470</c:v>
                </c:pt>
                <c:pt idx="2446">
                  <c:v>41467</c:v>
                </c:pt>
                <c:pt idx="2447">
                  <c:v>41466</c:v>
                </c:pt>
                <c:pt idx="2448">
                  <c:v>41465</c:v>
                </c:pt>
                <c:pt idx="2449">
                  <c:v>41464</c:v>
                </c:pt>
                <c:pt idx="2450">
                  <c:v>41463</c:v>
                </c:pt>
                <c:pt idx="2451">
                  <c:v>41460</c:v>
                </c:pt>
                <c:pt idx="2452">
                  <c:v>41459</c:v>
                </c:pt>
                <c:pt idx="2453">
                  <c:v>41458</c:v>
                </c:pt>
                <c:pt idx="2454">
                  <c:v>41457</c:v>
                </c:pt>
                <c:pt idx="2455">
                  <c:v>41456</c:v>
                </c:pt>
                <c:pt idx="2456">
                  <c:v>41453</c:v>
                </c:pt>
                <c:pt idx="2457">
                  <c:v>41452</c:v>
                </c:pt>
                <c:pt idx="2458">
                  <c:v>41451</c:v>
                </c:pt>
                <c:pt idx="2459">
                  <c:v>41450</c:v>
                </c:pt>
                <c:pt idx="2460">
                  <c:v>41449</c:v>
                </c:pt>
                <c:pt idx="2461">
                  <c:v>41446</c:v>
                </c:pt>
                <c:pt idx="2462">
                  <c:v>41445</c:v>
                </c:pt>
                <c:pt idx="2463">
                  <c:v>41444</c:v>
                </c:pt>
                <c:pt idx="2464">
                  <c:v>41443</c:v>
                </c:pt>
                <c:pt idx="2465">
                  <c:v>41442</c:v>
                </c:pt>
                <c:pt idx="2466">
                  <c:v>41439</c:v>
                </c:pt>
                <c:pt idx="2467">
                  <c:v>41438</c:v>
                </c:pt>
                <c:pt idx="2468">
                  <c:v>41437</c:v>
                </c:pt>
                <c:pt idx="2469">
                  <c:v>41436</c:v>
                </c:pt>
                <c:pt idx="2470">
                  <c:v>41435</c:v>
                </c:pt>
                <c:pt idx="2471">
                  <c:v>41432</c:v>
                </c:pt>
                <c:pt idx="2472">
                  <c:v>41431</c:v>
                </c:pt>
                <c:pt idx="2473">
                  <c:v>41430</c:v>
                </c:pt>
                <c:pt idx="2474">
                  <c:v>41429</c:v>
                </c:pt>
                <c:pt idx="2475">
                  <c:v>41428</c:v>
                </c:pt>
                <c:pt idx="2476">
                  <c:v>41425</c:v>
                </c:pt>
                <c:pt idx="2477">
                  <c:v>41424</c:v>
                </c:pt>
                <c:pt idx="2478">
                  <c:v>41423</c:v>
                </c:pt>
                <c:pt idx="2479">
                  <c:v>41422</c:v>
                </c:pt>
                <c:pt idx="2480">
                  <c:v>41421</c:v>
                </c:pt>
                <c:pt idx="2481">
                  <c:v>41418</c:v>
                </c:pt>
                <c:pt idx="2482">
                  <c:v>41417</c:v>
                </c:pt>
                <c:pt idx="2483">
                  <c:v>41416</c:v>
                </c:pt>
                <c:pt idx="2484">
                  <c:v>41415</c:v>
                </c:pt>
                <c:pt idx="2485">
                  <c:v>41414</c:v>
                </c:pt>
                <c:pt idx="2486">
                  <c:v>41411</c:v>
                </c:pt>
                <c:pt idx="2487">
                  <c:v>41410</c:v>
                </c:pt>
                <c:pt idx="2488">
                  <c:v>41409</c:v>
                </c:pt>
                <c:pt idx="2489">
                  <c:v>41408</c:v>
                </c:pt>
                <c:pt idx="2490">
                  <c:v>41407</c:v>
                </c:pt>
                <c:pt idx="2491">
                  <c:v>41404</c:v>
                </c:pt>
                <c:pt idx="2492">
                  <c:v>41403</c:v>
                </c:pt>
                <c:pt idx="2493">
                  <c:v>41402</c:v>
                </c:pt>
                <c:pt idx="2494">
                  <c:v>41401</c:v>
                </c:pt>
                <c:pt idx="2495">
                  <c:v>41400</c:v>
                </c:pt>
                <c:pt idx="2496">
                  <c:v>41397</c:v>
                </c:pt>
                <c:pt idx="2497">
                  <c:v>41396</c:v>
                </c:pt>
                <c:pt idx="2498">
                  <c:v>41395</c:v>
                </c:pt>
                <c:pt idx="2499">
                  <c:v>41394</c:v>
                </c:pt>
                <c:pt idx="2500">
                  <c:v>41393</c:v>
                </c:pt>
                <c:pt idx="2501">
                  <c:v>41390</c:v>
                </c:pt>
                <c:pt idx="2502">
                  <c:v>41389</c:v>
                </c:pt>
                <c:pt idx="2503">
                  <c:v>41388</c:v>
                </c:pt>
                <c:pt idx="2504">
                  <c:v>41387</c:v>
                </c:pt>
                <c:pt idx="2505">
                  <c:v>41386</c:v>
                </c:pt>
                <c:pt idx="2506">
                  <c:v>41383</c:v>
                </c:pt>
                <c:pt idx="2507">
                  <c:v>41382</c:v>
                </c:pt>
                <c:pt idx="2508">
                  <c:v>41381</c:v>
                </c:pt>
                <c:pt idx="2509">
                  <c:v>41380</c:v>
                </c:pt>
                <c:pt idx="2510">
                  <c:v>41379</c:v>
                </c:pt>
                <c:pt idx="2511">
                  <c:v>41376</c:v>
                </c:pt>
                <c:pt idx="2512">
                  <c:v>41375</c:v>
                </c:pt>
                <c:pt idx="2513">
                  <c:v>41374</c:v>
                </c:pt>
                <c:pt idx="2514">
                  <c:v>41373</c:v>
                </c:pt>
                <c:pt idx="2515">
                  <c:v>41372</c:v>
                </c:pt>
                <c:pt idx="2516">
                  <c:v>41369</c:v>
                </c:pt>
                <c:pt idx="2517">
                  <c:v>41368</c:v>
                </c:pt>
                <c:pt idx="2518">
                  <c:v>41367</c:v>
                </c:pt>
                <c:pt idx="2519">
                  <c:v>41366</c:v>
                </c:pt>
                <c:pt idx="2520">
                  <c:v>41365</c:v>
                </c:pt>
                <c:pt idx="2521">
                  <c:v>41361</c:v>
                </c:pt>
                <c:pt idx="2522">
                  <c:v>41360</c:v>
                </c:pt>
                <c:pt idx="2523">
                  <c:v>41359</c:v>
                </c:pt>
                <c:pt idx="2524">
                  <c:v>41358</c:v>
                </c:pt>
                <c:pt idx="2525">
                  <c:v>41355</c:v>
                </c:pt>
                <c:pt idx="2526">
                  <c:v>41354</c:v>
                </c:pt>
                <c:pt idx="2527">
                  <c:v>41353</c:v>
                </c:pt>
                <c:pt idx="2528">
                  <c:v>41352</c:v>
                </c:pt>
                <c:pt idx="2529">
                  <c:v>41351</c:v>
                </c:pt>
                <c:pt idx="2530">
                  <c:v>41348</c:v>
                </c:pt>
                <c:pt idx="2531">
                  <c:v>41347</c:v>
                </c:pt>
                <c:pt idx="2532">
                  <c:v>41346</c:v>
                </c:pt>
                <c:pt idx="2533">
                  <c:v>41345</c:v>
                </c:pt>
                <c:pt idx="2534">
                  <c:v>41344</c:v>
                </c:pt>
                <c:pt idx="2535">
                  <c:v>41341</c:v>
                </c:pt>
                <c:pt idx="2536">
                  <c:v>41340</c:v>
                </c:pt>
                <c:pt idx="2537">
                  <c:v>41339</c:v>
                </c:pt>
                <c:pt idx="2538">
                  <c:v>41338</c:v>
                </c:pt>
                <c:pt idx="2539">
                  <c:v>41337</c:v>
                </c:pt>
                <c:pt idx="2540">
                  <c:v>41334</c:v>
                </c:pt>
                <c:pt idx="2541">
                  <c:v>41333</c:v>
                </c:pt>
                <c:pt idx="2542">
                  <c:v>41332</c:v>
                </c:pt>
                <c:pt idx="2543">
                  <c:v>41331</c:v>
                </c:pt>
                <c:pt idx="2544">
                  <c:v>41330</c:v>
                </c:pt>
                <c:pt idx="2545">
                  <c:v>41327</c:v>
                </c:pt>
                <c:pt idx="2546">
                  <c:v>41326</c:v>
                </c:pt>
                <c:pt idx="2547">
                  <c:v>41325</c:v>
                </c:pt>
                <c:pt idx="2548">
                  <c:v>41324</c:v>
                </c:pt>
                <c:pt idx="2549">
                  <c:v>41323</c:v>
                </c:pt>
                <c:pt idx="2550">
                  <c:v>41320</c:v>
                </c:pt>
                <c:pt idx="2551">
                  <c:v>41319</c:v>
                </c:pt>
                <c:pt idx="2552">
                  <c:v>41318</c:v>
                </c:pt>
                <c:pt idx="2553">
                  <c:v>41317</c:v>
                </c:pt>
                <c:pt idx="2554">
                  <c:v>41316</c:v>
                </c:pt>
                <c:pt idx="2555">
                  <c:v>41313</c:v>
                </c:pt>
                <c:pt idx="2556">
                  <c:v>41312</c:v>
                </c:pt>
                <c:pt idx="2557">
                  <c:v>41311</c:v>
                </c:pt>
                <c:pt idx="2558">
                  <c:v>41310</c:v>
                </c:pt>
                <c:pt idx="2559">
                  <c:v>41309</c:v>
                </c:pt>
                <c:pt idx="2560">
                  <c:v>41306</c:v>
                </c:pt>
                <c:pt idx="2561">
                  <c:v>41305</c:v>
                </c:pt>
                <c:pt idx="2562">
                  <c:v>41304</c:v>
                </c:pt>
                <c:pt idx="2563">
                  <c:v>41303</c:v>
                </c:pt>
                <c:pt idx="2564">
                  <c:v>41302</c:v>
                </c:pt>
                <c:pt idx="2565">
                  <c:v>41299</c:v>
                </c:pt>
                <c:pt idx="2566">
                  <c:v>41298</c:v>
                </c:pt>
                <c:pt idx="2567">
                  <c:v>41297</c:v>
                </c:pt>
                <c:pt idx="2568">
                  <c:v>41296</c:v>
                </c:pt>
                <c:pt idx="2569">
                  <c:v>41295</c:v>
                </c:pt>
                <c:pt idx="2570">
                  <c:v>41292</c:v>
                </c:pt>
                <c:pt idx="2571">
                  <c:v>41291</c:v>
                </c:pt>
                <c:pt idx="2572">
                  <c:v>41290</c:v>
                </c:pt>
                <c:pt idx="2573">
                  <c:v>41289</c:v>
                </c:pt>
                <c:pt idx="2574">
                  <c:v>41288</c:v>
                </c:pt>
                <c:pt idx="2575">
                  <c:v>41285</c:v>
                </c:pt>
                <c:pt idx="2576">
                  <c:v>41284</c:v>
                </c:pt>
                <c:pt idx="2577">
                  <c:v>41283</c:v>
                </c:pt>
                <c:pt idx="2578">
                  <c:v>41282</c:v>
                </c:pt>
                <c:pt idx="2579">
                  <c:v>41281</c:v>
                </c:pt>
                <c:pt idx="2580">
                  <c:v>41278</c:v>
                </c:pt>
                <c:pt idx="2581">
                  <c:v>41277</c:v>
                </c:pt>
                <c:pt idx="2582">
                  <c:v>41276</c:v>
                </c:pt>
                <c:pt idx="2583">
                  <c:v>41274</c:v>
                </c:pt>
                <c:pt idx="2584">
                  <c:v>41271</c:v>
                </c:pt>
                <c:pt idx="2585">
                  <c:v>41270</c:v>
                </c:pt>
                <c:pt idx="2586">
                  <c:v>41269</c:v>
                </c:pt>
                <c:pt idx="2587">
                  <c:v>41267</c:v>
                </c:pt>
                <c:pt idx="2588">
                  <c:v>41264</c:v>
                </c:pt>
                <c:pt idx="2589">
                  <c:v>41263</c:v>
                </c:pt>
                <c:pt idx="2590">
                  <c:v>41262</c:v>
                </c:pt>
                <c:pt idx="2591">
                  <c:v>41261</c:v>
                </c:pt>
                <c:pt idx="2592">
                  <c:v>41260</c:v>
                </c:pt>
                <c:pt idx="2593">
                  <c:v>41257</c:v>
                </c:pt>
                <c:pt idx="2594">
                  <c:v>41256</c:v>
                </c:pt>
                <c:pt idx="2595">
                  <c:v>41255</c:v>
                </c:pt>
                <c:pt idx="2596">
                  <c:v>41254</c:v>
                </c:pt>
                <c:pt idx="2597">
                  <c:v>41253</c:v>
                </c:pt>
                <c:pt idx="2598">
                  <c:v>41250</c:v>
                </c:pt>
                <c:pt idx="2599">
                  <c:v>41249</c:v>
                </c:pt>
                <c:pt idx="2600">
                  <c:v>41248</c:v>
                </c:pt>
                <c:pt idx="2601">
                  <c:v>41247</c:v>
                </c:pt>
                <c:pt idx="2602">
                  <c:v>41246</c:v>
                </c:pt>
                <c:pt idx="2603">
                  <c:v>41243</c:v>
                </c:pt>
                <c:pt idx="2604">
                  <c:v>41242</c:v>
                </c:pt>
                <c:pt idx="2605">
                  <c:v>41241</c:v>
                </c:pt>
                <c:pt idx="2606">
                  <c:v>41240</c:v>
                </c:pt>
                <c:pt idx="2607">
                  <c:v>41239</c:v>
                </c:pt>
                <c:pt idx="2608">
                  <c:v>41236</c:v>
                </c:pt>
                <c:pt idx="2609">
                  <c:v>41235</c:v>
                </c:pt>
                <c:pt idx="2610">
                  <c:v>41234</c:v>
                </c:pt>
                <c:pt idx="2611">
                  <c:v>41233</c:v>
                </c:pt>
                <c:pt idx="2612">
                  <c:v>41232</c:v>
                </c:pt>
                <c:pt idx="2613">
                  <c:v>41229</c:v>
                </c:pt>
                <c:pt idx="2614">
                  <c:v>41228</c:v>
                </c:pt>
                <c:pt idx="2615">
                  <c:v>41227</c:v>
                </c:pt>
                <c:pt idx="2616">
                  <c:v>41226</c:v>
                </c:pt>
                <c:pt idx="2617">
                  <c:v>41225</c:v>
                </c:pt>
                <c:pt idx="2618">
                  <c:v>41222</c:v>
                </c:pt>
                <c:pt idx="2619">
                  <c:v>41221</c:v>
                </c:pt>
                <c:pt idx="2620">
                  <c:v>41220</c:v>
                </c:pt>
                <c:pt idx="2621">
                  <c:v>41219</c:v>
                </c:pt>
                <c:pt idx="2622">
                  <c:v>41218</c:v>
                </c:pt>
                <c:pt idx="2623">
                  <c:v>41215</c:v>
                </c:pt>
                <c:pt idx="2624">
                  <c:v>41214</c:v>
                </c:pt>
                <c:pt idx="2625">
                  <c:v>41213</c:v>
                </c:pt>
                <c:pt idx="2626">
                  <c:v>41212</c:v>
                </c:pt>
                <c:pt idx="2627">
                  <c:v>41211</c:v>
                </c:pt>
                <c:pt idx="2628">
                  <c:v>41208</c:v>
                </c:pt>
                <c:pt idx="2629">
                  <c:v>41207</c:v>
                </c:pt>
                <c:pt idx="2630">
                  <c:v>41206</c:v>
                </c:pt>
                <c:pt idx="2631">
                  <c:v>41205</c:v>
                </c:pt>
                <c:pt idx="2632">
                  <c:v>41204</c:v>
                </c:pt>
                <c:pt idx="2633">
                  <c:v>41201</c:v>
                </c:pt>
                <c:pt idx="2634">
                  <c:v>41200</c:v>
                </c:pt>
                <c:pt idx="2635">
                  <c:v>41199</c:v>
                </c:pt>
                <c:pt idx="2636">
                  <c:v>41198</c:v>
                </c:pt>
                <c:pt idx="2637">
                  <c:v>41197</c:v>
                </c:pt>
                <c:pt idx="2638">
                  <c:v>41194</c:v>
                </c:pt>
                <c:pt idx="2639">
                  <c:v>41193</c:v>
                </c:pt>
                <c:pt idx="2640">
                  <c:v>41192</c:v>
                </c:pt>
                <c:pt idx="2641">
                  <c:v>41191</c:v>
                </c:pt>
                <c:pt idx="2642">
                  <c:v>41190</c:v>
                </c:pt>
                <c:pt idx="2643">
                  <c:v>41187</c:v>
                </c:pt>
                <c:pt idx="2644">
                  <c:v>41186</c:v>
                </c:pt>
                <c:pt idx="2645">
                  <c:v>41185</c:v>
                </c:pt>
                <c:pt idx="2646">
                  <c:v>41184</c:v>
                </c:pt>
                <c:pt idx="2647">
                  <c:v>41183</c:v>
                </c:pt>
                <c:pt idx="2648">
                  <c:v>41180</c:v>
                </c:pt>
                <c:pt idx="2649">
                  <c:v>41179</c:v>
                </c:pt>
                <c:pt idx="2650">
                  <c:v>41178</c:v>
                </c:pt>
                <c:pt idx="2651">
                  <c:v>41177</c:v>
                </c:pt>
                <c:pt idx="2652">
                  <c:v>41176</c:v>
                </c:pt>
                <c:pt idx="2653">
                  <c:v>41173</c:v>
                </c:pt>
                <c:pt idx="2654">
                  <c:v>41172</c:v>
                </c:pt>
                <c:pt idx="2655">
                  <c:v>41171</c:v>
                </c:pt>
                <c:pt idx="2656">
                  <c:v>41170</c:v>
                </c:pt>
                <c:pt idx="2657">
                  <c:v>41169</c:v>
                </c:pt>
                <c:pt idx="2658">
                  <c:v>41166</c:v>
                </c:pt>
                <c:pt idx="2659">
                  <c:v>41165</c:v>
                </c:pt>
                <c:pt idx="2660">
                  <c:v>41164</c:v>
                </c:pt>
                <c:pt idx="2661">
                  <c:v>41163</c:v>
                </c:pt>
                <c:pt idx="2662">
                  <c:v>41162</c:v>
                </c:pt>
                <c:pt idx="2663">
                  <c:v>41159</c:v>
                </c:pt>
                <c:pt idx="2664">
                  <c:v>41158</c:v>
                </c:pt>
                <c:pt idx="2665">
                  <c:v>41157</c:v>
                </c:pt>
                <c:pt idx="2666">
                  <c:v>41156</c:v>
                </c:pt>
                <c:pt idx="2667">
                  <c:v>41155</c:v>
                </c:pt>
                <c:pt idx="2668">
                  <c:v>41152</c:v>
                </c:pt>
                <c:pt idx="2669">
                  <c:v>41151</c:v>
                </c:pt>
                <c:pt idx="2670">
                  <c:v>41150</c:v>
                </c:pt>
                <c:pt idx="2671">
                  <c:v>41149</c:v>
                </c:pt>
                <c:pt idx="2672">
                  <c:v>41148</c:v>
                </c:pt>
                <c:pt idx="2673">
                  <c:v>41145</c:v>
                </c:pt>
                <c:pt idx="2674">
                  <c:v>41144</c:v>
                </c:pt>
                <c:pt idx="2675">
                  <c:v>41143</c:v>
                </c:pt>
                <c:pt idx="2676">
                  <c:v>41142</c:v>
                </c:pt>
                <c:pt idx="2677">
                  <c:v>41141</c:v>
                </c:pt>
                <c:pt idx="2678">
                  <c:v>41138</c:v>
                </c:pt>
                <c:pt idx="2679">
                  <c:v>41137</c:v>
                </c:pt>
                <c:pt idx="2680">
                  <c:v>41136</c:v>
                </c:pt>
                <c:pt idx="2681">
                  <c:v>41135</c:v>
                </c:pt>
                <c:pt idx="2682">
                  <c:v>41134</c:v>
                </c:pt>
                <c:pt idx="2683">
                  <c:v>41131</c:v>
                </c:pt>
                <c:pt idx="2684">
                  <c:v>41130</c:v>
                </c:pt>
                <c:pt idx="2685">
                  <c:v>41129</c:v>
                </c:pt>
                <c:pt idx="2686">
                  <c:v>41128</c:v>
                </c:pt>
                <c:pt idx="2687">
                  <c:v>41127</c:v>
                </c:pt>
                <c:pt idx="2688">
                  <c:v>41124</c:v>
                </c:pt>
                <c:pt idx="2689">
                  <c:v>41123</c:v>
                </c:pt>
                <c:pt idx="2690">
                  <c:v>41122</c:v>
                </c:pt>
                <c:pt idx="2691">
                  <c:v>41121</c:v>
                </c:pt>
                <c:pt idx="2692">
                  <c:v>41120</c:v>
                </c:pt>
                <c:pt idx="2693">
                  <c:v>41117</c:v>
                </c:pt>
                <c:pt idx="2694">
                  <c:v>41116</c:v>
                </c:pt>
                <c:pt idx="2695">
                  <c:v>41115</c:v>
                </c:pt>
                <c:pt idx="2696">
                  <c:v>41114</c:v>
                </c:pt>
                <c:pt idx="2697">
                  <c:v>41113</c:v>
                </c:pt>
                <c:pt idx="2698">
                  <c:v>41110</c:v>
                </c:pt>
                <c:pt idx="2699">
                  <c:v>41109</c:v>
                </c:pt>
                <c:pt idx="2700">
                  <c:v>41108</c:v>
                </c:pt>
                <c:pt idx="2701">
                  <c:v>41107</c:v>
                </c:pt>
                <c:pt idx="2702">
                  <c:v>41106</c:v>
                </c:pt>
                <c:pt idx="2703">
                  <c:v>41103</c:v>
                </c:pt>
                <c:pt idx="2704">
                  <c:v>41102</c:v>
                </c:pt>
                <c:pt idx="2705">
                  <c:v>41101</c:v>
                </c:pt>
                <c:pt idx="2706">
                  <c:v>41100</c:v>
                </c:pt>
                <c:pt idx="2707">
                  <c:v>41099</c:v>
                </c:pt>
                <c:pt idx="2708">
                  <c:v>41096</c:v>
                </c:pt>
                <c:pt idx="2709">
                  <c:v>41095</c:v>
                </c:pt>
                <c:pt idx="2710">
                  <c:v>41094</c:v>
                </c:pt>
                <c:pt idx="2711">
                  <c:v>41093</c:v>
                </c:pt>
                <c:pt idx="2712">
                  <c:v>41092</c:v>
                </c:pt>
                <c:pt idx="2713">
                  <c:v>41089</c:v>
                </c:pt>
                <c:pt idx="2714">
                  <c:v>41088</c:v>
                </c:pt>
                <c:pt idx="2715">
                  <c:v>41087</c:v>
                </c:pt>
                <c:pt idx="2716">
                  <c:v>41086</c:v>
                </c:pt>
                <c:pt idx="2717">
                  <c:v>41085</c:v>
                </c:pt>
                <c:pt idx="2718">
                  <c:v>41082</c:v>
                </c:pt>
                <c:pt idx="2719">
                  <c:v>41081</c:v>
                </c:pt>
                <c:pt idx="2720">
                  <c:v>41080</c:v>
                </c:pt>
                <c:pt idx="2721">
                  <c:v>41079</c:v>
                </c:pt>
                <c:pt idx="2722">
                  <c:v>41078</c:v>
                </c:pt>
                <c:pt idx="2723">
                  <c:v>41075</c:v>
                </c:pt>
                <c:pt idx="2724">
                  <c:v>41074</c:v>
                </c:pt>
                <c:pt idx="2725">
                  <c:v>41073</c:v>
                </c:pt>
                <c:pt idx="2726">
                  <c:v>41072</c:v>
                </c:pt>
                <c:pt idx="2727">
                  <c:v>41071</c:v>
                </c:pt>
                <c:pt idx="2728">
                  <c:v>41068</c:v>
                </c:pt>
                <c:pt idx="2729">
                  <c:v>41067</c:v>
                </c:pt>
                <c:pt idx="2730">
                  <c:v>41066</c:v>
                </c:pt>
                <c:pt idx="2731">
                  <c:v>41065</c:v>
                </c:pt>
                <c:pt idx="2732">
                  <c:v>41064</c:v>
                </c:pt>
                <c:pt idx="2733">
                  <c:v>41061</c:v>
                </c:pt>
                <c:pt idx="2734">
                  <c:v>41060</c:v>
                </c:pt>
                <c:pt idx="2735">
                  <c:v>41059</c:v>
                </c:pt>
                <c:pt idx="2736">
                  <c:v>41058</c:v>
                </c:pt>
                <c:pt idx="2737">
                  <c:v>41057</c:v>
                </c:pt>
                <c:pt idx="2738">
                  <c:v>41054</c:v>
                </c:pt>
                <c:pt idx="2739">
                  <c:v>41053</c:v>
                </c:pt>
                <c:pt idx="2740">
                  <c:v>41052</c:v>
                </c:pt>
                <c:pt idx="2741">
                  <c:v>41051</c:v>
                </c:pt>
                <c:pt idx="2742">
                  <c:v>41050</c:v>
                </c:pt>
                <c:pt idx="2743">
                  <c:v>41047</c:v>
                </c:pt>
                <c:pt idx="2744">
                  <c:v>41046</c:v>
                </c:pt>
                <c:pt idx="2745">
                  <c:v>41045</c:v>
                </c:pt>
                <c:pt idx="2746">
                  <c:v>41044</c:v>
                </c:pt>
                <c:pt idx="2747">
                  <c:v>41043</c:v>
                </c:pt>
                <c:pt idx="2748">
                  <c:v>41040</c:v>
                </c:pt>
                <c:pt idx="2749">
                  <c:v>41039</c:v>
                </c:pt>
                <c:pt idx="2750">
                  <c:v>41038</c:v>
                </c:pt>
                <c:pt idx="2751">
                  <c:v>41037</c:v>
                </c:pt>
                <c:pt idx="2752">
                  <c:v>41036</c:v>
                </c:pt>
                <c:pt idx="2753">
                  <c:v>41033</c:v>
                </c:pt>
                <c:pt idx="2754">
                  <c:v>41032</c:v>
                </c:pt>
                <c:pt idx="2755">
                  <c:v>41031</c:v>
                </c:pt>
                <c:pt idx="2756">
                  <c:v>41030</c:v>
                </c:pt>
                <c:pt idx="2757">
                  <c:v>41029</c:v>
                </c:pt>
                <c:pt idx="2758">
                  <c:v>41026</c:v>
                </c:pt>
                <c:pt idx="2759">
                  <c:v>41025</c:v>
                </c:pt>
                <c:pt idx="2760">
                  <c:v>41024</c:v>
                </c:pt>
                <c:pt idx="2761">
                  <c:v>41023</c:v>
                </c:pt>
                <c:pt idx="2762">
                  <c:v>41022</c:v>
                </c:pt>
                <c:pt idx="2763">
                  <c:v>41019</c:v>
                </c:pt>
                <c:pt idx="2764">
                  <c:v>41018</c:v>
                </c:pt>
                <c:pt idx="2765">
                  <c:v>41017</c:v>
                </c:pt>
                <c:pt idx="2766">
                  <c:v>41016</c:v>
                </c:pt>
                <c:pt idx="2767">
                  <c:v>41015</c:v>
                </c:pt>
                <c:pt idx="2768">
                  <c:v>41012</c:v>
                </c:pt>
                <c:pt idx="2769">
                  <c:v>41011</c:v>
                </c:pt>
                <c:pt idx="2770">
                  <c:v>41010</c:v>
                </c:pt>
                <c:pt idx="2771">
                  <c:v>41009</c:v>
                </c:pt>
                <c:pt idx="2772">
                  <c:v>41008</c:v>
                </c:pt>
                <c:pt idx="2773">
                  <c:v>41004</c:v>
                </c:pt>
                <c:pt idx="2774">
                  <c:v>41003</c:v>
                </c:pt>
                <c:pt idx="2775">
                  <c:v>41002</c:v>
                </c:pt>
                <c:pt idx="2776">
                  <c:v>41001</c:v>
                </c:pt>
                <c:pt idx="2777">
                  <c:v>40998</c:v>
                </c:pt>
                <c:pt idx="2778">
                  <c:v>40997</c:v>
                </c:pt>
                <c:pt idx="2779">
                  <c:v>40996</c:v>
                </c:pt>
                <c:pt idx="2780">
                  <c:v>40995</c:v>
                </c:pt>
                <c:pt idx="2781">
                  <c:v>40994</c:v>
                </c:pt>
                <c:pt idx="2782">
                  <c:v>40991</c:v>
                </c:pt>
                <c:pt idx="2783">
                  <c:v>40990</c:v>
                </c:pt>
                <c:pt idx="2784">
                  <c:v>40989</c:v>
                </c:pt>
                <c:pt idx="2785">
                  <c:v>40988</c:v>
                </c:pt>
                <c:pt idx="2786">
                  <c:v>40987</c:v>
                </c:pt>
                <c:pt idx="2787">
                  <c:v>40984</c:v>
                </c:pt>
                <c:pt idx="2788">
                  <c:v>40983</c:v>
                </c:pt>
                <c:pt idx="2789">
                  <c:v>40982</c:v>
                </c:pt>
                <c:pt idx="2790">
                  <c:v>40981</c:v>
                </c:pt>
                <c:pt idx="2791">
                  <c:v>40980</c:v>
                </c:pt>
                <c:pt idx="2792">
                  <c:v>40977</c:v>
                </c:pt>
                <c:pt idx="2793">
                  <c:v>40976</c:v>
                </c:pt>
                <c:pt idx="2794">
                  <c:v>40975</c:v>
                </c:pt>
                <c:pt idx="2795">
                  <c:v>40974</c:v>
                </c:pt>
                <c:pt idx="2796">
                  <c:v>40973</c:v>
                </c:pt>
                <c:pt idx="2797">
                  <c:v>40970</c:v>
                </c:pt>
                <c:pt idx="2798">
                  <c:v>40969</c:v>
                </c:pt>
                <c:pt idx="2799">
                  <c:v>40968</c:v>
                </c:pt>
                <c:pt idx="2800">
                  <c:v>40967</c:v>
                </c:pt>
                <c:pt idx="2801">
                  <c:v>40966</c:v>
                </c:pt>
                <c:pt idx="2802">
                  <c:v>40963</c:v>
                </c:pt>
                <c:pt idx="2803">
                  <c:v>40962</c:v>
                </c:pt>
                <c:pt idx="2804">
                  <c:v>40961</c:v>
                </c:pt>
                <c:pt idx="2805">
                  <c:v>40960</c:v>
                </c:pt>
                <c:pt idx="2806">
                  <c:v>40959</c:v>
                </c:pt>
                <c:pt idx="2807">
                  <c:v>40956</c:v>
                </c:pt>
                <c:pt idx="2808">
                  <c:v>40955</c:v>
                </c:pt>
                <c:pt idx="2809">
                  <c:v>40954</c:v>
                </c:pt>
                <c:pt idx="2810">
                  <c:v>40953</c:v>
                </c:pt>
                <c:pt idx="2811">
                  <c:v>40952</c:v>
                </c:pt>
                <c:pt idx="2812">
                  <c:v>40949</c:v>
                </c:pt>
                <c:pt idx="2813">
                  <c:v>40948</c:v>
                </c:pt>
                <c:pt idx="2814">
                  <c:v>40947</c:v>
                </c:pt>
                <c:pt idx="2815">
                  <c:v>40946</c:v>
                </c:pt>
                <c:pt idx="2816">
                  <c:v>40945</c:v>
                </c:pt>
                <c:pt idx="2817">
                  <c:v>40942</c:v>
                </c:pt>
                <c:pt idx="2818">
                  <c:v>40941</c:v>
                </c:pt>
                <c:pt idx="2819">
                  <c:v>40940</c:v>
                </c:pt>
                <c:pt idx="2820">
                  <c:v>40939</c:v>
                </c:pt>
                <c:pt idx="2821">
                  <c:v>40938</c:v>
                </c:pt>
                <c:pt idx="2822">
                  <c:v>40935</c:v>
                </c:pt>
                <c:pt idx="2823">
                  <c:v>40934</c:v>
                </c:pt>
                <c:pt idx="2824">
                  <c:v>40933</c:v>
                </c:pt>
                <c:pt idx="2825">
                  <c:v>40932</c:v>
                </c:pt>
                <c:pt idx="2826">
                  <c:v>40931</c:v>
                </c:pt>
                <c:pt idx="2827">
                  <c:v>40928</c:v>
                </c:pt>
                <c:pt idx="2828">
                  <c:v>40927</c:v>
                </c:pt>
                <c:pt idx="2829">
                  <c:v>40926</c:v>
                </c:pt>
                <c:pt idx="2830">
                  <c:v>40925</c:v>
                </c:pt>
                <c:pt idx="2831">
                  <c:v>40924</c:v>
                </c:pt>
                <c:pt idx="2832">
                  <c:v>40921</c:v>
                </c:pt>
                <c:pt idx="2833">
                  <c:v>40920</c:v>
                </c:pt>
                <c:pt idx="2834">
                  <c:v>40919</c:v>
                </c:pt>
                <c:pt idx="2835">
                  <c:v>40918</c:v>
                </c:pt>
                <c:pt idx="2836">
                  <c:v>40917</c:v>
                </c:pt>
                <c:pt idx="2837">
                  <c:v>40914</c:v>
                </c:pt>
                <c:pt idx="2838">
                  <c:v>40913</c:v>
                </c:pt>
                <c:pt idx="2839">
                  <c:v>40912</c:v>
                </c:pt>
                <c:pt idx="2840">
                  <c:v>40911</c:v>
                </c:pt>
                <c:pt idx="2841">
                  <c:v>40910</c:v>
                </c:pt>
                <c:pt idx="2842">
                  <c:v>40907</c:v>
                </c:pt>
                <c:pt idx="2843">
                  <c:v>40906</c:v>
                </c:pt>
                <c:pt idx="2844">
                  <c:v>40905</c:v>
                </c:pt>
                <c:pt idx="2845">
                  <c:v>40904</c:v>
                </c:pt>
                <c:pt idx="2846">
                  <c:v>40903</c:v>
                </c:pt>
                <c:pt idx="2847">
                  <c:v>40900</c:v>
                </c:pt>
                <c:pt idx="2848">
                  <c:v>40899</c:v>
                </c:pt>
                <c:pt idx="2849">
                  <c:v>40898</c:v>
                </c:pt>
                <c:pt idx="2850">
                  <c:v>40897</c:v>
                </c:pt>
                <c:pt idx="2851">
                  <c:v>40896</c:v>
                </c:pt>
                <c:pt idx="2852">
                  <c:v>40893</c:v>
                </c:pt>
                <c:pt idx="2853">
                  <c:v>40892</c:v>
                </c:pt>
                <c:pt idx="2854">
                  <c:v>40891</c:v>
                </c:pt>
                <c:pt idx="2855">
                  <c:v>40890</c:v>
                </c:pt>
                <c:pt idx="2856">
                  <c:v>40889</c:v>
                </c:pt>
                <c:pt idx="2857">
                  <c:v>40886</c:v>
                </c:pt>
                <c:pt idx="2858">
                  <c:v>40885</c:v>
                </c:pt>
                <c:pt idx="2859">
                  <c:v>40884</c:v>
                </c:pt>
                <c:pt idx="2860">
                  <c:v>40883</c:v>
                </c:pt>
                <c:pt idx="2861">
                  <c:v>40882</c:v>
                </c:pt>
                <c:pt idx="2862">
                  <c:v>40879</c:v>
                </c:pt>
                <c:pt idx="2863">
                  <c:v>40878</c:v>
                </c:pt>
                <c:pt idx="2864">
                  <c:v>40877</c:v>
                </c:pt>
                <c:pt idx="2865">
                  <c:v>40876</c:v>
                </c:pt>
                <c:pt idx="2866">
                  <c:v>40875</c:v>
                </c:pt>
                <c:pt idx="2867">
                  <c:v>40872</c:v>
                </c:pt>
                <c:pt idx="2868">
                  <c:v>40871</c:v>
                </c:pt>
                <c:pt idx="2869">
                  <c:v>40870</c:v>
                </c:pt>
                <c:pt idx="2870">
                  <c:v>40869</c:v>
                </c:pt>
                <c:pt idx="2871">
                  <c:v>40868</c:v>
                </c:pt>
                <c:pt idx="2872">
                  <c:v>40865</c:v>
                </c:pt>
                <c:pt idx="2873">
                  <c:v>40864</c:v>
                </c:pt>
                <c:pt idx="2874">
                  <c:v>40863</c:v>
                </c:pt>
                <c:pt idx="2875">
                  <c:v>40862</c:v>
                </c:pt>
                <c:pt idx="2876">
                  <c:v>40861</c:v>
                </c:pt>
                <c:pt idx="2877">
                  <c:v>40858</c:v>
                </c:pt>
                <c:pt idx="2878">
                  <c:v>40857</c:v>
                </c:pt>
                <c:pt idx="2879">
                  <c:v>40856</c:v>
                </c:pt>
                <c:pt idx="2880">
                  <c:v>40855</c:v>
                </c:pt>
                <c:pt idx="2881">
                  <c:v>40854</c:v>
                </c:pt>
                <c:pt idx="2882">
                  <c:v>40851</c:v>
                </c:pt>
                <c:pt idx="2883">
                  <c:v>40850</c:v>
                </c:pt>
                <c:pt idx="2884">
                  <c:v>40849</c:v>
                </c:pt>
                <c:pt idx="2885">
                  <c:v>40848</c:v>
                </c:pt>
                <c:pt idx="2886">
                  <c:v>40847</c:v>
                </c:pt>
                <c:pt idx="2887">
                  <c:v>40844</c:v>
                </c:pt>
                <c:pt idx="2888">
                  <c:v>40843</c:v>
                </c:pt>
                <c:pt idx="2889">
                  <c:v>40842</c:v>
                </c:pt>
                <c:pt idx="2890">
                  <c:v>40841</c:v>
                </c:pt>
                <c:pt idx="2891">
                  <c:v>40840</c:v>
                </c:pt>
                <c:pt idx="2892">
                  <c:v>40837</c:v>
                </c:pt>
                <c:pt idx="2893">
                  <c:v>40836</c:v>
                </c:pt>
                <c:pt idx="2894">
                  <c:v>40835</c:v>
                </c:pt>
                <c:pt idx="2895">
                  <c:v>40834</c:v>
                </c:pt>
                <c:pt idx="2896">
                  <c:v>40833</c:v>
                </c:pt>
                <c:pt idx="2897">
                  <c:v>40830</c:v>
                </c:pt>
                <c:pt idx="2898">
                  <c:v>40829</c:v>
                </c:pt>
                <c:pt idx="2899">
                  <c:v>40828</c:v>
                </c:pt>
                <c:pt idx="2900">
                  <c:v>40827</c:v>
                </c:pt>
                <c:pt idx="2901">
                  <c:v>40826</c:v>
                </c:pt>
                <c:pt idx="2902">
                  <c:v>40823</c:v>
                </c:pt>
                <c:pt idx="2903">
                  <c:v>40822</c:v>
                </c:pt>
                <c:pt idx="2904">
                  <c:v>40821</c:v>
                </c:pt>
                <c:pt idx="2905">
                  <c:v>40820</c:v>
                </c:pt>
                <c:pt idx="2906">
                  <c:v>40819</c:v>
                </c:pt>
                <c:pt idx="2907">
                  <c:v>40816</c:v>
                </c:pt>
                <c:pt idx="2908">
                  <c:v>40815</c:v>
                </c:pt>
                <c:pt idx="2909">
                  <c:v>40814</c:v>
                </c:pt>
                <c:pt idx="2910">
                  <c:v>40813</c:v>
                </c:pt>
                <c:pt idx="2911">
                  <c:v>40812</c:v>
                </c:pt>
                <c:pt idx="2912">
                  <c:v>40809</c:v>
                </c:pt>
                <c:pt idx="2913">
                  <c:v>40808</c:v>
                </c:pt>
                <c:pt idx="2914">
                  <c:v>40807</c:v>
                </c:pt>
                <c:pt idx="2915">
                  <c:v>40806</c:v>
                </c:pt>
                <c:pt idx="2916">
                  <c:v>40805</c:v>
                </c:pt>
                <c:pt idx="2917">
                  <c:v>40802</c:v>
                </c:pt>
                <c:pt idx="2918">
                  <c:v>40801</c:v>
                </c:pt>
                <c:pt idx="2919">
                  <c:v>40800</c:v>
                </c:pt>
                <c:pt idx="2920">
                  <c:v>40799</c:v>
                </c:pt>
                <c:pt idx="2921">
                  <c:v>40798</c:v>
                </c:pt>
                <c:pt idx="2922">
                  <c:v>40795</c:v>
                </c:pt>
                <c:pt idx="2923">
                  <c:v>40794</c:v>
                </c:pt>
                <c:pt idx="2924">
                  <c:v>40793</c:v>
                </c:pt>
                <c:pt idx="2925">
                  <c:v>40792</c:v>
                </c:pt>
                <c:pt idx="2926">
                  <c:v>40791</c:v>
                </c:pt>
                <c:pt idx="2927">
                  <c:v>40788</c:v>
                </c:pt>
                <c:pt idx="2928">
                  <c:v>40787</c:v>
                </c:pt>
                <c:pt idx="2929">
                  <c:v>40786</c:v>
                </c:pt>
                <c:pt idx="2930">
                  <c:v>40785</c:v>
                </c:pt>
                <c:pt idx="2931">
                  <c:v>40784</c:v>
                </c:pt>
                <c:pt idx="2932">
                  <c:v>40781</c:v>
                </c:pt>
                <c:pt idx="2933">
                  <c:v>40780</c:v>
                </c:pt>
                <c:pt idx="2934">
                  <c:v>40779</c:v>
                </c:pt>
                <c:pt idx="2935">
                  <c:v>40778</c:v>
                </c:pt>
                <c:pt idx="2936">
                  <c:v>40777</c:v>
                </c:pt>
                <c:pt idx="2937">
                  <c:v>40774</c:v>
                </c:pt>
                <c:pt idx="2938">
                  <c:v>40773</c:v>
                </c:pt>
                <c:pt idx="2939">
                  <c:v>40772</c:v>
                </c:pt>
                <c:pt idx="2940">
                  <c:v>40771</c:v>
                </c:pt>
                <c:pt idx="2941">
                  <c:v>40770</c:v>
                </c:pt>
                <c:pt idx="2942">
                  <c:v>40767</c:v>
                </c:pt>
                <c:pt idx="2943">
                  <c:v>40766</c:v>
                </c:pt>
                <c:pt idx="2944">
                  <c:v>40765</c:v>
                </c:pt>
                <c:pt idx="2945">
                  <c:v>40764</c:v>
                </c:pt>
                <c:pt idx="2946">
                  <c:v>40763</c:v>
                </c:pt>
                <c:pt idx="2947">
                  <c:v>40760</c:v>
                </c:pt>
                <c:pt idx="2948">
                  <c:v>40759</c:v>
                </c:pt>
                <c:pt idx="2949">
                  <c:v>40758</c:v>
                </c:pt>
                <c:pt idx="2950">
                  <c:v>40757</c:v>
                </c:pt>
                <c:pt idx="2951">
                  <c:v>40756</c:v>
                </c:pt>
                <c:pt idx="2952">
                  <c:v>40753</c:v>
                </c:pt>
                <c:pt idx="2953">
                  <c:v>40752</c:v>
                </c:pt>
                <c:pt idx="2954">
                  <c:v>40751</c:v>
                </c:pt>
                <c:pt idx="2955">
                  <c:v>40750</c:v>
                </c:pt>
                <c:pt idx="2956">
                  <c:v>40749</c:v>
                </c:pt>
                <c:pt idx="2957">
                  <c:v>40746</c:v>
                </c:pt>
                <c:pt idx="2958">
                  <c:v>40745</c:v>
                </c:pt>
                <c:pt idx="2959">
                  <c:v>40744</c:v>
                </c:pt>
                <c:pt idx="2960">
                  <c:v>40743</c:v>
                </c:pt>
                <c:pt idx="2961">
                  <c:v>40742</c:v>
                </c:pt>
                <c:pt idx="2962">
                  <c:v>40739</c:v>
                </c:pt>
                <c:pt idx="2963">
                  <c:v>40738</c:v>
                </c:pt>
                <c:pt idx="2964">
                  <c:v>40737</c:v>
                </c:pt>
                <c:pt idx="2965">
                  <c:v>40736</c:v>
                </c:pt>
                <c:pt idx="2966">
                  <c:v>40735</c:v>
                </c:pt>
                <c:pt idx="2967">
                  <c:v>40732</c:v>
                </c:pt>
                <c:pt idx="2968">
                  <c:v>40731</c:v>
                </c:pt>
                <c:pt idx="2969">
                  <c:v>40730</c:v>
                </c:pt>
                <c:pt idx="2970">
                  <c:v>40729</c:v>
                </c:pt>
                <c:pt idx="2971">
                  <c:v>40728</c:v>
                </c:pt>
                <c:pt idx="2972">
                  <c:v>40725</c:v>
                </c:pt>
                <c:pt idx="2973">
                  <c:v>40724</c:v>
                </c:pt>
                <c:pt idx="2974">
                  <c:v>40723</c:v>
                </c:pt>
                <c:pt idx="2975">
                  <c:v>40722</c:v>
                </c:pt>
                <c:pt idx="2976">
                  <c:v>40721</c:v>
                </c:pt>
                <c:pt idx="2977">
                  <c:v>40718</c:v>
                </c:pt>
                <c:pt idx="2978">
                  <c:v>40717</c:v>
                </c:pt>
                <c:pt idx="2979">
                  <c:v>40716</c:v>
                </c:pt>
                <c:pt idx="2980">
                  <c:v>40715</c:v>
                </c:pt>
                <c:pt idx="2981">
                  <c:v>40714</c:v>
                </c:pt>
                <c:pt idx="2982">
                  <c:v>40711</c:v>
                </c:pt>
                <c:pt idx="2983">
                  <c:v>40710</c:v>
                </c:pt>
                <c:pt idx="2984">
                  <c:v>40709</c:v>
                </c:pt>
                <c:pt idx="2985">
                  <c:v>40708</c:v>
                </c:pt>
                <c:pt idx="2986">
                  <c:v>40707</c:v>
                </c:pt>
                <c:pt idx="2987">
                  <c:v>40704</c:v>
                </c:pt>
                <c:pt idx="2988">
                  <c:v>40703</c:v>
                </c:pt>
                <c:pt idx="2989">
                  <c:v>40702</c:v>
                </c:pt>
                <c:pt idx="2990">
                  <c:v>40701</c:v>
                </c:pt>
                <c:pt idx="2991">
                  <c:v>40700</c:v>
                </c:pt>
                <c:pt idx="2992">
                  <c:v>40697</c:v>
                </c:pt>
                <c:pt idx="2993">
                  <c:v>40696</c:v>
                </c:pt>
                <c:pt idx="2994">
                  <c:v>40695</c:v>
                </c:pt>
                <c:pt idx="2995">
                  <c:v>40694</c:v>
                </c:pt>
                <c:pt idx="2996">
                  <c:v>40693</c:v>
                </c:pt>
                <c:pt idx="2997">
                  <c:v>40690</c:v>
                </c:pt>
                <c:pt idx="2998">
                  <c:v>40689</c:v>
                </c:pt>
                <c:pt idx="2999">
                  <c:v>40688</c:v>
                </c:pt>
                <c:pt idx="3000">
                  <c:v>40687</c:v>
                </c:pt>
                <c:pt idx="3001">
                  <c:v>40686</c:v>
                </c:pt>
                <c:pt idx="3002">
                  <c:v>40683</c:v>
                </c:pt>
                <c:pt idx="3003">
                  <c:v>40682</c:v>
                </c:pt>
                <c:pt idx="3004">
                  <c:v>40681</c:v>
                </c:pt>
                <c:pt idx="3005">
                  <c:v>40680</c:v>
                </c:pt>
                <c:pt idx="3006">
                  <c:v>40679</c:v>
                </c:pt>
                <c:pt idx="3007">
                  <c:v>40676</c:v>
                </c:pt>
                <c:pt idx="3008">
                  <c:v>40675</c:v>
                </c:pt>
                <c:pt idx="3009">
                  <c:v>40674</c:v>
                </c:pt>
                <c:pt idx="3010">
                  <c:v>40673</c:v>
                </c:pt>
                <c:pt idx="3011">
                  <c:v>40672</c:v>
                </c:pt>
                <c:pt idx="3012">
                  <c:v>40669</c:v>
                </c:pt>
                <c:pt idx="3013">
                  <c:v>40668</c:v>
                </c:pt>
                <c:pt idx="3014">
                  <c:v>40667</c:v>
                </c:pt>
                <c:pt idx="3015">
                  <c:v>40666</c:v>
                </c:pt>
                <c:pt idx="3016">
                  <c:v>40665</c:v>
                </c:pt>
                <c:pt idx="3017">
                  <c:v>40662</c:v>
                </c:pt>
                <c:pt idx="3018">
                  <c:v>40661</c:v>
                </c:pt>
                <c:pt idx="3019">
                  <c:v>40660</c:v>
                </c:pt>
                <c:pt idx="3020">
                  <c:v>40659</c:v>
                </c:pt>
                <c:pt idx="3021">
                  <c:v>40658</c:v>
                </c:pt>
                <c:pt idx="3022">
                  <c:v>40654</c:v>
                </c:pt>
                <c:pt idx="3023">
                  <c:v>40653</c:v>
                </c:pt>
                <c:pt idx="3024">
                  <c:v>40652</c:v>
                </c:pt>
                <c:pt idx="3025">
                  <c:v>40651</c:v>
                </c:pt>
                <c:pt idx="3026">
                  <c:v>40648</c:v>
                </c:pt>
                <c:pt idx="3027">
                  <c:v>40647</c:v>
                </c:pt>
                <c:pt idx="3028">
                  <c:v>40646</c:v>
                </c:pt>
                <c:pt idx="3029">
                  <c:v>40645</c:v>
                </c:pt>
                <c:pt idx="3030">
                  <c:v>40644</c:v>
                </c:pt>
                <c:pt idx="3031">
                  <c:v>40641</c:v>
                </c:pt>
                <c:pt idx="3032">
                  <c:v>40640</c:v>
                </c:pt>
                <c:pt idx="3033">
                  <c:v>40639</c:v>
                </c:pt>
                <c:pt idx="3034">
                  <c:v>40638</c:v>
                </c:pt>
                <c:pt idx="3035">
                  <c:v>40637</c:v>
                </c:pt>
                <c:pt idx="3036">
                  <c:v>40634</c:v>
                </c:pt>
                <c:pt idx="3037">
                  <c:v>40633</c:v>
                </c:pt>
                <c:pt idx="3038">
                  <c:v>40632</c:v>
                </c:pt>
                <c:pt idx="3039">
                  <c:v>40631</c:v>
                </c:pt>
                <c:pt idx="3040">
                  <c:v>40630</c:v>
                </c:pt>
                <c:pt idx="3041">
                  <c:v>40627</c:v>
                </c:pt>
                <c:pt idx="3042">
                  <c:v>40626</c:v>
                </c:pt>
                <c:pt idx="3043">
                  <c:v>40625</c:v>
                </c:pt>
                <c:pt idx="3044">
                  <c:v>40624</c:v>
                </c:pt>
                <c:pt idx="3045">
                  <c:v>40623</c:v>
                </c:pt>
                <c:pt idx="3046">
                  <c:v>40620</c:v>
                </c:pt>
                <c:pt idx="3047">
                  <c:v>40619</c:v>
                </c:pt>
                <c:pt idx="3048">
                  <c:v>40618</c:v>
                </c:pt>
                <c:pt idx="3049">
                  <c:v>40617</c:v>
                </c:pt>
                <c:pt idx="3050">
                  <c:v>40616</c:v>
                </c:pt>
                <c:pt idx="3051">
                  <c:v>40613</c:v>
                </c:pt>
                <c:pt idx="3052">
                  <c:v>40612</c:v>
                </c:pt>
                <c:pt idx="3053">
                  <c:v>40611</c:v>
                </c:pt>
                <c:pt idx="3054">
                  <c:v>40610</c:v>
                </c:pt>
                <c:pt idx="3055">
                  <c:v>40609</c:v>
                </c:pt>
                <c:pt idx="3056">
                  <c:v>40606</c:v>
                </c:pt>
                <c:pt idx="3057">
                  <c:v>40605</c:v>
                </c:pt>
                <c:pt idx="3058">
                  <c:v>40604</c:v>
                </c:pt>
                <c:pt idx="3059">
                  <c:v>40603</c:v>
                </c:pt>
                <c:pt idx="3060">
                  <c:v>40602</c:v>
                </c:pt>
                <c:pt idx="3061">
                  <c:v>40599</c:v>
                </c:pt>
                <c:pt idx="3062">
                  <c:v>40598</c:v>
                </c:pt>
                <c:pt idx="3063">
                  <c:v>40597</c:v>
                </c:pt>
                <c:pt idx="3064">
                  <c:v>40596</c:v>
                </c:pt>
                <c:pt idx="3065">
                  <c:v>40595</c:v>
                </c:pt>
                <c:pt idx="3066">
                  <c:v>40592</c:v>
                </c:pt>
                <c:pt idx="3067">
                  <c:v>40591</c:v>
                </c:pt>
                <c:pt idx="3068">
                  <c:v>40590</c:v>
                </c:pt>
                <c:pt idx="3069">
                  <c:v>40589</c:v>
                </c:pt>
                <c:pt idx="3070">
                  <c:v>40588</c:v>
                </c:pt>
                <c:pt idx="3071">
                  <c:v>40585</c:v>
                </c:pt>
                <c:pt idx="3072">
                  <c:v>40584</c:v>
                </c:pt>
                <c:pt idx="3073">
                  <c:v>40583</c:v>
                </c:pt>
                <c:pt idx="3074">
                  <c:v>40582</c:v>
                </c:pt>
                <c:pt idx="3075">
                  <c:v>40581</c:v>
                </c:pt>
                <c:pt idx="3076">
                  <c:v>40578</c:v>
                </c:pt>
                <c:pt idx="3077">
                  <c:v>40577</c:v>
                </c:pt>
                <c:pt idx="3078">
                  <c:v>40576</c:v>
                </c:pt>
                <c:pt idx="3079">
                  <c:v>40575</c:v>
                </c:pt>
                <c:pt idx="3080">
                  <c:v>40574</c:v>
                </c:pt>
                <c:pt idx="3081">
                  <c:v>40571</c:v>
                </c:pt>
                <c:pt idx="3082">
                  <c:v>40570</c:v>
                </c:pt>
                <c:pt idx="3083">
                  <c:v>40569</c:v>
                </c:pt>
                <c:pt idx="3084">
                  <c:v>40568</c:v>
                </c:pt>
                <c:pt idx="3085">
                  <c:v>40567</c:v>
                </c:pt>
                <c:pt idx="3086">
                  <c:v>40564</c:v>
                </c:pt>
                <c:pt idx="3087">
                  <c:v>40563</c:v>
                </c:pt>
                <c:pt idx="3088">
                  <c:v>40562</c:v>
                </c:pt>
                <c:pt idx="3089">
                  <c:v>40561</c:v>
                </c:pt>
                <c:pt idx="3090">
                  <c:v>40560</c:v>
                </c:pt>
                <c:pt idx="3091">
                  <c:v>40557</c:v>
                </c:pt>
                <c:pt idx="3092">
                  <c:v>40556</c:v>
                </c:pt>
                <c:pt idx="3093">
                  <c:v>40555</c:v>
                </c:pt>
                <c:pt idx="3094">
                  <c:v>40554</c:v>
                </c:pt>
                <c:pt idx="3095">
                  <c:v>40553</c:v>
                </c:pt>
                <c:pt idx="3096">
                  <c:v>40550</c:v>
                </c:pt>
                <c:pt idx="3097">
                  <c:v>40549</c:v>
                </c:pt>
                <c:pt idx="3098">
                  <c:v>40548</c:v>
                </c:pt>
                <c:pt idx="3099">
                  <c:v>40547</c:v>
                </c:pt>
                <c:pt idx="3100">
                  <c:v>40546</c:v>
                </c:pt>
              </c:numCache>
            </c:numRef>
          </c:cat>
          <c:val>
            <c:numRef>
              <c:f>'EMBI+'!$B$2:$B$3102</c:f>
              <c:numCache>
                <c:formatCode>General</c:formatCode>
                <c:ptCount val="3101"/>
                <c:pt idx="0">
                  <c:v>257</c:v>
                </c:pt>
                <c:pt idx="1">
                  <c:v>256</c:v>
                </c:pt>
                <c:pt idx="2">
                  <c:v>260</c:v>
                </c:pt>
                <c:pt idx="3">
                  <c:v>255</c:v>
                </c:pt>
                <c:pt idx="4">
                  <c:v>258</c:v>
                </c:pt>
                <c:pt idx="5">
                  <c:v>263</c:v>
                </c:pt>
                <c:pt idx="6">
                  <c:v>265</c:v>
                </c:pt>
                <c:pt idx="7">
                  <c:v>267</c:v>
                </c:pt>
                <c:pt idx="8">
                  <c:v>275</c:v>
                </c:pt>
                <c:pt idx="9">
                  <c:v>276</c:v>
                </c:pt>
                <c:pt idx="10">
                  <c:v>274</c:v>
                </c:pt>
                <c:pt idx="11">
                  <c:v>267</c:v>
                </c:pt>
                <c:pt idx="12">
                  <c:v>260</c:v>
                </c:pt>
                <c:pt idx="13">
                  <c:v>251</c:v>
                </c:pt>
                <c:pt idx="14">
                  <c:v>254</c:v>
                </c:pt>
                <c:pt idx="15">
                  <c:v>244</c:v>
                </c:pt>
                <c:pt idx="16">
                  <c:v>252</c:v>
                </c:pt>
                <c:pt idx="17">
                  <c:v>260</c:v>
                </c:pt>
                <c:pt idx="18">
                  <c:v>256</c:v>
                </c:pt>
                <c:pt idx="19">
                  <c:v>244</c:v>
                </c:pt>
                <c:pt idx="20">
                  <c:v>248</c:v>
                </c:pt>
                <c:pt idx="21">
                  <c:v>253</c:v>
                </c:pt>
                <c:pt idx="22">
                  <c:v>251</c:v>
                </c:pt>
                <c:pt idx="23">
                  <c:v>251</c:v>
                </c:pt>
                <c:pt idx="24">
                  <c:v>270</c:v>
                </c:pt>
                <c:pt idx="25">
                  <c:v>270</c:v>
                </c:pt>
                <c:pt idx="26">
                  <c:v>269</c:v>
                </c:pt>
                <c:pt idx="27">
                  <c:v>265</c:v>
                </c:pt>
                <c:pt idx="28">
                  <c:v>268</c:v>
                </c:pt>
                <c:pt idx="29">
                  <c:v>271</c:v>
                </c:pt>
                <c:pt idx="30">
                  <c:v>278</c:v>
                </c:pt>
                <c:pt idx="31">
                  <c:v>270</c:v>
                </c:pt>
                <c:pt idx="32">
                  <c:v>265</c:v>
                </c:pt>
                <c:pt idx="33">
                  <c:v>277</c:v>
                </c:pt>
                <c:pt idx="34">
                  <c:v>286</c:v>
                </c:pt>
                <c:pt idx="35">
                  <c:v>279</c:v>
                </c:pt>
                <c:pt idx="36">
                  <c:v>264</c:v>
                </c:pt>
                <c:pt idx="37">
                  <c:v>252</c:v>
                </c:pt>
                <c:pt idx="38">
                  <c:v>259</c:v>
                </c:pt>
                <c:pt idx="39">
                  <c:v>263</c:v>
                </c:pt>
                <c:pt idx="40">
                  <c:v>260</c:v>
                </c:pt>
                <c:pt idx="41">
                  <c:v>261</c:v>
                </c:pt>
                <c:pt idx="42">
                  <c:v>255</c:v>
                </c:pt>
                <c:pt idx="43">
                  <c:v>272</c:v>
                </c:pt>
                <c:pt idx="44">
                  <c:v>259</c:v>
                </c:pt>
                <c:pt idx="45">
                  <c:v>253</c:v>
                </c:pt>
                <c:pt idx="46">
                  <c:v>246</c:v>
                </c:pt>
                <c:pt idx="47">
                  <c:v>246</c:v>
                </c:pt>
                <c:pt idx="48">
                  <c:v>255</c:v>
                </c:pt>
                <c:pt idx="49">
                  <c:v>264</c:v>
                </c:pt>
                <c:pt idx="50">
                  <c:v>276</c:v>
                </c:pt>
                <c:pt idx="51">
                  <c:v>278</c:v>
                </c:pt>
                <c:pt idx="52">
                  <c:v>283</c:v>
                </c:pt>
                <c:pt idx="53">
                  <c:v>288</c:v>
                </c:pt>
                <c:pt idx="54">
                  <c:v>291</c:v>
                </c:pt>
                <c:pt idx="55">
                  <c:v>288</c:v>
                </c:pt>
                <c:pt idx="56">
                  <c:v>282</c:v>
                </c:pt>
                <c:pt idx="57">
                  <c:v>276</c:v>
                </c:pt>
                <c:pt idx="58">
                  <c:v>271</c:v>
                </c:pt>
                <c:pt idx="59">
                  <c:v>272</c:v>
                </c:pt>
                <c:pt idx="60">
                  <c:v>266</c:v>
                </c:pt>
                <c:pt idx="61">
                  <c:v>280</c:v>
                </c:pt>
                <c:pt idx="62">
                  <c:v>288</c:v>
                </c:pt>
                <c:pt idx="63">
                  <c:v>301</c:v>
                </c:pt>
                <c:pt idx="64">
                  <c:v>299</c:v>
                </c:pt>
                <c:pt idx="65">
                  <c:v>297</c:v>
                </c:pt>
                <c:pt idx="66">
                  <c:v>292</c:v>
                </c:pt>
                <c:pt idx="67">
                  <c:v>278</c:v>
                </c:pt>
                <c:pt idx="68">
                  <c:v>266</c:v>
                </c:pt>
                <c:pt idx="69">
                  <c:v>270</c:v>
                </c:pt>
                <c:pt idx="70">
                  <c:v>270</c:v>
                </c:pt>
                <c:pt idx="71">
                  <c:v>266</c:v>
                </c:pt>
                <c:pt idx="72">
                  <c:v>269</c:v>
                </c:pt>
                <c:pt idx="73">
                  <c:v>261</c:v>
                </c:pt>
                <c:pt idx="74">
                  <c:v>263</c:v>
                </c:pt>
                <c:pt idx="75">
                  <c:v>259</c:v>
                </c:pt>
                <c:pt idx="76">
                  <c:v>255</c:v>
                </c:pt>
                <c:pt idx="77">
                  <c:v>259</c:v>
                </c:pt>
                <c:pt idx="78">
                  <c:v>264</c:v>
                </c:pt>
                <c:pt idx="79">
                  <c:v>273</c:v>
                </c:pt>
                <c:pt idx="80">
                  <c:v>274</c:v>
                </c:pt>
                <c:pt idx="81">
                  <c:v>281</c:v>
                </c:pt>
                <c:pt idx="82">
                  <c:v>281</c:v>
                </c:pt>
                <c:pt idx="83">
                  <c:v>281</c:v>
                </c:pt>
                <c:pt idx="84">
                  <c:v>285</c:v>
                </c:pt>
                <c:pt idx="85">
                  <c:v>293</c:v>
                </c:pt>
                <c:pt idx="86">
                  <c:v>297</c:v>
                </c:pt>
                <c:pt idx="87">
                  <c:v>291</c:v>
                </c:pt>
                <c:pt idx="88">
                  <c:v>288</c:v>
                </c:pt>
                <c:pt idx="89">
                  <c:v>288</c:v>
                </c:pt>
                <c:pt idx="90">
                  <c:v>299</c:v>
                </c:pt>
                <c:pt idx="91">
                  <c:v>303</c:v>
                </c:pt>
                <c:pt idx="92">
                  <c:v>297</c:v>
                </c:pt>
                <c:pt idx="93">
                  <c:v>292</c:v>
                </c:pt>
                <c:pt idx="94">
                  <c:v>295</c:v>
                </c:pt>
                <c:pt idx="95">
                  <c:v>291</c:v>
                </c:pt>
                <c:pt idx="96">
                  <c:v>286</c:v>
                </c:pt>
                <c:pt idx="97">
                  <c:v>285</c:v>
                </c:pt>
                <c:pt idx="98">
                  <c:v>282</c:v>
                </c:pt>
                <c:pt idx="99">
                  <c:v>290</c:v>
                </c:pt>
                <c:pt idx="100">
                  <c:v>305</c:v>
                </c:pt>
                <c:pt idx="101">
                  <c:v>294</c:v>
                </c:pt>
                <c:pt idx="102">
                  <c:v>297</c:v>
                </c:pt>
                <c:pt idx="103">
                  <c:v>300</c:v>
                </c:pt>
                <c:pt idx="104">
                  <c:v>311</c:v>
                </c:pt>
                <c:pt idx="105">
                  <c:v>307</c:v>
                </c:pt>
                <c:pt idx="106">
                  <c:v>312</c:v>
                </c:pt>
                <c:pt idx="107">
                  <c:v>305</c:v>
                </c:pt>
                <c:pt idx="108">
                  <c:v>317</c:v>
                </c:pt>
                <c:pt idx="109">
                  <c:v>329</c:v>
                </c:pt>
                <c:pt idx="110">
                  <c:v>334</c:v>
                </c:pt>
                <c:pt idx="111">
                  <c:v>332</c:v>
                </c:pt>
                <c:pt idx="112">
                  <c:v>339</c:v>
                </c:pt>
                <c:pt idx="113">
                  <c:v>337</c:v>
                </c:pt>
                <c:pt idx="114">
                  <c:v>331</c:v>
                </c:pt>
                <c:pt idx="115">
                  <c:v>345</c:v>
                </c:pt>
                <c:pt idx="116">
                  <c:v>364</c:v>
                </c:pt>
                <c:pt idx="117">
                  <c:v>376</c:v>
                </c:pt>
                <c:pt idx="118">
                  <c:v>376</c:v>
                </c:pt>
                <c:pt idx="119">
                  <c:v>367</c:v>
                </c:pt>
                <c:pt idx="120">
                  <c:v>359</c:v>
                </c:pt>
                <c:pt idx="121">
                  <c:v>349</c:v>
                </c:pt>
                <c:pt idx="122">
                  <c:v>352</c:v>
                </c:pt>
                <c:pt idx="123">
                  <c:v>357</c:v>
                </c:pt>
                <c:pt idx="124">
                  <c:v>369</c:v>
                </c:pt>
                <c:pt idx="125">
                  <c:v>362</c:v>
                </c:pt>
                <c:pt idx="126">
                  <c:v>362</c:v>
                </c:pt>
                <c:pt idx="127">
                  <c:v>364</c:v>
                </c:pt>
                <c:pt idx="128">
                  <c:v>365</c:v>
                </c:pt>
                <c:pt idx="129">
                  <c:v>356</c:v>
                </c:pt>
                <c:pt idx="130">
                  <c:v>340</c:v>
                </c:pt>
                <c:pt idx="131">
                  <c:v>343</c:v>
                </c:pt>
                <c:pt idx="132">
                  <c:v>347</c:v>
                </c:pt>
                <c:pt idx="133">
                  <c:v>347</c:v>
                </c:pt>
                <c:pt idx="134">
                  <c:v>342</c:v>
                </c:pt>
                <c:pt idx="135">
                  <c:v>346</c:v>
                </c:pt>
                <c:pt idx="136">
                  <c:v>346</c:v>
                </c:pt>
                <c:pt idx="137">
                  <c:v>348</c:v>
                </c:pt>
                <c:pt idx="138">
                  <c:v>336</c:v>
                </c:pt>
                <c:pt idx="139">
                  <c:v>338</c:v>
                </c:pt>
                <c:pt idx="140">
                  <c:v>338</c:v>
                </c:pt>
                <c:pt idx="141">
                  <c:v>325</c:v>
                </c:pt>
                <c:pt idx="142">
                  <c:v>318</c:v>
                </c:pt>
                <c:pt idx="143">
                  <c:v>312</c:v>
                </c:pt>
                <c:pt idx="144">
                  <c:v>311</c:v>
                </c:pt>
                <c:pt idx="145">
                  <c:v>307</c:v>
                </c:pt>
                <c:pt idx="146">
                  <c:v>309</c:v>
                </c:pt>
                <c:pt idx="147">
                  <c:v>305</c:v>
                </c:pt>
                <c:pt idx="148">
                  <c:v>302</c:v>
                </c:pt>
                <c:pt idx="149">
                  <c:v>300</c:v>
                </c:pt>
                <c:pt idx="150">
                  <c:v>305</c:v>
                </c:pt>
                <c:pt idx="151">
                  <c:v>305</c:v>
                </c:pt>
                <c:pt idx="152">
                  <c:v>310</c:v>
                </c:pt>
                <c:pt idx="153">
                  <c:v>316</c:v>
                </c:pt>
                <c:pt idx="154">
                  <c:v>330</c:v>
                </c:pt>
                <c:pt idx="155">
                  <c:v>325</c:v>
                </c:pt>
                <c:pt idx="156">
                  <c:v>332</c:v>
                </c:pt>
                <c:pt idx="157">
                  <c:v>326</c:v>
                </c:pt>
                <c:pt idx="158">
                  <c:v>328</c:v>
                </c:pt>
                <c:pt idx="159">
                  <c:v>315</c:v>
                </c:pt>
                <c:pt idx="160">
                  <c:v>319</c:v>
                </c:pt>
                <c:pt idx="161">
                  <c:v>314</c:v>
                </c:pt>
                <c:pt idx="162">
                  <c:v>318</c:v>
                </c:pt>
                <c:pt idx="163">
                  <c:v>316</c:v>
                </c:pt>
                <c:pt idx="164">
                  <c:v>315</c:v>
                </c:pt>
                <c:pt idx="165">
                  <c:v>323</c:v>
                </c:pt>
                <c:pt idx="166">
                  <c:v>301</c:v>
                </c:pt>
                <c:pt idx="167">
                  <c:v>299</c:v>
                </c:pt>
                <c:pt idx="168">
                  <c:v>300</c:v>
                </c:pt>
                <c:pt idx="169">
                  <c:v>302</c:v>
                </c:pt>
                <c:pt idx="170">
                  <c:v>310</c:v>
                </c:pt>
                <c:pt idx="171">
                  <c:v>306</c:v>
                </c:pt>
                <c:pt idx="172">
                  <c:v>303</c:v>
                </c:pt>
                <c:pt idx="173">
                  <c:v>297</c:v>
                </c:pt>
                <c:pt idx="174">
                  <c:v>298</c:v>
                </c:pt>
                <c:pt idx="175">
                  <c:v>295</c:v>
                </c:pt>
                <c:pt idx="176">
                  <c:v>293</c:v>
                </c:pt>
                <c:pt idx="177">
                  <c:v>288</c:v>
                </c:pt>
                <c:pt idx="178">
                  <c:v>283</c:v>
                </c:pt>
                <c:pt idx="179">
                  <c:v>283</c:v>
                </c:pt>
                <c:pt idx="180">
                  <c:v>284</c:v>
                </c:pt>
                <c:pt idx="181">
                  <c:v>284</c:v>
                </c:pt>
                <c:pt idx="182">
                  <c:v>296</c:v>
                </c:pt>
                <c:pt idx="183">
                  <c:v>301</c:v>
                </c:pt>
                <c:pt idx="184">
                  <c:v>300</c:v>
                </c:pt>
                <c:pt idx="185">
                  <c:v>294</c:v>
                </c:pt>
                <c:pt idx="186">
                  <c:v>291</c:v>
                </c:pt>
                <c:pt idx="187">
                  <c:v>292</c:v>
                </c:pt>
                <c:pt idx="188">
                  <c:v>283</c:v>
                </c:pt>
                <c:pt idx="189">
                  <c:v>290</c:v>
                </c:pt>
                <c:pt idx="190">
                  <c:v>295</c:v>
                </c:pt>
                <c:pt idx="191">
                  <c:v>294</c:v>
                </c:pt>
                <c:pt idx="192">
                  <c:v>294</c:v>
                </c:pt>
                <c:pt idx="193">
                  <c:v>300</c:v>
                </c:pt>
                <c:pt idx="194">
                  <c:v>301</c:v>
                </c:pt>
                <c:pt idx="195">
                  <c:v>301</c:v>
                </c:pt>
                <c:pt idx="196">
                  <c:v>313</c:v>
                </c:pt>
                <c:pt idx="197">
                  <c:v>320</c:v>
                </c:pt>
                <c:pt idx="198">
                  <c:v>309</c:v>
                </c:pt>
                <c:pt idx="199">
                  <c:v>309</c:v>
                </c:pt>
                <c:pt idx="200">
                  <c:v>313</c:v>
                </c:pt>
                <c:pt idx="201">
                  <c:v>310</c:v>
                </c:pt>
                <c:pt idx="202">
                  <c:v>324</c:v>
                </c:pt>
                <c:pt idx="203">
                  <c:v>331</c:v>
                </c:pt>
                <c:pt idx="204">
                  <c:v>331</c:v>
                </c:pt>
                <c:pt idx="205">
                  <c:v>330</c:v>
                </c:pt>
                <c:pt idx="206">
                  <c:v>332</c:v>
                </c:pt>
                <c:pt idx="207">
                  <c:v>332</c:v>
                </c:pt>
                <c:pt idx="208">
                  <c:v>346</c:v>
                </c:pt>
                <c:pt idx="209">
                  <c:v>347</c:v>
                </c:pt>
                <c:pt idx="210">
                  <c:v>343</c:v>
                </c:pt>
                <c:pt idx="211">
                  <c:v>330</c:v>
                </c:pt>
                <c:pt idx="212">
                  <c:v>327</c:v>
                </c:pt>
                <c:pt idx="213">
                  <c:v>339</c:v>
                </c:pt>
                <c:pt idx="214">
                  <c:v>338</c:v>
                </c:pt>
                <c:pt idx="215">
                  <c:v>328</c:v>
                </c:pt>
                <c:pt idx="216">
                  <c:v>338</c:v>
                </c:pt>
                <c:pt idx="217">
                  <c:v>340</c:v>
                </c:pt>
                <c:pt idx="218">
                  <c:v>341</c:v>
                </c:pt>
                <c:pt idx="219">
                  <c:v>340</c:v>
                </c:pt>
                <c:pt idx="220">
                  <c:v>335</c:v>
                </c:pt>
                <c:pt idx="221">
                  <c:v>328</c:v>
                </c:pt>
                <c:pt idx="222">
                  <c:v>325</c:v>
                </c:pt>
                <c:pt idx="223">
                  <c:v>335</c:v>
                </c:pt>
                <c:pt idx="224">
                  <c:v>337</c:v>
                </c:pt>
                <c:pt idx="225">
                  <c:v>318</c:v>
                </c:pt>
                <c:pt idx="226">
                  <c:v>318</c:v>
                </c:pt>
                <c:pt idx="227">
                  <c:v>325</c:v>
                </c:pt>
                <c:pt idx="228">
                  <c:v>328</c:v>
                </c:pt>
                <c:pt idx="229">
                  <c:v>326</c:v>
                </c:pt>
                <c:pt idx="230">
                  <c:v>325</c:v>
                </c:pt>
                <c:pt idx="231">
                  <c:v>327</c:v>
                </c:pt>
                <c:pt idx="232">
                  <c:v>331</c:v>
                </c:pt>
                <c:pt idx="233">
                  <c:v>334</c:v>
                </c:pt>
                <c:pt idx="234">
                  <c:v>339</c:v>
                </c:pt>
                <c:pt idx="235">
                  <c:v>333</c:v>
                </c:pt>
                <c:pt idx="236">
                  <c:v>329</c:v>
                </c:pt>
                <c:pt idx="237">
                  <c:v>334</c:v>
                </c:pt>
                <c:pt idx="238">
                  <c:v>336</c:v>
                </c:pt>
                <c:pt idx="239">
                  <c:v>335</c:v>
                </c:pt>
                <c:pt idx="240">
                  <c:v>328</c:v>
                </c:pt>
                <c:pt idx="241">
                  <c:v>332</c:v>
                </c:pt>
                <c:pt idx="242">
                  <c:v>336</c:v>
                </c:pt>
                <c:pt idx="243">
                  <c:v>336</c:v>
                </c:pt>
                <c:pt idx="244">
                  <c:v>336</c:v>
                </c:pt>
                <c:pt idx="245">
                  <c:v>337</c:v>
                </c:pt>
                <c:pt idx="246">
                  <c:v>333</c:v>
                </c:pt>
                <c:pt idx="247">
                  <c:v>336</c:v>
                </c:pt>
                <c:pt idx="248">
                  <c:v>335</c:v>
                </c:pt>
                <c:pt idx="249">
                  <c:v>333</c:v>
                </c:pt>
                <c:pt idx="250">
                  <c:v>333</c:v>
                </c:pt>
                <c:pt idx="251">
                  <c:v>323</c:v>
                </c:pt>
                <c:pt idx="252">
                  <c:v>323</c:v>
                </c:pt>
                <c:pt idx="253">
                  <c:v>320</c:v>
                </c:pt>
                <c:pt idx="254">
                  <c:v>326</c:v>
                </c:pt>
                <c:pt idx="255">
                  <c:v>326</c:v>
                </c:pt>
                <c:pt idx="256">
                  <c:v>325</c:v>
                </c:pt>
                <c:pt idx="257">
                  <c:v>331</c:v>
                </c:pt>
                <c:pt idx="258">
                  <c:v>334</c:v>
                </c:pt>
                <c:pt idx="259">
                  <c:v>335</c:v>
                </c:pt>
                <c:pt idx="260">
                  <c:v>335</c:v>
                </c:pt>
                <c:pt idx="261">
                  <c:v>342</c:v>
                </c:pt>
                <c:pt idx="262">
                  <c:v>341</c:v>
                </c:pt>
                <c:pt idx="263">
                  <c:v>345</c:v>
                </c:pt>
                <c:pt idx="264">
                  <c:v>343</c:v>
                </c:pt>
                <c:pt idx="265">
                  <c:v>342</c:v>
                </c:pt>
                <c:pt idx="266">
                  <c:v>339</c:v>
                </c:pt>
                <c:pt idx="267">
                  <c:v>338</c:v>
                </c:pt>
                <c:pt idx="268">
                  <c:v>337</c:v>
                </c:pt>
                <c:pt idx="269">
                  <c:v>333</c:v>
                </c:pt>
                <c:pt idx="270">
                  <c:v>333</c:v>
                </c:pt>
                <c:pt idx="271">
                  <c:v>327</c:v>
                </c:pt>
                <c:pt idx="272">
                  <c:v>330</c:v>
                </c:pt>
                <c:pt idx="273">
                  <c:v>343</c:v>
                </c:pt>
                <c:pt idx="274">
                  <c:v>349</c:v>
                </c:pt>
                <c:pt idx="275">
                  <c:v>345</c:v>
                </c:pt>
                <c:pt idx="276">
                  <c:v>355</c:v>
                </c:pt>
                <c:pt idx="277">
                  <c:v>366</c:v>
                </c:pt>
                <c:pt idx="278">
                  <c:v>366</c:v>
                </c:pt>
                <c:pt idx="279">
                  <c:v>375</c:v>
                </c:pt>
                <c:pt idx="280">
                  <c:v>349</c:v>
                </c:pt>
                <c:pt idx="281">
                  <c:v>349</c:v>
                </c:pt>
                <c:pt idx="282">
                  <c:v>345</c:v>
                </c:pt>
                <c:pt idx="283">
                  <c:v>339</c:v>
                </c:pt>
                <c:pt idx="284">
                  <c:v>341</c:v>
                </c:pt>
                <c:pt idx="285">
                  <c:v>340</c:v>
                </c:pt>
                <c:pt idx="286">
                  <c:v>338</c:v>
                </c:pt>
                <c:pt idx="287">
                  <c:v>336</c:v>
                </c:pt>
                <c:pt idx="288">
                  <c:v>336</c:v>
                </c:pt>
                <c:pt idx="289">
                  <c:v>339</c:v>
                </c:pt>
                <c:pt idx="290">
                  <c:v>338</c:v>
                </c:pt>
                <c:pt idx="291">
                  <c:v>341</c:v>
                </c:pt>
                <c:pt idx="292">
                  <c:v>346</c:v>
                </c:pt>
                <c:pt idx="293">
                  <c:v>343</c:v>
                </c:pt>
                <c:pt idx="294">
                  <c:v>355</c:v>
                </c:pt>
                <c:pt idx="295">
                  <c:v>356</c:v>
                </c:pt>
                <c:pt idx="296">
                  <c:v>361</c:v>
                </c:pt>
                <c:pt idx="297">
                  <c:v>370</c:v>
                </c:pt>
                <c:pt idx="298">
                  <c:v>366</c:v>
                </c:pt>
                <c:pt idx="299">
                  <c:v>362</c:v>
                </c:pt>
                <c:pt idx="300">
                  <c:v>347</c:v>
                </c:pt>
                <c:pt idx="301">
                  <c:v>346</c:v>
                </c:pt>
                <c:pt idx="302">
                  <c:v>346</c:v>
                </c:pt>
                <c:pt idx="303">
                  <c:v>348</c:v>
                </c:pt>
                <c:pt idx="304">
                  <c:v>353</c:v>
                </c:pt>
                <c:pt idx="305">
                  <c:v>350</c:v>
                </c:pt>
                <c:pt idx="306">
                  <c:v>336</c:v>
                </c:pt>
                <c:pt idx="307">
                  <c:v>329</c:v>
                </c:pt>
                <c:pt idx="308">
                  <c:v>327</c:v>
                </c:pt>
                <c:pt idx="309">
                  <c:v>324</c:v>
                </c:pt>
                <c:pt idx="310">
                  <c:v>328</c:v>
                </c:pt>
                <c:pt idx="311">
                  <c:v>330</c:v>
                </c:pt>
                <c:pt idx="312">
                  <c:v>332</c:v>
                </c:pt>
                <c:pt idx="313">
                  <c:v>327</c:v>
                </c:pt>
                <c:pt idx="314">
                  <c:v>326</c:v>
                </c:pt>
                <c:pt idx="315">
                  <c:v>326</c:v>
                </c:pt>
                <c:pt idx="316">
                  <c:v>334</c:v>
                </c:pt>
                <c:pt idx="317">
                  <c:v>332</c:v>
                </c:pt>
                <c:pt idx="318">
                  <c:v>334</c:v>
                </c:pt>
                <c:pt idx="319">
                  <c:v>333</c:v>
                </c:pt>
                <c:pt idx="320">
                  <c:v>327</c:v>
                </c:pt>
                <c:pt idx="321">
                  <c:v>320</c:v>
                </c:pt>
                <c:pt idx="322">
                  <c:v>325</c:v>
                </c:pt>
                <c:pt idx="323">
                  <c:v>322</c:v>
                </c:pt>
                <c:pt idx="324">
                  <c:v>320</c:v>
                </c:pt>
                <c:pt idx="325">
                  <c:v>317</c:v>
                </c:pt>
                <c:pt idx="326">
                  <c:v>318</c:v>
                </c:pt>
                <c:pt idx="327">
                  <c:v>318</c:v>
                </c:pt>
                <c:pt idx="328">
                  <c:v>322</c:v>
                </c:pt>
                <c:pt idx="329">
                  <c:v>311</c:v>
                </c:pt>
                <c:pt idx="330">
                  <c:v>312</c:v>
                </c:pt>
                <c:pt idx="331">
                  <c:v>314</c:v>
                </c:pt>
                <c:pt idx="332">
                  <c:v>318</c:v>
                </c:pt>
                <c:pt idx="333">
                  <c:v>314</c:v>
                </c:pt>
                <c:pt idx="334">
                  <c:v>310</c:v>
                </c:pt>
                <c:pt idx="335">
                  <c:v>317</c:v>
                </c:pt>
                <c:pt idx="336">
                  <c:v>312</c:v>
                </c:pt>
                <c:pt idx="337">
                  <c:v>304</c:v>
                </c:pt>
                <c:pt idx="338">
                  <c:v>304</c:v>
                </c:pt>
                <c:pt idx="339">
                  <c:v>304</c:v>
                </c:pt>
                <c:pt idx="340">
                  <c:v>305</c:v>
                </c:pt>
                <c:pt idx="341">
                  <c:v>304</c:v>
                </c:pt>
                <c:pt idx="342">
                  <c:v>304</c:v>
                </c:pt>
                <c:pt idx="343">
                  <c:v>304</c:v>
                </c:pt>
                <c:pt idx="344">
                  <c:v>309</c:v>
                </c:pt>
                <c:pt idx="345">
                  <c:v>311</c:v>
                </c:pt>
                <c:pt idx="346">
                  <c:v>310</c:v>
                </c:pt>
                <c:pt idx="347">
                  <c:v>315</c:v>
                </c:pt>
                <c:pt idx="348">
                  <c:v>318</c:v>
                </c:pt>
                <c:pt idx="349">
                  <c:v>320</c:v>
                </c:pt>
                <c:pt idx="350">
                  <c:v>321</c:v>
                </c:pt>
                <c:pt idx="351">
                  <c:v>313</c:v>
                </c:pt>
                <c:pt idx="352">
                  <c:v>309</c:v>
                </c:pt>
                <c:pt idx="353">
                  <c:v>307</c:v>
                </c:pt>
                <c:pt idx="354">
                  <c:v>304</c:v>
                </c:pt>
                <c:pt idx="355">
                  <c:v>300</c:v>
                </c:pt>
                <c:pt idx="356">
                  <c:v>301</c:v>
                </c:pt>
                <c:pt idx="357">
                  <c:v>301</c:v>
                </c:pt>
                <c:pt idx="358">
                  <c:v>301</c:v>
                </c:pt>
                <c:pt idx="359">
                  <c:v>301</c:v>
                </c:pt>
                <c:pt idx="360">
                  <c:v>301</c:v>
                </c:pt>
                <c:pt idx="361">
                  <c:v>305</c:v>
                </c:pt>
                <c:pt idx="362">
                  <c:v>304</c:v>
                </c:pt>
                <c:pt idx="363">
                  <c:v>302</c:v>
                </c:pt>
                <c:pt idx="364">
                  <c:v>300</c:v>
                </c:pt>
                <c:pt idx="365">
                  <c:v>298</c:v>
                </c:pt>
                <c:pt idx="366">
                  <c:v>300</c:v>
                </c:pt>
                <c:pt idx="367">
                  <c:v>300</c:v>
                </c:pt>
                <c:pt idx="368">
                  <c:v>294</c:v>
                </c:pt>
                <c:pt idx="369">
                  <c:v>294</c:v>
                </c:pt>
                <c:pt idx="370">
                  <c:v>296</c:v>
                </c:pt>
                <c:pt idx="371">
                  <c:v>296</c:v>
                </c:pt>
                <c:pt idx="372">
                  <c:v>299</c:v>
                </c:pt>
                <c:pt idx="373">
                  <c:v>303</c:v>
                </c:pt>
                <c:pt idx="374">
                  <c:v>291</c:v>
                </c:pt>
                <c:pt idx="375">
                  <c:v>292</c:v>
                </c:pt>
                <c:pt idx="376">
                  <c:v>289</c:v>
                </c:pt>
                <c:pt idx="377">
                  <c:v>285</c:v>
                </c:pt>
                <c:pt idx="378">
                  <c:v>288</c:v>
                </c:pt>
                <c:pt idx="379">
                  <c:v>289</c:v>
                </c:pt>
                <c:pt idx="380">
                  <c:v>294</c:v>
                </c:pt>
                <c:pt idx="381">
                  <c:v>291</c:v>
                </c:pt>
                <c:pt idx="382">
                  <c:v>287</c:v>
                </c:pt>
                <c:pt idx="383">
                  <c:v>279</c:v>
                </c:pt>
                <c:pt idx="384">
                  <c:v>279</c:v>
                </c:pt>
                <c:pt idx="385">
                  <c:v>276</c:v>
                </c:pt>
                <c:pt idx="386">
                  <c:v>275</c:v>
                </c:pt>
                <c:pt idx="387">
                  <c:v>270</c:v>
                </c:pt>
                <c:pt idx="388">
                  <c:v>266</c:v>
                </c:pt>
                <c:pt idx="389">
                  <c:v>262</c:v>
                </c:pt>
                <c:pt idx="390">
                  <c:v>265</c:v>
                </c:pt>
                <c:pt idx="391">
                  <c:v>264</c:v>
                </c:pt>
                <c:pt idx="392">
                  <c:v>267</c:v>
                </c:pt>
                <c:pt idx="393">
                  <c:v>263</c:v>
                </c:pt>
                <c:pt idx="394">
                  <c:v>267</c:v>
                </c:pt>
                <c:pt idx="395">
                  <c:v>263</c:v>
                </c:pt>
                <c:pt idx="396">
                  <c:v>266</c:v>
                </c:pt>
                <c:pt idx="397">
                  <c:v>266</c:v>
                </c:pt>
                <c:pt idx="398">
                  <c:v>263</c:v>
                </c:pt>
                <c:pt idx="399">
                  <c:v>262</c:v>
                </c:pt>
                <c:pt idx="400">
                  <c:v>266</c:v>
                </c:pt>
                <c:pt idx="401">
                  <c:v>264</c:v>
                </c:pt>
                <c:pt idx="402">
                  <c:v>263</c:v>
                </c:pt>
                <c:pt idx="403">
                  <c:v>261</c:v>
                </c:pt>
                <c:pt idx="404">
                  <c:v>263</c:v>
                </c:pt>
                <c:pt idx="405">
                  <c:v>260</c:v>
                </c:pt>
                <c:pt idx="406">
                  <c:v>258</c:v>
                </c:pt>
                <c:pt idx="407">
                  <c:v>260</c:v>
                </c:pt>
                <c:pt idx="408">
                  <c:v>262</c:v>
                </c:pt>
                <c:pt idx="409">
                  <c:v>261</c:v>
                </c:pt>
                <c:pt idx="410">
                  <c:v>264</c:v>
                </c:pt>
                <c:pt idx="411">
                  <c:v>265</c:v>
                </c:pt>
                <c:pt idx="412">
                  <c:v>271</c:v>
                </c:pt>
                <c:pt idx="413">
                  <c:v>268</c:v>
                </c:pt>
                <c:pt idx="414">
                  <c:v>266</c:v>
                </c:pt>
                <c:pt idx="415">
                  <c:v>266</c:v>
                </c:pt>
                <c:pt idx="416">
                  <c:v>262</c:v>
                </c:pt>
                <c:pt idx="417">
                  <c:v>260</c:v>
                </c:pt>
                <c:pt idx="418">
                  <c:v>260</c:v>
                </c:pt>
                <c:pt idx="419">
                  <c:v>258</c:v>
                </c:pt>
                <c:pt idx="420">
                  <c:v>257</c:v>
                </c:pt>
                <c:pt idx="421">
                  <c:v>256</c:v>
                </c:pt>
                <c:pt idx="422">
                  <c:v>256</c:v>
                </c:pt>
                <c:pt idx="423">
                  <c:v>254</c:v>
                </c:pt>
                <c:pt idx="424">
                  <c:v>261</c:v>
                </c:pt>
                <c:pt idx="425">
                  <c:v>272</c:v>
                </c:pt>
                <c:pt idx="426">
                  <c:v>276</c:v>
                </c:pt>
                <c:pt idx="427">
                  <c:v>277</c:v>
                </c:pt>
                <c:pt idx="428">
                  <c:v>277</c:v>
                </c:pt>
                <c:pt idx="429">
                  <c:v>277</c:v>
                </c:pt>
                <c:pt idx="430">
                  <c:v>277</c:v>
                </c:pt>
                <c:pt idx="431">
                  <c:v>281</c:v>
                </c:pt>
                <c:pt idx="432">
                  <c:v>282</c:v>
                </c:pt>
                <c:pt idx="433">
                  <c:v>283</c:v>
                </c:pt>
                <c:pt idx="434">
                  <c:v>283</c:v>
                </c:pt>
                <c:pt idx="435">
                  <c:v>287</c:v>
                </c:pt>
                <c:pt idx="436">
                  <c:v>286</c:v>
                </c:pt>
                <c:pt idx="437">
                  <c:v>286</c:v>
                </c:pt>
                <c:pt idx="438">
                  <c:v>281</c:v>
                </c:pt>
                <c:pt idx="439">
                  <c:v>285</c:v>
                </c:pt>
                <c:pt idx="440">
                  <c:v>290</c:v>
                </c:pt>
                <c:pt idx="441">
                  <c:v>291</c:v>
                </c:pt>
                <c:pt idx="442">
                  <c:v>296</c:v>
                </c:pt>
                <c:pt idx="443">
                  <c:v>292</c:v>
                </c:pt>
                <c:pt idx="444">
                  <c:v>289</c:v>
                </c:pt>
                <c:pt idx="445">
                  <c:v>289</c:v>
                </c:pt>
                <c:pt idx="446">
                  <c:v>286</c:v>
                </c:pt>
                <c:pt idx="447">
                  <c:v>288</c:v>
                </c:pt>
                <c:pt idx="448">
                  <c:v>289</c:v>
                </c:pt>
                <c:pt idx="449">
                  <c:v>292</c:v>
                </c:pt>
                <c:pt idx="450">
                  <c:v>290</c:v>
                </c:pt>
                <c:pt idx="451">
                  <c:v>299</c:v>
                </c:pt>
                <c:pt idx="452">
                  <c:v>295</c:v>
                </c:pt>
                <c:pt idx="453">
                  <c:v>299</c:v>
                </c:pt>
                <c:pt idx="454">
                  <c:v>301</c:v>
                </c:pt>
                <c:pt idx="455">
                  <c:v>294</c:v>
                </c:pt>
                <c:pt idx="456">
                  <c:v>289</c:v>
                </c:pt>
                <c:pt idx="457">
                  <c:v>289</c:v>
                </c:pt>
                <c:pt idx="458">
                  <c:v>288</c:v>
                </c:pt>
                <c:pt idx="459">
                  <c:v>289</c:v>
                </c:pt>
                <c:pt idx="460">
                  <c:v>294</c:v>
                </c:pt>
                <c:pt idx="461">
                  <c:v>295</c:v>
                </c:pt>
                <c:pt idx="462">
                  <c:v>302</c:v>
                </c:pt>
                <c:pt idx="463">
                  <c:v>302</c:v>
                </c:pt>
                <c:pt idx="464">
                  <c:v>310</c:v>
                </c:pt>
                <c:pt idx="465">
                  <c:v>320</c:v>
                </c:pt>
                <c:pt idx="466">
                  <c:v>324</c:v>
                </c:pt>
                <c:pt idx="467">
                  <c:v>323</c:v>
                </c:pt>
                <c:pt idx="468">
                  <c:v>306</c:v>
                </c:pt>
                <c:pt idx="469">
                  <c:v>299</c:v>
                </c:pt>
                <c:pt idx="470">
                  <c:v>304</c:v>
                </c:pt>
                <c:pt idx="471">
                  <c:v>303</c:v>
                </c:pt>
                <c:pt idx="472">
                  <c:v>296</c:v>
                </c:pt>
                <c:pt idx="473">
                  <c:v>299</c:v>
                </c:pt>
                <c:pt idx="474">
                  <c:v>285</c:v>
                </c:pt>
                <c:pt idx="475">
                  <c:v>280</c:v>
                </c:pt>
                <c:pt idx="476">
                  <c:v>288</c:v>
                </c:pt>
                <c:pt idx="477">
                  <c:v>292</c:v>
                </c:pt>
                <c:pt idx="478">
                  <c:v>274</c:v>
                </c:pt>
                <c:pt idx="479">
                  <c:v>279</c:v>
                </c:pt>
                <c:pt idx="480">
                  <c:v>271</c:v>
                </c:pt>
                <c:pt idx="481">
                  <c:v>270</c:v>
                </c:pt>
                <c:pt idx="482">
                  <c:v>269</c:v>
                </c:pt>
                <c:pt idx="483">
                  <c:v>269</c:v>
                </c:pt>
                <c:pt idx="484">
                  <c:v>271</c:v>
                </c:pt>
                <c:pt idx="485">
                  <c:v>273</c:v>
                </c:pt>
                <c:pt idx="486">
                  <c:v>270</c:v>
                </c:pt>
                <c:pt idx="487">
                  <c:v>268</c:v>
                </c:pt>
                <c:pt idx="488">
                  <c:v>266</c:v>
                </c:pt>
                <c:pt idx="489">
                  <c:v>270</c:v>
                </c:pt>
                <c:pt idx="490">
                  <c:v>276</c:v>
                </c:pt>
                <c:pt idx="491">
                  <c:v>276</c:v>
                </c:pt>
                <c:pt idx="492">
                  <c:v>283</c:v>
                </c:pt>
                <c:pt idx="493">
                  <c:v>288</c:v>
                </c:pt>
                <c:pt idx="494">
                  <c:v>287</c:v>
                </c:pt>
                <c:pt idx="495">
                  <c:v>294</c:v>
                </c:pt>
                <c:pt idx="496">
                  <c:v>290</c:v>
                </c:pt>
                <c:pt idx="497">
                  <c:v>291</c:v>
                </c:pt>
                <c:pt idx="498">
                  <c:v>287</c:v>
                </c:pt>
                <c:pt idx="499">
                  <c:v>283</c:v>
                </c:pt>
                <c:pt idx="500">
                  <c:v>283</c:v>
                </c:pt>
                <c:pt idx="501">
                  <c:v>283</c:v>
                </c:pt>
                <c:pt idx="502">
                  <c:v>280</c:v>
                </c:pt>
                <c:pt idx="503">
                  <c:v>280</c:v>
                </c:pt>
                <c:pt idx="504">
                  <c:v>272</c:v>
                </c:pt>
                <c:pt idx="505">
                  <c:v>273</c:v>
                </c:pt>
                <c:pt idx="506">
                  <c:v>273</c:v>
                </c:pt>
                <c:pt idx="507">
                  <c:v>270</c:v>
                </c:pt>
                <c:pt idx="508">
                  <c:v>265</c:v>
                </c:pt>
                <c:pt idx="509">
                  <c:v>268</c:v>
                </c:pt>
                <c:pt idx="510">
                  <c:v>266</c:v>
                </c:pt>
                <c:pt idx="511">
                  <c:v>264</c:v>
                </c:pt>
                <c:pt idx="512">
                  <c:v>261</c:v>
                </c:pt>
                <c:pt idx="513">
                  <c:v>260</c:v>
                </c:pt>
                <c:pt idx="514">
                  <c:v>259</c:v>
                </c:pt>
                <c:pt idx="515">
                  <c:v>259</c:v>
                </c:pt>
                <c:pt idx="516">
                  <c:v>261</c:v>
                </c:pt>
                <c:pt idx="517">
                  <c:v>261</c:v>
                </c:pt>
                <c:pt idx="518">
                  <c:v>259</c:v>
                </c:pt>
                <c:pt idx="519">
                  <c:v>263</c:v>
                </c:pt>
                <c:pt idx="520">
                  <c:v>261</c:v>
                </c:pt>
                <c:pt idx="521">
                  <c:v>256</c:v>
                </c:pt>
                <c:pt idx="522">
                  <c:v>258</c:v>
                </c:pt>
                <c:pt idx="523">
                  <c:v>260</c:v>
                </c:pt>
                <c:pt idx="524">
                  <c:v>263</c:v>
                </c:pt>
                <c:pt idx="525">
                  <c:v>268</c:v>
                </c:pt>
                <c:pt idx="526">
                  <c:v>269</c:v>
                </c:pt>
                <c:pt idx="527">
                  <c:v>268</c:v>
                </c:pt>
                <c:pt idx="528">
                  <c:v>267</c:v>
                </c:pt>
                <c:pt idx="529">
                  <c:v>270</c:v>
                </c:pt>
                <c:pt idx="530">
                  <c:v>266</c:v>
                </c:pt>
                <c:pt idx="531">
                  <c:v>262</c:v>
                </c:pt>
                <c:pt idx="532">
                  <c:v>267</c:v>
                </c:pt>
                <c:pt idx="533">
                  <c:v>266</c:v>
                </c:pt>
                <c:pt idx="534">
                  <c:v>264</c:v>
                </c:pt>
                <c:pt idx="535">
                  <c:v>275</c:v>
                </c:pt>
                <c:pt idx="536">
                  <c:v>259</c:v>
                </c:pt>
                <c:pt idx="537">
                  <c:v>261</c:v>
                </c:pt>
                <c:pt idx="538">
                  <c:v>275</c:v>
                </c:pt>
                <c:pt idx="539">
                  <c:v>271</c:v>
                </c:pt>
                <c:pt idx="540">
                  <c:v>271</c:v>
                </c:pt>
                <c:pt idx="541">
                  <c:v>272</c:v>
                </c:pt>
                <c:pt idx="542">
                  <c:v>275</c:v>
                </c:pt>
                <c:pt idx="543">
                  <c:v>263</c:v>
                </c:pt>
                <c:pt idx="544">
                  <c:v>261</c:v>
                </c:pt>
                <c:pt idx="545">
                  <c:v>276</c:v>
                </c:pt>
                <c:pt idx="546">
                  <c:v>277</c:v>
                </c:pt>
                <c:pt idx="547">
                  <c:v>275</c:v>
                </c:pt>
                <c:pt idx="548">
                  <c:v>279</c:v>
                </c:pt>
                <c:pt idx="549">
                  <c:v>276</c:v>
                </c:pt>
                <c:pt idx="550">
                  <c:v>279</c:v>
                </c:pt>
                <c:pt idx="551">
                  <c:v>279</c:v>
                </c:pt>
                <c:pt idx="552">
                  <c:v>273</c:v>
                </c:pt>
                <c:pt idx="553">
                  <c:v>273</c:v>
                </c:pt>
                <c:pt idx="554">
                  <c:v>271</c:v>
                </c:pt>
                <c:pt idx="555">
                  <c:v>289</c:v>
                </c:pt>
                <c:pt idx="556">
                  <c:v>290</c:v>
                </c:pt>
                <c:pt idx="557">
                  <c:v>296</c:v>
                </c:pt>
                <c:pt idx="558">
                  <c:v>307</c:v>
                </c:pt>
                <c:pt idx="559">
                  <c:v>317</c:v>
                </c:pt>
                <c:pt idx="560">
                  <c:v>318</c:v>
                </c:pt>
                <c:pt idx="561">
                  <c:v>319</c:v>
                </c:pt>
                <c:pt idx="562">
                  <c:v>321</c:v>
                </c:pt>
                <c:pt idx="563">
                  <c:v>315</c:v>
                </c:pt>
                <c:pt idx="564">
                  <c:v>317</c:v>
                </c:pt>
                <c:pt idx="565">
                  <c:v>310</c:v>
                </c:pt>
                <c:pt idx="566">
                  <c:v>306</c:v>
                </c:pt>
                <c:pt idx="567">
                  <c:v>306</c:v>
                </c:pt>
                <c:pt idx="568">
                  <c:v>305</c:v>
                </c:pt>
                <c:pt idx="569">
                  <c:v>306</c:v>
                </c:pt>
                <c:pt idx="570">
                  <c:v>307</c:v>
                </c:pt>
                <c:pt idx="571">
                  <c:v>310</c:v>
                </c:pt>
                <c:pt idx="572">
                  <c:v>309</c:v>
                </c:pt>
                <c:pt idx="573">
                  <c:v>311</c:v>
                </c:pt>
                <c:pt idx="574">
                  <c:v>308</c:v>
                </c:pt>
                <c:pt idx="575">
                  <c:v>309</c:v>
                </c:pt>
                <c:pt idx="576">
                  <c:v>315</c:v>
                </c:pt>
                <c:pt idx="577">
                  <c:v>320</c:v>
                </c:pt>
                <c:pt idx="578">
                  <c:v>328</c:v>
                </c:pt>
                <c:pt idx="579">
                  <c:v>331</c:v>
                </c:pt>
                <c:pt idx="580">
                  <c:v>341</c:v>
                </c:pt>
                <c:pt idx="581">
                  <c:v>343</c:v>
                </c:pt>
                <c:pt idx="582">
                  <c:v>343</c:v>
                </c:pt>
                <c:pt idx="583">
                  <c:v>353</c:v>
                </c:pt>
                <c:pt idx="584">
                  <c:v>347</c:v>
                </c:pt>
                <c:pt idx="585">
                  <c:v>346</c:v>
                </c:pt>
                <c:pt idx="586">
                  <c:v>348</c:v>
                </c:pt>
                <c:pt idx="587">
                  <c:v>348</c:v>
                </c:pt>
                <c:pt idx="588">
                  <c:v>332</c:v>
                </c:pt>
                <c:pt idx="589">
                  <c:v>327</c:v>
                </c:pt>
                <c:pt idx="590">
                  <c:v>313</c:v>
                </c:pt>
                <c:pt idx="591">
                  <c:v>310</c:v>
                </c:pt>
                <c:pt idx="592">
                  <c:v>306</c:v>
                </c:pt>
                <c:pt idx="593">
                  <c:v>307</c:v>
                </c:pt>
                <c:pt idx="594">
                  <c:v>310</c:v>
                </c:pt>
                <c:pt idx="595">
                  <c:v>311</c:v>
                </c:pt>
                <c:pt idx="596">
                  <c:v>308</c:v>
                </c:pt>
                <c:pt idx="597">
                  <c:v>311</c:v>
                </c:pt>
                <c:pt idx="598">
                  <c:v>317</c:v>
                </c:pt>
                <c:pt idx="599">
                  <c:v>312</c:v>
                </c:pt>
                <c:pt idx="600">
                  <c:v>312</c:v>
                </c:pt>
                <c:pt idx="601">
                  <c:v>318</c:v>
                </c:pt>
                <c:pt idx="602">
                  <c:v>312</c:v>
                </c:pt>
                <c:pt idx="603">
                  <c:v>314</c:v>
                </c:pt>
                <c:pt idx="604">
                  <c:v>319</c:v>
                </c:pt>
                <c:pt idx="605">
                  <c:v>320</c:v>
                </c:pt>
                <c:pt idx="606">
                  <c:v>327</c:v>
                </c:pt>
                <c:pt idx="607">
                  <c:v>334</c:v>
                </c:pt>
                <c:pt idx="608">
                  <c:v>334</c:v>
                </c:pt>
                <c:pt idx="609">
                  <c:v>329</c:v>
                </c:pt>
                <c:pt idx="610">
                  <c:v>333</c:v>
                </c:pt>
                <c:pt idx="611">
                  <c:v>338</c:v>
                </c:pt>
                <c:pt idx="612">
                  <c:v>327</c:v>
                </c:pt>
                <c:pt idx="613">
                  <c:v>325</c:v>
                </c:pt>
                <c:pt idx="614">
                  <c:v>321</c:v>
                </c:pt>
                <c:pt idx="615">
                  <c:v>317</c:v>
                </c:pt>
                <c:pt idx="616">
                  <c:v>307</c:v>
                </c:pt>
                <c:pt idx="617">
                  <c:v>307</c:v>
                </c:pt>
                <c:pt idx="618">
                  <c:v>298</c:v>
                </c:pt>
                <c:pt idx="619">
                  <c:v>309</c:v>
                </c:pt>
                <c:pt idx="620">
                  <c:v>317</c:v>
                </c:pt>
                <c:pt idx="621">
                  <c:v>323</c:v>
                </c:pt>
                <c:pt idx="622">
                  <c:v>323</c:v>
                </c:pt>
                <c:pt idx="623">
                  <c:v>333</c:v>
                </c:pt>
                <c:pt idx="624">
                  <c:v>329</c:v>
                </c:pt>
                <c:pt idx="625">
                  <c:v>334</c:v>
                </c:pt>
                <c:pt idx="626">
                  <c:v>342</c:v>
                </c:pt>
                <c:pt idx="627">
                  <c:v>340</c:v>
                </c:pt>
                <c:pt idx="628">
                  <c:v>349</c:v>
                </c:pt>
                <c:pt idx="629">
                  <c:v>346</c:v>
                </c:pt>
                <c:pt idx="630">
                  <c:v>352</c:v>
                </c:pt>
                <c:pt idx="631">
                  <c:v>351</c:v>
                </c:pt>
                <c:pt idx="632">
                  <c:v>342</c:v>
                </c:pt>
                <c:pt idx="633">
                  <c:v>346</c:v>
                </c:pt>
                <c:pt idx="634">
                  <c:v>355</c:v>
                </c:pt>
                <c:pt idx="635">
                  <c:v>364</c:v>
                </c:pt>
                <c:pt idx="636">
                  <c:v>375</c:v>
                </c:pt>
                <c:pt idx="637">
                  <c:v>376</c:v>
                </c:pt>
                <c:pt idx="638">
                  <c:v>385</c:v>
                </c:pt>
                <c:pt idx="639">
                  <c:v>377</c:v>
                </c:pt>
                <c:pt idx="640">
                  <c:v>382</c:v>
                </c:pt>
                <c:pt idx="641">
                  <c:v>382</c:v>
                </c:pt>
                <c:pt idx="642">
                  <c:v>374</c:v>
                </c:pt>
                <c:pt idx="643">
                  <c:v>375</c:v>
                </c:pt>
                <c:pt idx="644">
                  <c:v>362</c:v>
                </c:pt>
                <c:pt idx="645">
                  <c:v>366</c:v>
                </c:pt>
                <c:pt idx="646">
                  <c:v>366</c:v>
                </c:pt>
                <c:pt idx="647">
                  <c:v>372</c:v>
                </c:pt>
                <c:pt idx="648">
                  <c:v>380</c:v>
                </c:pt>
                <c:pt idx="649">
                  <c:v>384</c:v>
                </c:pt>
                <c:pt idx="650">
                  <c:v>384</c:v>
                </c:pt>
                <c:pt idx="651">
                  <c:v>377</c:v>
                </c:pt>
                <c:pt idx="652">
                  <c:v>376</c:v>
                </c:pt>
                <c:pt idx="653">
                  <c:v>375</c:v>
                </c:pt>
                <c:pt idx="654">
                  <c:v>375</c:v>
                </c:pt>
                <c:pt idx="655">
                  <c:v>377</c:v>
                </c:pt>
                <c:pt idx="656">
                  <c:v>380</c:v>
                </c:pt>
                <c:pt idx="657">
                  <c:v>374</c:v>
                </c:pt>
                <c:pt idx="658">
                  <c:v>367</c:v>
                </c:pt>
                <c:pt idx="659">
                  <c:v>387</c:v>
                </c:pt>
                <c:pt idx="660">
                  <c:v>384</c:v>
                </c:pt>
                <c:pt idx="661">
                  <c:v>389</c:v>
                </c:pt>
                <c:pt idx="662">
                  <c:v>355</c:v>
                </c:pt>
                <c:pt idx="663">
                  <c:v>344</c:v>
                </c:pt>
                <c:pt idx="664">
                  <c:v>332</c:v>
                </c:pt>
                <c:pt idx="665">
                  <c:v>334</c:v>
                </c:pt>
                <c:pt idx="666">
                  <c:v>348</c:v>
                </c:pt>
                <c:pt idx="667">
                  <c:v>351</c:v>
                </c:pt>
                <c:pt idx="668">
                  <c:v>375</c:v>
                </c:pt>
                <c:pt idx="669">
                  <c:v>386</c:v>
                </c:pt>
                <c:pt idx="670">
                  <c:v>392</c:v>
                </c:pt>
                <c:pt idx="671">
                  <c:v>379</c:v>
                </c:pt>
                <c:pt idx="672">
                  <c:v>384</c:v>
                </c:pt>
                <c:pt idx="673">
                  <c:v>387</c:v>
                </c:pt>
                <c:pt idx="674">
                  <c:v>405</c:v>
                </c:pt>
                <c:pt idx="675">
                  <c:v>405</c:v>
                </c:pt>
                <c:pt idx="676">
                  <c:v>405</c:v>
                </c:pt>
                <c:pt idx="677">
                  <c:v>420</c:v>
                </c:pt>
                <c:pt idx="678">
                  <c:v>429</c:v>
                </c:pt>
                <c:pt idx="679">
                  <c:v>427</c:v>
                </c:pt>
                <c:pt idx="680">
                  <c:v>451</c:v>
                </c:pt>
                <c:pt idx="681">
                  <c:v>450</c:v>
                </c:pt>
                <c:pt idx="682">
                  <c:v>438</c:v>
                </c:pt>
                <c:pt idx="683">
                  <c:v>420</c:v>
                </c:pt>
                <c:pt idx="684">
                  <c:v>414</c:v>
                </c:pt>
                <c:pt idx="685">
                  <c:v>419</c:v>
                </c:pt>
                <c:pt idx="686">
                  <c:v>432</c:v>
                </c:pt>
                <c:pt idx="687">
                  <c:v>429</c:v>
                </c:pt>
                <c:pt idx="688">
                  <c:v>423</c:v>
                </c:pt>
                <c:pt idx="689">
                  <c:v>426</c:v>
                </c:pt>
                <c:pt idx="690">
                  <c:v>422</c:v>
                </c:pt>
                <c:pt idx="691">
                  <c:v>422</c:v>
                </c:pt>
                <c:pt idx="692">
                  <c:v>446</c:v>
                </c:pt>
                <c:pt idx="693">
                  <c:v>470</c:v>
                </c:pt>
                <c:pt idx="694">
                  <c:v>475</c:v>
                </c:pt>
                <c:pt idx="695">
                  <c:v>473</c:v>
                </c:pt>
                <c:pt idx="696">
                  <c:v>442</c:v>
                </c:pt>
                <c:pt idx="697">
                  <c:v>426</c:v>
                </c:pt>
                <c:pt idx="698">
                  <c:v>421</c:v>
                </c:pt>
                <c:pt idx="699">
                  <c:v>403</c:v>
                </c:pt>
                <c:pt idx="700">
                  <c:v>397</c:v>
                </c:pt>
                <c:pt idx="701">
                  <c:v>400</c:v>
                </c:pt>
                <c:pt idx="702">
                  <c:v>394</c:v>
                </c:pt>
                <c:pt idx="703">
                  <c:v>366</c:v>
                </c:pt>
                <c:pt idx="704">
                  <c:v>374</c:v>
                </c:pt>
                <c:pt idx="705">
                  <c:v>390</c:v>
                </c:pt>
                <c:pt idx="706">
                  <c:v>415</c:v>
                </c:pt>
                <c:pt idx="707">
                  <c:v>418</c:v>
                </c:pt>
                <c:pt idx="708">
                  <c:v>437</c:v>
                </c:pt>
                <c:pt idx="709">
                  <c:v>445</c:v>
                </c:pt>
                <c:pt idx="710">
                  <c:v>427</c:v>
                </c:pt>
                <c:pt idx="711">
                  <c:v>414</c:v>
                </c:pt>
                <c:pt idx="712">
                  <c:v>389</c:v>
                </c:pt>
                <c:pt idx="713">
                  <c:v>393</c:v>
                </c:pt>
                <c:pt idx="714">
                  <c:v>375</c:v>
                </c:pt>
                <c:pt idx="715">
                  <c:v>343</c:v>
                </c:pt>
                <c:pt idx="716">
                  <c:v>370</c:v>
                </c:pt>
                <c:pt idx="717">
                  <c:v>427</c:v>
                </c:pt>
                <c:pt idx="718">
                  <c:v>476</c:v>
                </c:pt>
                <c:pt idx="719">
                  <c:v>453</c:v>
                </c:pt>
                <c:pt idx="720">
                  <c:v>465</c:v>
                </c:pt>
                <c:pt idx="721">
                  <c:v>441</c:v>
                </c:pt>
                <c:pt idx="722">
                  <c:v>374</c:v>
                </c:pt>
                <c:pt idx="723">
                  <c:v>395</c:v>
                </c:pt>
                <c:pt idx="724">
                  <c:v>335</c:v>
                </c:pt>
                <c:pt idx="725">
                  <c:v>367</c:v>
                </c:pt>
                <c:pt idx="726">
                  <c:v>302</c:v>
                </c:pt>
                <c:pt idx="727">
                  <c:v>284</c:v>
                </c:pt>
                <c:pt idx="728">
                  <c:v>312</c:v>
                </c:pt>
                <c:pt idx="729">
                  <c:v>262</c:v>
                </c:pt>
                <c:pt idx="730">
                  <c:v>239</c:v>
                </c:pt>
                <c:pt idx="731">
                  <c:v>223</c:v>
                </c:pt>
                <c:pt idx="732">
                  <c:v>240</c:v>
                </c:pt>
                <c:pt idx="733">
                  <c:v>247</c:v>
                </c:pt>
                <c:pt idx="734">
                  <c:v>252</c:v>
                </c:pt>
                <c:pt idx="735">
                  <c:v>233</c:v>
                </c:pt>
                <c:pt idx="736">
                  <c:v>218</c:v>
                </c:pt>
                <c:pt idx="737">
                  <c:v>214</c:v>
                </c:pt>
                <c:pt idx="738">
                  <c:v>208</c:v>
                </c:pt>
                <c:pt idx="739">
                  <c:v>202</c:v>
                </c:pt>
                <c:pt idx="740">
                  <c:v>193</c:v>
                </c:pt>
                <c:pt idx="741">
                  <c:v>189</c:v>
                </c:pt>
                <c:pt idx="742">
                  <c:v>198</c:v>
                </c:pt>
                <c:pt idx="743">
                  <c:v>196</c:v>
                </c:pt>
                <c:pt idx="744">
                  <c:v>196</c:v>
                </c:pt>
                <c:pt idx="745">
                  <c:v>203</c:v>
                </c:pt>
                <c:pt idx="746">
                  <c:v>203</c:v>
                </c:pt>
                <c:pt idx="747">
                  <c:v>209</c:v>
                </c:pt>
                <c:pt idx="748">
                  <c:v>216</c:v>
                </c:pt>
                <c:pt idx="749">
                  <c:v>217</c:v>
                </c:pt>
                <c:pt idx="750">
                  <c:v>213</c:v>
                </c:pt>
                <c:pt idx="751">
                  <c:v>214</c:v>
                </c:pt>
                <c:pt idx="752">
                  <c:v>219</c:v>
                </c:pt>
                <c:pt idx="753">
                  <c:v>226</c:v>
                </c:pt>
                <c:pt idx="754">
                  <c:v>225</c:v>
                </c:pt>
                <c:pt idx="755">
                  <c:v>224</c:v>
                </c:pt>
                <c:pt idx="756">
                  <c:v>225</c:v>
                </c:pt>
                <c:pt idx="757">
                  <c:v>227</c:v>
                </c:pt>
                <c:pt idx="758">
                  <c:v>232</c:v>
                </c:pt>
                <c:pt idx="759">
                  <c:v>225</c:v>
                </c:pt>
                <c:pt idx="760">
                  <c:v>220</c:v>
                </c:pt>
                <c:pt idx="761">
                  <c:v>216</c:v>
                </c:pt>
                <c:pt idx="762">
                  <c:v>214</c:v>
                </c:pt>
                <c:pt idx="763">
                  <c:v>209</c:v>
                </c:pt>
                <c:pt idx="764">
                  <c:v>209</c:v>
                </c:pt>
                <c:pt idx="765">
                  <c:v>211</c:v>
                </c:pt>
                <c:pt idx="766">
                  <c:v>217</c:v>
                </c:pt>
                <c:pt idx="767">
                  <c:v>215</c:v>
                </c:pt>
                <c:pt idx="768">
                  <c:v>213</c:v>
                </c:pt>
                <c:pt idx="769">
                  <c:v>213</c:v>
                </c:pt>
                <c:pt idx="770">
                  <c:v>215</c:v>
                </c:pt>
                <c:pt idx="771">
                  <c:v>215</c:v>
                </c:pt>
                <c:pt idx="772">
                  <c:v>220</c:v>
                </c:pt>
                <c:pt idx="773">
                  <c:v>222</c:v>
                </c:pt>
                <c:pt idx="774">
                  <c:v>225</c:v>
                </c:pt>
                <c:pt idx="775">
                  <c:v>218</c:v>
                </c:pt>
                <c:pt idx="776">
                  <c:v>214</c:v>
                </c:pt>
                <c:pt idx="777">
                  <c:v>215</c:v>
                </c:pt>
                <c:pt idx="778">
                  <c:v>215</c:v>
                </c:pt>
                <c:pt idx="779">
                  <c:v>214</c:v>
                </c:pt>
                <c:pt idx="780">
                  <c:v>215</c:v>
                </c:pt>
                <c:pt idx="781">
                  <c:v>212</c:v>
                </c:pt>
                <c:pt idx="782">
                  <c:v>214</c:v>
                </c:pt>
                <c:pt idx="783">
                  <c:v>213</c:v>
                </c:pt>
                <c:pt idx="784">
                  <c:v>208</c:v>
                </c:pt>
                <c:pt idx="785">
                  <c:v>211</c:v>
                </c:pt>
                <c:pt idx="786">
                  <c:v>212</c:v>
                </c:pt>
                <c:pt idx="787">
                  <c:v>218</c:v>
                </c:pt>
                <c:pt idx="788">
                  <c:v>215</c:v>
                </c:pt>
                <c:pt idx="789">
                  <c:v>230</c:v>
                </c:pt>
                <c:pt idx="790">
                  <c:v>228</c:v>
                </c:pt>
                <c:pt idx="791">
                  <c:v>231</c:v>
                </c:pt>
                <c:pt idx="792">
                  <c:v>231</c:v>
                </c:pt>
                <c:pt idx="793">
                  <c:v>238</c:v>
                </c:pt>
                <c:pt idx="794">
                  <c:v>240</c:v>
                </c:pt>
                <c:pt idx="795">
                  <c:v>250</c:v>
                </c:pt>
                <c:pt idx="796">
                  <c:v>240</c:v>
                </c:pt>
                <c:pt idx="797">
                  <c:v>239</c:v>
                </c:pt>
                <c:pt idx="798">
                  <c:v>244</c:v>
                </c:pt>
                <c:pt idx="799">
                  <c:v>244</c:v>
                </c:pt>
                <c:pt idx="800">
                  <c:v>246</c:v>
                </c:pt>
                <c:pt idx="801">
                  <c:v>242</c:v>
                </c:pt>
                <c:pt idx="802">
                  <c:v>241</c:v>
                </c:pt>
                <c:pt idx="803">
                  <c:v>245</c:v>
                </c:pt>
                <c:pt idx="804">
                  <c:v>249</c:v>
                </c:pt>
                <c:pt idx="805">
                  <c:v>246</c:v>
                </c:pt>
                <c:pt idx="806">
                  <c:v>240</c:v>
                </c:pt>
                <c:pt idx="807">
                  <c:v>238</c:v>
                </c:pt>
                <c:pt idx="808">
                  <c:v>238</c:v>
                </c:pt>
                <c:pt idx="809">
                  <c:v>235</c:v>
                </c:pt>
                <c:pt idx="810">
                  <c:v>232</c:v>
                </c:pt>
                <c:pt idx="811">
                  <c:v>229</c:v>
                </c:pt>
                <c:pt idx="812">
                  <c:v>229</c:v>
                </c:pt>
                <c:pt idx="813">
                  <c:v>230</c:v>
                </c:pt>
                <c:pt idx="814">
                  <c:v>235</c:v>
                </c:pt>
                <c:pt idx="815">
                  <c:v>231</c:v>
                </c:pt>
                <c:pt idx="816">
                  <c:v>229</c:v>
                </c:pt>
                <c:pt idx="817">
                  <c:v>231</c:v>
                </c:pt>
                <c:pt idx="818">
                  <c:v>240</c:v>
                </c:pt>
                <c:pt idx="819">
                  <c:v>237</c:v>
                </c:pt>
                <c:pt idx="820">
                  <c:v>228</c:v>
                </c:pt>
                <c:pt idx="821">
                  <c:v>227</c:v>
                </c:pt>
                <c:pt idx="822">
                  <c:v>231</c:v>
                </c:pt>
                <c:pt idx="823">
                  <c:v>235</c:v>
                </c:pt>
                <c:pt idx="824">
                  <c:v>237</c:v>
                </c:pt>
                <c:pt idx="825">
                  <c:v>237</c:v>
                </c:pt>
                <c:pt idx="826">
                  <c:v>235</c:v>
                </c:pt>
                <c:pt idx="827">
                  <c:v>238</c:v>
                </c:pt>
                <c:pt idx="828">
                  <c:v>238</c:v>
                </c:pt>
                <c:pt idx="829">
                  <c:v>239</c:v>
                </c:pt>
                <c:pt idx="830">
                  <c:v>237</c:v>
                </c:pt>
                <c:pt idx="831">
                  <c:v>240</c:v>
                </c:pt>
                <c:pt idx="832">
                  <c:v>240</c:v>
                </c:pt>
                <c:pt idx="833">
                  <c:v>247</c:v>
                </c:pt>
                <c:pt idx="834">
                  <c:v>255</c:v>
                </c:pt>
                <c:pt idx="835">
                  <c:v>262</c:v>
                </c:pt>
                <c:pt idx="836">
                  <c:v>259</c:v>
                </c:pt>
                <c:pt idx="837">
                  <c:v>264</c:v>
                </c:pt>
                <c:pt idx="838">
                  <c:v>264</c:v>
                </c:pt>
                <c:pt idx="839">
                  <c:v>259</c:v>
                </c:pt>
                <c:pt idx="840">
                  <c:v>252</c:v>
                </c:pt>
                <c:pt idx="841">
                  <c:v>247</c:v>
                </c:pt>
                <c:pt idx="842">
                  <c:v>246</c:v>
                </c:pt>
                <c:pt idx="843">
                  <c:v>243</c:v>
                </c:pt>
                <c:pt idx="844">
                  <c:v>240</c:v>
                </c:pt>
                <c:pt idx="845">
                  <c:v>243</c:v>
                </c:pt>
                <c:pt idx="846">
                  <c:v>234</c:v>
                </c:pt>
                <c:pt idx="847">
                  <c:v>232</c:v>
                </c:pt>
                <c:pt idx="848">
                  <c:v>227</c:v>
                </c:pt>
                <c:pt idx="849">
                  <c:v>225</c:v>
                </c:pt>
                <c:pt idx="850">
                  <c:v>227</c:v>
                </c:pt>
                <c:pt idx="851">
                  <c:v>224</c:v>
                </c:pt>
                <c:pt idx="852">
                  <c:v>219</c:v>
                </c:pt>
                <c:pt idx="853">
                  <c:v>222</c:v>
                </c:pt>
                <c:pt idx="854">
                  <c:v>228</c:v>
                </c:pt>
                <c:pt idx="855">
                  <c:v>229</c:v>
                </c:pt>
                <c:pt idx="856">
                  <c:v>234</c:v>
                </c:pt>
                <c:pt idx="857">
                  <c:v>240</c:v>
                </c:pt>
                <c:pt idx="858">
                  <c:v>238</c:v>
                </c:pt>
                <c:pt idx="859">
                  <c:v>247</c:v>
                </c:pt>
                <c:pt idx="860">
                  <c:v>249</c:v>
                </c:pt>
                <c:pt idx="861">
                  <c:v>248</c:v>
                </c:pt>
                <c:pt idx="862">
                  <c:v>248</c:v>
                </c:pt>
                <c:pt idx="863">
                  <c:v>247</c:v>
                </c:pt>
                <c:pt idx="864">
                  <c:v>252</c:v>
                </c:pt>
                <c:pt idx="865">
                  <c:v>250</c:v>
                </c:pt>
                <c:pt idx="866">
                  <c:v>245</c:v>
                </c:pt>
                <c:pt idx="867">
                  <c:v>246</c:v>
                </c:pt>
                <c:pt idx="868">
                  <c:v>240</c:v>
                </c:pt>
                <c:pt idx="869">
                  <c:v>244</c:v>
                </c:pt>
                <c:pt idx="870">
                  <c:v>247</c:v>
                </c:pt>
                <c:pt idx="871">
                  <c:v>243</c:v>
                </c:pt>
                <c:pt idx="872">
                  <c:v>248</c:v>
                </c:pt>
                <c:pt idx="873">
                  <c:v>251</c:v>
                </c:pt>
                <c:pt idx="874">
                  <c:v>244</c:v>
                </c:pt>
                <c:pt idx="875">
                  <c:v>236</c:v>
                </c:pt>
                <c:pt idx="876">
                  <c:v>239</c:v>
                </c:pt>
                <c:pt idx="877">
                  <c:v>226</c:v>
                </c:pt>
                <c:pt idx="878">
                  <c:v>229</c:v>
                </c:pt>
                <c:pt idx="879">
                  <c:v>232</c:v>
                </c:pt>
                <c:pt idx="880">
                  <c:v>233</c:v>
                </c:pt>
                <c:pt idx="881">
                  <c:v>235</c:v>
                </c:pt>
                <c:pt idx="882">
                  <c:v>222</c:v>
                </c:pt>
                <c:pt idx="883">
                  <c:v>221</c:v>
                </c:pt>
                <c:pt idx="884">
                  <c:v>212</c:v>
                </c:pt>
                <c:pt idx="885">
                  <c:v>209</c:v>
                </c:pt>
                <c:pt idx="886">
                  <c:v>207</c:v>
                </c:pt>
                <c:pt idx="887">
                  <c:v>207</c:v>
                </c:pt>
                <c:pt idx="888">
                  <c:v>208</c:v>
                </c:pt>
                <c:pt idx="889">
                  <c:v>213</c:v>
                </c:pt>
                <c:pt idx="890">
                  <c:v>213</c:v>
                </c:pt>
                <c:pt idx="891">
                  <c:v>216</c:v>
                </c:pt>
                <c:pt idx="892">
                  <c:v>220</c:v>
                </c:pt>
                <c:pt idx="893">
                  <c:v>222</c:v>
                </c:pt>
                <c:pt idx="894">
                  <c:v>221</c:v>
                </c:pt>
                <c:pt idx="895">
                  <c:v>215</c:v>
                </c:pt>
                <c:pt idx="896">
                  <c:v>217</c:v>
                </c:pt>
                <c:pt idx="897">
                  <c:v>217</c:v>
                </c:pt>
                <c:pt idx="898">
                  <c:v>218</c:v>
                </c:pt>
                <c:pt idx="899">
                  <c:v>224</c:v>
                </c:pt>
                <c:pt idx="900">
                  <c:v>228</c:v>
                </c:pt>
                <c:pt idx="901">
                  <c:v>232</c:v>
                </c:pt>
                <c:pt idx="902">
                  <c:v>233</c:v>
                </c:pt>
                <c:pt idx="903">
                  <c:v>238</c:v>
                </c:pt>
                <c:pt idx="904">
                  <c:v>238</c:v>
                </c:pt>
                <c:pt idx="905">
                  <c:v>238</c:v>
                </c:pt>
                <c:pt idx="906">
                  <c:v>234</c:v>
                </c:pt>
                <c:pt idx="907">
                  <c:v>239</c:v>
                </c:pt>
                <c:pt idx="908">
                  <c:v>242</c:v>
                </c:pt>
                <c:pt idx="909">
                  <c:v>240</c:v>
                </c:pt>
                <c:pt idx="910">
                  <c:v>243</c:v>
                </c:pt>
                <c:pt idx="911">
                  <c:v>239</c:v>
                </c:pt>
                <c:pt idx="912">
                  <c:v>236</c:v>
                </c:pt>
                <c:pt idx="913">
                  <c:v>237</c:v>
                </c:pt>
                <c:pt idx="914">
                  <c:v>246</c:v>
                </c:pt>
                <c:pt idx="915">
                  <c:v>247</c:v>
                </c:pt>
                <c:pt idx="916">
                  <c:v>252</c:v>
                </c:pt>
                <c:pt idx="917">
                  <c:v>250</c:v>
                </c:pt>
                <c:pt idx="918">
                  <c:v>248</c:v>
                </c:pt>
                <c:pt idx="919">
                  <c:v>247</c:v>
                </c:pt>
                <c:pt idx="920">
                  <c:v>248</c:v>
                </c:pt>
                <c:pt idx="921">
                  <c:v>250</c:v>
                </c:pt>
                <c:pt idx="922">
                  <c:v>254</c:v>
                </c:pt>
                <c:pt idx="923">
                  <c:v>255</c:v>
                </c:pt>
                <c:pt idx="924">
                  <c:v>256</c:v>
                </c:pt>
                <c:pt idx="925">
                  <c:v>261</c:v>
                </c:pt>
                <c:pt idx="926">
                  <c:v>276</c:v>
                </c:pt>
                <c:pt idx="927">
                  <c:v>274</c:v>
                </c:pt>
                <c:pt idx="928">
                  <c:v>270</c:v>
                </c:pt>
                <c:pt idx="929">
                  <c:v>269</c:v>
                </c:pt>
                <c:pt idx="930">
                  <c:v>267</c:v>
                </c:pt>
                <c:pt idx="931">
                  <c:v>265</c:v>
                </c:pt>
                <c:pt idx="932">
                  <c:v>265</c:v>
                </c:pt>
                <c:pt idx="933">
                  <c:v>266</c:v>
                </c:pt>
                <c:pt idx="934">
                  <c:v>258</c:v>
                </c:pt>
                <c:pt idx="935">
                  <c:v>257</c:v>
                </c:pt>
                <c:pt idx="936">
                  <c:v>260</c:v>
                </c:pt>
                <c:pt idx="937">
                  <c:v>263</c:v>
                </c:pt>
                <c:pt idx="938">
                  <c:v>261</c:v>
                </c:pt>
                <c:pt idx="939">
                  <c:v>260</c:v>
                </c:pt>
                <c:pt idx="940">
                  <c:v>256</c:v>
                </c:pt>
                <c:pt idx="941">
                  <c:v>260</c:v>
                </c:pt>
                <c:pt idx="942">
                  <c:v>252</c:v>
                </c:pt>
                <c:pt idx="943">
                  <c:v>253</c:v>
                </c:pt>
                <c:pt idx="944">
                  <c:v>250</c:v>
                </c:pt>
                <c:pt idx="945">
                  <c:v>255</c:v>
                </c:pt>
                <c:pt idx="946">
                  <c:v>250</c:v>
                </c:pt>
                <c:pt idx="947">
                  <c:v>248</c:v>
                </c:pt>
                <c:pt idx="948">
                  <c:v>250</c:v>
                </c:pt>
                <c:pt idx="949">
                  <c:v>250</c:v>
                </c:pt>
                <c:pt idx="950">
                  <c:v>252</c:v>
                </c:pt>
                <c:pt idx="951">
                  <c:v>248</c:v>
                </c:pt>
                <c:pt idx="952">
                  <c:v>252</c:v>
                </c:pt>
                <c:pt idx="953">
                  <c:v>252</c:v>
                </c:pt>
                <c:pt idx="954">
                  <c:v>251</c:v>
                </c:pt>
                <c:pt idx="955">
                  <c:v>247</c:v>
                </c:pt>
                <c:pt idx="956">
                  <c:v>250</c:v>
                </c:pt>
                <c:pt idx="957">
                  <c:v>253</c:v>
                </c:pt>
                <c:pt idx="958">
                  <c:v>253</c:v>
                </c:pt>
                <c:pt idx="959">
                  <c:v>249</c:v>
                </c:pt>
                <c:pt idx="960">
                  <c:v>248</c:v>
                </c:pt>
                <c:pt idx="961">
                  <c:v>254</c:v>
                </c:pt>
                <c:pt idx="962">
                  <c:v>252</c:v>
                </c:pt>
                <c:pt idx="963">
                  <c:v>253</c:v>
                </c:pt>
                <c:pt idx="964">
                  <c:v>253</c:v>
                </c:pt>
                <c:pt idx="965">
                  <c:v>251</c:v>
                </c:pt>
                <c:pt idx="966">
                  <c:v>250</c:v>
                </c:pt>
                <c:pt idx="967">
                  <c:v>250</c:v>
                </c:pt>
                <c:pt idx="968">
                  <c:v>250</c:v>
                </c:pt>
                <c:pt idx="969">
                  <c:v>249</c:v>
                </c:pt>
                <c:pt idx="970">
                  <c:v>253</c:v>
                </c:pt>
                <c:pt idx="971">
                  <c:v>248</c:v>
                </c:pt>
                <c:pt idx="972">
                  <c:v>253</c:v>
                </c:pt>
                <c:pt idx="973">
                  <c:v>258</c:v>
                </c:pt>
                <c:pt idx="974">
                  <c:v>262</c:v>
                </c:pt>
                <c:pt idx="975">
                  <c:v>255</c:v>
                </c:pt>
                <c:pt idx="976">
                  <c:v>255</c:v>
                </c:pt>
                <c:pt idx="977">
                  <c:v>255</c:v>
                </c:pt>
                <c:pt idx="978">
                  <c:v>239</c:v>
                </c:pt>
                <c:pt idx="979">
                  <c:v>240</c:v>
                </c:pt>
                <c:pt idx="980">
                  <c:v>240</c:v>
                </c:pt>
                <c:pt idx="981">
                  <c:v>242</c:v>
                </c:pt>
                <c:pt idx="982">
                  <c:v>246</c:v>
                </c:pt>
                <c:pt idx="983">
                  <c:v>245</c:v>
                </c:pt>
                <c:pt idx="984">
                  <c:v>249</c:v>
                </c:pt>
                <c:pt idx="985">
                  <c:v>245</c:v>
                </c:pt>
                <c:pt idx="986">
                  <c:v>243</c:v>
                </c:pt>
                <c:pt idx="987">
                  <c:v>251</c:v>
                </c:pt>
                <c:pt idx="988">
                  <c:v>249</c:v>
                </c:pt>
                <c:pt idx="989">
                  <c:v>245</c:v>
                </c:pt>
                <c:pt idx="990">
                  <c:v>242</c:v>
                </c:pt>
                <c:pt idx="991">
                  <c:v>240</c:v>
                </c:pt>
                <c:pt idx="992">
                  <c:v>236</c:v>
                </c:pt>
                <c:pt idx="993">
                  <c:v>235</c:v>
                </c:pt>
                <c:pt idx="994">
                  <c:v>236</c:v>
                </c:pt>
                <c:pt idx="995">
                  <c:v>239</c:v>
                </c:pt>
                <c:pt idx="996">
                  <c:v>240</c:v>
                </c:pt>
                <c:pt idx="997">
                  <c:v>241</c:v>
                </c:pt>
                <c:pt idx="998">
                  <c:v>242</c:v>
                </c:pt>
                <c:pt idx="999">
                  <c:v>241</c:v>
                </c:pt>
                <c:pt idx="1000">
                  <c:v>241</c:v>
                </c:pt>
                <c:pt idx="1001">
                  <c:v>241</c:v>
                </c:pt>
                <c:pt idx="1002">
                  <c:v>241</c:v>
                </c:pt>
                <c:pt idx="1003">
                  <c:v>240</c:v>
                </c:pt>
                <c:pt idx="1004">
                  <c:v>242</c:v>
                </c:pt>
                <c:pt idx="1005">
                  <c:v>244</c:v>
                </c:pt>
                <c:pt idx="1006">
                  <c:v>250</c:v>
                </c:pt>
                <c:pt idx="1007">
                  <c:v>249</c:v>
                </c:pt>
                <c:pt idx="1008">
                  <c:v>245</c:v>
                </c:pt>
                <c:pt idx="1009">
                  <c:v>239</c:v>
                </c:pt>
                <c:pt idx="1010">
                  <c:v>232</c:v>
                </c:pt>
                <c:pt idx="1011">
                  <c:v>234</c:v>
                </c:pt>
                <c:pt idx="1012">
                  <c:v>237</c:v>
                </c:pt>
                <c:pt idx="1013">
                  <c:v>238</c:v>
                </c:pt>
                <c:pt idx="1014">
                  <c:v>240</c:v>
                </c:pt>
                <c:pt idx="1015">
                  <c:v>244</c:v>
                </c:pt>
                <c:pt idx="1016">
                  <c:v>240</c:v>
                </c:pt>
                <c:pt idx="1017">
                  <c:v>239</c:v>
                </c:pt>
                <c:pt idx="1018">
                  <c:v>246</c:v>
                </c:pt>
                <c:pt idx="1019">
                  <c:v>247</c:v>
                </c:pt>
                <c:pt idx="1020">
                  <c:v>252</c:v>
                </c:pt>
                <c:pt idx="1021">
                  <c:v>245</c:v>
                </c:pt>
                <c:pt idx="1022">
                  <c:v>245</c:v>
                </c:pt>
                <c:pt idx="1023">
                  <c:v>255</c:v>
                </c:pt>
                <c:pt idx="1024">
                  <c:v>255</c:v>
                </c:pt>
                <c:pt idx="1025">
                  <c:v>255</c:v>
                </c:pt>
                <c:pt idx="1026">
                  <c:v>258</c:v>
                </c:pt>
                <c:pt idx="1027">
                  <c:v>258</c:v>
                </c:pt>
                <c:pt idx="1028">
                  <c:v>254</c:v>
                </c:pt>
                <c:pt idx="1029">
                  <c:v>250</c:v>
                </c:pt>
                <c:pt idx="1030">
                  <c:v>254</c:v>
                </c:pt>
                <c:pt idx="1031">
                  <c:v>256</c:v>
                </c:pt>
                <c:pt idx="1032">
                  <c:v>264</c:v>
                </c:pt>
                <c:pt idx="1033">
                  <c:v>278</c:v>
                </c:pt>
                <c:pt idx="1034">
                  <c:v>275</c:v>
                </c:pt>
                <c:pt idx="1035">
                  <c:v>276</c:v>
                </c:pt>
                <c:pt idx="1036">
                  <c:v>272</c:v>
                </c:pt>
                <c:pt idx="1037">
                  <c:v>274</c:v>
                </c:pt>
                <c:pt idx="1038">
                  <c:v>273</c:v>
                </c:pt>
                <c:pt idx="1039">
                  <c:v>276</c:v>
                </c:pt>
                <c:pt idx="1040">
                  <c:v>273</c:v>
                </c:pt>
                <c:pt idx="1041">
                  <c:v>268</c:v>
                </c:pt>
                <c:pt idx="1042">
                  <c:v>270</c:v>
                </c:pt>
                <c:pt idx="1043">
                  <c:v>265</c:v>
                </c:pt>
                <c:pt idx="1044">
                  <c:v>260</c:v>
                </c:pt>
                <c:pt idx="1045">
                  <c:v>261</c:v>
                </c:pt>
                <c:pt idx="1046">
                  <c:v>258</c:v>
                </c:pt>
                <c:pt idx="1047">
                  <c:v>261</c:v>
                </c:pt>
                <c:pt idx="1048">
                  <c:v>270</c:v>
                </c:pt>
                <c:pt idx="1049">
                  <c:v>276</c:v>
                </c:pt>
                <c:pt idx="1050">
                  <c:v>274</c:v>
                </c:pt>
                <c:pt idx="1051">
                  <c:v>277</c:v>
                </c:pt>
                <c:pt idx="1052">
                  <c:v>274</c:v>
                </c:pt>
                <c:pt idx="1053">
                  <c:v>274</c:v>
                </c:pt>
                <c:pt idx="1054">
                  <c:v>267</c:v>
                </c:pt>
                <c:pt idx="1055">
                  <c:v>270</c:v>
                </c:pt>
                <c:pt idx="1056">
                  <c:v>272</c:v>
                </c:pt>
                <c:pt idx="1057">
                  <c:v>272</c:v>
                </c:pt>
                <c:pt idx="1058">
                  <c:v>280</c:v>
                </c:pt>
                <c:pt idx="1059">
                  <c:v>276</c:v>
                </c:pt>
                <c:pt idx="1060">
                  <c:v>274</c:v>
                </c:pt>
                <c:pt idx="1061">
                  <c:v>271</c:v>
                </c:pt>
                <c:pt idx="1062">
                  <c:v>271</c:v>
                </c:pt>
                <c:pt idx="1063">
                  <c:v>273</c:v>
                </c:pt>
                <c:pt idx="1064">
                  <c:v>267</c:v>
                </c:pt>
                <c:pt idx="1065">
                  <c:v>263</c:v>
                </c:pt>
                <c:pt idx="1066">
                  <c:v>261</c:v>
                </c:pt>
                <c:pt idx="1067">
                  <c:v>263</c:v>
                </c:pt>
                <c:pt idx="1068">
                  <c:v>262</c:v>
                </c:pt>
                <c:pt idx="1069">
                  <c:v>254</c:v>
                </c:pt>
                <c:pt idx="1070">
                  <c:v>254</c:v>
                </c:pt>
                <c:pt idx="1071">
                  <c:v>251</c:v>
                </c:pt>
                <c:pt idx="1072">
                  <c:v>247</c:v>
                </c:pt>
                <c:pt idx="1073">
                  <c:v>249</c:v>
                </c:pt>
                <c:pt idx="1074">
                  <c:v>247</c:v>
                </c:pt>
                <c:pt idx="1075">
                  <c:v>248</c:v>
                </c:pt>
                <c:pt idx="1076">
                  <c:v>254</c:v>
                </c:pt>
                <c:pt idx="1077">
                  <c:v>260</c:v>
                </c:pt>
                <c:pt idx="1078">
                  <c:v>263</c:v>
                </c:pt>
                <c:pt idx="1079">
                  <c:v>267</c:v>
                </c:pt>
                <c:pt idx="1080">
                  <c:v>266</c:v>
                </c:pt>
                <c:pt idx="1081">
                  <c:v>264</c:v>
                </c:pt>
                <c:pt idx="1082">
                  <c:v>269</c:v>
                </c:pt>
                <c:pt idx="1083">
                  <c:v>260</c:v>
                </c:pt>
                <c:pt idx="1084">
                  <c:v>260</c:v>
                </c:pt>
                <c:pt idx="1085">
                  <c:v>262</c:v>
                </c:pt>
                <c:pt idx="1086">
                  <c:v>264</c:v>
                </c:pt>
                <c:pt idx="1087">
                  <c:v>255</c:v>
                </c:pt>
                <c:pt idx="1088">
                  <c:v>256</c:v>
                </c:pt>
                <c:pt idx="1089">
                  <c:v>261</c:v>
                </c:pt>
                <c:pt idx="1090">
                  <c:v>266</c:v>
                </c:pt>
                <c:pt idx="1091">
                  <c:v>272</c:v>
                </c:pt>
                <c:pt idx="1092">
                  <c:v>268</c:v>
                </c:pt>
                <c:pt idx="1093">
                  <c:v>260</c:v>
                </c:pt>
                <c:pt idx="1094">
                  <c:v>272</c:v>
                </c:pt>
                <c:pt idx="1095">
                  <c:v>272</c:v>
                </c:pt>
                <c:pt idx="1096">
                  <c:v>278</c:v>
                </c:pt>
                <c:pt idx="1097">
                  <c:v>273</c:v>
                </c:pt>
                <c:pt idx="1098">
                  <c:v>285</c:v>
                </c:pt>
                <c:pt idx="1099">
                  <c:v>296</c:v>
                </c:pt>
                <c:pt idx="1100">
                  <c:v>293</c:v>
                </c:pt>
                <c:pt idx="1101">
                  <c:v>291</c:v>
                </c:pt>
                <c:pt idx="1102">
                  <c:v>294</c:v>
                </c:pt>
                <c:pt idx="1103">
                  <c:v>295</c:v>
                </c:pt>
                <c:pt idx="1104">
                  <c:v>293</c:v>
                </c:pt>
                <c:pt idx="1105">
                  <c:v>287</c:v>
                </c:pt>
                <c:pt idx="1106">
                  <c:v>309</c:v>
                </c:pt>
                <c:pt idx="1107">
                  <c:v>328</c:v>
                </c:pt>
                <c:pt idx="1108">
                  <c:v>335</c:v>
                </c:pt>
                <c:pt idx="1109">
                  <c:v>337</c:v>
                </c:pt>
                <c:pt idx="1110">
                  <c:v>334</c:v>
                </c:pt>
                <c:pt idx="1111">
                  <c:v>334</c:v>
                </c:pt>
                <c:pt idx="1112">
                  <c:v>332</c:v>
                </c:pt>
                <c:pt idx="1113">
                  <c:v>336</c:v>
                </c:pt>
                <c:pt idx="1114">
                  <c:v>329</c:v>
                </c:pt>
                <c:pt idx="1115">
                  <c:v>323</c:v>
                </c:pt>
                <c:pt idx="1116">
                  <c:v>332</c:v>
                </c:pt>
                <c:pt idx="1117">
                  <c:v>338</c:v>
                </c:pt>
                <c:pt idx="1118">
                  <c:v>349</c:v>
                </c:pt>
                <c:pt idx="1119">
                  <c:v>345</c:v>
                </c:pt>
                <c:pt idx="1120">
                  <c:v>345</c:v>
                </c:pt>
                <c:pt idx="1121">
                  <c:v>343</c:v>
                </c:pt>
                <c:pt idx="1122">
                  <c:v>335</c:v>
                </c:pt>
                <c:pt idx="1123">
                  <c:v>330</c:v>
                </c:pt>
                <c:pt idx="1124">
                  <c:v>329</c:v>
                </c:pt>
                <c:pt idx="1125">
                  <c:v>332</c:v>
                </c:pt>
                <c:pt idx="1126">
                  <c:v>332</c:v>
                </c:pt>
                <c:pt idx="1127">
                  <c:v>323</c:v>
                </c:pt>
                <c:pt idx="1128">
                  <c:v>311</c:v>
                </c:pt>
                <c:pt idx="1129">
                  <c:v>308</c:v>
                </c:pt>
                <c:pt idx="1130">
                  <c:v>305</c:v>
                </c:pt>
                <c:pt idx="1131">
                  <c:v>302</c:v>
                </c:pt>
                <c:pt idx="1132">
                  <c:v>306</c:v>
                </c:pt>
                <c:pt idx="1133">
                  <c:v>300</c:v>
                </c:pt>
                <c:pt idx="1134">
                  <c:v>306</c:v>
                </c:pt>
                <c:pt idx="1135">
                  <c:v>301</c:v>
                </c:pt>
                <c:pt idx="1136">
                  <c:v>285</c:v>
                </c:pt>
                <c:pt idx="1137">
                  <c:v>277</c:v>
                </c:pt>
                <c:pt idx="1138">
                  <c:v>275</c:v>
                </c:pt>
                <c:pt idx="1139">
                  <c:v>272</c:v>
                </c:pt>
                <c:pt idx="1140">
                  <c:v>270</c:v>
                </c:pt>
                <c:pt idx="1141">
                  <c:v>273</c:v>
                </c:pt>
                <c:pt idx="1142">
                  <c:v>271</c:v>
                </c:pt>
                <c:pt idx="1143">
                  <c:v>267</c:v>
                </c:pt>
                <c:pt idx="1144">
                  <c:v>266</c:v>
                </c:pt>
                <c:pt idx="1145">
                  <c:v>264</c:v>
                </c:pt>
                <c:pt idx="1146">
                  <c:v>267</c:v>
                </c:pt>
                <c:pt idx="1147">
                  <c:v>271</c:v>
                </c:pt>
                <c:pt idx="1148">
                  <c:v>276</c:v>
                </c:pt>
                <c:pt idx="1149">
                  <c:v>277</c:v>
                </c:pt>
                <c:pt idx="1150">
                  <c:v>280</c:v>
                </c:pt>
                <c:pt idx="1151">
                  <c:v>297</c:v>
                </c:pt>
                <c:pt idx="1152">
                  <c:v>292</c:v>
                </c:pt>
                <c:pt idx="1153">
                  <c:v>295</c:v>
                </c:pt>
                <c:pt idx="1154">
                  <c:v>295</c:v>
                </c:pt>
                <c:pt idx="1155">
                  <c:v>298</c:v>
                </c:pt>
                <c:pt idx="1156">
                  <c:v>299</c:v>
                </c:pt>
                <c:pt idx="1157">
                  <c:v>301</c:v>
                </c:pt>
                <c:pt idx="1158">
                  <c:v>296</c:v>
                </c:pt>
                <c:pt idx="1159">
                  <c:v>303</c:v>
                </c:pt>
                <c:pt idx="1160">
                  <c:v>312</c:v>
                </c:pt>
                <c:pt idx="1161">
                  <c:v>319</c:v>
                </c:pt>
                <c:pt idx="1162">
                  <c:v>327</c:v>
                </c:pt>
                <c:pt idx="1163">
                  <c:v>327</c:v>
                </c:pt>
                <c:pt idx="1164">
                  <c:v>331</c:v>
                </c:pt>
                <c:pt idx="1165">
                  <c:v>332</c:v>
                </c:pt>
                <c:pt idx="1166">
                  <c:v>332</c:v>
                </c:pt>
                <c:pt idx="1167">
                  <c:v>332</c:v>
                </c:pt>
                <c:pt idx="1168">
                  <c:v>320</c:v>
                </c:pt>
                <c:pt idx="1169">
                  <c:v>323</c:v>
                </c:pt>
                <c:pt idx="1170">
                  <c:v>318</c:v>
                </c:pt>
                <c:pt idx="1171">
                  <c:v>325</c:v>
                </c:pt>
                <c:pt idx="1172">
                  <c:v>333</c:v>
                </c:pt>
                <c:pt idx="1173">
                  <c:v>345</c:v>
                </c:pt>
                <c:pt idx="1174">
                  <c:v>343</c:v>
                </c:pt>
                <c:pt idx="1175">
                  <c:v>333</c:v>
                </c:pt>
                <c:pt idx="1176">
                  <c:v>334</c:v>
                </c:pt>
                <c:pt idx="1177">
                  <c:v>330</c:v>
                </c:pt>
                <c:pt idx="1178">
                  <c:v>332</c:v>
                </c:pt>
                <c:pt idx="1179">
                  <c:v>330</c:v>
                </c:pt>
                <c:pt idx="1180">
                  <c:v>325</c:v>
                </c:pt>
                <c:pt idx="1181">
                  <c:v>330</c:v>
                </c:pt>
                <c:pt idx="1182">
                  <c:v>311</c:v>
                </c:pt>
                <c:pt idx="1183">
                  <c:v>304</c:v>
                </c:pt>
                <c:pt idx="1184">
                  <c:v>300</c:v>
                </c:pt>
                <c:pt idx="1185">
                  <c:v>309</c:v>
                </c:pt>
                <c:pt idx="1186">
                  <c:v>307</c:v>
                </c:pt>
                <c:pt idx="1187">
                  <c:v>295</c:v>
                </c:pt>
                <c:pt idx="1188">
                  <c:v>297</c:v>
                </c:pt>
                <c:pt idx="1189">
                  <c:v>271</c:v>
                </c:pt>
                <c:pt idx="1190">
                  <c:v>271</c:v>
                </c:pt>
                <c:pt idx="1191">
                  <c:v>268</c:v>
                </c:pt>
                <c:pt idx="1192">
                  <c:v>265</c:v>
                </c:pt>
                <c:pt idx="1193">
                  <c:v>265</c:v>
                </c:pt>
                <c:pt idx="1194">
                  <c:v>270</c:v>
                </c:pt>
                <c:pt idx="1195">
                  <c:v>274</c:v>
                </c:pt>
                <c:pt idx="1196">
                  <c:v>261</c:v>
                </c:pt>
                <c:pt idx="1197">
                  <c:v>257</c:v>
                </c:pt>
                <c:pt idx="1198">
                  <c:v>260</c:v>
                </c:pt>
                <c:pt idx="1199">
                  <c:v>255</c:v>
                </c:pt>
                <c:pt idx="1200">
                  <c:v>254</c:v>
                </c:pt>
                <c:pt idx="1201">
                  <c:v>252</c:v>
                </c:pt>
                <c:pt idx="1202">
                  <c:v>264</c:v>
                </c:pt>
                <c:pt idx="1203">
                  <c:v>269</c:v>
                </c:pt>
                <c:pt idx="1204">
                  <c:v>262</c:v>
                </c:pt>
                <c:pt idx="1205">
                  <c:v>261</c:v>
                </c:pt>
                <c:pt idx="1206">
                  <c:v>263</c:v>
                </c:pt>
                <c:pt idx="1207">
                  <c:v>256</c:v>
                </c:pt>
                <c:pt idx="1208">
                  <c:v>250</c:v>
                </c:pt>
                <c:pt idx="1209">
                  <c:v>250</c:v>
                </c:pt>
                <c:pt idx="1210">
                  <c:v>249</c:v>
                </c:pt>
                <c:pt idx="1211">
                  <c:v>244</c:v>
                </c:pt>
                <c:pt idx="1212">
                  <c:v>243</c:v>
                </c:pt>
                <c:pt idx="1213">
                  <c:v>242</c:v>
                </c:pt>
                <c:pt idx="1214">
                  <c:v>243</c:v>
                </c:pt>
                <c:pt idx="1215">
                  <c:v>243</c:v>
                </c:pt>
                <c:pt idx="1216">
                  <c:v>245</c:v>
                </c:pt>
                <c:pt idx="1217">
                  <c:v>244</c:v>
                </c:pt>
                <c:pt idx="1218">
                  <c:v>247</c:v>
                </c:pt>
                <c:pt idx="1219">
                  <c:v>248</c:v>
                </c:pt>
                <c:pt idx="1220">
                  <c:v>245</c:v>
                </c:pt>
                <c:pt idx="1221">
                  <c:v>244</c:v>
                </c:pt>
                <c:pt idx="1222">
                  <c:v>246</c:v>
                </c:pt>
                <c:pt idx="1223">
                  <c:v>246</c:v>
                </c:pt>
                <c:pt idx="1224">
                  <c:v>247</c:v>
                </c:pt>
                <c:pt idx="1225">
                  <c:v>247</c:v>
                </c:pt>
                <c:pt idx="1226">
                  <c:v>239</c:v>
                </c:pt>
                <c:pt idx="1227">
                  <c:v>244</c:v>
                </c:pt>
                <c:pt idx="1228">
                  <c:v>243</c:v>
                </c:pt>
                <c:pt idx="1229">
                  <c:v>251</c:v>
                </c:pt>
                <c:pt idx="1230">
                  <c:v>248</c:v>
                </c:pt>
                <c:pt idx="1231">
                  <c:v>250</c:v>
                </c:pt>
                <c:pt idx="1232">
                  <c:v>251</c:v>
                </c:pt>
                <c:pt idx="1233">
                  <c:v>248</c:v>
                </c:pt>
                <c:pt idx="1234">
                  <c:v>252</c:v>
                </c:pt>
                <c:pt idx="1235">
                  <c:v>250</c:v>
                </c:pt>
                <c:pt idx="1236">
                  <c:v>246</c:v>
                </c:pt>
                <c:pt idx="1237">
                  <c:v>246</c:v>
                </c:pt>
                <c:pt idx="1238">
                  <c:v>249</c:v>
                </c:pt>
                <c:pt idx="1239">
                  <c:v>244</c:v>
                </c:pt>
                <c:pt idx="1240">
                  <c:v>247</c:v>
                </c:pt>
                <c:pt idx="1241">
                  <c:v>245</c:v>
                </c:pt>
                <c:pt idx="1242">
                  <c:v>243</c:v>
                </c:pt>
                <c:pt idx="1243">
                  <c:v>235</c:v>
                </c:pt>
                <c:pt idx="1244">
                  <c:v>233</c:v>
                </c:pt>
                <c:pt idx="1245">
                  <c:v>242</c:v>
                </c:pt>
                <c:pt idx="1246">
                  <c:v>239</c:v>
                </c:pt>
                <c:pt idx="1247">
                  <c:v>235</c:v>
                </c:pt>
                <c:pt idx="1248">
                  <c:v>237</c:v>
                </c:pt>
                <c:pt idx="1249">
                  <c:v>240</c:v>
                </c:pt>
                <c:pt idx="1250">
                  <c:v>243</c:v>
                </c:pt>
                <c:pt idx="1251">
                  <c:v>236</c:v>
                </c:pt>
                <c:pt idx="1252">
                  <c:v>229</c:v>
                </c:pt>
                <c:pt idx="1253">
                  <c:v>231</c:v>
                </c:pt>
                <c:pt idx="1254">
                  <c:v>236</c:v>
                </c:pt>
                <c:pt idx="1255">
                  <c:v>238</c:v>
                </c:pt>
                <c:pt idx="1256">
                  <c:v>233</c:v>
                </c:pt>
                <c:pt idx="1257">
                  <c:v>235</c:v>
                </c:pt>
                <c:pt idx="1258">
                  <c:v>228</c:v>
                </c:pt>
                <c:pt idx="1259">
                  <c:v>233</c:v>
                </c:pt>
                <c:pt idx="1260">
                  <c:v>249</c:v>
                </c:pt>
                <c:pt idx="1261">
                  <c:v>255</c:v>
                </c:pt>
                <c:pt idx="1262">
                  <c:v>245</c:v>
                </c:pt>
                <c:pt idx="1263">
                  <c:v>256</c:v>
                </c:pt>
                <c:pt idx="1264">
                  <c:v>241</c:v>
                </c:pt>
                <c:pt idx="1265">
                  <c:v>226</c:v>
                </c:pt>
                <c:pt idx="1266">
                  <c:v>235</c:v>
                </c:pt>
                <c:pt idx="1267">
                  <c:v>243</c:v>
                </c:pt>
                <c:pt idx="1268">
                  <c:v>229</c:v>
                </c:pt>
                <c:pt idx="1269">
                  <c:v>227</c:v>
                </c:pt>
                <c:pt idx="1270">
                  <c:v>227</c:v>
                </c:pt>
                <c:pt idx="1271">
                  <c:v>224</c:v>
                </c:pt>
                <c:pt idx="1272">
                  <c:v>224</c:v>
                </c:pt>
                <c:pt idx="1273">
                  <c:v>222</c:v>
                </c:pt>
                <c:pt idx="1274">
                  <c:v>225</c:v>
                </c:pt>
                <c:pt idx="1275">
                  <c:v>226</c:v>
                </c:pt>
                <c:pt idx="1276">
                  <c:v>233</c:v>
                </c:pt>
                <c:pt idx="1277">
                  <c:v>231</c:v>
                </c:pt>
                <c:pt idx="1278">
                  <c:v>231</c:v>
                </c:pt>
                <c:pt idx="1279">
                  <c:v>231</c:v>
                </c:pt>
                <c:pt idx="1280">
                  <c:v>228</c:v>
                </c:pt>
                <c:pt idx="1281">
                  <c:v>226</c:v>
                </c:pt>
                <c:pt idx="1282">
                  <c:v>225</c:v>
                </c:pt>
                <c:pt idx="1283">
                  <c:v>225</c:v>
                </c:pt>
                <c:pt idx="1284">
                  <c:v>223</c:v>
                </c:pt>
                <c:pt idx="1285">
                  <c:v>222</c:v>
                </c:pt>
                <c:pt idx="1286">
                  <c:v>218</c:v>
                </c:pt>
                <c:pt idx="1287">
                  <c:v>222</c:v>
                </c:pt>
                <c:pt idx="1288">
                  <c:v>221</c:v>
                </c:pt>
                <c:pt idx="1289">
                  <c:v>225</c:v>
                </c:pt>
                <c:pt idx="1290">
                  <c:v>228</c:v>
                </c:pt>
                <c:pt idx="1291">
                  <c:v>234</c:v>
                </c:pt>
                <c:pt idx="1292">
                  <c:v>240</c:v>
                </c:pt>
                <c:pt idx="1293">
                  <c:v>239</c:v>
                </c:pt>
                <c:pt idx="1294">
                  <c:v>240</c:v>
                </c:pt>
                <c:pt idx="1295">
                  <c:v>237</c:v>
                </c:pt>
                <c:pt idx="1296">
                  <c:v>235</c:v>
                </c:pt>
                <c:pt idx="1297">
                  <c:v>233</c:v>
                </c:pt>
                <c:pt idx="1298">
                  <c:v>231</c:v>
                </c:pt>
                <c:pt idx="1299">
                  <c:v>234</c:v>
                </c:pt>
                <c:pt idx="1300">
                  <c:v>238</c:v>
                </c:pt>
                <c:pt idx="1301">
                  <c:v>244</c:v>
                </c:pt>
                <c:pt idx="1302">
                  <c:v>245</c:v>
                </c:pt>
                <c:pt idx="1303">
                  <c:v>243</c:v>
                </c:pt>
                <c:pt idx="1304">
                  <c:v>239</c:v>
                </c:pt>
                <c:pt idx="1305">
                  <c:v>239</c:v>
                </c:pt>
                <c:pt idx="1306">
                  <c:v>240</c:v>
                </c:pt>
                <c:pt idx="1307">
                  <c:v>242</c:v>
                </c:pt>
                <c:pt idx="1308">
                  <c:v>238</c:v>
                </c:pt>
                <c:pt idx="1309">
                  <c:v>236</c:v>
                </c:pt>
                <c:pt idx="1310">
                  <c:v>242</c:v>
                </c:pt>
                <c:pt idx="1311">
                  <c:v>244</c:v>
                </c:pt>
                <c:pt idx="1312">
                  <c:v>241</c:v>
                </c:pt>
                <c:pt idx="1313">
                  <c:v>240</c:v>
                </c:pt>
                <c:pt idx="1314">
                  <c:v>239</c:v>
                </c:pt>
                <c:pt idx="1315">
                  <c:v>242</c:v>
                </c:pt>
                <c:pt idx="1316">
                  <c:v>243</c:v>
                </c:pt>
                <c:pt idx="1317">
                  <c:v>246</c:v>
                </c:pt>
                <c:pt idx="1318">
                  <c:v>246</c:v>
                </c:pt>
                <c:pt idx="1319">
                  <c:v>247</c:v>
                </c:pt>
                <c:pt idx="1320">
                  <c:v>248</c:v>
                </c:pt>
                <c:pt idx="1321">
                  <c:v>246</c:v>
                </c:pt>
                <c:pt idx="1322">
                  <c:v>251</c:v>
                </c:pt>
                <c:pt idx="1323">
                  <c:v>260</c:v>
                </c:pt>
                <c:pt idx="1324">
                  <c:v>256</c:v>
                </c:pt>
                <c:pt idx="1325">
                  <c:v>251</c:v>
                </c:pt>
                <c:pt idx="1326">
                  <c:v>253</c:v>
                </c:pt>
                <c:pt idx="1327">
                  <c:v>255</c:v>
                </c:pt>
                <c:pt idx="1328">
                  <c:v>253</c:v>
                </c:pt>
                <c:pt idx="1329">
                  <c:v>253</c:v>
                </c:pt>
                <c:pt idx="1330">
                  <c:v>247</c:v>
                </c:pt>
                <c:pt idx="1331">
                  <c:v>249</c:v>
                </c:pt>
                <c:pt idx="1332">
                  <c:v>245</c:v>
                </c:pt>
                <c:pt idx="1333">
                  <c:v>244</c:v>
                </c:pt>
                <c:pt idx="1334">
                  <c:v>243</c:v>
                </c:pt>
                <c:pt idx="1335">
                  <c:v>239</c:v>
                </c:pt>
                <c:pt idx="1336">
                  <c:v>238</c:v>
                </c:pt>
                <c:pt idx="1337">
                  <c:v>242</c:v>
                </c:pt>
                <c:pt idx="1338">
                  <c:v>234</c:v>
                </c:pt>
                <c:pt idx="1339">
                  <c:v>234</c:v>
                </c:pt>
                <c:pt idx="1340">
                  <c:v>233</c:v>
                </c:pt>
                <c:pt idx="1341">
                  <c:v>233</c:v>
                </c:pt>
                <c:pt idx="1342">
                  <c:v>236</c:v>
                </c:pt>
                <c:pt idx="1343">
                  <c:v>236</c:v>
                </c:pt>
                <c:pt idx="1344">
                  <c:v>240</c:v>
                </c:pt>
                <c:pt idx="1345">
                  <c:v>242</c:v>
                </c:pt>
                <c:pt idx="1346">
                  <c:v>244</c:v>
                </c:pt>
                <c:pt idx="1347">
                  <c:v>245</c:v>
                </c:pt>
                <c:pt idx="1348">
                  <c:v>247</c:v>
                </c:pt>
                <c:pt idx="1349">
                  <c:v>248</c:v>
                </c:pt>
                <c:pt idx="1350">
                  <c:v>244</c:v>
                </c:pt>
                <c:pt idx="1351">
                  <c:v>244</c:v>
                </c:pt>
                <c:pt idx="1352">
                  <c:v>241</c:v>
                </c:pt>
                <c:pt idx="1353">
                  <c:v>245</c:v>
                </c:pt>
                <c:pt idx="1354">
                  <c:v>245</c:v>
                </c:pt>
                <c:pt idx="1355">
                  <c:v>246</c:v>
                </c:pt>
                <c:pt idx="1356">
                  <c:v>247</c:v>
                </c:pt>
                <c:pt idx="1357">
                  <c:v>253</c:v>
                </c:pt>
                <c:pt idx="1358">
                  <c:v>256</c:v>
                </c:pt>
                <c:pt idx="1359">
                  <c:v>256</c:v>
                </c:pt>
                <c:pt idx="1360">
                  <c:v>257</c:v>
                </c:pt>
                <c:pt idx="1361">
                  <c:v>253</c:v>
                </c:pt>
                <c:pt idx="1362">
                  <c:v>255</c:v>
                </c:pt>
                <c:pt idx="1363">
                  <c:v>254</c:v>
                </c:pt>
                <c:pt idx="1364">
                  <c:v>252</c:v>
                </c:pt>
                <c:pt idx="1365">
                  <c:v>252</c:v>
                </c:pt>
                <c:pt idx="1366">
                  <c:v>255</c:v>
                </c:pt>
                <c:pt idx="1367">
                  <c:v>256</c:v>
                </c:pt>
                <c:pt idx="1368">
                  <c:v>257</c:v>
                </c:pt>
                <c:pt idx="1369">
                  <c:v>260</c:v>
                </c:pt>
                <c:pt idx="1370">
                  <c:v>259</c:v>
                </c:pt>
                <c:pt idx="1371">
                  <c:v>264</c:v>
                </c:pt>
                <c:pt idx="1372">
                  <c:v>265</c:v>
                </c:pt>
                <c:pt idx="1373">
                  <c:v>267</c:v>
                </c:pt>
                <c:pt idx="1374">
                  <c:v>268</c:v>
                </c:pt>
                <c:pt idx="1375">
                  <c:v>265</c:v>
                </c:pt>
                <c:pt idx="1376">
                  <c:v>265</c:v>
                </c:pt>
                <c:pt idx="1377">
                  <c:v>272</c:v>
                </c:pt>
                <c:pt idx="1378">
                  <c:v>272</c:v>
                </c:pt>
                <c:pt idx="1379">
                  <c:v>274</c:v>
                </c:pt>
                <c:pt idx="1380">
                  <c:v>273</c:v>
                </c:pt>
                <c:pt idx="1381">
                  <c:v>270</c:v>
                </c:pt>
                <c:pt idx="1382">
                  <c:v>269</c:v>
                </c:pt>
                <c:pt idx="1383">
                  <c:v>274</c:v>
                </c:pt>
                <c:pt idx="1384">
                  <c:v>276</c:v>
                </c:pt>
                <c:pt idx="1385">
                  <c:v>279</c:v>
                </c:pt>
                <c:pt idx="1386">
                  <c:v>277</c:v>
                </c:pt>
                <c:pt idx="1387">
                  <c:v>279</c:v>
                </c:pt>
                <c:pt idx="1388">
                  <c:v>271</c:v>
                </c:pt>
                <c:pt idx="1389">
                  <c:v>269</c:v>
                </c:pt>
                <c:pt idx="1390">
                  <c:v>276</c:v>
                </c:pt>
                <c:pt idx="1391">
                  <c:v>281</c:v>
                </c:pt>
                <c:pt idx="1392">
                  <c:v>281</c:v>
                </c:pt>
                <c:pt idx="1393">
                  <c:v>269</c:v>
                </c:pt>
                <c:pt idx="1394">
                  <c:v>262</c:v>
                </c:pt>
                <c:pt idx="1395">
                  <c:v>263</c:v>
                </c:pt>
                <c:pt idx="1396">
                  <c:v>262</c:v>
                </c:pt>
                <c:pt idx="1397">
                  <c:v>264</c:v>
                </c:pt>
                <c:pt idx="1398">
                  <c:v>268</c:v>
                </c:pt>
                <c:pt idx="1399">
                  <c:v>267</c:v>
                </c:pt>
                <c:pt idx="1400">
                  <c:v>268</c:v>
                </c:pt>
                <c:pt idx="1401">
                  <c:v>271</c:v>
                </c:pt>
                <c:pt idx="1402">
                  <c:v>268</c:v>
                </c:pt>
                <c:pt idx="1403">
                  <c:v>269</c:v>
                </c:pt>
                <c:pt idx="1404">
                  <c:v>272</c:v>
                </c:pt>
                <c:pt idx="1405">
                  <c:v>270</c:v>
                </c:pt>
                <c:pt idx="1406">
                  <c:v>264</c:v>
                </c:pt>
                <c:pt idx="1407">
                  <c:v>266</c:v>
                </c:pt>
                <c:pt idx="1408">
                  <c:v>271</c:v>
                </c:pt>
                <c:pt idx="1409">
                  <c:v>273</c:v>
                </c:pt>
                <c:pt idx="1410">
                  <c:v>273</c:v>
                </c:pt>
                <c:pt idx="1411">
                  <c:v>274</c:v>
                </c:pt>
                <c:pt idx="1412">
                  <c:v>277</c:v>
                </c:pt>
                <c:pt idx="1413">
                  <c:v>277</c:v>
                </c:pt>
                <c:pt idx="1414">
                  <c:v>282</c:v>
                </c:pt>
                <c:pt idx="1415">
                  <c:v>286</c:v>
                </c:pt>
                <c:pt idx="1416">
                  <c:v>293</c:v>
                </c:pt>
                <c:pt idx="1417">
                  <c:v>297</c:v>
                </c:pt>
                <c:pt idx="1418">
                  <c:v>291</c:v>
                </c:pt>
                <c:pt idx="1419">
                  <c:v>286</c:v>
                </c:pt>
                <c:pt idx="1420">
                  <c:v>289</c:v>
                </c:pt>
                <c:pt idx="1421">
                  <c:v>294</c:v>
                </c:pt>
                <c:pt idx="1422">
                  <c:v>290</c:v>
                </c:pt>
                <c:pt idx="1423">
                  <c:v>298</c:v>
                </c:pt>
                <c:pt idx="1424">
                  <c:v>290</c:v>
                </c:pt>
                <c:pt idx="1425">
                  <c:v>294</c:v>
                </c:pt>
                <c:pt idx="1426">
                  <c:v>298</c:v>
                </c:pt>
                <c:pt idx="1427">
                  <c:v>302</c:v>
                </c:pt>
                <c:pt idx="1428">
                  <c:v>299</c:v>
                </c:pt>
                <c:pt idx="1429">
                  <c:v>289</c:v>
                </c:pt>
                <c:pt idx="1430">
                  <c:v>286</c:v>
                </c:pt>
                <c:pt idx="1431">
                  <c:v>286</c:v>
                </c:pt>
                <c:pt idx="1432">
                  <c:v>281</c:v>
                </c:pt>
                <c:pt idx="1433">
                  <c:v>282</c:v>
                </c:pt>
                <c:pt idx="1434">
                  <c:v>286</c:v>
                </c:pt>
                <c:pt idx="1435">
                  <c:v>285</c:v>
                </c:pt>
                <c:pt idx="1436">
                  <c:v>285</c:v>
                </c:pt>
                <c:pt idx="1437">
                  <c:v>288</c:v>
                </c:pt>
                <c:pt idx="1438">
                  <c:v>285</c:v>
                </c:pt>
                <c:pt idx="1439">
                  <c:v>283</c:v>
                </c:pt>
                <c:pt idx="1440">
                  <c:v>283</c:v>
                </c:pt>
                <c:pt idx="1441">
                  <c:v>284</c:v>
                </c:pt>
                <c:pt idx="1442">
                  <c:v>284</c:v>
                </c:pt>
                <c:pt idx="1443">
                  <c:v>284</c:v>
                </c:pt>
                <c:pt idx="1444">
                  <c:v>286</c:v>
                </c:pt>
                <c:pt idx="1445">
                  <c:v>283</c:v>
                </c:pt>
                <c:pt idx="1446">
                  <c:v>286</c:v>
                </c:pt>
                <c:pt idx="1447">
                  <c:v>281</c:v>
                </c:pt>
                <c:pt idx="1448">
                  <c:v>280</c:v>
                </c:pt>
                <c:pt idx="1449">
                  <c:v>288</c:v>
                </c:pt>
                <c:pt idx="1450">
                  <c:v>282</c:v>
                </c:pt>
                <c:pt idx="1451">
                  <c:v>300</c:v>
                </c:pt>
                <c:pt idx="1452">
                  <c:v>258</c:v>
                </c:pt>
                <c:pt idx="1453">
                  <c:v>250</c:v>
                </c:pt>
                <c:pt idx="1454">
                  <c:v>251</c:v>
                </c:pt>
                <c:pt idx="1455">
                  <c:v>255</c:v>
                </c:pt>
                <c:pt idx="1456">
                  <c:v>255</c:v>
                </c:pt>
                <c:pt idx="1457">
                  <c:v>257</c:v>
                </c:pt>
                <c:pt idx="1458">
                  <c:v>264</c:v>
                </c:pt>
                <c:pt idx="1459">
                  <c:v>262</c:v>
                </c:pt>
                <c:pt idx="1460">
                  <c:v>262</c:v>
                </c:pt>
                <c:pt idx="1461">
                  <c:v>264</c:v>
                </c:pt>
                <c:pt idx="1462">
                  <c:v>256</c:v>
                </c:pt>
                <c:pt idx="1463">
                  <c:v>258</c:v>
                </c:pt>
                <c:pt idx="1464">
                  <c:v>260</c:v>
                </c:pt>
                <c:pt idx="1465">
                  <c:v>263</c:v>
                </c:pt>
                <c:pt idx="1466">
                  <c:v>264</c:v>
                </c:pt>
                <c:pt idx="1467">
                  <c:v>268</c:v>
                </c:pt>
                <c:pt idx="1468">
                  <c:v>263</c:v>
                </c:pt>
                <c:pt idx="1469">
                  <c:v>263</c:v>
                </c:pt>
                <c:pt idx="1470">
                  <c:v>272</c:v>
                </c:pt>
                <c:pt idx="1471">
                  <c:v>275</c:v>
                </c:pt>
                <c:pt idx="1472">
                  <c:v>273</c:v>
                </c:pt>
                <c:pt idx="1473">
                  <c:v>275</c:v>
                </c:pt>
                <c:pt idx="1474">
                  <c:v>270</c:v>
                </c:pt>
                <c:pt idx="1475">
                  <c:v>271</c:v>
                </c:pt>
                <c:pt idx="1476">
                  <c:v>271</c:v>
                </c:pt>
                <c:pt idx="1477">
                  <c:v>272</c:v>
                </c:pt>
                <c:pt idx="1478">
                  <c:v>267</c:v>
                </c:pt>
                <c:pt idx="1479">
                  <c:v>271</c:v>
                </c:pt>
                <c:pt idx="1480">
                  <c:v>269</c:v>
                </c:pt>
                <c:pt idx="1481">
                  <c:v>263</c:v>
                </c:pt>
                <c:pt idx="1482">
                  <c:v>265</c:v>
                </c:pt>
                <c:pt idx="1483">
                  <c:v>270</c:v>
                </c:pt>
                <c:pt idx="1484">
                  <c:v>270</c:v>
                </c:pt>
                <c:pt idx="1485">
                  <c:v>274</c:v>
                </c:pt>
                <c:pt idx="1486">
                  <c:v>275</c:v>
                </c:pt>
                <c:pt idx="1487">
                  <c:v>278</c:v>
                </c:pt>
                <c:pt idx="1488">
                  <c:v>279</c:v>
                </c:pt>
                <c:pt idx="1489">
                  <c:v>278</c:v>
                </c:pt>
                <c:pt idx="1490">
                  <c:v>280</c:v>
                </c:pt>
                <c:pt idx="1491">
                  <c:v>280</c:v>
                </c:pt>
                <c:pt idx="1492">
                  <c:v>277</c:v>
                </c:pt>
                <c:pt idx="1493">
                  <c:v>269</c:v>
                </c:pt>
                <c:pt idx="1494">
                  <c:v>272</c:v>
                </c:pt>
                <c:pt idx="1495">
                  <c:v>274</c:v>
                </c:pt>
                <c:pt idx="1496">
                  <c:v>282</c:v>
                </c:pt>
                <c:pt idx="1497">
                  <c:v>291</c:v>
                </c:pt>
                <c:pt idx="1498">
                  <c:v>286</c:v>
                </c:pt>
                <c:pt idx="1499">
                  <c:v>280</c:v>
                </c:pt>
                <c:pt idx="1500">
                  <c:v>290</c:v>
                </c:pt>
                <c:pt idx="1501">
                  <c:v>287</c:v>
                </c:pt>
                <c:pt idx="1502">
                  <c:v>274</c:v>
                </c:pt>
                <c:pt idx="1503">
                  <c:v>272</c:v>
                </c:pt>
                <c:pt idx="1504">
                  <c:v>273</c:v>
                </c:pt>
                <c:pt idx="1505">
                  <c:v>280</c:v>
                </c:pt>
                <c:pt idx="1506">
                  <c:v>275</c:v>
                </c:pt>
                <c:pt idx="1507">
                  <c:v>286</c:v>
                </c:pt>
                <c:pt idx="1508">
                  <c:v>277</c:v>
                </c:pt>
                <c:pt idx="1509">
                  <c:v>277</c:v>
                </c:pt>
                <c:pt idx="1510">
                  <c:v>272</c:v>
                </c:pt>
                <c:pt idx="1511">
                  <c:v>277</c:v>
                </c:pt>
                <c:pt idx="1512">
                  <c:v>279</c:v>
                </c:pt>
                <c:pt idx="1513">
                  <c:v>282</c:v>
                </c:pt>
                <c:pt idx="1514">
                  <c:v>282</c:v>
                </c:pt>
                <c:pt idx="1515">
                  <c:v>280</c:v>
                </c:pt>
                <c:pt idx="1516">
                  <c:v>271</c:v>
                </c:pt>
                <c:pt idx="1517">
                  <c:v>266</c:v>
                </c:pt>
                <c:pt idx="1518">
                  <c:v>268</c:v>
                </c:pt>
                <c:pt idx="1519">
                  <c:v>272</c:v>
                </c:pt>
                <c:pt idx="1520">
                  <c:v>280</c:v>
                </c:pt>
                <c:pt idx="1521">
                  <c:v>284</c:v>
                </c:pt>
                <c:pt idx="1522">
                  <c:v>287</c:v>
                </c:pt>
                <c:pt idx="1523">
                  <c:v>277</c:v>
                </c:pt>
                <c:pt idx="1524">
                  <c:v>276</c:v>
                </c:pt>
                <c:pt idx="1525">
                  <c:v>281</c:v>
                </c:pt>
                <c:pt idx="1526">
                  <c:v>285</c:v>
                </c:pt>
                <c:pt idx="1527">
                  <c:v>289</c:v>
                </c:pt>
                <c:pt idx="1528">
                  <c:v>291</c:v>
                </c:pt>
                <c:pt idx="1529">
                  <c:v>284</c:v>
                </c:pt>
                <c:pt idx="1530">
                  <c:v>296</c:v>
                </c:pt>
                <c:pt idx="1531">
                  <c:v>296</c:v>
                </c:pt>
                <c:pt idx="1532">
                  <c:v>293</c:v>
                </c:pt>
                <c:pt idx="1533">
                  <c:v>295</c:v>
                </c:pt>
                <c:pt idx="1534">
                  <c:v>294</c:v>
                </c:pt>
                <c:pt idx="1535">
                  <c:v>296</c:v>
                </c:pt>
                <c:pt idx="1536">
                  <c:v>291</c:v>
                </c:pt>
                <c:pt idx="1537">
                  <c:v>282</c:v>
                </c:pt>
                <c:pt idx="1538">
                  <c:v>288</c:v>
                </c:pt>
                <c:pt idx="1539">
                  <c:v>288</c:v>
                </c:pt>
                <c:pt idx="1540">
                  <c:v>298</c:v>
                </c:pt>
                <c:pt idx="1541">
                  <c:v>305</c:v>
                </c:pt>
                <c:pt idx="1542">
                  <c:v>305</c:v>
                </c:pt>
                <c:pt idx="1543">
                  <c:v>302</c:v>
                </c:pt>
                <c:pt idx="1544">
                  <c:v>301</c:v>
                </c:pt>
                <c:pt idx="1545">
                  <c:v>302</c:v>
                </c:pt>
                <c:pt idx="1546">
                  <c:v>311</c:v>
                </c:pt>
                <c:pt idx="1547">
                  <c:v>325</c:v>
                </c:pt>
                <c:pt idx="1548">
                  <c:v>328</c:v>
                </c:pt>
                <c:pt idx="1549">
                  <c:v>328</c:v>
                </c:pt>
                <c:pt idx="1550">
                  <c:v>325</c:v>
                </c:pt>
                <c:pt idx="1551">
                  <c:v>325</c:v>
                </c:pt>
                <c:pt idx="1552">
                  <c:v>322</c:v>
                </c:pt>
                <c:pt idx="1553">
                  <c:v>325</c:v>
                </c:pt>
                <c:pt idx="1554">
                  <c:v>325</c:v>
                </c:pt>
                <c:pt idx="1555">
                  <c:v>326</c:v>
                </c:pt>
                <c:pt idx="1556">
                  <c:v>323</c:v>
                </c:pt>
                <c:pt idx="1557">
                  <c:v>324</c:v>
                </c:pt>
                <c:pt idx="1558">
                  <c:v>327</c:v>
                </c:pt>
                <c:pt idx="1559">
                  <c:v>328</c:v>
                </c:pt>
                <c:pt idx="1560">
                  <c:v>332</c:v>
                </c:pt>
                <c:pt idx="1561">
                  <c:v>332</c:v>
                </c:pt>
                <c:pt idx="1562">
                  <c:v>324</c:v>
                </c:pt>
                <c:pt idx="1563">
                  <c:v>330</c:v>
                </c:pt>
                <c:pt idx="1564">
                  <c:v>328</c:v>
                </c:pt>
                <c:pt idx="1565">
                  <c:v>334</c:v>
                </c:pt>
                <c:pt idx="1566">
                  <c:v>336</c:v>
                </c:pt>
                <c:pt idx="1567">
                  <c:v>341</c:v>
                </c:pt>
                <c:pt idx="1568">
                  <c:v>342</c:v>
                </c:pt>
                <c:pt idx="1569">
                  <c:v>350</c:v>
                </c:pt>
                <c:pt idx="1570">
                  <c:v>348</c:v>
                </c:pt>
                <c:pt idx="1571">
                  <c:v>337</c:v>
                </c:pt>
                <c:pt idx="1572">
                  <c:v>337</c:v>
                </c:pt>
                <c:pt idx="1573">
                  <c:v>334</c:v>
                </c:pt>
                <c:pt idx="1574">
                  <c:v>337</c:v>
                </c:pt>
                <c:pt idx="1575">
                  <c:v>336</c:v>
                </c:pt>
                <c:pt idx="1576">
                  <c:v>336</c:v>
                </c:pt>
                <c:pt idx="1577">
                  <c:v>332</c:v>
                </c:pt>
                <c:pt idx="1578">
                  <c:v>333</c:v>
                </c:pt>
                <c:pt idx="1579">
                  <c:v>334</c:v>
                </c:pt>
                <c:pt idx="1580">
                  <c:v>331</c:v>
                </c:pt>
                <c:pt idx="1581">
                  <c:v>329</c:v>
                </c:pt>
                <c:pt idx="1582">
                  <c:v>330</c:v>
                </c:pt>
                <c:pt idx="1583">
                  <c:v>357</c:v>
                </c:pt>
                <c:pt idx="1584">
                  <c:v>341</c:v>
                </c:pt>
                <c:pt idx="1585">
                  <c:v>341</c:v>
                </c:pt>
                <c:pt idx="1586">
                  <c:v>306</c:v>
                </c:pt>
                <c:pt idx="1587">
                  <c:v>303</c:v>
                </c:pt>
                <c:pt idx="1588">
                  <c:v>314</c:v>
                </c:pt>
                <c:pt idx="1589">
                  <c:v>328</c:v>
                </c:pt>
                <c:pt idx="1590">
                  <c:v>327</c:v>
                </c:pt>
                <c:pt idx="1591">
                  <c:v>328</c:v>
                </c:pt>
                <c:pt idx="1592">
                  <c:v>323</c:v>
                </c:pt>
                <c:pt idx="1593">
                  <c:v>313</c:v>
                </c:pt>
                <c:pt idx="1594">
                  <c:v>308</c:v>
                </c:pt>
                <c:pt idx="1595">
                  <c:v>313</c:v>
                </c:pt>
                <c:pt idx="1596">
                  <c:v>309</c:v>
                </c:pt>
                <c:pt idx="1597">
                  <c:v>307</c:v>
                </c:pt>
                <c:pt idx="1598">
                  <c:v>305</c:v>
                </c:pt>
                <c:pt idx="1599">
                  <c:v>308</c:v>
                </c:pt>
                <c:pt idx="1600">
                  <c:v>308</c:v>
                </c:pt>
                <c:pt idx="1601">
                  <c:v>311</c:v>
                </c:pt>
                <c:pt idx="1602">
                  <c:v>314</c:v>
                </c:pt>
                <c:pt idx="1603">
                  <c:v>314</c:v>
                </c:pt>
                <c:pt idx="1604">
                  <c:v>309</c:v>
                </c:pt>
                <c:pt idx="1605">
                  <c:v>313</c:v>
                </c:pt>
                <c:pt idx="1606">
                  <c:v>314</c:v>
                </c:pt>
                <c:pt idx="1607">
                  <c:v>319</c:v>
                </c:pt>
                <c:pt idx="1608">
                  <c:v>317</c:v>
                </c:pt>
                <c:pt idx="1609">
                  <c:v>317</c:v>
                </c:pt>
                <c:pt idx="1610">
                  <c:v>317</c:v>
                </c:pt>
                <c:pt idx="1611">
                  <c:v>319</c:v>
                </c:pt>
                <c:pt idx="1612">
                  <c:v>318</c:v>
                </c:pt>
                <c:pt idx="1613">
                  <c:v>315</c:v>
                </c:pt>
                <c:pt idx="1614">
                  <c:v>319</c:v>
                </c:pt>
                <c:pt idx="1615">
                  <c:v>318</c:v>
                </c:pt>
                <c:pt idx="1616">
                  <c:v>311</c:v>
                </c:pt>
                <c:pt idx="1617">
                  <c:v>322</c:v>
                </c:pt>
                <c:pt idx="1618">
                  <c:v>320</c:v>
                </c:pt>
                <c:pt idx="1619">
                  <c:v>315</c:v>
                </c:pt>
                <c:pt idx="1620">
                  <c:v>306</c:v>
                </c:pt>
                <c:pt idx="1621">
                  <c:v>312</c:v>
                </c:pt>
                <c:pt idx="1622">
                  <c:v>328</c:v>
                </c:pt>
                <c:pt idx="1623">
                  <c:v>334</c:v>
                </c:pt>
                <c:pt idx="1624">
                  <c:v>340</c:v>
                </c:pt>
                <c:pt idx="1625">
                  <c:v>331</c:v>
                </c:pt>
                <c:pt idx="1626">
                  <c:v>333</c:v>
                </c:pt>
                <c:pt idx="1627">
                  <c:v>325</c:v>
                </c:pt>
                <c:pt idx="1628">
                  <c:v>313</c:v>
                </c:pt>
                <c:pt idx="1629">
                  <c:v>314</c:v>
                </c:pt>
                <c:pt idx="1630">
                  <c:v>303</c:v>
                </c:pt>
                <c:pt idx="1631">
                  <c:v>303</c:v>
                </c:pt>
                <c:pt idx="1632">
                  <c:v>309</c:v>
                </c:pt>
                <c:pt idx="1633">
                  <c:v>309</c:v>
                </c:pt>
                <c:pt idx="1634">
                  <c:v>309</c:v>
                </c:pt>
                <c:pt idx="1635">
                  <c:v>315</c:v>
                </c:pt>
                <c:pt idx="1636">
                  <c:v>309</c:v>
                </c:pt>
                <c:pt idx="1637">
                  <c:v>306</c:v>
                </c:pt>
                <c:pt idx="1638">
                  <c:v>304</c:v>
                </c:pt>
                <c:pt idx="1639">
                  <c:v>299</c:v>
                </c:pt>
                <c:pt idx="1640">
                  <c:v>306</c:v>
                </c:pt>
                <c:pt idx="1641">
                  <c:v>305</c:v>
                </c:pt>
                <c:pt idx="1642">
                  <c:v>302</c:v>
                </c:pt>
                <c:pt idx="1643">
                  <c:v>303</c:v>
                </c:pt>
                <c:pt idx="1644">
                  <c:v>296</c:v>
                </c:pt>
                <c:pt idx="1645">
                  <c:v>297</c:v>
                </c:pt>
                <c:pt idx="1646">
                  <c:v>298</c:v>
                </c:pt>
                <c:pt idx="1647">
                  <c:v>292</c:v>
                </c:pt>
                <c:pt idx="1648">
                  <c:v>299</c:v>
                </c:pt>
                <c:pt idx="1649">
                  <c:v>306</c:v>
                </c:pt>
                <c:pt idx="1650">
                  <c:v>309</c:v>
                </c:pt>
                <c:pt idx="1651">
                  <c:v>316</c:v>
                </c:pt>
                <c:pt idx="1652">
                  <c:v>320</c:v>
                </c:pt>
                <c:pt idx="1653">
                  <c:v>317</c:v>
                </c:pt>
                <c:pt idx="1654">
                  <c:v>319</c:v>
                </c:pt>
                <c:pt idx="1655">
                  <c:v>325</c:v>
                </c:pt>
                <c:pt idx="1656">
                  <c:v>327</c:v>
                </c:pt>
                <c:pt idx="1657">
                  <c:v>331</c:v>
                </c:pt>
                <c:pt idx="1658">
                  <c:v>336</c:v>
                </c:pt>
                <c:pt idx="1659">
                  <c:v>339</c:v>
                </c:pt>
                <c:pt idx="1660">
                  <c:v>340</c:v>
                </c:pt>
                <c:pt idx="1661">
                  <c:v>344</c:v>
                </c:pt>
                <c:pt idx="1662">
                  <c:v>343</c:v>
                </c:pt>
                <c:pt idx="1663">
                  <c:v>341</c:v>
                </c:pt>
                <c:pt idx="1664">
                  <c:v>338</c:v>
                </c:pt>
                <c:pt idx="1665">
                  <c:v>337</c:v>
                </c:pt>
                <c:pt idx="1666">
                  <c:v>330</c:v>
                </c:pt>
                <c:pt idx="1667">
                  <c:v>332</c:v>
                </c:pt>
                <c:pt idx="1668">
                  <c:v>332</c:v>
                </c:pt>
                <c:pt idx="1669">
                  <c:v>331</c:v>
                </c:pt>
                <c:pt idx="1670">
                  <c:v>331</c:v>
                </c:pt>
                <c:pt idx="1671">
                  <c:v>334</c:v>
                </c:pt>
                <c:pt idx="1672">
                  <c:v>331</c:v>
                </c:pt>
                <c:pt idx="1673">
                  <c:v>340</c:v>
                </c:pt>
                <c:pt idx="1674">
                  <c:v>345</c:v>
                </c:pt>
                <c:pt idx="1675">
                  <c:v>355</c:v>
                </c:pt>
                <c:pt idx="1676">
                  <c:v>355</c:v>
                </c:pt>
                <c:pt idx="1677">
                  <c:v>352</c:v>
                </c:pt>
                <c:pt idx="1678">
                  <c:v>347</c:v>
                </c:pt>
                <c:pt idx="1679">
                  <c:v>347</c:v>
                </c:pt>
                <c:pt idx="1680">
                  <c:v>350</c:v>
                </c:pt>
                <c:pt idx="1681">
                  <c:v>354</c:v>
                </c:pt>
                <c:pt idx="1682">
                  <c:v>376</c:v>
                </c:pt>
                <c:pt idx="1683">
                  <c:v>393</c:v>
                </c:pt>
                <c:pt idx="1684">
                  <c:v>384</c:v>
                </c:pt>
                <c:pt idx="1685">
                  <c:v>365</c:v>
                </c:pt>
                <c:pt idx="1686">
                  <c:v>376</c:v>
                </c:pt>
                <c:pt idx="1687">
                  <c:v>378</c:v>
                </c:pt>
                <c:pt idx="1688">
                  <c:v>380</c:v>
                </c:pt>
                <c:pt idx="1689">
                  <c:v>392</c:v>
                </c:pt>
                <c:pt idx="1690">
                  <c:v>399</c:v>
                </c:pt>
                <c:pt idx="1691">
                  <c:v>395</c:v>
                </c:pt>
                <c:pt idx="1692">
                  <c:v>401</c:v>
                </c:pt>
                <c:pt idx="1693">
                  <c:v>389</c:v>
                </c:pt>
                <c:pt idx="1694">
                  <c:v>383</c:v>
                </c:pt>
                <c:pt idx="1695">
                  <c:v>375</c:v>
                </c:pt>
                <c:pt idx="1696">
                  <c:v>371</c:v>
                </c:pt>
                <c:pt idx="1697">
                  <c:v>377</c:v>
                </c:pt>
                <c:pt idx="1698">
                  <c:v>385</c:v>
                </c:pt>
                <c:pt idx="1699">
                  <c:v>391</c:v>
                </c:pt>
                <c:pt idx="1700">
                  <c:v>392</c:v>
                </c:pt>
                <c:pt idx="1701">
                  <c:v>401</c:v>
                </c:pt>
                <c:pt idx="1702">
                  <c:v>404</c:v>
                </c:pt>
                <c:pt idx="1703">
                  <c:v>391</c:v>
                </c:pt>
                <c:pt idx="1704">
                  <c:v>391</c:v>
                </c:pt>
                <c:pt idx="1705">
                  <c:v>395</c:v>
                </c:pt>
                <c:pt idx="1706">
                  <c:v>391</c:v>
                </c:pt>
                <c:pt idx="1707">
                  <c:v>395</c:v>
                </c:pt>
                <c:pt idx="1708">
                  <c:v>397</c:v>
                </c:pt>
                <c:pt idx="1709">
                  <c:v>392</c:v>
                </c:pt>
                <c:pt idx="1710">
                  <c:v>394</c:v>
                </c:pt>
                <c:pt idx="1711">
                  <c:v>377</c:v>
                </c:pt>
                <c:pt idx="1712">
                  <c:v>374</c:v>
                </c:pt>
                <c:pt idx="1713">
                  <c:v>375</c:v>
                </c:pt>
                <c:pt idx="1714">
                  <c:v>382</c:v>
                </c:pt>
                <c:pt idx="1715">
                  <c:v>376</c:v>
                </c:pt>
                <c:pt idx="1716">
                  <c:v>379</c:v>
                </c:pt>
                <c:pt idx="1717">
                  <c:v>387</c:v>
                </c:pt>
                <c:pt idx="1718">
                  <c:v>394</c:v>
                </c:pt>
                <c:pt idx="1719">
                  <c:v>390</c:v>
                </c:pt>
                <c:pt idx="1720">
                  <c:v>397</c:v>
                </c:pt>
                <c:pt idx="1721">
                  <c:v>395</c:v>
                </c:pt>
                <c:pt idx="1722">
                  <c:v>392</c:v>
                </c:pt>
                <c:pt idx="1723">
                  <c:v>382</c:v>
                </c:pt>
                <c:pt idx="1724">
                  <c:v>385</c:v>
                </c:pt>
                <c:pt idx="1725">
                  <c:v>385</c:v>
                </c:pt>
                <c:pt idx="1726">
                  <c:v>382</c:v>
                </c:pt>
                <c:pt idx="1727">
                  <c:v>397</c:v>
                </c:pt>
                <c:pt idx="1728">
                  <c:v>403</c:v>
                </c:pt>
                <c:pt idx="1729">
                  <c:v>406</c:v>
                </c:pt>
                <c:pt idx="1730">
                  <c:v>400</c:v>
                </c:pt>
                <c:pt idx="1731">
                  <c:v>385</c:v>
                </c:pt>
                <c:pt idx="1732">
                  <c:v>390</c:v>
                </c:pt>
                <c:pt idx="1733">
                  <c:v>394</c:v>
                </c:pt>
                <c:pt idx="1734">
                  <c:v>387</c:v>
                </c:pt>
                <c:pt idx="1735">
                  <c:v>382</c:v>
                </c:pt>
                <c:pt idx="1736">
                  <c:v>387</c:v>
                </c:pt>
                <c:pt idx="1737">
                  <c:v>397</c:v>
                </c:pt>
                <c:pt idx="1738">
                  <c:v>416</c:v>
                </c:pt>
                <c:pt idx="1739">
                  <c:v>440</c:v>
                </c:pt>
                <c:pt idx="1740">
                  <c:v>449</c:v>
                </c:pt>
                <c:pt idx="1741">
                  <c:v>430</c:v>
                </c:pt>
                <c:pt idx="1742">
                  <c:v>432</c:v>
                </c:pt>
                <c:pt idx="1743">
                  <c:v>413</c:v>
                </c:pt>
                <c:pt idx="1744">
                  <c:v>404</c:v>
                </c:pt>
                <c:pt idx="1745">
                  <c:v>409</c:v>
                </c:pt>
                <c:pt idx="1746">
                  <c:v>404</c:v>
                </c:pt>
                <c:pt idx="1747">
                  <c:v>416</c:v>
                </c:pt>
                <c:pt idx="1748">
                  <c:v>419</c:v>
                </c:pt>
                <c:pt idx="1749">
                  <c:v>427</c:v>
                </c:pt>
                <c:pt idx="1750">
                  <c:v>419</c:v>
                </c:pt>
                <c:pt idx="1751">
                  <c:v>391</c:v>
                </c:pt>
                <c:pt idx="1752">
                  <c:v>392</c:v>
                </c:pt>
                <c:pt idx="1753">
                  <c:v>409</c:v>
                </c:pt>
                <c:pt idx="1754">
                  <c:v>435</c:v>
                </c:pt>
                <c:pt idx="1755">
                  <c:v>457</c:v>
                </c:pt>
                <c:pt idx="1756">
                  <c:v>459</c:v>
                </c:pt>
                <c:pt idx="1757">
                  <c:v>437</c:v>
                </c:pt>
                <c:pt idx="1758">
                  <c:v>427</c:v>
                </c:pt>
                <c:pt idx="1759">
                  <c:v>434</c:v>
                </c:pt>
                <c:pt idx="1760">
                  <c:v>440</c:v>
                </c:pt>
                <c:pt idx="1761">
                  <c:v>460</c:v>
                </c:pt>
                <c:pt idx="1762">
                  <c:v>452</c:v>
                </c:pt>
                <c:pt idx="1763">
                  <c:v>447</c:v>
                </c:pt>
                <c:pt idx="1764">
                  <c:v>462</c:v>
                </c:pt>
                <c:pt idx="1765">
                  <c:v>485</c:v>
                </c:pt>
                <c:pt idx="1766">
                  <c:v>489</c:v>
                </c:pt>
                <c:pt idx="1767">
                  <c:v>502</c:v>
                </c:pt>
                <c:pt idx="1768">
                  <c:v>506</c:v>
                </c:pt>
                <c:pt idx="1769">
                  <c:v>513</c:v>
                </c:pt>
                <c:pt idx="1770">
                  <c:v>506</c:v>
                </c:pt>
                <c:pt idx="1771">
                  <c:v>519</c:v>
                </c:pt>
                <c:pt idx="1772">
                  <c:v>521</c:v>
                </c:pt>
                <c:pt idx="1773">
                  <c:v>529</c:v>
                </c:pt>
                <c:pt idx="1774">
                  <c:v>539</c:v>
                </c:pt>
                <c:pt idx="1775">
                  <c:v>535</c:v>
                </c:pt>
                <c:pt idx="1776">
                  <c:v>549</c:v>
                </c:pt>
                <c:pt idx="1777">
                  <c:v>554</c:v>
                </c:pt>
                <c:pt idx="1778">
                  <c:v>554</c:v>
                </c:pt>
                <c:pt idx="1779">
                  <c:v>569</c:v>
                </c:pt>
                <c:pt idx="1780">
                  <c:v>554</c:v>
                </c:pt>
                <c:pt idx="1781">
                  <c:v>547</c:v>
                </c:pt>
                <c:pt idx="1782">
                  <c:v>548</c:v>
                </c:pt>
                <c:pt idx="1783">
                  <c:v>521</c:v>
                </c:pt>
                <c:pt idx="1784">
                  <c:v>523</c:v>
                </c:pt>
                <c:pt idx="1785">
                  <c:v>525</c:v>
                </c:pt>
                <c:pt idx="1786">
                  <c:v>530</c:v>
                </c:pt>
                <c:pt idx="1787">
                  <c:v>513</c:v>
                </c:pt>
                <c:pt idx="1788">
                  <c:v>512</c:v>
                </c:pt>
                <c:pt idx="1789">
                  <c:v>499</c:v>
                </c:pt>
                <c:pt idx="1790">
                  <c:v>503</c:v>
                </c:pt>
                <c:pt idx="1791">
                  <c:v>511</c:v>
                </c:pt>
                <c:pt idx="1792">
                  <c:v>523</c:v>
                </c:pt>
                <c:pt idx="1793">
                  <c:v>514</c:v>
                </c:pt>
                <c:pt idx="1794">
                  <c:v>534</c:v>
                </c:pt>
                <c:pt idx="1795">
                  <c:v>544</c:v>
                </c:pt>
                <c:pt idx="1796">
                  <c:v>533</c:v>
                </c:pt>
                <c:pt idx="1797">
                  <c:v>533</c:v>
                </c:pt>
                <c:pt idx="1798">
                  <c:v>533</c:v>
                </c:pt>
                <c:pt idx="1799">
                  <c:v>512</c:v>
                </c:pt>
                <c:pt idx="1800">
                  <c:v>521</c:v>
                </c:pt>
                <c:pt idx="1801">
                  <c:v>506</c:v>
                </c:pt>
                <c:pt idx="1802">
                  <c:v>506</c:v>
                </c:pt>
                <c:pt idx="1803">
                  <c:v>512</c:v>
                </c:pt>
                <c:pt idx="1804">
                  <c:v>506</c:v>
                </c:pt>
                <c:pt idx="1805">
                  <c:v>505</c:v>
                </c:pt>
                <c:pt idx="1806">
                  <c:v>497</c:v>
                </c:pt>
                <c:pt idx="1807">
                  <c:v>532</c:v>
                </c:pt>
                <c:pt idx="1808">
                  <c:v>523</c:v>
                </c:pt>
                <c:pt idx="1809">
                  <c:v>516</c:v>
                </c:pt>
                <c:pt idx="1810">
                  <c:v>506</c:v>
                </c:pt>
                <c:pt idx="1811">
                  <c:v>520</c:v>
                </c:pt>
                <c:pt idx="1812">
                  <c:v>518</c:v>
                </c:pt>
                <c:pt idx="1813">
                  <c:v>516</c:v>
                </c:pt>
                <c:pt idx="1814">
                  <c:v>521</c:v>
                </c:pt>
                <c:pt idx="1815">
                  <c:v>545</c:v>
                </c:pt>
                <c:pt idx="1816">
                  <c:v>524</c:v>
                </c:pt>
                <c:pt idx="1817">
                  <c:v>498</c:v>
                </c:pt>
                <c:pt idx="1818">
                  <c:v>499</c:v>
                </c:pt>
                <c:pt idx="1819">
                  <c:v>465</c:v>
                </c:pt>
                <c:pt idx="1820">
                  <c:v>484</c:v>
                </c:pt>
                <c:pt idx="1821">
                  <c:v>501</c:v>
                </c:pt>
                <c:pt idx="1822">
                  <c:v>473</c:v>
                </c:pt>
                <c:pt idx="1823">
                  <c:v>458</c:v>
                </c:pt>
                <c:pt idx="1824">
                  <c:v>453</c:v>
                </c:pt>
                <c:pt idx="1825">
                  <c:v>444</c:v>
                </c:pt>
                <c:pt idx="1826">
                  <c:v>435</c:v>
                </c:pt>
                <c:pt idx="1827">
                  <c:v>438</c:v>
                </c:pt>
                <c:pt idx="1828">
                  <c:v>440</c:v>
                </c:pt>
                <c:pt idx="1829">
                  <c:v>436</c:v>
                </c:pt>
                <c:pt idx="1830">
                  <c:v>432</c:v>
                </c:pt>
                <c:pt idx="1831">
                  <c:v>409</c:v>
                </c:pt>
                <c:pt idx="1832">
                  <c:v>411</c:v>
                </c:pt>
                <c:pt idx="1833">
                  <c:v>411</c:v>
                </c:pt>
                <c:pt idx="1834">
                  <c:v>393</c:v>
                </c:pt>
                <c:pt idx="1835">
                  <c:v>397</c:v>
                </c:pt>
                <c:pt idx="1836">
                  <c:v>386</c:v>
                </c:pt>
                <c:pt idx="1837">
                  <c:v>381</c:v>
                </c:pt>
                <c:pt idx="1838">
                  <c:v>395</c:v>
                </c:pt>
                <c:pt idx="1839">
                  <c:v>399</c:v>
                </c:pt>
                <c:pt idx="1840">
                  <c:v>410</c:v>
                </c:pt>
                <c:pt idx="1841">
                  <c:v>415</c:v>
                </c:pt>
                <c:pt idx="1842">
                  <c:v>398</c:v>
                </c:pt>
                <c:pt idx="1843">
                  <c:v>396</c:v>
                </c:pt>
                <c:pt idx="1844">
                  <c:v>396</c:v>
                </c:pt>
                <c:pt idx="1845">
                  <c:v>403</c:v>
                </c:pt>
                <c:pt idx="1846">
                  <c:v>393</c:v>
                </c:pt>
                <c:pt idx="1847">
                  <c:v>387</c:v>
                </c:pt>
                <c:pt idx="1848">
                  <c:v>378</c:v>
                </c:pt>
                <c:pt idx="1849">
                  <c:v>376</c:v>
                </c:pt>
                <c:pt idx="1850">
                  <c:v>394</c:v>
                </c:pt>
                <c:pt idx="1851">
                  <c:v>410</c:v>
                </c:pt>
                <c:pt idx="1852">
                  <c:v>410</c:v>
                </c:pt>
                <c:pt idx="1853">
                  <c:v>414</c:v>
                </c:pt>
                <c:pt idx="1854">
                  <c:v>422</c:v>
                </c:pt>
                <c:pt idx="1855">
                  <c:v>418</c:v>
                </c:pt>
                <c:pt idx="1856">
                  <c:v>423</c:v>
                </c:pt>
                <c:pt idx="1857">
                  <c:v>437</c:v>
                </c:pt>
                <c:pt idx="1858">
                  <c:v>450</c:v>
                </c:pt>
                <c:pt idx="1859">
                  <c:v>454</c:v>
                </c:pt>
                <c:pt idx="1860">
                  <c:v>438</c:v>
                </c:pt>
                <c:pt idx="1861">
                  <c:v>419</c:v>
                </c:pt>
                <c:pt idx="1862">
                  <c:v>408</c:v>
                </c:pt>
                <c:pt idx="1863">
                  <c:v>411</c:v>
                </c:pt>
                <c:pt idx="1864">
                  <c:v>408</c:v>
                </c:pt>
                <c:pt idx="1865">
                  <c:v>383</c:v>
                </c:pt>
                <c:pt idx="1866">
                  <c:v>383</c:v>
                </c:pt>
                <c:pt idx="1867">
                  <c:v>389</c:v>
                </c:pt>
                <c:pt idx="1868">
                  <c:v>405</c:v>
                </c:pt>
                <c:pt idx="1869">
                  <c:v>386</c:v>
                </c:pt>
                <c:pt idx="1870">
                  <c:v>388</c:v>
                </c:pt>
                <c:pt idx="1871">
                  <c:v>406</c:v>
                </c:pt>
                <c:pt idx="1872">
                  <c:v>421</c:v>
                </c:pt>
                <c:pt idx="1873">
                  <c:v>442</c:v>
                </c:pt>
                <c:pt idx="1874">
                  <c:v>485</c:v>
                </c:pt>
                <c:pt idx="1875">
                  <c:v>489</c:v>
                </c:pt>
                <c:pt idx="1876">
                  <c:v>453</c:v>
                </c:pt>
                <c:pt idx="1877">
                  <c:v>450</c:v>
                </c:pt>
                <c:pt idx="1878">
                  <c:v>454</c:v>
                </c:pt>
                <c:pt idx="1879">
                  <c:v>443</c:v>
                </c:pt>
                <c:pt idx="1880">
                  <c:v>422</c:v>
                </c:pt>
                <c:pt idx="1881">
                  <c:v>397</c:v>
                </c:pt>
                <c:pt idx="1882">
                  <c:v>376</c:v>
                </c:pt>
                <c:pt idx="1883">
                  <c:v>374</c:v>
                </c:pt>
                <c:pt idx="1884">
                  <c:v>377</c:v>
                </c:pt>
                <c:pt idx="1885">
                  <c:v>389</c:v>
                </c:pt>
                <c:pt idx="1886">
                  <c:v>390</c:v>
                </c:pt>
                <c:pt idx="1887">
                  <c:v>388</c:v>
                </c:pt>
                <c:pt idx="1888">
                  <c:v>363</c:v>
                </c:pt>
                <c:pt idx="1889">
                  <c:v>372</c:v>
                </c:pt>
                <c:pt idx="1890">
                  <c:v>381</c:v>
                </c:pt>
                <c:pt idx="1891">
                  <c:v>381</c:v>
                </c:pt>
                <c:pt idx="1892">
                  <c:v>365</c:v>
                </c:pt>
                <c:pt idx="1893">
                  <c:v>367</c:v>
                </c:pt>
                <c:pt idx="1894">
                  <c:v>361</c:v>
                </c:pt>
                <c:pt idx="1895">
                  <c:v>340</c:v>
                </c:pt>
                <c:pt idx="1896">
                  <c:v>334</c:v>
                </c:pt>
                <c:pt idx="1897">
                  <c:v>338</c:v>
                </c:pt>
                <c:pt idx="1898">
                  <c:v>358</c:v>
                </c:pt>
                <c:pt idx="1899">
                  <c:v>352</c:v>
                </c:pt>
                <c:pt idx="1900">
                  <c:v>369</c:v>
                </c:pt>
                <c:pt idx="1901">
                  <c:v>351</c:v>
                </c:pt>
                <c:pt idx="1902">
                  <c:v>338</c:v>
                </c:pt>
                <c:pt idx="1903">
                  <c:v>329</c:v>
                </c:pt>
                <c:pt idx="1904">
                  <c:v>316</c:v>
                </c:pt>
                <c:pt idx="1905">
                  <c:v>316</c:v>
                </c:pt>
                <c:pt idx="1906">
                  <c:v>318</c:v>
                </c:pt>
                <c:pt idx="1907">
                  <c:v>322</c:v>
                </c:pt>
                <c:pt idx="1908">
                  <c:v>323</c:v>
                </c:pt>
                <c:pt idx="1909">
                  <c:v>342</c:v>
                </c:pt>
                <c:pt idx="1910">
                  <c:v>335</c:v>
                </c:pt>
                <c:pt idx="1911">
                  <c:v>343</c:v>
                </c:pt>
                <c:pt idx="1912">
                  <c:v>341</c:v>
                </c:pt>
                <c:pt idx="1913">
                  <c:v>317</c:v>
                </c:pt>
                <c:pt idx="1914">
                  <c:v>322</c:v>
                </c:pt>
                <c:pt idx="1915">
                  <c:v>323</c:v>
                </c:pt>
                <c:pt idx="1916">
                  <c:v>315</c:v>
                </c:pt>
                <c:pt idx="1917">
                  <c:v>339</c:v>
                </c:pt>
                <c:pt idx="1918">
                  <c:v>340</c:v>
                </c:pt>
                <c:pt idx="1919">
                  <c:v>350</c:v>
                </c:pt>
                <c:pt idx="1920">
                  <c:v>360</c:v>
                </c:pt>
                <c:pt idx="1921">
                  <c:v>353</c:v>
                </c:pt>
                <c:pt idx="1922">
                  <c:v>344</c:v>
                </c:pt>
                <c:pt idx="1923">
                  <c:v>328</c:v>
                </c:pt>
                <c:pt idx="1924">
                  <c:v>320</c:v>
                </c:pt>
                <c:pt idx="1925">
                  <c:v>318</c:v>
                </c:pt>
                <c:pt idx="1926">
                  <c:v>311</c:v>
                </c:pt>
                <c:pt idx="1927">
                  <c:v>306</c:v>
                </c:pt>
                <c:pt idx="1928">
                  <c:v>306</c:v>
                </c:pt>
                <c:pt idx="1929">
                  <c:v>297</c:v>
                </c:pt>
                <c:pt idx="1930">
                  <c:v>296</c:v>
                </c:pt>
                <c:pt idx="1931">
                  <c:v>297</c:v>
                </c:pt>
                <c:pt idx="1932">
                  <c:v>307</c:v>
                </c:pt>
                <c:pt idx="1933">
                  <c:v>312</c:v>
                </c:pt>
                <c:pt idx="1934">
                  <c:v>309</c:v>
                </c:pt>
                <c:pt idx="1935">
                  <c:v>304</c:v>
                </c:pt>
                <c:pt idx="1936">
                  <c:v>295</c:v>
                </c:pt>
                <c:pt idx="1937">
                  <c:v>295</c:v>
                </c:pt>
                <c:pt idx="1938">
                  <c:v>299</c:v>
                </c:pt>
                <c:pt idx="1939">
                  <c:v>304</c:v>
                </c:pt>
                <c:pt idx="1940">
                  <c:v>310</c:v>
                </c:pt>
                <c:pt idx="1941">
                  <c:v>296</c:v>
                </c:pt>
                <c:pt idx="1942">
                  <c:v>298</c:v>
                </c:pt>
                <c:pt idx="1943">
                  <c:v>292</c:v>
                </c:pt>
                <c:pt idx="1944">
                  <c:v>288</c:v>
                </c:pt>
                <c:pt idx="1945">
                  <c:v>292</c:v>
                </c:pt>
                <c:pt idx="1946">
                  <c:v>292</c:v>
                </c:pt>
                <c:pt idx="1947">
                  <c:v>283</c:v>
                </c:pt>
                <c:pt idx="1948">
                  <c:v>298</c:v>
                </c:pt>
                <c:pt idx="1949">
                  <c:v>297</c:v>
                </c:pt>
                <c:pt idx="1950">
                  <c:v>292</c:v>
                </c:pt>
                <c:pt idx="1951">
                  <c:v>287</c:v>
                </c:pt>
                <c:pt idx="1952">
                  <c:v>288</c:v>
                </c:pt>
                <c:pt idx="1953">
                  <c:v>291</c:v>
                </c:pt>
                <c:pt idx="1954">
                  <c:v>290</c:v>
                </c:pt>
                <c:pt idx="1955">
                  <c:v>288</c:v>
                </c:pt>
                <c:pt idx="1956">
                  <c:v>287</c:v>
                </c:pt>
                <c:pt idx="1957">
                  <c:v>288</c:v>
                </c:pt>
                <c:pt idx="1958">
                  <c:v>283</c:v>
                </c:pt>
                <c:pt idx="1959">
                  <c:v>284</c:v>
                </c:pt>
                <c:pt idx="1960">
                  <c:v>292</c:v>
                </c:pt>
                <c:pt idx="1961">
                  <c:v>294</c:v>
                </c:pt>
                <c:pt idx="1962">
                  <c:v>287</c:v>
                </c:pt>
                <c:pt idx="1963">
                  <c:v>285</c:v>
                </c:pt>
                <c:pt idx="1964">
                  <c:v>281</c:v>
                </c:pt>
                <c:pt idx="1965">
                  <c:v>268</c:v>
                </c:pt>
                <c:pt idx="1966">
                  <c:v>268</c:v>
                </c:pt>
                <c:pt idx="1967">
                  <c:v>269</c:v>
                </c:pt>
                <c:pt idx="1968">
                  <c:v>270</c:v>
                </c:pt>
                <c:pt idx="1969">
                  <c:v>274</c:v>
                </c:pt>
                <c:pt idx="1970">
                  <c:v>275</c:v>
                </c:pt>
                <c:pt idx="1971">
                  <c:v>285</c:v>
                </c:pt>
                <c:pt idx="1972">
                  <c:v>282</c:v>
                </c:pt>
                <c:pt idx="1973">
                  <c:v>279</c:v>
                </c:pt>
                <c:pt idx="1974">
                  <c:v>283</c:v>
                </c:pt>
                <c:pt idx="1975">
                  <c:v>275</c:v>
                </c:pt>
                <c:pt idx="1976">
                  <c:v>274</c:v>
                </c:pt>
                <c:pt idx="1977">
                  <c:v>281</c:v>
                </c:pt>
                <c:pt idx="1978">
                  <c:v>277</c:v>
                </c:pt>
                <c:pt idx="1979">
                  <c:v>284</c:v>
                </c:pt>
                <c:pt idx="1980">
                  <c:v>292</c:v>
                </c:pt>
                <c:pt idx="1981">
                  <c:v>296</c:v>
                </c:pt>
                <c:pt idx="1982">
                  <c:v>295</c:v>
                </c:pt>
                <c:pt idx="1983">
                  <c:v>282</c:v>
                </c:pt>
                <c:pt idx="1984">
                  <c:v>281</c:v>
                </c:pt>
                <c:pt idx="1985">
                  <c:v>283</c:v>
                </c:pt>
                <c:pt idx="1986">
                  <c:v>280</c:v>
                </c:pt>
                <c:pt idx="1987">
                  <c:v>276</c:v>
                </c:pt>
                <c:pt idx="1988">
                  <c:v>278</c:v>
                </c:pt>
                <c:pt idx="1989">
                  <c:v>288</c:v>
                </c:pt>
                <c:pt idx="1990">
                  <c:v>296</c:v>
                </c:pt>
                <c:pt idx="1991">
                  <c:v>310</c:v>
                </c:pt>
                <c:pt idx="1992">
                  <c:v>300</c:v>
                </c:pt>
                <c:pt idx="1993">
                  <c:v>293</c:v>
                </c:pt>
                <c:pt idx="1994">
                  <c:v>289</c:v>
                </c:pt>
                <c:pt idx="1995">
                  <c:v>291</c:v>
                </c:pt>
                <c:pt idx="1996">
                  <c:v>287</c:v>
                </c:pt>
                <c:pt idx="1997">
                  <c:v>283</c:v>
                </c:pt>
                <c:pt idx="1998">
                  <c:v>287</c:v>
                </c:pt>
                <c:pt idx="1999">
                  <c:v>301</c:v>
                </c:pt>
                <c:pt idx="2000">
                  <c:v>302</c:v>
                </c:pt>
                <c:pt idx="2001">
                  <c:v>312</c:v>
                </c:pt>
                <c:pt idx="2002">
                  <c:v>309</c:v>
                </c:pt>
                <c:pt idx="2003">
                  <c:v>317</c:v>
                </c:pt>
                <c:pt idx="2004">
                  <c:v>322</c:v>
                </c:pt>
                <c:pt idx="2005">
                  <c:v>318</c:v>
                </c:pt>
                <c:pt idx="2006">
                  <c:v>324</c:v>
                </c:pt>
                <c:pt idx="2007">
                  <c:v>319</c:v>
                </c:pt>
                <c:pt idx="2008">
                  <c:v>324</c:v>
                </c:pt>
                <c:pt idx="2009">
                  <c:v>328</c:v>
                </c:pt>
                <c:pt idx="2010">
                  <c:v>333</c:v>
                </c:pt>
                <c:pt idx="2011">
                  <c:v>344</c:v>
                </c:pt>
                <c:pt idx="2012">
                  <c:v>351</c:v>
                </c:pt>
                <c:pt idx="2013">
                  <c:v>360</c:v>
                </c:pt>
                <c:pt idx="2014">
                  <c:v>361</c:v>
                </c:pt>
                <c:pt idx="2015">
                  <c:v>344</c:v>
                </c:pt>
                <c:pt idx="2016">
                  <c:v>344</c:v>
                </c:pt>
                <c:pt idx="2017">
                  <c:v>324</c:v>
                </c:pt>
                <c:pt idx="2018">
                  <c:v>333</c:v>
                </c:pt>
                <c:pt idx="2019">
                  <c:v>328</c:v>
                </c:pt>
                <c:pt idx="2020">
                  <c:v>327</c:v>
                </c:pt>
                <c:pt idx="2021">
                  <c:v>308</c:v>
                </c:pt>
                <c:pt idx="2022">
                  <c:v>307</c:v>
                </c:pt>
                <c:pt idx="2023">
                  <c:v>307</c:v>
                </c:pt>
                <c:pt idx="2024">
                  <c:v>303</c:v>
                </c:pt>
                <c:pt idx="2025">
                  <c:v>310</c:v>
                </c:pt>
                <c:pt idx="2026">
                  <c:v>322</c:v>
                </c:pt>
                <c:pt idx="2027">
                  <c:v>329</c:v>
                </c:pt>
                <c:pt idx="2028">
                  <c:v>322</c:v>
                </c:pt>
                <c:pt idx="2029">
                  <c:v>314</c:v>
                </c:pt>
                <c:pt idx="2030">
                  <c:v>314</c:v>
                </c:pt>
                <c:pt idx="2031">
                  <c:v>306</c:v>
                </c:pt>
                <c:pt idx="2032">
                  <c:v>297</c:v>
                </c:pt>
                <c:pt idx="2033">
                  <c:v>304</c:v>
                </c:pt>
                <c:pt idx="2034">
                  <c:v>301</c:v>
                </c:pt>
                <c:pt idx="2035">
                  <c:v>305</c:v>
                </c:pt>
                <c:pt idx="2036">
                  <c:v>305</c:v>
                </c:pt>
                <c:pt idx="2037">
                  <c:v>313</c:v>
                </c:pt>
                <c:pt idx="2038">
                  <c:v>312</c:v>
                </c:pt>
                <c:pt idx="2039">
                  <c:v>300</c:v>
                </c:pt>
                <c:pt idx="2040">
                  <c:v>296</c:v>
                </c:pt>
                <c:pt idx="2041">
                  <c:v>297</c:v>
                </c:pt>
                <c:pt idx="2042">
                  <c:v>300</c:v>
                </c:pt>
                <c:pt idx="2043">
                  <c:v>307</c:v>
                </c:pt>
                <c:pt idx="2044">
                  <c:v>311</c:v>
                </c:pt>
                <c:pt idx="2045">
                  <c:v>324</c:v>
                </c:pt>
                <c:pt idx="2046">
                  <c:v>324</c:v>
                </c:pt>
                <c:pt idx="2047">
                  <c:v>294</c:v>
                </c:pt>
                <c:pt idx="2048">
                  <c:v>297</c:v>
                </c:pt>
                <c:pt idx="2049">
                  <c:v>284</c:v>
                </c:pt>
                <c:pt idx="2050">
                  <c:v>286</c:v>
                </c:pt>
                <c:pt idx="2051">
                  <c:v>283</c:v>
                </c:pt>
                <c:pt idx="2052">
                  <c:v>286</c:v>
                </c:pt>
                <c:pt idx="2053">
                  <c:v>288</c:v>
                </c:pt>
                <c:pt idx="2054">
                  <c:v>290</c:v>
                </c:pt>
                <c:pt idx="2055">
                  <c:v>294</c:v>
                </c:pt>
                <c:pt idx="2056">
                  <c:v>294</c:v>
                </c:pt>
                <c:pt idx="2057">
                  <c:v>294</c:v>
                </c:pt>
                <c:pt idx="2058">
                  <c:v>289</c:v>
                </c:pt>
                <c:pt idx="2059">
                  <c:v>292</c:v>
                </c:pt>
                <c:pt idx="2060">
                  <c:v>293</c:v>
                </c:pt>
                <c:pt idx="2061">
                  <c:v>281</c:v>
                </c:pt>
                <c:pt idx="2062">
                  <c:v>278</c:v>
                </c:pt>
                <c:pt idx="2063">
                  <c:v>284</c:v>
                </c:pt>
                <c:pt idx="2064">
                  <c:v>287</c:v>
                </c:pt>
                <c:pt idx="2065">
                  <c:v>281</c:v>
                </c:pt>
                <c:pt idx="2066">
                  <c:v>264</c:v>
                </c:pt>
                <c:pt idx="2067">
                  <c:v>259</c:v>
                </c:pt>
                <c:pt idx="2068">
                  <c:v>261</c:v>
                </c:pt>
                <c:pt idx="2069">
                  <c:v>257</c:v>
                </c:pt>
                <c:pt idx="2070">
                  <c:v>256</c:v>
                </c:pt>
                <c:pt idx="2071">
                  <c:v>254</c:v>
                </c:pt>
                <c:pt idx="2072">
                  <c:v>250</c:v>
                </c:pt>
                <c:pt idx="2073">
                  <c:v>263</c:v>
                </c:pt>
                <c:pt idx="2074">
                  <c:v>266</c:v>
                </c:pt>
                <c:pt idx="2075">
                  <c:v>283</c:v>
                </c:pt>
                <c:pt idx="2076">
                  <c:v>284</c:v>
                </c:pt>
                <c:pt idx="2077">
                  <c:v>318</c:v>
                </c:pt>
                <c:pt idx="2078">
                  <c:v>312</c:v>
                </c:pt>
                <c:pt idx="2079">
                  <c:v>301</c:v>
                </c:pt>
                <c:pt idx="2080">
                  <c:v>273</c:v>
                </c:pt>
                <c:pt idx="2081">
                  <c:v>280</c:v>
                </c:pt>
                <c:pt idx="2082">
                  <c:v>266</c:v>
                </c:pt>
                <c:pt idx="2083">
                  <c:v>255</c:v>
                </c:pt>
                <c:pt idx="2084">
                  <c:v>243</c:v>
                </c:pt>
                <c:pt idx="2085">
                  <c:v>238</c:v>
                </c:pt>
                <c:pt idx="2086">
                  <c:v>233</c:v>
                </c:pt>
                <c:pt idx="2087">
                  <c:v>238</c:v>
                </c:pt>
                <c:pt idx="2088">
                  <c:v>244</c:v>
                </c:pt>
                <c:pt idx="2089">
                  <c:v>238</c:v>
                </c:pt>
                <c:pt idx="2090">
                  <c:v>238</c:v>
                </c:pt>
                <c:pt idx="2091">
                  <c:v>238</c:v>
                </c:pt>
                <c:pt idx="2092">
                  <c:v>245</c:v>
                </c:pt>
                <c:pt idx="2093">
                  <c:v>241</c:v>
                </c:pt>
                <c:pt idx="2094">
                  <c:v>237</c:v>
                </c:pt>
                <c:pt idx="2095">
                  <c:v>252</c:v>
                </c:pt>
                <c:pt idx="2096">
                  <c:v>255</c:v>
                </c:pt>
                <c:pt idx="2097">
                  <c:v>264</c:v>
                </c:pt>
                <c:pt idx="2098">
                  <c:v>264</c:v>
                </c:pt>
                <c:pt idx="2099">
                  <c:v>263</c:v>
                </c:pt>
                <c:pt idx="2100">
                  <c:v>250</c:v>
                </c:pt>
                <c:pt idx="2101">
                  <c:v>249</c:v>
                </c:pt>
                <c:pt idx="2102">
                  <c:v>249</c:v>
                </c:pt>
                <c:pt idx="2103">
                  <c:v>249</c:v>
                </c:pt>
                <c:pt idx="2104">
                  <c:v>252</c:v>
                </c:pt>
                <c:pt idx="2105">
                  <c:v>243</c:v>
                </c:pt>
                <c:pt idx="2106">
                  <c:v>242</c:v>
                </c:pt>
                <c:pt idx="2107">
                  <c:v>244</c:v>
                </c:pt>
                <c:pt idx="2108">
                  <c:v>237</c:v>
                </c:pt>
                <c:pt idx="2109">
                  <c:v>233</c:v>
                </c:pt>
                <c:pt idx="2110">
                  <c:v>233</c:v>
                </c:pt>
                <c:pt idx="2111">
                  <c:v>236</c:v>
                </c:pt>
                <c:pt idx="2112">
                  <c:v>239</c:v>
                </c:pt>
                <c:pt idx="2113">
                  <c:v>245</c:v>
                </c:pt>
                <c:pt idx="2114">
                  <c:v>243</c:v>
                </c:pt>
                <c:pt idx="2115">
                  <c:v>243</c:v>
                </c:pt>
                <c:pt idx="2116">
                  <c:v>243</c:v>
                </c:pt>
                <c:pt idx="2117">
                  <c:v>244</c:v>
                </c:pt>
                <c:pt idx="2118">
                  <c:v>241</c:v>
                </c:pt>
                <c:pt idx="2119">
                  <c:v>239</c:v>
                </c:pt>
                <c:pt idx="2120">
                  <c:v>245</c:v>
                </c:pt>
                <c:pt idx="2121">
                  <c:v>244</c:v>
                </c:pt>
                <c:pt idx="2122">
                  <c:v>245</c:v>
                </c:pt>
                <c:pt idx="2123">
                  <c:v>236</c:v>
                </c:pt>
                <c:pt idx="2124">
                  <c:v>236</c:v>
                </c:pt>
                <c:pt idx="2125">
                  <c:v>232</c:v>
                </c:pt>
                <c:pt idx="2126">
                  <c:v>239</c:v>
                </c:pt>
                <c:pt idx="2127">
                  <c:v>240</c:v>
                </c:pt>
                <c:pt idx="2128">
                  <c:v>237</c:v>
                </c:pt>
                <c:pt idx="2129">
                  <c:v>239</c:v>
                </c:pt>
                <c:pt idx="2130">
                  <c:v>240</c:v>
                </c:pt>
                <c:pt idx="2131">
                  <c:v>246</c:v>
                </c:pt>
                <c:pt idx="2132">
                  <c:v>239</c:v>
                </c:pt>
                <c:pt idx="2133">
                  <c:v>243</c:v>
                </c:pt>
                <c:pt idx="2134">
                  <c:v>230</c:v>
                </c:pt>
                <c:pt idx="2135">
                  <c:v>228</c:v>
                </c:pt>
                <c:pt idx="2136">
                  <c:v>218</c:v>
                </c:pt>
                <c:pt idx="2137">
                  <c:v>220</c:v>
                </c:pt>
                <c:pt idx="2138">
                  <c:v>219</c:v>
                </c:pt>
                <c:pt idx="2139">
                  <c:v>212</c:v>
                </c:pt>
                <c:pt idx="2140">
                  <c:v>210</c:v>
                </c:pt>
                <c:pt idx="2141">
                  <c:v>209</c:v>
                </c:pt>
                <c:pt idx="2142">
                  <c:v>218</c:v>
                </c:pt>
                <c:pt idx="2143">
                  <c:v>219</c:v>
                </c:pt>
                <c:pt idx="2144">
                  <c:v>214</c:v>
                </c:pt>
                <c:pt idx="2145">
                  <c:v>209</c:v>
                </c:pt>
                <c:pt idx="2146">
                  <c:v>208</c:v>
                </c:pt>
                <c:pt idx="2147">
                  <c:v>210</c:v>
                </c:pt>
                <c:pt idx="2148">
                  <c:v>200</c:v>
                </c:pt>
                <c:pt idx="2149">
                  <c:v>200</c:v>
                </c:pt>
                <c:pt idx="2150">
                  <c:v>203</c:v>
                </c:pt>
                <c:pt idx="2151">
                  <c:v>201</c:v>
                </c:pt>
                <c:pt idx="2152">
                  <c:v>203</c:v>
                </c:pt>
                <c:pt idx="2153">
                  <c:v>205</c:v>
                </c:pt>
                <c:pt idx="2154">
                  <c:v>205</c:v>
                </c:pt>
                <c:pt idx="2155">
                  <c:v>204</c:v>
                </c:pt>
                <c:pt idx="2156">
                  <c:v>205</c:v>
                </c:pt>
                <c:pt idx="2157">
                  <c:v>209</c:v>
                </c:pt>
                <c:pt idx="2158">
                  <c:v>212</c:v>
                </c:pt>
                <c:pt idx="2159">
                  <c:v>212</c:v>
                </c:pt>
                <c:pt idx="2160">
                  <c:v>211</c:v>
                </c:pt>
                <c:pt idx="2161">
                  <c:v>213</c:v>
                </c:pt>
                <c:pt idx="2162">
                  <c:v>215</c:v>
                </c:pt>
                <c:pt idx="2163">
                  <c:v>218</c:v>
                </c:pt>
                <c:pt idx="2164">
                  <c:v>222</c:v>
                </c:pt>
                <c:pt idx="2165">
                  <c:v>221</c:v>
                </c:pt>
                <c:pt idx="2166">
                  <c:v>227</c:v>
                </c:pt>
                <c:pt idx="2167">
                  <c:v>228</c:v>
                </c:pt>
                <c:pt idx="2168">
                  <c:v>231</c:v>
                </c:pt>
                <c:pt idx="2169">
                  <c:v>233</c:v>
                </c:pt>
                <c:pt idx="2170">
                  <c:v>234</c:v>
                </c:pt>
                <c:pt idx="2171">
                  <c:v>230</c:v>
                </c:pt>
                <c:pt idx="2172">
                  <c:v>231</c:v>
                </c:pt>
                <c:pt idx="2173">
                  <c:v>224</c:v>
                </c:pt>
                <c:pt idx="2174">
                  <c:v>225</c:v>
                </c:pt>
                <c:pt idx="2175">
                  <c:v>212</c:v>
                </c:pt>
                <c:pt idx="2176">
                  <c:v>206</c:v>
                </c:pt>
                <c:pt idx="2177">
                  <c:v>215</c:v>
                </c:pt>
                <c:pt idx="2178">
                  <c:v>210</c:v>
                </c:pt>
                <c:pt idx="2179">
                  <c:v>209</c:v>
                </c:pt>
                <c:pt idx="2180">
                  <c:v>203</c:v>
                </c:pt>
                <c:pt idx="2181">
                  <c:v>203</c:v>
                </c:pt>
                <c:pt idx="2182">
                  <c:v>207</c:v>
                </c:pt>
                <c:pt idx="2183">
                  <c:v>208</c:v>
                </c:pt>
                <c:pt idx="2184">
                  <c:v>209</c:v>
                </c:pt>
                <c:pt idx="2185">
                  <c:v>219</c:v>
                </c:pt>
                <c:pt idx="2186">
                  <c:v>214</c:v>
                </c:pt>
                <c:pt idx="2187">
                  <c:v>214</c:v>
                </c:pt>
                <c:pt idx="2188">
                  <c:v>213</c:v>
                </c:pt>
                <c:pt idx="2189">
                  <c:v>215</c:v>
                </c:pt>
                <c:pt idx="2190">
                  <c:v>214</c:v>
                </c:pt>
                <c:pt idx="2191">
                  <c:v>212</c:v>
                </c:pt>
                <c:pt idx="2192">
                  <c:v>208</c:v>
                </c:pt>
                <c:pt idx="2193">
                  <c:v>206</c:v>
                </c:pt>
                <c:pt idx="2194">
                  <c:v>206</c:v>
                </c:pt>
                <c:pt idx="2195">
                  <c:v>206</c:v>
                </c:pt>
                <c:pt idx="2196">
                  <c:v>207</c:v>
                </c:pt>
                <c:pt idx="2197">
                  <c:v>206</c:v>
                </c:pt>
                <c:pt idx="2198">
                  <c:v>208</c:v>
                </c:pt>
                <c:pt idx="2199">
                  <c:v>205</c:v>
                </c:pt>
                <c:pt idx="2200">
                  <c:v>203</c:v>
                </c:pt>
                <c:pt idx="2201">
                  <c:v>203</c:v>
                </c:pt>
                <c:pt idx="2202">
                  <c:v>207</c:v>
                </c:pt>
                <c:pt idx="2203">
                  <c:v>208</c:v>
                </c:pt>
                <c:pt idx="2204">
                  <c:v>209</c:v>
                </c:pt>
                <c:pt idx="2205">
                  <c:v>208</c:v>
                </c:pt>
                <c:pt idx="2206">
                  <c:v>206</c:v>
                </c:pt>
                <c:pt idx="2207">
                  <c:v>207</c:v>
                </c:pt>
                <c:pt idx="2208">
                  <c:v>208</c:v>
                </c:pt>
                <c:pt idx="2209">
                  <c:v>204</c:v>
                </c:pt>
                <c:pt idx="2210">
                  <c:v>211</c:v>
                </c:pt>
                <c:pt idx="2211">
                  <c:v>212</c:v>
                </c:pt>
                <c:pt idx="2212">
                  <c:v>201</c:v>
                </c:pt>
                <c:pt idx="2213">
                  <c:v>197</c:v>
                </c:pt>
                <c:pt idx="2214">
                  <c:v>198</c:v>
                </c:pt>
                <c:pt idx="2215">
                  <c:v>207</c:v>
                </c:pt>
                <c:pt idx="2216">
                  <c:v>210</c:v>
                </c:pt>
                <c:pt idx="2217">
                  <c:v>207</c:v>
                </c:pt>
                <c:pt idx="2218">
                  <c:v>208</c:v>
                </c:pt>
                <c:pt idx="2219">
                  <c:v>208</c:v>
                </c:pt>
                <c:pt idx="2220">
                  <c:v>206</c:v>
                </c:pt>
                <c:pt idx="2221">
                  <c:v>212</c:v>
                </c:pt>
                <c:pt idx="2222">
                  <c:v>216</c:v>
                </c:pt>
                <c:pt idx="2223">
                  <c:v>214</c:v>
                </c:pt>
                <c:pt idx="2224">
                  <c:v>214</c:v>
                </c:pt>
                <c:pt idx="2225">
                  <c:v>215</c:v>
                </c:pt>
                <c:pt idx="2226">
                  <c:v>212</c:v>
                </c:pt>
                <c:pt idx="2227">
                  <c:v>216</c:v>
                </c:pt>
                <c:pt idx="2228">
                  <c:v>210</c:v>
                </c:pt>
                <c:pt idx="2229">
                  <c:v>212</c:v>
                </c:pt>
                <c:pt idx="2230">
                  <c:v>214</c:v>
                </c:pt>
                <c:pt idx="2231">
                  <c:v>207</c:v>
                </c:pt>
                <c:pt idx="2232">
                  <c:v>205</c:v>
                </c:pt>
                <c:pt idx="2233">
                  <c:v>205</c:v>
                </c:pt>
                <c:pt idx="2234">
                  <c:v>205</c:v>
                </c:pt>
                <c:pt idx="2235">
                  <c:v>202</c:v>
                </c:pt>
                <c:pt idx="2236">
                  <c:v>204</c:v>
                </c:pt>
                <c:pt idx="2237">
                  <c:v>204</c:v>
                </c:pt>
                <c:pt idx="2238">
                  <c:v>207</c:v>
                </c:pt>
                <c:pt idx="2239">
                  <c:v>207</c:v>
                </c:pt>
                <c:pt idx="2240">
                  <c:v>209</c:v>
                </c:pt>
                <c:pt idx="2241">
                  <c:v>211</c:v>
                </c:pt>
                <c:pt idx="2242">
                  <c:v>214</c:v>
                </c:pt>
                <c:pt idx="2243">
                  <c:v>219</c:v>
                </c:pt>
                <c:pt idx="2244">
                  <c:v>222</c:v>
                </c:pt>
                <c:pt idx="2245">
                  <c:v>220</c:v>
                </c:pt>
                <c:pt idx="2246">
                  <c:v>219</c:v>
                </c:pt>
                <c:pt idx="2247">
                  <c:v>215</c:v>
                </c:pt>
                <c:pt idx="2248">
                  <c:v>213</c:v>
                </c:pt>
                <c:pt idx="2249">
                  <c:v>212</c:v>
                </c:pt>
                <c:pt idx="2250">
                  <c:v>221</c:v>
                </c:pt>
                <c:pt idx="2251">
                  <c:v>224</c:v>
                </c:pt>
                <c:pt idx="2252">
                  <c:v>223</c:v>
                </c:pt>
                <c:pt idx="2253">
                  <c:v>222</c:v>
                </c:pt>
                <c:pt idx="2254">
                  <c:v>220</c:v>
                </c:pt>
                <c:pt idx="2255">
                  <c:v>222</c:v>
                </c:pt>
                <c:pt idx="2256">
                  <c:v>221</c:v>
                </c:pt>
                <c:pt idx="2257">
                  <c:v>222</c:v>
                </c:pt>
                <c:pt idx="2258">
                  <c:v>221</c:v>
                </c:pt>
                <c:pt idx="2259">
                  <c:v>223</c:v>
                </c:pt>
                <c:pt idx="2260">
                  <c:v>223</c:v>
                </c:pt>
                <c:pt idx="2261">
                  <c:v>222</c:v>
                </c:pt>
                <c:pt idx="2262">
                  <c:v>228</c:v>
                </c:pt>
                <c:pt idx="2263">
                  <c:v>227</c:v>
                </c:pt>
                <c:pt idx="2264">
                  <c:v>224</c:v>
                </c:pt>
                <c:pt idx="2265">
                  <c:v>223</c:v>
                </c:pt>
                <c:pt idx="2266">
                  <c:v>230</c:v>
                </c:pt>
                <c:pt idx="2267">
                  <c:v>237</c:v>
                </c:pt>
                <c:pt idx="2268">
                  <c:v>234</c:v>
                </c:pt>
                <c:pt idx="2269">
                  <c:v>236</c:v>
                </c:pt>
                <c:pt idx="2270">
                  <c:v>232</c:v>
                </c:pt>
                <c:pt idx="2271">
                  <c:v>234</c:v>
                </c:pt>
                <c:pt idx="2272">
                  <c:v>240</c:v>
                </c:pt>
                <c:pt idx="2273">
                  <c:v>245</c:v>
                </c:pt>
                <c:pt idx="2274">
                  <c:v>245</c:v>
                </c:pt>
                <c:pt idx="2275">
                  <c:v>238</c:v>
                </c:pt>
                <c:pt idx="2276">
                  <c:v>237</c:v>
                </c:pt>
                <c:pt idx="2277">
                  <c:v>232</c:v>
                </c:pt>
                <c:pt idx="2278">
                  <c:v>230</c:v>
                </c:pt>
                <c:pt idx="2279">
                  <c:v>226</c:v>
                </c:pt>
                <c:pt idx="2280">
                  <c:v>229</c:v>
                </c:pt>
                <c:pt idx="2281">
                  <c:v>238</c:v>
                </c:pt>
                <c:pt idx="2282">
                  <c:v>251</c:v>
                </c:pt>
                <c:pt idx="2283">
                  <c:v>245</c:v>
                </c:pt>
                <c:pt idx="2284">
                  <c:v>247</c:v>
                </c:pt>
                <c:pt idx="2285">
                  <c:v>249</c:v>
                </c:pt>
                <c:pt idx="2286">
                  <c:v>244</c:v>
                </c:pt>
                <c:pt idx="2287">
                  <c:v>239</c:v>
                </c:pt>
                <c:pt idx="2288">
                  <c:v>246</c:v>
                </c:pt>
                <c:pt idx="2289">
                  <c:v>249</c:v>
                </c:pt>
                <c:pt idx="2290">
                  <c:v>251</c:v>
                </c:pt>
                <c:pt idx="2291">
                  <c:v>259</c:v>
                </c:pt>
                <c:pt idx="2292">
                  <c:v>256</c:v>
                </c:pt>
                <c:pt idx="2293">
                  <c:v>256</c:v>
                </c:pt>
                <c:pt idx="2294">
                  <c:v>257</c:v>
                </c:pt>
                <c:pt idx="2295">
                  <c:v>255</c:v>
                </c:pt>
                <c:pt idx="2296">
                  <c:v>255</c:v>
                </c:pt>
                <c:pt idx="2297">
                  <c:v>256</c:v>
                </c:pt>
                <c:pt idx="2298">
                  <c:v>252</c:v>
                </c:pt>
                <c:pt idx="2299">
                  <c:v>254</c:v>
                </c:pt>
                <c:pt idx="2300">
                  <c:v>260</c:v>
                </c:pt>
                <c:pt idx="2301">
                  <c:v>268</c:v>
                </c:pt>
                <c:pt idx="2302">
                  <c:v>278</c:v>
                </c:pt>
                <c:pt idx="2303">
                  <c:v>272</c:v>
                </c:pt>
                <c:pt idx="2304">
                  <c:v>273</c:v>
                </c:pt>
                <c:pt idx="2305">
                  <c:v>273</c:v>
                </c:pt>
                <c:pt idx="2306">
                  <c:v>264</c:v>
                </c:pt>
                <c:pt idx="2307">
                  <c:v>264</c:v>
                </c:pt>
                <c:pt idx="2308">
                  <c:v>264</c:v>
                </c:pt>
                <c:pt idx="2309">
                  <c:v>261</c:v>
                </c:pt>
                <c:pt idx="2310">
                  <c:v>252</c:v>
                </c:pt>
                <c:pt idx="2311">
                  <c:v>248</c:v>
                </c:pt>
                <c:pt idx="2312">
                  <c:v>248</c:v>
                </c:pt>
                <c:pt idx="2313">
                  <c:v>248</c:v>
                </c:pt>
                <c:pt idx="2314">
                  <c:v>246</c:v>
                </c:pt>
                <c:pt idx="2315">
                  <c:v>243</c:v>
                </c:pt>
                <c:pt idx="2316">
                  <c:v>248</c:v>
                </c:pt>
                <c:pt idx="2317">
                  <c:v>251</c:v>
                </c:pt>
                <c:pt idx="2318">
                  <c:v>249</c:v>
                </c:pt>
                <c:pt idx="2319">
                  <c:v>245</c:v>
                </c:pt>
                <c:pt idx="2320">
                  <c:v>248</c:v>
                </c:pt>
                <c:pt idx="2321">
                  <c:v>245</c:v>
                </c:pt>
                <c:pt idx="2322">
                  <c:v>236</c:v>
                </c:pt>
                <c:pt idx="2323">
                  <c:v>229</c:v>
                </c:pt>
                <c:pt idx="2324">
                  <c:v>230</c:v>
                </c:pt>
                <c:pt idx="2325">
                  <c:v>224</c:v>
                </c:pt>
                <c:pt idx="2326">
                  <c:v>228</c:v>
                </c:pt>
                <c:pt idx="2327">
                  <c:v>226</c:v>
                </c:pt>
                <c:pt idx="2328">
                  <c:v>222</c:v>
                </c:pt>
                <c:pt idx="2329">
                  <c:v>223</c:v>
                </c:pt>
                <c:pt idx="2330">
                  <c:v>229</c:v>
                </c:pt>
                <c:pt idx="2331">
                  <c:v>232</c:v>
                </c:pt>
                <c:pt idx="2332">
                  <c:v>230</c:v>
                </c:pt>
                <c:pt idx="2333">
                  <c:v>235</c:v>
                </c:pt>
                <c:pt idx="2334">
                  <c:v>238</c:v>
                </c:pt>
                <c:pt idx="2335">
                  <c:v>232</c:v>
                </c:pt>
                <c:pt idx="2336">
                  <c:v>234</c:v>
                </c:pt>
                <c:pt idx="2337">
                  <c:v>235</c:v>
                </c:pt>
                <c:pt idx="2338">
                  <c:v>243</c:v>
                </c:pt>
                <c:pt idx="2339">
                  <c:v>247</c:v>
                </c:pt>
                <c:pt idx="2340">
                  <c:v>246</c:v>
                </c:pt>
                <c:pt idx="2341">
                  <c:v>246</c:v>
                </c:pt>
                <c:pt idx="2342">
                  <c:v>255</c:v>
                </c:pt>
                <c:pt idx="2343">
                  <c:v>257</c:v>
                </c:pt>
                <c:pt idx="2344">
                  <c:v>259</c:v>
                </c:pt>
                <c:pt idx="2345">
                  <c:v>255</c:v>
                </c:pt>
                <c:pt idx="2346">
                  <c:v>247</c:v>
                </c:pt>
                <c:pt idx="2347">
                  <c:v>247</c:v>
                </c:pt>
                <c:pt idx="2348">
                  <c:v>247</c:v>
                </c:pt>
                <c:pt idx="2349">
                  <c:v>243</c:v>
                </c:pt>
                <c:pt idx="2350">
                  <c:v>242</c:v>
                </c:pt>
                <c:pt idx="2351">
                  <c:v>237</c:v>
                </c:pt>
                <c:pt idx="2352">
                  <c:v>236</c:v>
                </c:pt>
                <c:pt idx="2353">
                  <c:v>235</c:v>
                </c:pt>
                <c:pt idx="2354">
                  <c:v>236</c:v>
                </c:pt>
                <c:pt idx="2355">
                  <c:v>232</c:v>
                </c:pt>
                <c:pt idx="2356">
                  <c:v>233</c:v>
                </c:pt>
                <c:pt idx="2357">
                  <c:v>235</c:v>
                </c:pt>
                <c:pt idx="2358">
                  <c:v>241</c:v>
                </c:pt>
                <c:pt idx="2359">
                  <c:v>242</c:v>
                </c:pt>
                <c:pt idx="2360">
                  <c:v>237</c:v>
                </c:pt>
                <c:pt idx="2361">
                  <c:v>237</c:v>
                </c:pt>
                <c:pt idx="2362">
                  <c:v>233</c:v>
                </c:pt>
                <c:pt idx="2363">
                  <c:v>226</c:v>
                </c:pt>
                <c:pt idx="2364">
                  <c:v>224</c:v>
                </c:pt>
                <c:pt idx="2365">
                  <c:v>223</c:v>
                </c:pt>
                <c:pt idx="2366">
                  <c:v>224</c:v>
                </c:pt>
                <c:pt idx="2367">
                  <c:v>220</c:v>
                </c:pt>
                <c:pt idx="2368">
                  <c:v>216</c:v>
                </c:pt>
                <c:pt idx="2369">
                  <c:v>219</c:v>
                </c:pt>
                <c:pt idx="2370">
                  <c:v>219</c:v>
                </c:pt>
                <c:pt idx="2371">
                  <c:v>219</c:v>
                </c:pt>
                <c:pt idx="2372">
                  <c:v>215</c:v>
                </c:pt>
                <c:pt idx="2373">
                  <c:v>213</c:v>
                </c:pt>
                <c:pt idx="2374">
                  <c:v>213</c:v>
                </c:pt>
                <c:pt idx="2375">
                  <c:v>211</c:v>
                </c:pt>
                <c:pt idx="2376">
                  <c:v>206</c:v>
                </c:pt>
                <c:pt idx="2377">
                  <c:v>214</c:v>
                </c:pt>
                <c:pt idx="2378">
                  <c:v>211</c:v>
                </c:pt>
                <c:pt idx="2379">
                  <c:v>207</c:v>
                </c:pt>
                <c:pt idx="2380">
                  <c:v>213</c:v>
                </c:pt>
                <c:pt idx="2381">
                  <c:v>213</c:v>
                </c:pt>
                <c:pt idx="2382">
                  <c:v>219</c:v>
                </c:pt>
                <c:pt idx="2383">
                  <c:v>222</c:v>
                </c:pt>
                <c:pt idx="2384">
                  <c:v>225</c:v>
                </c:pt>
                <c:pt idx="2385">
                  <c:v>228</c:v>
                </c:pt>
                <c:pt idx="2386">
                  <c:v>230</c:v>
                </c:pt>
                <c:pt idx="2387">
                  <c:v>234</c:v>
                </c:pt>
                <c:pt idx="2388">
                  <c:v>234</c:v>
                </c:pt>
                <c:pt idx="2389">
                  <c:v>234</c:v>
                </c:pt>
                <c:pt idx="2390">
                  <c:v>236</c:v>
                </c:pt>
                <c:pt idx="2391">
                  <c:v>231</c:v>
                </c:pt>
                <c:pt idx="2392">
                  <c:v>228</c:v>
                </c:pt>
                <c:pt idx="2393">
                  <c:v>221</c:v>
                </c:pt>
                <c:pt idx="2394">
                  <c:v>221</c:v>
                </c:pt>
                <c:pt idx="2395">
                  <c:v>213</c:v>
                </c:pt>
                <c:pt idx="2396">
                  <c:v>213</c:v>
                </c:pt>
                <c:pt idx="2397">
                  <c:v>208</c:v>
                </c:pt>
                <c:pt idx="2398">
                  <c:v>211</c:v>
                </c:pt>
                <c:pt idx="2399">
                  <c:v>217</c:v>
                </c:pt>
                <c:pt idx="2400">
                  <c:v>222</c:v>
                </c:pt>
                <c:pt idx="2401">
                  <c:v>229</c:v>
                </c:pt>
                <c:pt idx="2402">
                  <c:v>231</c:v>
                </c:pt>
                <c:pt idx="2403">
                  <c:v>230</c:v>
                </c:pt>
                <c:pt idx="2404">
                  <c:v>235</c:v>
                </c:pt>
                <c:pt idx="2405">
                  <c:v>230</c:v>
                </c:pt>
                <c:pt idx="2406">
                  <c:v>237</c:v>
                </c:pt>
                <c:pt idx="2407">
                  <c:v>243</c:v>
                </c:pt>
                <c:pt idx="2408">
                  <c:v>250</c:v>
                </c:pt>
                <c:pt idx="2409">
                  <c:v>248</c:v>
                </c:pt>
                <c:pt idx="2410">
                  <c:v>251</c:v>
                </c:pt>
                <c:pt idx="2411">
                  <c:v>251</c:v>
                </c:pt>
                <c:pt idx="2412">
                  <c:v>251</c:v>
                </c:pt>
                <c:pt idx="2413">
                  <c:v>248</c:v>
                </c:pt>
                <c:pt idx="2414">
                  <c:v>249</c:v>
                </c:pt>
                <c:pt idx="2415">
                  <c:v>242</c:v>
                </c:pt>
                <c:pt idx="2416">
                  <c:v>242</c:v>
                </c:pt>
                <c:pt idx="2417">
                  <c:v>238</c:v>
                </c:pt>
                <c:pt idx="2418">
                  <c:v>246</c:v>
                </c:pt>
                <c:pt idx="2419">
                  <c:v>241</c:v>
                </c:pt>
                <c:pt idx="2420">
                  <c:v>240</c:v>
                </c:pt>
                <c:pt idx="2421">
                  <c:v>232</c:v>
                </c:pt>
                <c:pt idx="2422">
                  <c:v>228</c:v>
                </c:pt>
                <c:pt idx="2423">
                  <c:v>226</c:v>
                </c:pt>
                <c:pt idx="2424">
                  <c:v>222</c:v>
                </c:pt>
                <c:pt idx="2425">
                  <c:v>230</c:v>
                </c:pt>
                <c:pt idx="2426">
                  <c:v>236</c:v>
                </c:pt>
                <c:pt idx="2427">
                  <c:v>234</c:v>
                </c:pt>
                <c:pt idx="2428">
                  <c:v>237</c:v>
                </c:pt>
                <c:pt idx="2429">
                  <c:v>232</c:v>
                </c:pt>
                <c:pt idx="2430">
                  <c:v>233</c:v>
                </c:pt>
                <c:pt idx="2431">
                  <c:v>236</c:v>
                </c:pt>
                <c:pt idx="2432">
                  <c:v>233</c:v>
                </c:pt>
                <c:pt idx="2433">
                  <c:v>235</c:v>
                </c:pt>
                <c:pt idx="2434">
                  <c:v>236</c:v>
                </c:pt>
                <c:pt idx="2435">
                  <c:v>233</c:v>
                </c:pt>
                <c:pt idx="2436">
                  <c:v>230</c:v>
                </c:pt>
                <c:pt idx="2437">
                  <c:v>217</c:v>
                </c:pt>
                <c:pt idx="2438">
                  <c:v>211</c:v>
                </c:pt>
                <c:pt idx="2439">
                  <c:v>208</c:v>
                </c:pt>
                <c:pt idx="2440">
                  <c:v>207</c:v>
                </c:pt>
                <c:pt idx="2441">
                  <c:v>207</c:v>
                </c:pt>
                <c:pt idx="2442">
                  <c:v>203</c:v>
                </c:pt>
                <c:pt idx="2443">
                  <c:v>211</c:v>
                </c:pt>
                <c:pt idx="2444">
                  <c:v>221</c:v>
                </c:pt>
                <c:pt idx="2445">
                  <c:v>224</c:v>
                </c:pt>
                <c:pt idx="2446">
                  <c:v>234</c:v>
                </c:pt>
                <c:pt idx="2447">
                  <c:v>239</c:v>
                </c:pt>
                <c:pt idx="2448">
                  <c:v>238</c:v>
                </c:pt>
                <c:pt idx="2449">
                  <c:v>243</c:v>
                </c:pt>
                <c:pt idx="2450">
                  <c:v>241</c:v>
                </c:pt>
                <c:pt idx="2451">
                  <c:v>236</c:v>
                </c:pt>
                <c:pt idx="2452">
                  <c:v>239</c:v>
                </c:pt>
                <c:pt idx="2453">
                  <c:v>239</c:v>
                </c:pt>
                <c:pt idx="2454">
                  <c:v>236</c:v>
                </c:pt>
                <c:pt idx="2455">
                  <c:v>232</c:v>
                </c:pt>
                <c:pt idx="2456">
                  <c:v>237</c:v>
                </c:pt>
                <c:pt idx="2457">
                  <c:v>244</c:v>
                </c:pt>
                <c:pt idx="2458">
                  <c:v>248</c:v>
                </c:pt>
                <c:pt idx="2459">
                  <c:v>252</c:v>
                </c:pt>
                <c:pt idx="2460">
                  <c:v>263</c:v>
                </c:pt>
                <c:pt idx="2461">
                  <c:v>253</c:v>
                </c:pt>
                <c:pt idx="2462">
                  <c:v>249</c:v>
                </c:pt>
                <c:pt idx="2463">
                  <c:v>233</c:v>
                </c:pt>
                <c:pt idx="2464">
                  <c:v>224</c:v>
                </c:pt>
                <c:pt idx="2465">
                  <c:v>216</c:v>
                </c:pt>
                <c:pt idx="2466">
                  <c:v>216</c:v>
                </c:pt>
                <c:pt idx="2467">
                  <c:v>212</c:v>
                </c:pt>
                <c:pt idx="2468">
                  <c:v>226</c:v>
                </c:pt>
                <c:pt idx="2469">
                  <c:v>236</c:v>
                </c:pt>
                <c:pt idx="2470">
                  <c:v>222</c:v>
                </c:pt>
                <c:pt idx="2471">
                  <c:v>213</c:v>
                </c:pt>
                <c:pt idx="2472">
                  <c:v>218</c:v>
                </c:pt>
                <c:pt idx="2473">
                  <c:v>210</c:v>
                </c:pt>
                <c:pt idx="2474">
                  <c:v>206</c:v>
                </c:pt>
                <c:pt idx="2475">
                  <c:v>207</c:v>
                </c:pt>
                <c:pt idx="2476">
                  <c:v>206</c:v>
                </c:pt>
                <c:pt idx="2477">
                  <c:v>198</c:v>
                </c:pt>
                <c:pt idx="2478">
                  <c:v>203</c:v>
                </c:pt>
                <c:pt idx="2479">
                  <c:v>197</c:v>
                </c:pt>
                <c:pt idx="2480">
                  <c:v>191</c:v>
                </c:pt>
                <c:pt idx="2481">
                  <c:v>191</c:v>
                </c:pt>
                <c:pt idx="2482">
                  <c:v>189</c:v>
                </c:pt>
                <c:pt idx="2483">
                  <c:v>178</c:v>
                </c:pt>
                <c:pt idx="2484">
                  <c:v>181</c:v>
                </c:pt>
                <c:pt idx="2485">
                  <c:v>176</c:v>
                </c:pt>
                <c:pt idx="2486">
                  <c:v>175</c:v>
                </c:pt>
                <c:pt idx="2487">
                  <c:v>177</c:v>
                </c:pt>
                <c:pt idx="2488">
                  <c:v>168</c:v>
                </c:pt>
                <c:pt idx="2489">
                  <c:v>162</c:v>
                </c:pt>
                <c:pt idx="2490">
                  <c:v>165</c:v>
                </c:pt>
                <c:pt idx="2491">
                  <c:v>161</c:v>
                </c:pt>
                <c:pt idx="2492">
                  <c:v>161</c:v>
                </c:pt>
                <c:pt idx="2493">
                  <c:v>164</c:v>
                </c:pt>
                <c:pt idx="2494">
                  <c:v>161</c:v>
                </c:pt>
                <c:pt idx="2495">
                  <c:v>162</c:v>
                </c:pt>
                <c:pt idx="2496">
                  <c:v>165</c:v>
                </c:pt>
                <c:pt idx="2497">
                  <c:v>169</c:v>
                </c:pt>
                <c:pt idx="2498">
                  <c:v>170</c:v>
                </c:pt>
                <c:pt idx="2499">
                  <c:v>171</c:v>
                </c:pt>
                <c:pt idx="2500">
                  <c:v>173</c:v>
                </c:pt>
                <c:pt idx="2501">
                  <c:v>175</c:v>
                </c:pt>
                <c:pt idx="2502">
                  <c:v>174</c:v>
                </c:pt>
                <c:pt idx="2503">
                  <c:v>176</c:v>
                </c:pt>
                <c:pt idx="2504">
                  <c:v>174</c:v>
                </c:pt>
                <c:pt idx="2505">
                  <c:v>174</c:v>
                </c:pt>
                <c:pt idx="2506">
                  <c:v>176</c:v>
                </c:pt>
                <c:pt idx="2507">
                  <c:v>178</c:v>
                </c:pt>
                <c:pt idx="2508">
                  <c:v>173</c:v>
                </c:pt>
                <c:pt idx="2509">
                  <c:v>172</c:v>
                </c:pt>
                <c:pt idx="2510">
                  <c:v>174</c:v>
                </c:pt>
                <c:pt idx="2511">
                  <c:v>168</c:v>
                </c:pt>
                <c:pt idx="2512">
                  <c:v>165</c:v>
                </c:pt>
                <c:pt idx="2513">
                  <c:v>169</c:v>
                </c:pt>
                <c:pt idx="2514">
                  <c:v>174</c:v>
                </c:pt>
                <c:pt idx="2515">
                  <c:v>178</c:v>
                </c:pt>
                <c:pt idx="2516">
                  <c:v>181</c:v>
                </c:pt>
                <c:pt idx="2517">
                  <c:v>181</c:v>
                </c:pt>
                <c:pt idx="2518">
                  <c:v>185</c:v>
                </c:pt>
                <c:pt idx="2519">
                  <c:v>188</c:v>
                </c:pt>
                <c:pt idx="2520">
                  <c:v>191</c:v>
                </c:pt>
                <c:pt idx="2521">
                  <c:v>189</c:v>
                </c:pt>
                <c:pt idx="2522">
                  <c:v>191</c:v>
                </c:pt>
                <c:pt idx="2523">
                  <c:v>191</c:v>
                </c:pt>
                <c:pt idx="2524">
                  <c:v>191</c:v>
                </c:pt>
                <c:pt idx="2525">
                  <c:v>194</c:v>
                </c:pt>
                <c:pt idx="2526">
                  <c:v>189</c:v>
                </c:pt>
                <c:pt idx="2527">
                  <c:v>187</c:v>
                </c:pt>
                <c:pt idx="2528">
                  <c:v>188</c:v>
                </c:pt>
                <c:pt idx="2529">
                  <c:v>179</c:v>
                </c:pt>
                <c:pt idx="2530">
                  <c:v>179</c:v>
                </c:pt>
                <c:pt idx="2531">
                  <c:v>174</c:v>
                </c:pt>
                <c:pt idx="2532">
                  <c:v>177</c:v>
                </c:pt>
                <c:pt idx="2533">
                  <c:v>169</c:v>
                </c:pt>
                <c:pt idx="2534">
                  <c:v>170</c:v>
                </c:pt>
                <c:pt idx="2535">
                  <c:v>167</c:v>
                </c:pt>
                <c:pt idx="2536">
                  <c:v>166</c:v>
                </c:pt>
                <c:pt idx="2537">
                  <c:v>167</c:v>
                </c:pt>
                <c:pt idx="2538">
                  <c:v>171</c:v>
                </c:pt>
                <c:pt idx="2539">
                  <c:v>178</c:v>
                </c:pt>
                <c:pt idx="2540">
                  <c:v>182</c:v>
                </c:pt>
                <c:pt idx="2541">
                  <c:v>178</c:v>
                </c:pt>
                <c:pt idx="2542">
                  <c:v>173</c:v>
                </c:pt>
                <c:pt idx="2543">
                  <c:v>176</c:v>
                </c:pt>
                <c:pt idx="2544">
                  <c:v>173</c:v>
                </c:pt>
                <c:pt idx="2545">
                  <c:v>171</c:v>
                </c:pt>
                <c:pt idx="2546">
                  <c:v>171</c:v>
                </c:pt>
                <c:pt idx="2547">
                  <c:v>169</c:v>
                </c:pt>
                <c:pt idx="2548">
                  <c:v>158</c:v>
                </c:pt>
                <c:pt idx="2549">
                  <c:v>158</c:v>
                </c:pt>
                <c:pt idx="2550">
                  <c:v>158</c:v>
                </c:pt>
                <c:pt idx="2551">
                  <c:v>156</c:v>
                </c:pt>
                <c:pt idx="2552">
                  <c:v>154</c:v>
                </c:pt>
                <c:pt idx="2553">
                  <c:v>156</c:v>
                </c:pt>
                <c:pt idx="2554">
                  <c:v>156</c:v>
                </c:pt>
                <c:pt idx="2555">
                  <c:v>155</c:v>
                </c:pt>
                <c:pt idx="2556">
                  <c:v>156</c:v>
                </c:pt>
                <c:pt idx="2557">
                  <c:v>156</c:v>
                </c:pt>
                <c:pt idx="2558">
                  <c:v>153</c:v>
                </c:pt>
                <c:pt idx="2559">
                  <c:v>155</c:v>
                </c:pt>
                <c:pt idx="2560">
                  <c:v>151</c:v>
                </c:pt>
                <c:pt idx="2561">
                  <c:v>155</c:v>
                </c:pt>
                <c:pt idx="2562">
                  <c:v>153</c:v>
                </c:pt>
                <c:pt idx="2563">
                  <c:v>150</c:v>
                </c:pt>
                <c:pt idx="2564">
                  <c:v>148</c:v>
                </c:pt>
                <c:pt idx="2565">
                  <c:v>147</c:v>
                </c:pt>
                <c:pt idx="2566">
                  <c:v>151</c:v>
                </c:pt>
                <c:pt idx="2567">
                  <c:v>149</c:v>
                </c:pt>
                <c:pt idx="2568">
                  <c:v>148</c:v>
                </c:pt>
                <c:pt idx="2569">
                  <c:v>147</c:v>
                </c:pt>
                <c:pt idx="2570">
                  <c:v>147</c:v>
                </c:pt>
                <c:pt idx="2571">
                  <c:v>146</c:v>
                </c:pt>
                <c:pt idx="2572">
                  <c:v>148</c:v>
                </c:pt>
                <c:pt idx="2573">
                  <c:v>147</c:v>
                </c:pt>
                <c:pt idx="2574">
                  <c:v>143</c:v>
                </c:pt>
                <c:pt idx="2575">
                  <c:v>147</c:v>
                </c:pt>
                <c:pt idx="2576">
                  <c:v>146</c:v>
                </c:pt>
                <c:pt idx="2577">
                  <c:v>148</c:v>
                </c:pt>
                <c:pt idx="2578">
                  <c:v>146</c:v>
                </c:pt>
                <c:pt idx="2579">
                  <c:v>142</c:v>
                </c:pt>
                <c:pt idx="2580">
                  <c:v>137</c:v>
                </c:pt>
                <c:pt idx="2581">
                  <c:v>137</c:v>
                </c:pt>
                <c:pt idx="2582">
                  <c:v>136</c:v>
                </c:pt>
                <c:pt idx="2583">
                  <c:v>142</c:v>
                </c:pt>
                <c:pt idx="2584">
                  <c:v>148</c:v>
                </c:pt>
                <c:pt idx="2585">
                  <c:v>146</c:v>
                </c:pt>
                <c:pt idx="2586">
                  <c:v>142</c:v>
                </c:pt>
                <c:pt idx="2587">
                  <c:v>141</c:v>
                </c:pt>
                <c:pt idx="2588">
                  <c:v>143</c:v>
                </c:pt>
                <c:pt idx="2589">
                  <c:v>138</c:v>
                </c:pt>
                <c:pt idx="2590">
                  <c:v>137</c:v>
                </c:pt>
                <c:pt idx="2591">
                  <c:v>138</c:v>
                </c:pt>
                <c:pt idx="2592">
                  <c:v>140</c:v>
                </c:pt>
                <c:pt idx="2593">
                  <c:v>146</c:v>
                </c:pt>
                <c:pt idx="2594">
                  <c:v>147</c:v>
                </c:pt>
                <c:pt idx="2595">
                  <c:v>148</c:v>
                </c:pt>
                <c:pt idx="2596">
                  <c:v>153</c:v>
                </c:pt>
                <c:pt idx="2597">
                  <c:v>155</c:v>
                </c:pt>
                <c:pt idx="2598">
                  <c:v>154</c:v>
                </c:pt>
                <c:pt idx="2599">
                  <c:v>158</c:v>
                </c:pt>
                <c:pt idx="2600">
                  <c:v>156</c:v>
                </c:pt>
                <c:pt idx="2601">
                  <c:v>156</c:v>
                </c:pt>
                <c:pt idx="2602">
                  <c:v>155</c:v>
                </c:pt>
                <c:pt idx="2603">
                  <c:v>153</c:v>
                </c:pt>
                <c:pt idx="2604">
                  <c:v>152</c:v>
                </c:pt>
                <c:pt idx="2605">
                  <c:v>155</c:v>
                </c:pt>
                <c:pt idx="2606">
                  <c:v>154</c:v>
                </c:pt>
                <c:pt idx="2607">
                  <c:v>155</c:v>
                </c:pt>
                <c:pt idx="2608">
                  <c:v>154</c:v>
                </c:pt>
                <c:pt idx="2609">
                  <c:v>154</c:v>
                </c:pt>
                <c:pt idx="2610">
                  <c:v>154</c:v>
                </c:pt>
                <c:pt idx="2611">
                  <c:v>158</c:v>
                </c:pt>
                <c:pt idx="2612">
                  <c:v>162</c:v>
                </c:pt>
                <c:pt idx="2613">
                  <c:v>165</c:v>
                </c:pt>
                <c:pt idx="2614">
                  <c:v>166</c:v>
                </c:pt>
                <c:pt idx="2615">
                  <c:v>164</c:v>
                </c:pt>
                <c:pt idx="2616">
                  <c:v>160</c:v>
                </c:pt>
                <c:pt idx="2617">
                  <c:v>154</c:v>
                </c:pt>
                <c:pt idx="2618">
                  <c:v>154</c:v>
                </c:pt>
                <c:pt idx="2619">
                  <c:v>152</c:v>
                </c:pt>
                <c:pt idx="2620">
                  <c:v>147</c:v>
                </c:pt>
                <c:pt idx="2621">
                  <c:v>143</c:v>
                </c:pt>
                <c:pt idx="2622">
                  <c:v>147</c:v>
                </c:pt>
                <c:pt idx="2623">
                  <c:v>153</c:v>
                </c:pt>
                <c:pt idx="2624">
                  <c:v>152</c:v>
                </c:pt>
                <c:pt idx="2625">
                  <c:v>158</c:v>
                </c:pt>
                <c:pt idx="2626">
                  <c:v>157</c:v>
                </c:pt>
                <c:pt idx="2627">
                  <c:v>157</c:v>
                </c:pt>
                <c:pt idx="2628">
                  <c:v>154</c:v>
                </c:pt>
                <c:pt idx="2629">
                  <c:v>144</c:v>
                </c:pt>
                <c:pt idx="2630">
                  <c:v>145</c:v>
                </c:pt>
                <c:pt idx="2631">
                  <c:v>146</c:v>
                </c:pt>
                <c:pt idx="2632">
                  <c:v>145</c:v>
                </c:pt>
                <c:pt idx="2633">
                  <c:v>145</c:v>
                </c:pt>
                <c:pt idx="2634">
                  <c:v>137</c:v>
                </c:pt>
                <c:pt idx="2635">
                  <c:v>140</c:v>
                </c:pt>
                <c:pt idx="2636">
                  <c:v>146</c:v>
                </c:pt>
                <c:pt idx="2637">
                  <c:v>151</c:v>
                </c:pt>
                <c:pt idx="2638">
                  <c:v>152</c:v>
                </c:pt>
                <c:pt idx="2639">
                  <c:v>155</c:v>
                </c:pt>
                <c:pt idx="2640">
                  <c:v>153</c:v>
                </c:pt>
                <c:pt idx="2641">
                  <c:v>149</c:v>
                </c:pt>
                <c:pt idx="2642">
                  <c:v>146</c:v>
                </c:pt>
                <c:pt idx="2643">
                  <c:v>146</c:v>
                </c:pt>
                <c:pt idx="2644">
                  <c:v>153</c:v>
                </c:pt>
                <c:pt idx="2645">
                  <c:v>157</c:v>
                </c:pt>
                <c:pt idx="2646">
                  <c:v>159</c:v>
                </c:pt>
                <c:pt idx="2647">
                  <c:v>162</c:v>
                </c:pt>
                <c:pt idx="2648">
                  <c:v>166</c:v>
                </c:pt>
                <c:pt idx="2649">
                  <c:v>166</c:v>
                </c:pt>
                <c:pt idx="2650">
                  <c:v>168</c:v>
                </c:pt>
                <c:pt idx="2651">
                  <c:v>164</c:v>
                </c:pt>
                <c:pt idx="2652">
                  <c:v>157</c:v>
                </c:pt>
                <c:pt idx="2653">
                  <c:v>154</c:v>
                </c:pt>
                <c:pt idx="2654">
                  <c:v>156</c:v>
                </c:pt>
                <c:pt idx="2655">
                  <c:v>156</c:v>
                </c:pt>
                <c:pt idx="2656">
                  <c:v>155</c:v>
                </c:pt>
                <c:pt idx="2657">
                  <c:v>153</c:v>
                </c:pt>
                <c:pt idx="2658">
                  <c:v>149</c:v>
                </c:pt>
                <c:pt idx="2659">
                  <c:v>157</c:v>
                </c:pt>
                <c:pt idx="2660">
                  <c:v>157</c:v>
                </c:pt>
                <c:pt idx="2661">
                  <c:v>163</c:v>
                </c:pt>
                <c:pt idx="2662">
                  <c:v>165</c:v>
                </c:pt>
                <c:pt idx="2663">
                  <c:v>166</c:v>
                </c:pt>
                <c:pt idx="2664">
                  <c:v>165</c:v>
                </c:pt>
                <c:pt idx="2665">
                  <c:v>176</c:v>
                </c:pt>
                <c:pt idx="2666">
                  <c:v>176</c:v>
                </c:pt>
                <c:pt idx="2667">
                  <c:v>181</c:v>
                </c:pt>
                <c:pt idx="2668">
                  <c:v>181</c:v>
                </c:pt>
                <c:pt idx="2669">
                  <c:v>175</c:v>
                </c:pt>
                <c:pt idx="2670">
                  <c:v>173</c:v>
                </c:pt>
                <c:pt idx="2671">
                  <c:v>173</c:v>
                </c:pt>
                <c:pt idx="2672">
                  <c:v>177</c:v>
                </c:pt>
                <c:pt idx="2673">
                  <c:v>174</c:v>
                </c:pt>
                <c:pt idx="2674">
                  <c:v>172</c:v>
                </c:pt>
                <c:pt idx="2675">
                  <c:v>169</c:v>
                </c:pt>
                <c:pt idx="2676">
                  <c:v>167</c:v>
                </c:pt>
                <c:pt idx="2677">
                  <c:v>168</c:v>
                </c:pt>
                <c:pt idx="2678">
                  <c:v>167</c:v>
                </c:pt>
                <c:pt idx="2679">
                  <c:v>166</c:v>
                </c:pt>
                <c:pt idx="2680">
                  <c:v>163</c:v>
                </c:pt>
                <c:pt idx="2681">
                  <c:v>166</c:v>
                </c:pt>
                <c:pt idx="2682">
                  <c:v>169</c:v>
                </c:pt>
                <c:pt idx="2683">
                  <c:v>169</c:v>
                </c:pt>
                <c:pt idx="2684">
                  <c:v>165</c:v>
                </c:pt>
                <c:pt idx="2685">
                  <c:v>164</c:v>
                </c:pt>
                <c:pt idx="2686">
                  <c:v>169</c:v>
                </c:pt>
                <c:pt idx="2687">
                  <c:v>173</c:v>
                </c:pt>
                <c:pt idx="2688">
                  <c:v>174</c:v>
                </c:pt>
                <c:pt idx="2689">
                  <c:v>182</c:v>
                </c:pt>
                <c:pt idx="2690">
                  <c:v>175</c:v>
                </c:pt>
                <c:pt idx="2691">
                  <c:v>183</c:v>
                </c:pt>
                <c:pt idx="2692">
                  <c:v>182</c:v>
                </c:pt>
                <c:pt idx="2693">
                  <c:v>190</c:v>
                </c:pt>
                <c:pt idx="2694">
                  <c:v>207</c:v>
                </c:pt>
                <c:pt idx="2695">
                  <c:v>210</c:v>
                </c:pt>
                <c:pt idx="2696">
                  <c:v>211</c:v>
                </c:pt>
                <c:pt idx="2697">
                  <c:v>205</c:v>
                </c:pt>
                <c:pt idx="2698">
                  <c:v>198</c:v>
                </c:pt>
                <c:pt idx="2699">
                  <c:v>197</c:v>
                </c:pt>
                <c:pt idx="2700">
                  <c:v>199</c:v>
                </c:pt>
                <c:pt idx="2701">
                  <c:v>195</c:v>
                </c:pt>
                <c:pt idx="2702">
                  <c:v>200</c:v>
                </c:pt>
                <c:pt idx="2703">
                  <c:v>203</c:v>
                </c:pt>
                <c:pt idx="2704">
                  <c:v>206</c:v>
                </c:pt>
                <c:pt idx="2705">
                  <c:v>208</c:v>
                </c:pt>
                <c:pt idx="2706">
                  <c:v>211</c:v>
                </c:pt>
                <c:pt idx="2707">
                  <c:v>208</c:v>
                </c:pt>
                <c:pt idx="2708">
                  <c:v>208</c:v>
                </c:pt>
                <c:pt idx="2709">
                  <c:v>205</c:v>
                </c:pt>
                <c:pt idx="2710">
                  <c:v>205</c:v>
                </c:pt>
                <c:pt idx="2711">
                  <c:v>205</c:v>
                </c:pt>
                <c:pt idx="2712">
                  <c:v>213</c:v>
                </c:pt>
                <c:pt idx="2713">
                  <c:v>208</c:v>
                </c:pt>
                <c:pt idx="2714">
                  <c:v>219</c:v>
                </c:pt>
                <c:pt idx="2715">
                  <c:v>213</c:v>
                </c:pt>
                <c:pt idx="2716">
                  <c:v>213</c:v>
                </c:pt>
                <c:pt idx="2717">
                  <c:v>214</c:v>
                </c:pt>
                <c:pt idx="2718">
                  <c:v>208</c:v>
                </c:pt>
                <c:pt idx="2719">
                  <c:v>212</c:v>
                </c:pt>
                <c:pt idx="2720">
                  <c:v>211</c:v>
                </c:pt>
                <c:pt idx="2721">
                  <c:v>211</c:v>
                </c:pt>
                <c:pt idx="2722">
                  <c:v>211</c:v>
                </c:pt>
                <c:pt idx="2723">
                  <c:v>203</c:v>
                </c:pt>
                <c:pt idx="2724">
                  <c:v>213</c:v>
                </c:pt>
                <c:pt idx="2725">
                  <c:v>214</c:v>
                </c:pt>
                <c:pt idx="2726">
                  <c:v>216</c:v>
                </c:pt>
                <c:pt idx="2727">
                  <c:v>226</c:v>
                </c:pt>
                <c:pt idx="2728">
                  <c:v>222</c:v>
                </c:pt>
                <c:pt idx="2729">
                  <c:v>222</c:v>
                </c:pt>
                <c:pt idx="2730">
                  <c:v>221</c:v>
                </c:pt>
                <c:pt idx="2731">
                  <c:v>234</c:v>
                </c:pt>
                <c:pt idx="2732">
                  <c:v>244</c:v>
                </c:pt>
                <c:pt idx="2733">
                  <c:v>251</c:v>
                </c:pt>
                <c:pt idx="2734">
                  <c:v>244</c:v>
                </c:pt>
                <c:pt idx="2735">
                  <c:v>237</c:v>
                </c:pt>
                <c:pt idx="2736">
                  <c:v>229</c:v>
                </c:pt>
                <c:pt idx="2737">
                  <c:v>229</c:v>
                </c:pt>
                <c:pt idx="2738">
                  <c:v>229</c:v>
                </c:pt>
                <c:pt idx="2739">
                  <c:v>229</c:v>
                </c:pt>
                <c:pt idx="2740">
                  <c:v>234</c:v>
                </c:pt>
                <c:pt idx="2741">
                  <c:v>223</c:v>
                </c:pt>
                <c:pt idx="2742">
                  <c:v>226</c:v>
                </c:pt>
                <c:pt idx="2743">
                  <c:v>228</c:v>
                </c:pt>
                <c:pt idx="2744">
                  <c:v>227</c:v>
                </c:pt>
                <c:pt idx="2745">
                  <c:v>216</c:v>
                </c:pt>
                <c:pt idx="2746">
                  <c:v>212</c:v>
                </c:pt>
                <c:pt idx="2747">
                  <c:v>208</c:v>
                </c:pt>
                <c:pt idx="2748">
                  <c:v>201</c:v>
                </c:pt>
                <c:pt idx="2749">
                  <c:v>195</c:v>
                </c:pt>
                <c:pt idx="2750">
                  <c:v>196</c:v>
                </c:pt>
                <c:pt idx="2751">
                  <c:v>193</c:v>
                </c:pt>
                <c:pt idx="2752">
                  <c:v>188</c:v>
                </c:pt>
                <c:pt idx="2753">
                  <c:v>187</c:v>
                </c:pt>
                <c:pt idx="2754">
                  <c:v>182</c:v>
                </c:pt>
                <c:pt idx="2755">
                  <c:v>183</c:v>
                </c:pt>
                <c:pt idx="2756">
                  <c:v>184</c:v>
                </c:pt>
                <c:pt idx="2757">
                  <c:v>188</c:v>
                </c:pt>
                <c:pt idx="2758">
                  <c:v>188</c:v>
                </c:pt>
                <c:pt idx="2759">
                  <c:v>186</c:v>
                </c:pt>
                <c:pt idx="2760">
                  <c:v>185</c:v>
                </c:pt>
                <c:pt idx="2761">
                  <c:v>185</c:v>
                </c:pt>
                <c:pt idx="2762">
                  <c:v>188</c:v>
                </c:pt>
                <c:pt idx="2763">
                  <c:v>183</c:v>
                </c:pt>
                <c:pt idx="2764">
                  <c:v>181</c:v>
                </c:pt>
                <c:pt idx="2765">
                  <c:v>184</c:v>
                </c:pt>
                <c:pt idx="2766">
                  <c:v>183</c:v>
                </c:pt>
                <c:pt idx="2767">
                  <c:v>190</c:v>
                </c:pt>
                <c:pt idx="2768">
                  <c:v>188</c:v>
                </c:pt>
                <c:pt idx="2769">
                  <c:v>181</c:v>
                </c:pt>
                <c:pt idx="2770">
                  <c:v>188</c:v>
                </c:pt>
                <c:pt idx="2771">
                  <c:v>194</c:v>
                </c:pt>
                <c:pt idx="2772">
                  <c:v>196</c:v>
                </c:pt>
                <c:pt idx="2773">
                  <c:v>185</c:v>
                </c:pt>
                <c:pt idx="2774">
                  <c:v>178</c:v>
                </c:pt>
                <c:pt idx="2775">
                  <c:v>167</c:v>
                </c:pt>
                <c:pt idx="2776">
                  <c:v>178</c:v>
                </c:pt>
                <c:pt idx="2777">
                  <c:v>177</c:v>
                </c:pt>
                <c:pt idx="2778">
                  <c:v>183</c:v>
                </c:pt>
                <c:pt idx="2779">
                  <c:v>179</c:v>
                </c:pt>
                <c:pt idx="2780">
                  <c:v>177</c:v>
                </c:pt>
                <c:pt idx="2781">
                  <c:v>173</c:v>
                </c:pt>
                <c:pt idx="2782">
                  <c:v>174</c:v>
                </c:pt>
                <c:pt idx="2783">
                  <c:v>171</c:v>
                </c:pt>
                <c:pt idx="2784">
                  <c:v>167</c:v>
                </c:pt>
                <c:pt idx="2785">
                  <c:v>165</c:v>
                </c:pt>
                <c:pt idx="2786">
                  <c:v>166</c:v>
                </c:pt>
                <c:pt idx="2787">
                  <c:v>171</c:v>
                </c:pt>
                <c:pt idx="2788">
                  <c:v>169</c:v>
                </c:pt>
                <c:pt idx="2789">
                  <c:v>166</c:v>
                </c:pt>
                <c:pt idx="2790">
                  <c:v>172</c:v>
                </c:pt>
                <c:pt idx="2791">
                  <c:v>176</c:v>
                </c:pt>
                <c:pt idx="2792">
                  <c:v>182</c:v>
                </c:pt>
                <c:pt idx="2793">
                  <c:v>186</c:v>
                </c:pt>
                <c:pt idx="2794">
                  <c:v>195</c:v>
                </c:pt>
                <c:pt idx="2795">
                  <c:v>200</c:v>
                </c:pt>
                <c:pt idx="2796">
                  <c:v>191</c:v>
                </c:pt>
                <c:pt idx="2797">
                  <c:v>190</c:v>
                </c:pt>
                <c:pt idx="2798">
                  <c:v>193</c:v>
                </c:pt>
                <c:pt idx="2799">
                  <c:v>196</c:v>
                </c:pt>
                <c:pt idx="2800">
                  <c:v>202</c:v>
                </c:pt>
                <c:pt idx="2801">
                  <c:v>206</c:v>
                </c:pt>
                <c:pt idx="2802">
                  <c:v>201</c:v>
                </c:pt>
                <c:pt idx="2803">
                  <c:v>201</c:v>
                </c:pt>
                <c:pt idx="2804">
                  <c:v>197</c:v>
                </c:pt>
                <c:pt idx="2805">
                  <c:v>194</c:v>
                </c:pt>
                <c:pt idx="2806">
                  <c:v>198</c:v>
                </c:pt>
                <c:pt idx="2807">
                  <c:v>198</c:v>
                </c:pt>
                <c:pt idx="2808">
                  <c:v>202</c:v>
                </c:pt>
                <c:pt idx="2809">
                  <c:v>205</c:v>
                </c:pt>
                <c:pt idx="2810">
                  <c:v>203</c:v>
                </c:pt>
                <c:pt idx="2811">
                  <c:v>196</c:v>
                </c:pt>
                <c:pt idx="2812">
                  <c:v>201</c:v>
                </c:pt>
                <c:pt idx="2813">
                  <c:v>196</c:v>
                </c:pt>
                <c:pt idx="2814">
                  <c:v>203</c:v>
                </c:pt>
                <c:pt idx="2815">
                  <c:v>203</c:v>
                </c:pt>
                <c:pt idx="2816">
                  <c:v>210</c:v>
                </c:pt>
                <c:pt idx="2817">
                  <c:v>207</c:v>
                </c:pt>
                <c:pt idx="2818">
                  <c:v>218</c:v>
                </c:pt>
                <c:pt idx="2819">
                  <c:v>216</c:v>
                </c:pt>
                <c:pt idx="2820">
                  <c:v>224</c:v>
                </c:pt>
                <c:pt idx="2821">
                  <c:v>224</c:v>
                </c:pt>
                <c:pt idx="2822">
                  <c:v>218</c:v>
                </c:pt>
                <c:pt idx="2823">
                  <c:v>218</c:v>
                </c:pt>
                <c:pt idx="2824">
                  <c:v>210</c:v>
                </c:pt>
                <c:pt idx="2825">
                  <c:v>212</c:v>
                </c:pt>
                <c:pt idx="2826">
                  <c:v>209</c:v>
                </c:pt>
                <c:pt idx="2827">
                  <c:v>213</c:v>
                </c:pt>
                <c:pt idx="2828">
                  <c:v>218</c:v>
                </c:pt>
                <c:pt idx="2829">
                  <c:v>230</c:v>
                </c:pt>
                <c:pt idx="2830">
                  <c:v>234</c:v>
                </c:pt>
                <c:pt idx="2831">
                  <c:v>237</c:v>
                </c:pt>
                <c:pt idx="2832">
                  <c:v>237</c:v>
                </c:pt>
                <c:pt idx="2833">
                  <c:v>229</c:v>
                </c:pt>
                <c:pt idx="2834">
                  <c:v>233</c:v>
                </c:pt>
                <c:pt idx="2835">
                  <c:v>224</c:v>
                </c:pt>
                <c:pt idx="2836">
                  <c:v>220</c:v>
                </c:pt>
                <c:pt idx="2837">
                  <c:v>219</c:v>
                </c:pt>
                <c:pt idx="2838">
                  <c:v>214</c:v>
                </c:pt>
                <c:pt idx="2839">
                  <c:v>216</c:v>
                </c:pt>
                <c:pt idx="2840">
                  <c:v>217</c:v>
                </c:pt>
                <c:pt idx="2841">
                  <c:v>223</c:v>
                </c:pt>
                <c:pt idx="2842">
                  <c:v>223</c:v>
                </c:pt>
                <c:pt idx="2843">
                  <c:v>223</c:v>
                </c:pt>
                <c:pt idx="2844">
                  <c:v>220</c:v>
                </c:pt>
                <c:pt idx="2845">
                  <c:v>211</c:v>
                </c:pt>
                <c:pt idx="2846">
                  <c:v>210</c:v>
                </c:pt>
                <c:pt idx="2847">
                  <c:v>210</c:v>
                </c:pt>
                <c:pt idx="2848">
                  <c:v>219</c:v>
                </c:pt>
                <c:pt idx="2849">
                  <c:v>217</c:v>
                </c:pt>
                <c:pt idx="2850">
                  <c:v>223</c:v>
                </c:pt>
                <c:pt idx="2851">
                  <c:v>235</c:v>
                </c:pt>
                <c:pt idx="2852">
                  <c:v>231</c:v>
                </c:pt>
                <c:pt idx="2853">
                  <c:v>221</c:v>
                </c:pt>
                <c:pt idx="2854">
                  <c:v>222</c:v>
                </c:pt>
                <c:pt idx="2855">
                  <c:v>213</c:v>
                </c:pt>
                <c:pt idx="2856">
                  <c:v>211</c:v>
                </c:pt>
                <c:pt idx="2857">
                  <c:v>208</c:v>
                </c:pt>
                <c:pt idx="2858">
                  <c:v>221</c:v>
                </c:pt>
                <c:pt idx="2859">
                  <c:v>221</c:v>
                </c:pt>
                <c:pt idx="2860">
                  <c:v>214</c:v>
                </c:pt>
                <c:pt idx="2861">
                  <c:v>220</c:v>
                </c:pt>
                <c:pt idx="2862">
                  <c:v>224</c:v>
                </c:pt>
                <c:pt idx="2863">
                  <c:v>219</c:v>
                </c:pt>
                <c:pt idx="2864">
                  <c:v>228</c:v>
                </c:pt>
                <c:pt idx="2865">
                  <c:v>237</c:v>
                </c:pt>
                <c:pt idx="2866">
                  <c:v>241</c:v>
                </c:pt>
                <c:pt idx="2867">
                  <c:v>241</c:v>
                </c:pt>
                <c:pt idx="2868">
                  <c:v>248</c:v>
                </c:pt>
                <c:pt idx="2869">
                  <c:v>248</c:v>
                </c:pt>
                <c:pt idx="2870">
                  <c:v>239</c:v>
                </c:pt>
                <c:pt idx="2871">
                  <c:v>241</c:v>
                </c:pt>
                <c:pt idx="2872">
                  <c:v>232</c:v>
                </c:pt>
                <c:pt idx="2873">
                  <c:v>236</c:v>
                </c:pt>
                <c:pt idx="2874">
                  <c:v>225</c:v>
                </c:pt>
                <c:pt idx="2875">
                  <c:v>219</c:v>
                </c:pt>
                <c:pt idx="2876">
                  <c:v>220</c:v>
                </c:pt>
                <c:pt idx="2877">
                  <c:v>220</c:v>
                </c:pt>
                <c:pt idx="2878">
                  <c:v>220</c:v>
                </c:pt>
                <c:pt idx="2879">
                  <c:v>230</c:v>
                </c:pt>
                <c:pt idx="2880">
                  <c:v>213</c:v>
                </c:pt>
                <c:pt idx="2881">
                  <c:v>223</c:v>
                </c:pt>
                <c:pt idx="2882">
                  <c:v>219</c:v>
                </c:pt>
                <c:pt idx="2883">
                  <c:v>215</c:v>
                </c:pt>
                <c:pt idx="2884">
                  <c:v>225</c:v>
                </c:pt>
                <c:pt idx="2885">
                  <c:v>229</c:v>
                </c:pt>
                <c:pt idx="2886">
                  <c:v>222</c:v>
                </c:pt>
                <c:pt idx="2887">
                  <c:v>212</c:v>
                </c:pt>
                <c:pt idx="2888">
                  <c:v>197</c:v>
                </c:pt>
                <c:pt idx="2889">
                  <c:v>224</c:v>
                </c:pt>
                <c:pt idx="2890">
                  <c:v>233</c:v>
                </c:pt>
                <c:pt idx="2891">
                  <c:v>226</c:v>
                </c:pt>
                <c:pt idx="2892">
                  <c:v>231</c:v>
                </c:pt>
                <c:pt idx="2893">
                  <c:v>237</c:v>
                </c:pt>
                <c:pt idx="2894">
                  <c:v>235</c:v>
                </c:pt>
                <c:pt idx="2895">
                  <c:v>232</c:v>
                </c:pt>
                <c:pt idx="2896">
                  <c:v>232</c:v>
                </c:pt>
                <c:pt idx="2897">
                  <c:v>225</c:v>
                </c:pt>
                <c:pt idx="2898">
                  <c:v>233</c:v>
                </c:pt>
                <c:pt idx="2899">
                  <c:v>223</c:v>
                </c:pt>
                <c:pt idx="2900">
                  <c:v>239</c:v>
                </c:pt>
                <c:pt idx="2901">
                  <c:v>257</c:v>
                </c:pt>
                <c:pt idx="2902">
                  <c:v>257</c:v>
                </c:pt>
                <c:pt idx="2903">
                  <c:v>262</c:v>
                </c:pt>
                <c:pt idx="2904">
                  <c:v>279</c:v>
                </c:pt>
                <c:pt idx="2905">
                  <c:v>289</c:v>
                </c:pt>
                <c:pt idx="2906">
                  <c:v>288</c:v>
                </c:pt>
                <c:pt idx="2907">
                  <c:v>275</c:v>
                </c:pt>
                <c:pt idx="2908">
                  <c:v>270</c:v>
                </c:pt>
                <c:pt idx="2909">
                  <c:v>265</c:v>
                </c:pt>
                <c:pt idx="2910">
                  <c:v>264</c:v>
                </c:pt>
                <c:pt idx="2911">
                  <c:v>282</c:v>
                </c:pt>
                <c:pt idx="2912">
                  <c:v>278</c:v>
                </c:pt>
                <c:pt idx="2913">
                  <c:v>282</c:v>
                </c:pt>
                <c:pt idx="2914">
                  <c:v>254</c:v>
                </c:pt>
                <c:pt idx="2915">
                  <c:v>244</c:v>
                </c:pt>
                <c:pt idx="2916">
                  <c:v>251</c:v>
                </c:pt>
                <c:pt idx="2917">
                  <c:v>231</c:v>
                </c:pt>
                <c:pt idx="2918">
                  <c:v>228</c:v>
                </c:pt>
                <c:pt idx="2919">
                  <c:v>233</c:v>
                </c:pt>
                <c:pt idx="2920">
                  <c:v>228</c:v>
                </c:pt>
                <c:pt idx="2921">
                  <c:v>232</c:v>
                </c:pt>
                <c:pt idx="2922">
                  <c:v>228</c:v>
                </c:pt>
                <c:pt idx="2923">
                  <c:v>217</c:v>
                </c:pt>
                <c:pt idx="2924">
                  <c:v>211</c:v>
                </c:pt>
                <c:pt idx="2925">
                  <c:v>217</c:v>
                </c:pt>
                <c:pt idx="2926">
                  <c:v>214</c:v>
                </c:pt>
                <c:pt idx="2927">
                  <c:v>214</c:v>
                </c:pt>
                <c:pt idx="2928">
                  <c:v>203</c:v>
                </c:pt>
                <c:pt idx="2929">
                  <c:v>194</c:v>
                </c:pt>
                <c:pt idx="2930">
                  <c:v>207</c:v>
                </c:pt>
                <c:pt idx="2931">
                  <c:v>200</c:v>
                </c:pt>
                <c:pt idx="2932">
                  <c:v>210</c:v>
                </c:pt>
                <c:pt idx="2933">
                  <c:v>204</c:v>
                </c:pt>
                <c:pt idx="2934">
                  <c:v>201</c:v>
                </c:pt>
                <c:pt idx="2935">
                  <c:v>213</c:v>
                </c:pt>
                <c:pt idx="2936">
                  <c:v>214</c:v>
                </c:pt>
                <c:pt idx="2937">
                  <c:v>215</c:v>
                </c:pt>
                <c:pt idx="2938">
                  <c:v>213</c:v>
                </c:pt>
                <c:pt idx="2939">
                  <c:v>206</c:v>
                </c:pt>
                <c:pt idx="2940">
                  <c:v>206</c:v>
                </c:pt>
                <c:pt idx="2941">
                  <c:v>199</c:v>
                </c:pt>
                <c:pt idx="2942">
                  <c:v>214</c:v>
                </c:pt>
                <c:pt idx="2943">
                  <c:v>215</c:v>
                </c:pt>
                <c:pt idx="2944">
                  <c:v>221</c:v>
                </c:pt>
                <c:pt idx="2945">
                  <c:v>217</c:v>
                </c:pt>
                <c:pt idx="2946">
                  <c:v>212</c:v>
                </c:pt>
                <c:pt idx="2947">
                  <c:v>179</c:v>
                </c:pt>
                <c:pt idx="2948">
                  <c:v>186</c:v>
                </c:pt>
                <c:pt idx="2949">
                  <c:v>166</c:v>
                </c:pt>
                <c:pt idx="2950">
                  <c:v>162</c:v>
                </c:pt>
                <c:pt idx="2951">
                  <c:v>157</c:v>
                </c:pt>
                <c:pt idx="2952">
                  <c:v>157</c:v>
                </c:pt>
                <c:pt idx="2953">
                  <c:v>153</c:v>
                </c:pt>
                <c:pt idx="2954">
                  <c:v>156</c:v>
                </c:pt>
                <c:pt idx="2955">
                  <c:v>159</c:v>
                </c:pt>
                <c:pt idx="2956">
                  <c:v>159</c:v>
                </c:pt>
                <c:pt idx="2957">
                  <c:v>163</c:v>
                </c:pt>
                <c:pt idx="2958">
                  <c:v>161</c:v>
                </c:pt>
                <c:pt idx="2959">
                  <c:v>166</c:v>
                </c:pt>
                <c:pt idx="2960">
                  <c:v>171</c:v>
                </c:pt>
                <c:pt idx="2961">
                  <c:v>170</c:v>
                </c:pt>
                <c:pt idx="2962">
                  <c:v>173</c:v>
                </c:pt>
                <c:pt idx="2963">
                  <c:v>172</c:v>
                </c:pt>
                <c:pt idx="2964">
                  <c:v>176</c:v>
                </c:pt>
                <c:pt idx="2965">
                  <c:v>173</c:v>
                </c:pt>
                <c:pt idx="2966">
                  <c:v>173</c:v>
                </c:pt>
                <c:pt idx="2967">
                  <c:v>163</c:v>
                </c:pt>
                <c:pt idx="2968">
                  <c:v>153</c:v>
                </c:pt>
                <c:pt idx="2969">
                  <c:v>159</c:v>
                </c:pt>
                <c:pt idx="2970">
                  <c:v>154</c:v>
                </c:pt>
                <c:pt idx="2971">
                  <c:v>147</c:v>
                </c:pt>
                <c:pt idx="2972">
                  <c:v>147</c:v>
                </c:pt>
                <c:pt idx="2973">
                  <c:v>148</c:v>
                </c:pt>
                <c:pt idx="2974">
                  <c:v>154</c:v>
                </c:pt>
                <c:pt idx="2975">
                  <c:v>160</c:v>
                </c:pt>
                <c:pt idx="2976">
                  <c:v>168</c:v>
                </c:pt>
                <c:pt idx="2977">
                  <c:v>175</c:v>
                </c:pt>
                <c:pt idx="2978">
                  <c:v>172</c:v>
                </c:pt>
                <c:pt idx="2979">
                  <c:v>166</c:v>
                </c:pt>
                <c:pt idx="2980">
                  <c:v>167</c:v>
                </c:pt>
                <c:pt idx="2981">
                  <c:v>172</c:v>
                </c:pt>
                <c:pt idx="2982">
                  <c:v>179</c:v>
                </c:pt>
                <c:pt idx="2983">
                  <c:v>179</c:v>
                </c:pt>
                <c:pt idx="2984">
                  <c:v>174</c:v>
                </c:pt>
                <c:pt idx="2985">
                  <c:v>161</c:v>
                </c:pt>
                <c:pt idx="2986">
                  <c:v>176</c:v>
                </c:pt>
                <c:pt idx="2987">
                  <c:v>177</c:v>
                </c:pt>
                <c:pt idx="2988">
                  <c:v>176</c:v>
                </c:pt>
                <c:pt idx="2989">
                  <c:v>179</c:v>
                </c:pt>
                <c:pt idx="2990">
                  <c:v>175</c:v>
                </c:pt>
                <c:pt idx="2991">
                  <c:v>177</c:v>
                </c:pt>
                <c:pt idx="2992">
                  <c:v>175</c:v>
                </c:pt>
                <c:pt idx="2993">
                  <c:v>174</c:v>
                </c:pt>
                <c:pt idx="2994">
                  <c:v>183</c:v>
                </c:pt>
                <c:pt idx="2995">
                  <c:v>175</c:v>
                </c:pt>
                <c:pt idx="2996">
                  <c:v>175</c:v>
                </c:pt>
                <c:pt idx="2997">
                  <c:v>175</c:v>
                </c:pt>
                <c:pt idx="2998">
                  <c:v>174</c:v>
                </c:pt>
                <c:pt idx="2999">
                  <c:v>166</c:v>
                </c:pt>
                <c:pt idx="3000">
                  <c:v>165</c:v>
                </c:pt>
                <c:pt idx="3001">
                  <c:v>165</c:v>
                </c:pt>
                <c:pt idx="3002">
                  <c:v>162</c:v>
                </c:pt>
                <c:pt idx="3003">
                  <c:v>163</c:v>
                </c:pt>
                <c:pt idx="3004">
                  <c:v>166</c:v>
                </c:pt>
                <c:pt idx="3005">
                  <c:v>169</c:v>
                </c:pt>
                <c:pt idx="3006">
                  <c:v>169</c:v>
                </c:pt>
                <c:pt idx="3007">
                  <c:v>168</c:v>
                </c:pt>
                <c:pt idx="3008">
                  <c:v>167</c:v>
                </c:pt>
                <c:pt idx="3009">
                  <c:v>171</c:v>
                </c:pt>
                <c:pt idx="3010">
                  <c:v>166</c:v>
                </c:pt>
                <c:pt idx="3011">
                  <c:v>168</c:v>
                </c:pt>
                <c:pt idx="3012">
                  <c:v>171</c:v>
                </c:pt>
                <c:pt idx="3013">
                  <c:v>171</c:v>
                </c:pt>
                <c:pt idx="3014">
                  <c:v>173</c:v>
                </c:pt>
                <c:pt idx="3015">
                  <c:v>169</c:v>
                </c:pt>
                <c:pt idx="3016">
                  <c:v>165</c:v>
                </c:pt>
                <c:pt idx="3017">
                  <c:v>169</c:v>
                </c:pt>
                <c:pt idx="3018">
                  <c:v>176</c:v>
                </c:pt>
                <c:pt idx="3019">
                  <c:v>176</c:v>
                </c:pt>
                <c:pt idx="3020">
                  <c:v>179</c:v>
                </c:pt>
                <c:pt idx="3021">
                  <c:v>179</c:v>
                </c:pt>
                <c:pt idx="3022">
                  <c:v>176</c:v>
                </c:pt>
                <c:pt idx="3023">
                  <c:v>176</c:v>
                </c:pt>
                <c:pt idx="3024">
                  <c:v>181</c:v>
                </c:pt>
                <c:pt idx="3025">
                  <c:v>178</c:v>
                </c:pt>
                <c:pt idx="3026">
                  <c:v>175</c:v>
                </c:pt>
                <c:pt idx="3027">
                  <c:v>171</c:v>
                </c:pt>
                <c:pt idx="3028">
                  <c:v>171</c:v>
                </c:pt>
                <c:pt idx="3029">
                  <c:v>170</c:v>
                </c:pt>
                <c:pt idx="3030">
                  <c:v>164</c:v>
                </c:pt>
                <c:pt idx="3031">
                  <c:v>164</c:v>
                </c:pt>
                <c:pt idx="3032">
                  <c:v>164</c:v>
                </c:pt>
                <c:pt idx="3033">
                  <c:v>163</c:v>
                </c:pt>
                <c:pt idx="3034">
                  <c:v>168</c:v>
                </c:pt>
                <c:pt idx="3035">
                  <c:v>169</c:v>
                </c:pt>
                <c:pt idx="3036">
                  <c:v>171</c:v>
                </c:pt>
                <c:pt idx="3037">
                  <c:v>173</c:v>
                </c:pt>
                <c:pt idx="3038">
                  <c:v>170</c:v>
                </c:pt>
                <c:pt idx="3039">
                  <c:v>173</c:v>
                </c:pt>
                <c:pt idx="3040">
                  <c:v>170</c:v>
                </c:pt>
                <c:pt idx="3041">
                  <c:v>171</c:v>
                </c:pt>
                <c:pt idx="3042">
                  <c:v>173</c:v>
                </c:pt>
                <c:pt idx="3043">
                  <c:v>176</c:v>
                </c:pt>
                <c:pt idx="3044">
                  <c:v>178</c:v>
                </c:pt>
                <c:pt idx="3045">
                  <c:v>177</c:v>
                </c:pt>
                <c:pt idx="3046">
                  <c:v>184</c:v>
                </c:pt>
                <c:pt idx="3047">
                  <c:v>187</c:v>
                </c:pt>
                <c:pt idx="3048">
                  <c:v>191</c:v>
                </c:pt>
                <c:pt idx="3049">
                  <c:v>180</c:v>
                </c:pt>
                <c:pt idx="3050">
                  <c:v>174</c:v>
                </c:pt>
                <c:pt idx="3051">
                  <c:v>171</c:v>
                </c:pt>
                <c:pt idx="3052">
                  <c:v>173</c:v>
                </c:pt>
                <c:pt idx="3053">
                  <c:v>161</c:v>
                </c:pt>
                <c:pt idx="3054">
                  <c:v>156</c:v>
                </c:pt>
                <c:pt idx="3055">
                  <c:v>165</c:v>
                </c:pt>
                <c:pt idx="3056">
                  <c:v>166</c:v>
                </c:pt>
                <c:pt idx="3057">
                  <c:v>162</c:v>
                </c:pt>
                <c:pt idx="3058">
                  <c:v>168</c:v>
                </c:pt>
                <c:pt idx="3059">
                  <c:v>174</c:v>
                </c:pt>
                <c:pt idx="3060">
                  <c:v>177</c:v>
                </c:pt>
                <c:pt idx="3061">
                  <c:v>186</c:v>
                </c:pt>
                <c:pt idx="3062">
                  <c:v>188</c:v>
                </c:pt>
                <c:pt idx="3063">
                  <c:v>184</c:v>
                </c:pt>
                <c:pt idx="3064">
                  <c:v>183</c:v>
                </c:pt>
                <c:pt idx="3065">
                  <c:v>176</c:v>
                </c:pt>
                <c:pt idx="3066">
                  <c:v>176</c:v>
                </c:pt>
                <c:pt idx="3067">
                  <c:v>175</c:v>
                </c:pt>
                <c:pt idx="3068">
                  <c:v>175</c:v>
                </c:pt>
                <c:pt idx="3069">
                  <c:v>180</c:v>
                </c:pt>
                <c:pt idx="3070">
                  <c:v>181</c:v>
                </c:pt>
                <c:pt idx="3071">
                  <c:v>176</c:v>
                </c:pt>
                <c:pt idx="3072">
                  <c:v>171</c:v>
                </c:pt>
                <c:pt idx="3073">
                  <c:v>173</c:v>
                </c:pt>
                <c:pt idx="3074">
                  <c:v>162</c:v>
                </c:pt>
                <c:pt idx="3075">
                  <c:v>163</c:v>
                </c:pt>
                <c:pt idx="3076">
                  <c:v>160</c:v>
                </c:pt>
                <c:pt idx="3077">
                  <c:v>165</c:v>
                </c:pt>
                <c:pt idx="3078">
                  <c:v>165</c:v>
                </c:pt>
                <c:pt idx="3079">
                  <c:v>169</c:v>
                </c:pt>
                <c:pt idx="3080">
                  <c:v>179</c:v>
                </c:pt>
                <c:pt idx="3081">
                  <c:v>186</c:v>
                </c:pt>
                <c:pt idx="3082">
                  <c:v>174</c:v>
                </c:pt>
                <c:pt idx="3083">
                  <c:v>166</c:v>
                </c:pt>
                <c:pt idx="3084">
                  <c:v>173</c:v>
                </c:pt>
                <c:pt idx="3085">
                  <c:v>165</c:v>
                </c:pt>
                <c:pt idx="3086">
                  <c:v>169</c:v>
                </c:pt>
                <c:pt idx="3087">
                  <c:v>168</c:v>
                </c:pt>
                <c:pt idx="3088">
                  <c:v>175</c:v>
                </c:pt>
                <c:pt idx="3089">
                  <c:v>167</c:v>
                </c:pt>
                <c:pt idx="3090">
                  <c:v>169</c:v>
                </c:pt>
                <c:pt idx="3091">
                  <c:v>169</c:v>
                </c:pt>
                <c:pt idx="3092">
                  <c:v>168</c:v>
                </c:pt>
                <c:pt idx="3093">
                  <c:v>166</c:v>
                </c:pt>
                <c:pt idx="3094">
                  <c:v>168</c:v>
                </c:pt>
                <c:pt idx="3095">
                  <c:v>173</c:v>
                </c:pt>
                <c:pt idx="3096">
                  <c:v>169</c:v>
                </c:pt>
                <c:pt idx="3097">
                  <c:v>165</c:v>
                </c:pt>
                <c:pt idx="3098">
                  <c:v>164</c:v>
                </c:pt>
                <c:pt idx="3099">
                  <c:v>167</c:v>
                </c:pt>
                <c:pt idx="3100">
                  <c:v>181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FE2-4BD4-AFFA-482B100C30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13836016"/>
        <c:axId val="1213805472"/>
      </c:lineChart>
      <c:dateAx>
        <c:axId val="1213836016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213805472"/>
        <c:crosses val="autoZero"/>
        <c:auto val="1"/>
        <c:lblOffset val="100"/>
        <c:baseTimeUnit val="days"/>
        <c:majorUnit val="1"/>
        <c:majorTimeUnit val="years"/>
        <c:minorUnit val="1"/>
        <c:minorTimeUnit val="years"/>
      </c:dateAx>
      <c:valAx>
        <c:axId val="121380547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2138360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590550</xdr:colOff>
      <xdr:row>2</xdr:row>
      <xdr:rowOff>57150</xdr:rowOff>
    </xdr:from>
    <xdr:to>
      <xdr:col>11</xdr:col>
      <xdr:colOff>771525</xdr:colOff>
      <xdr:row>17</xdr:row>
      <xdr:rowOff>38100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694A08F-8893-48D3-9195-E2A32777097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Base%20Preliminar%20Tratada%20vf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Felipe Bellodi" refreshedDate="45052.53591377315" createdVersion="8" refreshedVersion="8" minRefreshableVersion="3" recordCount="513" xr:uid="{72971C47-6CEF-49E0-A011-30E85DF80596}">
  <cacheSource type="worksheet">
    <worksheetSource ref="B2:AH557" sheet="Base" r:id="rId2"/>
  </cacheSource>
  <cacheFields count="35">
    <cacheField name="Apoio" numFmtId="0">
      <sharedItems containsSemiMixedTypes="0" containsString="0" containsNumber="1" containsInteger="1" minValue="0" maxValue="160"/>
    </cacheField>
    <cacheField name="Apoio 2" numFmtId="0">
      <sharedItems/>
    </cacheField>
    <cacheField name="Empresa (j)" numFmtId="0">
      <sharedItems containsSemiMixedTypes="0" containsString="0" containsNumber="1" containsInteger="1" minValue="1" maxValue="39"/>
    </cacheField>
    <cacheField name="Empresa        " numFmtId="0">
      <sharedItems/>
    </cacheField>
    <cacheField name="Grupo Econômico" numFmtId="0">
      <sharedItems/>
    </cacheField>
    <cacheField name="Ativo" numFmtId="0">
      <sharedItems count="2">
        <s v="Debêntures"/>
        <s v="Bonds"/>
      </sharedItems>
    </cacheField>
    <cacheField name="βExt" numFmtId="0">
      <sharedItems containsSemiMixedTypes="0" containsString="0" containsNumber="1" containsInteger="1" minValue="0" maxValue="1"/>
    </cacheField>
    <cacheField name="Codigo do Ativo" numFmtId="0">
      <sharedItems containsBlank="1"/>
    </cacheField>
    <cacheField name="Emissao (i)" numFmtId="0">
      <sharedItems containsSemiMixedTypes="0" containsString="0" containsNumber="1" containsInteger="1" minValue="1" maxValue="34"/>
    </cacheField>
    <cacheField name="Data de Emissao" numFmtId="14">
      <sharedItems containsSemiMixedTypes="0" containsNonDate="0" containsDate="1" containsString="0" minDate="2011-01-18T00:00:00" maxDate="2021-12-16T00:00:00" count="327">
        <d v="2020-11-15T00:00:00"/>
        <d v="2017-09-21T00:00:00"/>
        <d v="2012-10-30T00:00:00"/>
        <d v="2013-10-25T00:00:00"/>
        <d v="2018-07-15T00:00:00"/>
        <d v="2020-02-05T00:00:00"/>
        <d v="2020-09-11T00:00:00"/>
        <d v="2021-04-12T00:00:00"/>
        <d v="2021-10-04T00:00:00"/>
        <d v="2017-10-10T00:00:00"/>
        <d v="2012-06-13T00:00:00"/>
        <d v="2016-11-21T00:00:00"/>
        <d v="2011-09-05T00:00:00"/>
        <d v="2012-01-26T00:00:00"/>
        <d v="2012-12-21T00:00:00"/>
        <d v="2013-07-15T00:00:00"/>
        <d v="2014-06-25T00:00:00"/>
        <d v="2017-04-15T00:00:00"/>
        <d v="2018-04-20T00:00:00"/>
        <d v="2019-01-10T00:00:00"/>
        <d v="2020-05-18T00:00:00"/>
        <d v="2020-06-02T00:00:00"/>
        <d v="2020-09-15T00:00:00"/>
        <d v="2020-11-24T00:00:00"/>
        <d v="2020-10-06T00:00:00"/>
        <d v="2013-05-02T00:00:00"/>
        <d v="2017-08-03T00:00:00"/>
        <d v="2012-06-15T00:00:00"/>
        <d v="2013-11-15T00:00:00"/>
        <d v="2019-12-09T00:00:00"/>
        <d v="2012-12-10T00:00:00"/>
        <d v="2013-12-17T00:00:00"/>
        <d v="2014-11-19T00:00:00"/>
        <d v="2018-08-15T00:00:00"/>
        <d v="2011-06-15T00:00:00"/>
        <d v="2012-09-25T00:00:00"/>
        <d v="2013-05-27T00:00:00"/>
        <d v="2014-02-28T00:00:00"/>
        <d v="2014-09-19T00:00:00"/>
        <d v="2015-03-30T00:00:00"/>
        <d v="2016-12-19T00:00:00"/>
        <d v="2017-06-20T00:00:00"/>
        <d v="2018-06-18T00:00:00"/>
        <d v="2018-12-20T00:00:00"/>
        <d v="2021-06-15T00:00:00"/>
        <d v="2017-10-26T00:00:00"/>
        <d v="2019-06-03T00:00:00"/>
        <d v="2019-12-15T00:00:00"/>
        <d v="2020-04-28T00:00:00"/>
        <d v="2020-05-29T00:00:00"/>
        <d v="2021-07-01T00:00:00"/>
        <d v="2015-01-26T00:00:00"/>
        <d v="2016-12-15T00:00:00"/>
        <d v="2011-07-22T00:00:00"/>
        <d v="2012-07-23T00:00:00"/>
        <d v="2014-02-03T00:00:00"/>
        <d v="2012-05-02T00:00:00"/>
        <d v="2011-04-15T00:00:00"/>
        <d v="2012-02-02T00:00:00"/>
        <d v="2019-11-01T00:00:00"/>
        <d v="2020-07-23T00:00:00"/>
        <d v="2019-04-30T00:00:00"/>
        <d v="2016-09-29T00:00:00"/>
        <d v="2019-09-24T00:00:00"/>
        <d v="2020-09-21T00:00:00"/>
        <d v="2014-05-22T00:00:00"/>
        <d v="2013-05-22T00:00:00"/>
        <d v="2012-06-06T00:00:00"/>
        <d v="2020-10-26T00:00:00"/>
        <d v="2012-06-26T00:00:00"/>
        <d v="2013-03-27T00:00:00"/>
        <d v="2013-02-15T00:00:00"/>
        <d v="2015-12-15T00:00:00"/>
        <d v="2017-12-15T00:00:00"/>
        <d v="2018-12-03T00:00:00"/>
        <d v="2019-06-15T00:00:00"/>
        <d v="2012-02-15T00:00:00"/>
        <d v="2013-12-23T00:00:00"/>
        <d v="2014-12-10T00:00:00"/>
        <d v="2015-07-15T00:00:00"/>
        <d v="2016-12-23T00:00:00"/>
        <d v="2017-04-22T00:00:00"/>
        <d v="2017-12-05T00:00:00"/>
        <d v="2018-07-18T00:00:00"/>
        <d v="2021-12-15T00:00:00"/>
        <d v="2014-06-17T00:00:00"/>
        <d v="2015-04-13T00:00:00"/>
        <d v="2019-06-18T00:00:00"/>
        <d v="2012-11-16T00:00:00"/>
        <d v="2012-10-01T00:00:00"/>
        <d v="2019-02-28T00:00:00"/>
        <d v="2021-07-15T00:00:00"/>
        <d v="2020-08-25T00:00:00"/>
        <d v="2017-09-20T00:00:00"/>
        <d v="2016-06-20T00:00:00"/>
        <d v="2013-03-14T00:00:00"/>
        <d v="2016-07-18T00:00:00"/>
        <d v="2019-07-31T00:00:00"/>
        <d v="2020-01-28T00:00:00"/>
        <d v="2020-11-16T00:00:00"/>
        <d v="2021-06-10T00:00:00"/>
        <d v="2019-04-17T00:00:00"/>
        <d v="2018-02-09T00:00:00"/>
        <d v="2019-07-02T00:00:00"/>
        <d v="2012-02-03T00:00:00"/>
        <d v="2021-09-20T00:00:00"/>
        <d v="2012-12-01T00:00:00"/>
        <d v="2016-06-16T00:00:00"/>
        <d v="2019-04-25T00:00:00"/>
        <d v="2021-04-15T00:00:00"/>
        <d v="2020-02-04T00:00:00"/>
        <d v="2011-10-27T00:00:00"/>
        <d v="2011-06-03T00:00:00"/>
        <d v="2018-11-21T00:00:00"/>
        <d v="2019-05-06T00:00:00"/>
        <d v="2017-10-24T00:00:00"/>
        <d v="2013-04-15T00:00:00"/>
        <d v="2014-04-16T00:00:00"/>
        <d v="2014-05-09T00:00:00"/>
        <d v="2014-04-29T00:00:00"/>
        <d v="2019-11-21T00:00:00"/>
        <d v="2011-06-10T00:00:00"/>
        <d v="2015-09-29T00:00:00"/>
        <d v="2018-10-28T00:00:00"/>
        <d v="2021-10-27T00:00:00"/>
        <d v="2018-02-02T00:00:00"/>
        <d v="2017-12-11T00:00:00"/>
        <d v="2020-12-23T00:00:00"/>
        <d v="2021-05-11T00:00:00"/>
        <d v="2021-09-28T00:00:00"/>
        <d v="2014-09-24T00:00:00"/>
        <d v="2013-02-08T00:00:00"/>
        <d v="2021-10-15T00:00:00"/>
        <d v="2021-02-08T00:00:00"/>
        <d v="2018-01-24T00:00:00"/>
        <d v="2011-03-28T00:00:00"/>
        <d v="2013-08-02T00:00:00"/>
        <d v="2013-11-24T00:00:00"/>
        <d v="2014-04-10T00:00:00"/>
        <d v="2019-11-28T00:00:00"/>
        <d v="2020-04-03T00:00:00"/>
        <d v="2020-09-01T00:00:00"/>
        <d v="2021-09-09T00:00:00"/>
        <d v="2011-04-20T00:00:00"/>
        <d v="2012-04-19T00:00:00"/>
        <d v="2020-06-08T00:00:00"/>
        <d v="2021-09-24T00:00:00"/>
        <d v="2014-07-17T00:00:00"/>
        <d v="2019-09-16T00:00:00"/>
        <d v="2013-03-15T00:00:00"/>
        <d v="2014-04-01T00:00:00"/>
        <d v="2018-03-26T00:00:00"/>
        <d v="2019-02-11T00:00:00"/>
        <d v="2021-05-07T00:00:00"/>
        <d v="2019-03-19T00:00:00"/>
        <d v="2019-04-03T00:00:00"/>
        <d v="2021-01-12T00:00:00"/>
        <d v="2017-09-19T00:00:00"/>
        <d v="2014-07-16T00:00:00"/>
        <d v="2020-01-21T00:00:00"/>
        <d v="2019-07-11T00:00:00"/>
        <d v="2011-04-10T00:00:00"/>
        <d v="2016-11-16T00:00:00"/>
        <d v="2017-04-20T00:00:00"/>
        <d v="2017-11-24T00:00:00"/>
        <d v="2011-12-29T00:00:00"/>
        <d v="2021-01-15T00:00:00"/>
        <d v="2016-06-13T00:00:00"/>
        <d v="2017-07-07T00:00:00"/>
        <d v="2017-10-15T00:00:00"/>
        <d v="2018-03-29T00:00:00"/>
        <d v="2018-10-15T00:00:00"/>
        <d v="2019-04-15T00:00:00"/>
        <d v="2019-10-15T00:00:00"/>
        <d v="2020-04-15T00:00:00"/>
        <d v="2020-07-28T00:00:00"/>
        <d v="2020-08-15T00:00:00"/>
        <d v="2011-05-02T00:00:00"/>
        <d v="2013-06-15T00:00:00"/>
        <d v="2021-06-18T00:00:00"/>
        <d v="2018-05-02T00:00:00"/>
        <d v="2011-01-18T00:00:00"/>
        <d v="2021-01-29T00:00:00"/>
        <d v="2018-01-19T00:00:00"/>
        <d v="2017-03-15T00:00:00"/>
        <d v="2016-06-08T00:00:00"/>
        <d v="2014-06-24T00:00:00"/>
        <d v="2011-05-09T00:00:00"/>
        <d v="2013-09-20T00:00:00"/>
        <d v="2013-01-24T00:00:00"/>
        <d v="2019-05-14T00:00:00"/>
        <d v="2019-08-06T00:00:00"/>
        <d v="2019-05-15T00:00:00"/>
        <d v="2021-03-18T00:00:00"/>
        <d v="2017-12-19T00:00:00"/>
        <d v="2016-09-20T00:00:00"/>
        <d v="2021-07-13T00:00:00"/>
        <d v="2013-01-31T00:00:00"/>
        <d v="2017-06-16T00:00:00"/>
        <d v="2012-03-29T00:00:00"/>
        <d v="2014-08-20T00:00:00"/>
        <d v="2012-02-10T00:00:00"/>
        <d v="2015-09-24T00:00:00"/>
        <d v="2020-12-10T00:00:00"/>
        <d v="2020-12-15T00:00:00"/>
        <d v="2018-10-10T00:00:00"/>
        <d v="2019-06-24T00:00:00"/>
        <d v="2020-04-30T00:00:00"/>
        <d v="2020-11-18T00:00:00"/>
        <d v="2021-11-30T00:00:00"/>
        <d v="2017-07-15T00:00:00"/>
        <d v="2018-06-07T00:00:00"/>
        <d v="2018-12-07T00:00:00"/>
        <d v="2019-06-27T00:00:00"/>
        <d v="2020-10-15T00:00:00"/>
        <d v="2021-09-15T00:00:00"/>
        <d v="2014-02-25T00:00:00"/>
        <d v="2015-03-16T00:00:00"/>
        <d v="2017-09-25T00:00:00"/>
        <d v="2018-02-14T00:00:00"/>
        <d v="2018-09-21T00:00:00"/>
        <d v="2019-08-26T00:00:00"/>
        <d v="2021-05-03T00:00:00"/>
        <d v="2018-02-01T00:00:00"/>
        <d v="2013-03-28T00:00:00"/>
        <d v="2011-08-08T00:00:00"/>
        <d v="2011-12-28T00:00:00"/>
        <d v="2012-03-15T00:00:00"/>
        <d v="2018-02-05T00:00:00"/>
        <d v="2018-07-27T00:00:00"/>
        <d v="2014-05-20T00:00:00"/>
        <d v="2017-08-15T00:00:00"/>
        <d v="2019-01-15T00:00:00"/>
        <d v="2019-08-15T00:00:00"/>
        <d v="2020-06-03T00:00:00"/>
        <d v="2014-03-17T00:00:00"/>
        <d v="2017-01-17T00:00:00"/>
        <d v="2011-01-27T00:00:00"/>
        <d v="2016-05-23T00:00:00"/>
        <d v="2013-05-20T00:00:00"/>
        <d v="2017-09-27T00:00:00"/>
        <d v="2019-09-18T00:00:00"/>
        <d v="2012-02-06T00:00:00"/>
        <d v="2014-10-31T00:00:00"/>
        <d v="2014-11-21T00:00:00"/>
        <d v="2014-01-07T00:00:00"/>
        <d v="2014-05-30T00:00:00"/>
        <d v="2012-07-05T00:00:00"/>
        <d v="2019-07-03T00:00:00"/>
        <d v="2018-05-25T00:00:00"/>
        <d v="2011-07-27T00:00:00"/>
        <d v="2013-10-15T00:00:00"/>
        <d v="2019-11-15T00:00:00"/>
        <d v="2020-06-15T00:00:00"/>
        <d v="2017-01-20T00:00:00"/>
        <d v="2020-07-07T00:00:00"/>
        <d v="2011-10-28T00:00:00"/>
        <d v="2013-12-10T00:00:00"/>
        <d v="2014-12-15T00:00:00"/>
        <d v="2016-07-12T00:00:00"/>
        <d v="2016-07-21T00:00:00"/>
        <d v="2017-08-07T00:00:00"/>
        <d v="2018-09-10T00:00:00"/>
        <d v="2018-10-24T00:00:00"/>
        <d v="2011-12-12T00:00:00"/>
        <d v="2011-12-10T00:00:00"/>
        <d v="2012-08-10T00:00:00"/>
        <d v="2019-06-20T00:00:00"/>
        <d v="2020-06-17T00:00:00"/>
        <d v="2020-01-22T00:00:00"/>
        <d v="2018-01-17T00:00:00"/>
        <d v="2020-02-13T00:00:00"/>
        <d v="2011-07-15T00:00:00"/>
        <d v="2015-04-24T00:00:00"/>
        <d v="2019-02-15T00:00:00"/>
        <d v="2020-07-10T00:00:00"/>
        <d v="2021-09-22T00:00:00"/>
        <d v="2021-10-20T00:00:00"/>
        <d v="2011-06-24T00:00:00"/>
        <d v="2012-05-24T00:00:00"/>
        <d v="2013-10-24T00:00:00"/>
        <d v="2014-06-15T00:00:00"/>
        <d v="2019-05-20T00:00:00"/>
        <d v="2019-11-20T00:00:00"/>
        <d v="2021-01-20T00:00:00"/>
        <d v="2017-07-26T00:00:00"/>
        <d v="2018-01-16T00:00:00"/>
        <d v="2018-06-29T00:00:00"/>
        <d v="2019-01-07T00:00:00"/>
        <d v="2019-09-15T00:00:00"/>
        <d v="2017-03-16T00:00:00"/>
        <d v="2019-08-14T00:00:00"/>
        <d v="2020-09-14T00:00:00"/>
        <d v="2021-09-13T00:00:00"/>
        <d v="2016-07-14T00:00:00"/>
        <d v="2018-09-20T00:00:00"/>
        <d v="2019-05-29T00:00:00"/>
        <d v="2017-09-12T00:00:00"/>
        <d v="2018-11-09T00:00:00"/>
        <d v="2019-02-05T00:00:00"/>
        <d v="2012-03-16T00:00:00"/>
        <d v="2018-03-05T00:00:00"/>
        <d v="2019-06-06T00:00:00"/>
        <d v="2016-10-06T00:00:00"/>
        <d v="2020-07-20T00:00:00"/>
        <d v="2013-01-30T00:00:00"/>
        <d v="2019-09-30T00:00:00"/>
        <d v="2019-07-18T00:00:00"/>
        <d v="2014-01-15T00:00:00"/>
        <d v="2015-08-15T00:00:00"/>
        <d v="2020-07-08T00:00:00"/>
        <d v="2016-08-10T00:00:00"/>
        <d v="2016-06-10T00:00:00"/>
        <d v="2012-01-11T00:00:00"/>
        <d v="2012-09-11T00:00:00"/>
        <d v="2014-09-01T00:00:00"/>
        <d v="2015-11-05T00:00:00"/>
        <d v="2017-01-10T00:00:00"/>
        <d v="2021-02-20T00:00:00"/>
        <d v="2021-10-05T00:00:00"/>
        <d v="2011-02-14T00:00:00"/>
        <d v="2012-01-20T00:00:00"/>
        <d v="2012-12-05T00:00:00"/>
        <d v="2013-12-05T00:00:00"/>
        <d v="2014-03-25T00:00:00"/>
        <d v="2011-04-05T00:00:00"/>
        <d v="2012-02-09T00:00:00"/>
      </sharedItems>
      <fieldGroup par="34" base="9">
        <rangePr groupBy="months" startDate="2011-01-18T00:00:00" endDate="2021-12-16T00:00:00"/>
        <groupItems count="14">
          <s v="&lt;18/01/2011"/>
          <s v="jan"/>
          <s v="fev"/>
          <s v="mar"/>
          <s v="abr"/>
          <s v="mai"/>
          <s v="jun"/>
          <s v="jul"/>
          <s v="ago"/>
          <s v="set"/>
          <s v="out"/>
          <s v="nov"/>
          <s v="dez"/>
          <s v="&gt;16/12/2021"/>
        </groupItems>
      </fieldGroup>
    </cacheField>
    <cacheField name=" Data de Vencimento" numFmtId="14">
      <sharedItems containsDate="1" containsMixedTypes="1" minDate="2013-10-25T00:00:00" maxDate="2036-07-16T00:00:00"/>
    </cacheField>
    <cacheField name="Prazo" numFmtId="4">
      <sharedItems containsSemiMixedTypes="0" containsString="0" containsNumber="1" minValue="0.24657534246575341" maxValue="60.545205479452058" count="143">
        <n v="6.0849315068493155"/>
        <n v="10.005479452054795"/>
        <n v="0.98630136986301364"/>
        <n v="1.4986301369863013"/>
        <n v="5.0027397260273974"/>
        <n v="5.0054794520547947"/>
        <n v="3"/>
        <n v="6.0027397260273974"/>
        <n v="7.0054794520547947"/>
        <n v="10.087671232876712"/>
        <n v="12.813698630136987"/>
        <n v="6.0054794520547947"/>
        <n v="10.008219178082191"/>
        <n v="8.0054794520547947"/>
        <n v="10.076712328767123"/>
        <n v="10.043835616438356"/>
        <n v="3.0027397260273974"/>
        <n v="1.167123287671233"/>
        <n v="7.0027397260273974"/>
        <n v="2"/>
        <n v="5.0630136986301366"/>
        <n v="2.6712328767123288"/>
        <n v="3.3315068493150686"/>
        <n v="2.2547945205479452"/>
        <n v="1.5397260273972602"/>
        <n v="9.5123287671232877"/>
        <n v="9.0054794520547947"/>
        <n v="1.0027397260273974"/>
        <n v="1.5013698630136987"/>
        <n v="1"/>
        <n v="1.5041095890410958"/>
        <n v="14.008219178082191"/>
        <n v="5.9726027397260273"/>
        <n v="30.021917808219179"/>
        <n v="29.016438356164382"/>
        <n v="9.205479452054794"/>
        <n v="10.257534246575343"/>
        <n v="30.271232876712329"/>
        <n v="60.545205479452058"/>
        <n v="5.2547945205479456"/>
        <n v="10.342465753424657"/>
        <n v="30.019178082191782"/>
        <n v="29.923287671232877"/>
        <n v="9.9506849315068493"/>
        <n v="12.008219178082191"/>
        <n v="4.5013698630136982"/>
        <n v="4.0027397260273974"/>
        <n v="6.3890410958904109"/>
        <n v="7.5041095890410956"/>
        <n v="2.1315068493150684"/>
        <n v="2.0027397260273974"/>
        <n v="7.0904109589041093"/>
        <n v="10.09041095890411"/>
        <n v="10.591780821917808"/>
        <n v="10.515068493150684"/>
        <n v="10.147945205479452"/>
        <n v="15.010958904109589"/>
        <n v="7.2027397260273975"/>
        <n v="5.0136986301369859"/>
        <n v="3.6219178082191781"/>
        <n v="8.4684931506849317"/>
        <n v="3.8301369863013699"/>
        <n v="15.008219178082191"/>
        <n v="10.063013698630137"/>
        <n v="9.9808219178082194"/>
        <n v="10.175342465753424"/>
        <n v="7"/>
        <n v="7.1452054794520548"/>
        <n v="5.5205479452054798"/>
        <n v="5.13972602739726"/>
        <n v="4.7561643835616438"/>
        <n v="7.3397260273972602"/>
        <n v="10.016438356164384"/>
        <n v="3.6657534246575341"/>
        <n v="3.0876712328767124"/>
        <n v="5.7068493150684931"/>
        <n v="9.6712328767123292"/>
        <n v="29.219178082191782"/>
        <n v="9.7369863013698623"/>
        <n v="3.6767123287671235"/>
        <n v="1.4465753424657535"/>
        <n v="7.6438356164383565"/>
        <n v="1.526027397260274"/>
        <n v="4.9671232876712326"/>
        <n v="3.0246575342465754"/>
        <n v="3.6164383561643834"/>
        <n v="7.9205479452054792"/>
        <n v="9.9205479452054792"/>
        <n v="4.4986301369863018"/>
        <n v="9.6849315068493151"/>
        <n v="9.2684931506849306"/>
        <n v="9.8767123287671232"/>
        <n v="8.4547945205479458"/>
        <n v="4.5890410958904111"/>
        <n v="1.9726027397260273"/>
        <n v="7.1726027397260275"/>
        <n v="4.6712328767123283"/>
        <n v="5.5041095890410956"/>
        <n v="3.2712328767123289"/>
        <n v="6.0109589041095894"/>
        <n v="5.087671232876712"/>
        <n v="8.087671232876712"/>
        <n v="9.4054794520547951"/>
        <n v="1.4958904109589042"/>
        <n v="17.065753424657533"/>
        <n v="10.093150684931507"/>
        <n v="15.095890410958905"/>
        <n v="11.008219178082191"/>
        <n v="10.33972602739726"/>
        <n v="10.334246575342465"/>
        <n v="12.682191780821919"/>
        <n v="9.4904109589041088"/>
        <n v="3.506849315068493"/>
        <n v="11"/>
        <n v="8.0082191780821912"/>
        <n v="0.24657534246575341"/>
        <n v="7.0136986301369859"/>
        <n v="6.5424657534246577"/>
        <n v="9.0082191780821912"/>
        <n v="5.2219178082191782"/>
        <n v="7.506849315068493"/>
        <n v="11.180821917808219"/>
        <n v="9.9479452054794528"/>
        <n v="10.328767123287671"/>
        <n v="11.260273972602739"/>
        <n v="9.7589041095890412"/>
        <n v="9.3397260273972602"/>
        <n v="10.021917808219179"/>
        <n v="6.5287671232876709"/>
        <n v="9.4301369863013704"/>
        <n v="10.547945205479452"/>
        <n v="7.0109589041095894"/>
        <n v="10.641095890410959"/>
        <n v="27.816438356164383"/>
        <n v="8.8410958904109584"/>
        <n v="28.367123287671234"/>
        <n v="29.526027397260275"/>
        <n v="8.8849315068493144"/>
        <n v="12.882191780821918"/>
        <n v="9.3369863013698637"/>
        <n v="6.3643835616438356"/>
        <n v="11.254794520547945"/>
        <n v="29.172602739726027"/>
      </sharedItems>
    </cacheField>
    <cacheField name="βLP" numFmtId="3">
      <sharedItems containsSemiMixedTypes="0" containsString="0" containsNumber="1" containsInteger="1" minValue="0" maxValue="1"/>
    </cacheField>
    <cacheField name="Garantia/Especie" numFmtId="0">
      <sharedItems count="6">
        <s v="Real"/>
        <s v="COMPANY GUARNT"/>
        <s v="Quirografária"/>
        <s v="Flutuante"/>
        <s v="SR SECURED"/>
        <s v="-"/>
      </sharedItems>
    </cacheField>
    <cacheField name="βGarantia" numFmtId="0">
      <sharedItems count="4">
        <s v="1"/>
        <s v="0"/>
        <s v="N" u="1"/>
        <s v="S" u="1"/>
      </sharedItems>
    </cacheField>
    <cacheField name="Quantidade Emitida" numFmtId="0">
      <sharedItems containsString="0" containsBlank="1" containsNumber="1" containsInteger="1" minValue="10" maxValue="1600000000"/>
    </cacheField>
    <cacheField name="Valor Nominal na Emissao" numFmtId="0">
      <sharedItems containsString="0" containsBlank="1" containsNumber="1" minValue="1" maxValue="40000000"/>
    </cacheField>
    <cacheField name="Preço USD" numFmtId="0">
      <sharedItems containsMixedTypes="1" containsNumber="1" minValue="1.5539000000000001" maxValue="5.6322000000000001"/>
    </cacheField>
    <cacheField name="Volume Emissão" numFmtId="3">
      <sharedItems containsSemiMixedTypes="0" containsString="0" containsNumber="1" minValue="27000000" maxValue="5836134000"/>
    </cacheField>
    <cacheField name="Volume R$ (100 MM)" numFmtId="4">
      <sharedItems containsSemiMixedTypes="0" containsString="0" containsNumber="1" minValue="2.7E-2" maxValue="186.32441408400001" count="646">
        <n v="4"/>
        <n v="15.670500000000001"/>
        <n v="1.5"/>
        <n v="5.335"/>
        <n v="3.05"/>
        <n v="3"/>
        <n v="8"/>
        <n v="0.66500000000000004"/>
        <n v="12.672800000000001"/>
        <n v="31"/>
        <n v="5"/>
        <n v="1.546"/>
        <n v="7"/>
        <n v="2"/>
        <n v="3.5"/>
        <n v="0.45400000000000001"/>
        <n v="2.5"/>
        <n v="12.6335"/>
        <n v="10"/>
        <n v="2.3664999999999998"/>
        <n v="27.015499999999999"/>
        <n v="27.599499999999999"/>
        <n v="2.54"/>
        <n v="0.88"/>
        <n v="0.82940000000000003"/>
        <n v="1.8"/>
        <n v="5.5"/>
        <n v="0.78449999999999998"/>
        <n v="4.7805999999999997"/>
        <n v="4.3"/>
        <n v="6"/>
        <n v="2.52"/>
        <n v="19.918559999999999"/>
        <n v="1"/>
        <n v="1.05"/>
        <n v="30.5244"/>
        <n v="12.975199999999999"/>
        <n v="4.5"/>
        <n v="1.6"/>
        <n v="0.5"/>
        <n v="7.95"/>
        <n v="3.99"/>
        <n v="7.7694999999999999"/>
        <n v="5.1014999999999997"/>
        <n v="12.042"/>
        <n v="9.5715000000000003"/>
        <n v="11.826000000000001"/>
        <n v="4.33"/>
        <n v="59.67"/>
        <n v="39.602499999999999"/>
        <n v="29.835000000000001"/>
        <n v="30.9846"/>
        <n v="15.840999999999999"/>
        <n v="0.7"/>
        <n v="4.1173200000000003"/>
        <n v="2.68268"/>
        <n v="16.1145"/>
        <n v="31.286249999999999"/>
        <n v="27.216999999999999"/>
        <n v="11.0625"/>
        <n v="10.1905"/>
        <n v="10.087999999999999"/>
        <n v="16.896599999999999"/>
        <n v="5.1842499999999996"/>
        <n v="0.72"/>
        <n v="4.1081700000000003"/>
        <n v="16.149999999999999"/>
        <n v="10.955080000000001"/>
        <n v="6.5367499999999996"/>
        <n v="15.75"/>
        <n v="21.6"/>
        <n v="15"/>
        <n v="4.8"/>
        <n v="14"/>
        <n v="9.7274999999999991"/>
        <n v="22.4"/>
        <n v="0.27250000000000002"/>
        <n v="6.7"/>
        <n v="0.27"/>
        <n v="32.316000000000003"/>
        <n v="19.234000000000002"/>
        <n v="2.2999999999999998"/>
        <n v="8.9920000000000009"/>
        <n v="46"/>
        <n v="30"/>
        <n v="9.7318200000000008"/>
        <n v="8.3859300000000019"/>
        <n v="19"/>
        <n v="17"/>
        <n v="7.5"/>
        <n v="9"/>
        <n v="17.399999999999999"/>
        <n v="6.3687158999999998"/>
        <n v="16.9145"/>
        <n v="9.8354999999999997"/>
        <n v="4.8941999999999997"/>
        <n v="28.232250000000001"/>
        <n v="5.7644799999999998"/>
        <n v="4.2355200000000002"/>
        <n v="42.058"/>
        <n v="16.2576"/>
        <n v="43.039749999999998"/>
        <n v="23.531400000000001"/>
        <n v="11.485250000000001"/>
        <n v="6.7476500000000001"/>
        <n v="3.4432"/>
        <n v="15.6876"/>
        <n v="9.4"/>
        <n v="12.2143"/>
        <n v="11"/>
        <n v="12"/>
        <n v="22"/>
        <n v="31.78125"/>
        <n v="21.1875"/>
        <n v="30.303000000000001"/>
        <n v="1.9906900000000001"/>
        <n v="1.0093099999999999"/>
        <n v="3.9340000000000002"/>
        <n v="21.101600000000001"/>
        <n v="14.837999999999999"/>
        <n v="11.167999999999999"/>
        <n v="13.3116"/>
        <n v="13.315799999999999"/>
        <n v="21.002999999999997"/>
        <n v="10.5"/>
        <n v="2.2187000000000001"/>
        <n v="6.1021700000000001"/>
        <n v="2.2187999999999999"/>
        <n v="4.8080999999999996"/>
        <n v="21.34535"/>
        <n v="33.627099999999999"/>
        <n v="15.719099999999999"/>
        <n v="8.1300000000000008"/>
        <n v="7.8208000000000002"/>
        <n v="3.9260000000000002"/>
        <n v="2.8"/>
        <n v="26.832000000000001"/>
        <n v="19.1784"/>
        <n v="24.85"/>
        <n v="2.35"/>
        <n v="11.785500000000001"/>
        <n v="1.75719"/>
        <n v="1.68668"/>
        <n v="1.6866699999999999"/>
        <n v="2.2233399999999999"/>
        <n v="1.03355"/>
        <n v="1.0335399999999999"/>
        <n v="0.99207000000000001"/>
        <n v="0.99206000000000005"/>
        <n v="1.3077300000000001"/>
        <n v="1.30772"/>
        <n v="3.0765199999999999"/>
        <n v="3.0765099999999999"/>
        <n v="2.9530500000000002"/>
        <n v="3.8926599999999998"/>
        <n v="16.797750000000001"/>
        <n v="12.4"/>
        <n v="3.9773200000000002"/>
        <n v="3.3879999999999999"/>
        <n v="1.1120000000000001"/>
        <n v="20.884399999999999"/>
        <n v="19.215"/>
        <n v="27.3155"/>
        <n v="15.6585"/>
        <n v="11.093500000000001"/>
        <n v="8.4016000000000002"/>
        <n v="9.3817500000000003"/>
        <n v="1.7"/>
        <n v="4.25"/>
        <n v="3.6"/>
        <n v="1.75"/>
        <n v="1.9877800000000001"/>
        <n v="4.5866400000000001"/>
        <n v="5.4"/>
        <n v="1.325"/>
        <n v="5.0039999999999996"/>
        <n v="1.47889"/>
        <n v="4.2294999999999998"/>
        <n v="0.53332999999999997"/>
        <n v="2.6349999999999998"/>
        <n v="0.625"/>
        <n v="9.1638099999999998"/>
        <n v="2.6850000000000001"/>
        <n v="1.496"/>
        <n v="6.5"/>
        <n v="30.188400000000001"/>
        <n v="21.250800000000002"/>
        <n v="2.3820000000000001"/>
        <n v="82.129499999999993"/>
        <n v="32.081000000000003"/>
        <n v="23.71725"/>
        <n v="25.419"/>
        <n v="18.879349999999999"/>
        <n v="12.14325"/>
        <n v="8.8187999999999995"/>
        <n v="12.2028"/>
        <n v="39.781999999999996"/>
        <n v="19.8185"/>
        <n v="55.468000000000004"/>
        <n v="16.438500000000001"/>
        <n v="32.533999999999999"/>
        <n v="20.7056"/>
        <n v="16.89545"/>
        <n v="11.5101"/>
        <n v="1.8327"/>
        <n v="4.5087999999999999"/>
        <n v="6.0388999999999999"/>
        <n v="1.3825000000000001"/>
        <n v="2.1447799999999999"/>
        <n v="11.5"/>
        <n v="1.8149999999999999"/>
        <n v="1.3811199999999999"/>
        <n v="1.6645000000000001"/>
        <n v="1.3025"/>
        <n v="2.4741"/>
        <n v="2.8355000000000001"/>
        <n v="15.771000000000001"/>
        <n v="7.7272999999999996"/>
        <n v="3.8904000000000001"/>
        <n v="18.2727"/>
        <n v="3.0831"/>
        <n v="3.0265"/>
        <n v="0.95699999999999996"/>
        <n v="6.8726000000000003"/>
        <n v="3.9451999999999998"/>
        <n v="54.081000000000003"/>
        <n v="23.792999999999999"/>
        <n v="23.5"/>
        <n v="16"/>
        <n v="41.686019999999999"/>
        <n v="18.979399999999998"/>
        <n v="61.518784799999999"/>
        <n v="3.01"/>
        <n v="8.9839699999999993"/>
        <n v="15.29339"/>
        <n v="10.89892"/>
        <n v="16.94089"/>
        <n v="14.7867"/>
        <n v="33.46237"/>
        <n v="10.075139999999999"/>
        <n v="2.5169000000000001"/>
        <n v="75.765000000000001"/>
        <n v="23.513000000000002"/>
        <n v="75.952500000000015"/>
        <n v="64.188000000000002"/>
        <n v="84.950999999999993"/>
        <n v="58.782499999999999"/>
        <n v="63.448"/>
        <n v="16.712"/>
        <n v="62.394500000000001"/>
        <n v="88.392499999999998"/>
        <n v="35.573999999999998"/>
        <n v="186.32441408400001"/>
        <n v="168.58660144599997"/>
        <n v="120.037481916"/>
        <n v="71.147999999999996"/>
        <n v="41.78"/>
        <n v="178.27"/>
        <n v="30.175249999999998"/>
        <n v="37.620800000000003"/>
        <n v="21.553750000000001"/>
        <n v="35.269500000000008"/>
        <n v="3.1"/>
        <n v="0.95499999999999996"/>
        <n v="0.84968640426999997"/>
        <n v="10.941700000000001"/>
        <n v="1.05975"/>
        <n v="1.6951799999999999"/>
        <n v="3.4"/>
        <n v="3.0402499999999999"/>
        <n v="15.956"/>
        <n v="11.995200000000001"/>
        <n v="25"/>
        <n v="35.600549999999998"/>
        <n v="16.158999999999999"/>
        <n v="15.184049999999999"/>
        <n v="5.3916000000000004"/>
        <n v="1.4367482624000001"/>
        <n v="2.7084000000000001"/>
        <n v="2.1600146063999999"/>
        <n v="9.0685599999999997"/>
        <n v="3.7652299999999999"/>
        <n v="7.84619"/>
        <n v="2.2227999999999999"/>
        <n v="8.2347699999999993"/>
        <n v="2.5881500000000002"/>
        <n v="26.716999999999999"/>
        <n v="26.388500000000001"/>
        <n v="1.1299999999999999"/>
        <n v="1.5242899999999999"/>
        <n v="1.6517500000000001"/>
        <n v="0.62472000000000005"/>
        <n v="0.71750999999999998"/>
        <n v="1.8509899999999999"/>
        <n v="1.6307400000000001"/>
        <n v="3.4493999999999998"/>
        <n v="12.45"/>
        <n v="1.0506"/>
        <n v="2.5499999999999998"/>
        <n v="33.141874999999999"/>
        <n v="10.286574999999999"/>
        <n v="10.469225"/>
        <n v="46.811"/>
        <n v="40"/>
        <n v="9.3222000000000005"/>
        <n v="30.050999999999998"/>
        <n v="50.048999999999999"/>
        <n v="39.733499999999992"/>
        <n v="26.091999999999999"/>
        <n v="16.1525"/>
        <n v="40.991"/>
        <n v="39.959000000000003"/>
        <n v="9.9897500000000008"/>
        <n v="6.2275999999999998"/>
        <n v="18.75"/>
        <n v="27.55125"/>
        <n v="17.25"/>
        <n v="19.36"/>
        <n v="24.228000000000002"/>
        <n v="18.770150000000001"/>
        <n v="13"/>
        <n v="28.11225"/>
        <n v="80.213999999999999"/>
        <n v="31.295999999999999"/>
        <n v="42.818750000000001"/>
        <n v="40.59225"/>
        <n v="30.288"/>
        <n v="12.05925"/>
        <n v="8.6095000000000006"/>
        <n v="3.2315999999999998" u="1"/>
        <n v="1.24" u="1"/>
        <n v="0.05" u="1"/>
        <n v="0.36" u="1"/>
        <n v="1.91784" u="1"/>
        <n v="7.5952500000000009" u="1"/>
        <n v="0.25881500000000002" u="1"/>
        <n v="1.0941700000000001" u="1"/>
        <n v="3.1295999999999999" u="1"/>
        <n v="0.13025" u="1"/>
        <n v="0.130773" u="1"/>
        <n v="2.755125" u="1"/>
        <n v="4.5400000000000003E-2" u="1"/>
        <n v="1.1093500000000001" u="1"/>
        <n v="0.42499999999999999" u="1"/>
        <n v="4.2818750000000003" u="1"/>
        <n v="16.858660144599998" u="1"/>
        <n v="8.294E-2" u="1"/>
        <n v="3.0051000000000001" u="1"/>
        <n v="0.43" u="1"/>
        <n v="0.42355199999999998" u="1"/>
        <n v="0.2382" u="1"/>
        <n v="1.22028" u="1"/>
        <n v="7.0000000000000007E-2" u="1"/>
        <n v="1.5670500000000001" u="1"/>
        <n v="2.4849999999999999" u="1"/>
        <n v="1.529339" u="1"/>
        <n v="0.88188" u="1"/>
        <n v="1.148525" u="1"/>
        <n v="0.13825000000000001" u="1"/>
        <n v="1.17855" u="1"/>
        <n v="3.3141875000000001" u="1"/>
        <n v="0.3" u="1"/>
        <n v="1.10625" u="1"/>
        <n v="2.7315499999999999" u="1"/>
        <n v="7.1750999999999995E-2" u="1"/>
        <n v="1.29752" u="1"/>
        <n v="0.16644999999999999" u="1"/>
        <n v="0.103354" u="1"/>
        <n v="3.0303" u="1"/>
        <n v="0.30499999999999999" u="1"/>
        <n v="0.30402499999999999" u="1"/>
        <n v="0.47805999999999998" u="1"/>
        <n v="0.18" u="1"/>
        <n v="1.26728" u="1"/>
        <n v="1.61145" u="1"/>
        <n v="1.6896599999999999" u="1"/>
        <n v="0.75" u="1"/>
        <n v="0.97275" u="1"/>
        <n v="3.128625" u="1"/>
        <n v="3.3462369999999999" u="1"/>
        <n v="0.48942000000000002" u="1"/>
        <n v="0.105" u="1"/>
        <n v="18.632441408400002" u="1"/>
        <n v="1.1995199999999999" u="1"/>
        <n v="1.2041999999999999" u="1"/>
        <n v="2.3717250000000001" u="1"/>
        <n v="0.19877800000000001" u="1"/>
        <n v="9.9206000000000003E-2" u="1"/>
        <n v="1.4838" u="1"/>
        <n v="1.4786699999999999" u="1"/>
        <n v="0.30830999999999997" u="1"/>
        <n v="3.3627099999999999" u="1"/>
        <n v="0.28355000000000002" u="1"/>
        <n v="2.11016" u="1"/>
        <n v="1.9215" u="1"/>
        <n v="0.15" u="1"/>
        <n v="9.5500000000000002E-2" u="1"/>
        <n v="0.22187999999999999" u="1"/>
        <n v="0.31" u="1"/>
        <n v="1.3311599999999999" u="1"/>
        <n v="2.7E-2" u="1"/>
        <n v="1.2059249999999999" u="1"/>
        <n v="2.16" u="1"/>
        <n v="1.679775" u="1"/>
        <n v="6.2394499999999997" u="1"/>
        <n v="0.39340000000000003" u="1"/>
        <n v="1.3" u="1"/>
        <n v="1.007514" u="1"/>
        <n v="2.2000000000000002" u="1"/>
        <n v="0.84016000000000002" u="1"/>
        <n v="0.113" u="1"/>
        <n v="2.1345350000000001" u="1"/>
        <n v="3.5600550000000002" u="1"/>
        <n v="0.57644799999999996" u="1"/>
        <n v="1.01905" u="1"/>
        <n v="4.3039750000000003" u="1"/>
        <n v="0.53349999999999997" u="1"/>
        <n v="2.7216999999999998" u="1"/>
        <n v="1.7250000000000001" u="1"/>
        <n v="3.7620800000000005" u="1"/>
        <n v="0.9" u="1"/>
        <n v="3.9733499999999995" u="1"/>
        <n v="0.77273000000000003" u="1"/>
        <n v="0.15242900000000001" u="1"/>
        <n v="12.0037481916" u="1"/>
        <n v="17.827000000000002" u="1"/>
        <n v="1.26335" u="1"/>
        <n v="0.26350000000000001" u="1"/>
        <n v="1.6152500000000001" u="1"/>
        <n v="0.25" u="1"/>
        <n v="0.78208" u="1"/>
        <n v="4.5999999999999996" u="1"/>
        <n v="0.77695000000000003" u="1"/>
        <n v="0.906856" u="1"/>
        <n v="0.26850000000000002" u="1"/>
        <n v="6.4188000000000001" u="1"/>
        <n v="0.255" u="1"/>
        <n v="0.105975" u="1"/>
        <n v="1.9918560000000001" u="1"/>
        <n v="0.25169000000000002" u="1"/>
        <n v="0.39773199999999997" u="1"/>
        <n v="0.68725999999999998" u="1"/>
        <n v="3.01884" u="1"/>
        <n v="0.50039999999999996" u="1"/>
        <n v="3.9602499999999998" u="1"/>
        <n v="0.65" u="1"/>
        <n v="1.1000000000000001" u="1"/>
        <n v="2.2400000000000002" u="1"/>
        <n v="2.7599499999999999" u="1"/>
        <n v="0.130772" u="1"/>
        <n v="3.1781250000000001" u="1"/>
        <n v="0.11119999999999999" u="1"/>
        <n v="1.0286574999999998" u="1"/>
        <n v="1.0955079999999999" u="1"/>
        <n v="0.163074" u="1"/>
        <n v="1.22143" u="1"/>
        <n v="1.6914499999999999" u="1"/>
        <n v="2.3793000000000002" u="1"/>
        <n v="0.29530499999999998" u="1"/>
        <n v="6.2472E-2" u="1"/>
        <n v="0.103355" u="1"/>
        <n v="0.16517499999999999" u="1"/>
        <n v="0.45" u="1"/>
        <n v="2.6388500000000001" u="1"/>
        <n v="0.8" u="1"/>
        <n v="0.67476499999999995" u="1"/>
        <n v="3.9958999999999998" u="1"/>
        <n v="2.725E-2" u="1"/>
        <n v="1.5719099999999999" u="1"/>
        <n v="0.16866800000000001" u="1"/>
        <n v="2.7015500000000001" u="1"/>
        <n v="8.4951000000000008" u="1"/>
        <n v="0.433" u="1"/>
        <n v="0.27084000000000003" u="1"/>
        <n v="0.82347700000000001" u="1"/>
        <n v="0.54" u="1"/>
        <n v="0.79500000000000004" u="1"/>
        <n v="0.30765199999999998" u="1"/>
        <n v="0.65367500000000001" u="1"/>
        <n v="1.2450000000000001" u="1"/>
        <n v="4.1686019999999999" u="1"/>
        <n v="1.9" u="1"/>
        <n v="2.6092" u="1"/>
        <n v="1.5955999999999999" u="1"/>
        <n v="0.53915999999999997" u="1"/>
        <n v="0.16" u="1"/>
        <n v="2.6831999999999998" u="1"/>
        <n v="5.4081000000000001" u="1"/>
        <n v="7.1999999999999995E-2" u="1"/>
        <n v="0.55000000000000004" u="1"/>
        <n v="2.1553749999999998" u="1"/>
        <n v="0.3926" u="1"/>
        <n v="0.67" u="1"/>
        <n v="9.9207000000000004E-2" u="1"/>
        <n v="1.33158" u="1"/>
        <n v="2.8112249999999999" u="1"/>
        <n v="0.41081699999999999" u="1"/>
        <n v="1.518405" u="1"/>
        <n v="2.4228000000000001" u="1"/>
        <n v="8.0213999999999999" u="1"/>
        <n v="0.23665" u="1"/>
        <n v="0.14788899999999999" u="1"/>
        <n v="7.8450000000000006E-2" u="1"/>
        <n v="4.1779999999999999" u="1"/>
        <n v="0.916381" u="1"/>
        <n v="0.254" u="1"/>
        <n v="0.45088" u="1"/>
        <n v="0.18149999999999999" u="1"/>
        <n v="1.4" u="1"/>
        <n v="1.9818499999999999" u="1"/>
        <n v="0.51014999999999999" u="1"/>
        <n v="2.3513000000000002" u="1"/>
        <n v="8.2129499999999993" u="1"/>
        <n v="2.1187499999999999" u="1"/>
        <n v="0.45866400000000002" u="1"/>
        <n v="0.10506" u="1"/>
        <n v="0.4" u="1"/>
        <n v="0.51842500000000002" u="1"/>
        <n v="3.0984600000000002" u="1"/>
        <n v="6.25E-2" u="1"/>
        <n v="0.9731820000000001" u="1"/>
        <n v="0.22187000000000001" u="1"/>
        <n v="0.78461899999999996" u="1"/>
        <n v="2.0884399999999999" u="1"/>
        <n v="1.1499999999999999" u="1"/>
        <n v="0.26826800000000001" u="1"/>
        <n v="0.376523" u="1"/>
        <n v="0.62275999999999998" u="1"/>
        <n v="0.14960000000000001" u="1"/>
        <n v="0.94" u="1"/>
        <n v="0.86094999999999999" u="1"/>
        <n v="0.98355000000000004" u="1"/>
        <n v="0.13250000000000001" u="1"/>
        <n v="1.64385" u="1"/>
        <n v="5.8782500000000004" u="1"/>
        <n v="0.21600146063999998" u="1"/>
        <n v="0.63687159000000004" u="1"/>
        <n v="1.89794" u="1"/>
        <n v="4.2058" u="1"/>
        <n v="0.24740999999999999" u="1"/>
        <n v="6.6500000000000004E-2" u="1"/>
        <n v="5.9669999999999996" u="1"/>
        <n v="0.222334" u="1"/>
        <n v="0.18326999999999999" u="1"/>
        <n v="0.34" u="1"/>
        <n v="0.389266" u="1"/>
        <n v="0.14367482624" u="1"/>
        <n v="0.30765100000000001" u="1"/>
        <n v="1.8272699999999999" u="1"/>
        <n v="2.3531399999999998" u="1"/>
        <n v="1.5687599999999999" u="1"/>
        <n v="0.2" u="1"/>
        <n v="0.61021700000000001" u="1"/>
        <n v="0.13811200000000001" u="1"/>
        <n v="1.56585" u="1"/>
        <n v="0.33879999999999999" u="1"/>
        <n v="2.5419" u="1"/>
        <n v="0.99897499999999995" u="1"/>
        <n v="0.93222000000000005" u="1"/>
        <n v="0.23" u="1"/>
        <n v="3.017525" u="1"/>
        <n v="1.8770150000000001" u="1"/>
        <n v="0.17571899999999999" u="1"/>
        <n v="2.1250800000000001" u="1"/>
        <n v="3.0287999999999999" u="1"/>
        <n v="0.30264999999999997" u="1"/>
        <n v="2.6717" u="1"/>
        <n v="4.0592249999999996" u="1"/>
        <n v="0.81299999999999994" u="1"/>
        <n v="2.07056" u="1"/>
        <n v="0.41173199999999999" u="1"/>
        <n v="0.15459999999999999" u="1"/>
        <n v="8.7999999999999995E-2" u="1"/>
        <n v="1.575" u="1"/>
        <n v="3.9782000000000002" u="1"/>
        <n v="2.1002999999999998" u="1"/>
        <n v="7.5765000000000002" u="1"/>
        <n v="8.8392499999999998" u="1"/>
        <n v="0.28000000000000003" u="1"/>
        <n v="1.694089" u="1"/>
        <n v="6.3448000000000002" u="1"/>
        <n v="2.9834999999999998" u="1"/>
        <n v="6.1518784799999997" u="1"/>
        <n v="3.0524399999999998" u="1"/>
        <n v="7.1147999999999998" u="1"/>
        <n v="1.1826000000000001" u="1"/>
        <n v="4.6810999999999998" u="1"/>
        <n v="0.39900000000000002" u="1"/>
        <n v="1.1168" u="1"/>
        <n v="0.39451999999999998" u="1"/>
        <n v="1.0087999999999999" u="1"/>
        <n v="1.9234" u="1"/>
        <n v="0.17" u="1"/>
        <n v="1.8879349999999997" u="1"/>
        <n v="0.48081000000000002" u="1"/>
        <n v="1.2" u="1"/>
        <n v="9.5699999999999993E-2" u="1"/>
        <n v="2.8232249999999999" u="1"/>
        <n v="0.18509900000000001" u="1"/>
        <n v="0.199069" u="1"/>
        <n v="0.35" u="1"/>
        <n v="3.5269500000000007" u="1"/>
        <n v="0.95714999999999995" u="1"/>
        <n v="0.1" u="1"/>
        <n v="5.3332999999999998E-2" u="1"/>
        <n v="0.10093100000000001" u="1"/>
        <n v="1.6257600000000001" u="1"/>
        <n v="8.4968640427000003E-2" u="1"/>
        <n v="0.83859300000000014" u="1"/>
        <n v="5.5468000000000002" u="1"/>
        <n v="0.16866700000000001" u="1"/>
        <n v="0.30099999999999999" u="1"/>
        <n v="4.0991" u="1"/>
        <n v="1.5841000000000001" u="1"/>
        <n v="0.34432000000000001" u="1"/>
        <n v="1.9359999999999999" u="1"/>
        <n v="1.1510100000000001" u="1"/>
        <n v="0.23499999999999999" u="1"/>
        <n v="0.42294999999999999" u="1"/>
        <n v="1.6712" u="1"/>
        <n v="1.6158999999999999" u="1"/>
        <n v="3.2534000000000001" u="1"/>
        <n v="0.898397" u="1"/>
        <n v="0.214478" u="1"/>
        <n v="0.252" u="1"/>
        <n v="0.60389000000000004" u="1"/>
        <n v="0.48" u="1"/>
        <n v="5.0049000000000001" u="1"/>
        <n v="1.74" u="1"/>
        <n v="0.38904" u="1"/>
        <n v="1.0898920000000001" u="1"/>
        <n v="0.93817499999999998" u="1"/>
        <n v="1.615" u="1"/>
        <n v="3.2081" u="1"/>
        <n v="3.5573999999999999" u="1"/>
        <n v="0.34494000000000002" u="1"/>
        <n v="0.169518" u="1"/>
        <n v="1.6895450000000001" u="1"/>
        <n v="0.22228000000000001" u="1"/>
        <n v="1.2143250000000001" u="1"/>
        <n v="1.5770999999999999" u="1"/>
        <n v="0.6" u="1"/>
        <n v="1.0469225" u="1"/>
        <n v="1.875" u="1"/>
        <n v="0.89920000000000011" u="1"/>
        <n v="0.17499999999999999" u="1"/>
      </sharedItems>
    </cacheField>
    <cacheField name="indice" numFmtId="0">
      <sharedItems/>
    </cacheField>
    <cacheField name="Percentual Multiplicador/Rentabilidade" numFmtId="0">
      <sharedItems containsMixedTypes="1" containsNumber="1" minValue="80" maxValue="146.5"/>
    </cacheField>
    <cacheField name="JurosCriterioNovo-Taxa" numFmtId="0">
      <sharedItems containsBlank="1" containsMixedTypes="1" containsNumber="1" minValue="0.45400000000000001" maxValue="12.25"/>
    </cacheField>
    <cacheField name="Spread DI+" numFmtId="10">
      <sharedItems containsSemiMixedTypes="0" containsString="0" containsNumber="1" minValue="-2.0816001846274228E-2" maxValue="8.0867187505597959E-2" count="382">
        <n v="1.1940699254376463E-2"/>
        <n v="1.8243284135623039E-2"/>
        <n v="0.03"/>
        <n v="2.3E-2"/>
        <n v="1.3999999999999999E-2"/>
        <n v="1.8000000000000002E-2"/>
        <n v="2.1499999999999998E-2"/>
        <n v="1.9E-2"/>
        <n v="1.192847043520584E-2"/>
        <n v="2.0530424709657602E-2"/>
        <n v="1.9581088218107286E-2"/>
        <n v="3.0695966659125551E-2"/>
        <n v="1.4098648233335002E-2"/>
        <n v="1.9763618005311328E-2"/>
        <n v="1.3334596901974803E-2"/>
        <n v="1.03E-2"/>
        <n v="1.301109180961219E-2"/>
        <n v="2.1109162423284023E-2"/>
        <n v="1.3728575122936541E-2"/>
        <n v="1.3730194668303969E-2"/>
        <n v="1.5428548827166107E-2"/>
        <n v="1.1812850252158391E-2"/>
        <n v="1.5132821505853046E-2"/>
        <n v="1.4667591244999861E-2"/>
        <n v="1.5236903832019529E-2"/>
        <n v="3.7302364716141012E-2"/>
        <n v="1.7299889270069091E-2"/>
        <n v="2.7650555444061808E-2"/>
        <n v="3.0171006128791644E-2"/>
        <n v="1.0154394942621438E-2"/>
        <n v="2.5918275031720832E-2"/>
        <n v="2.8999999999999998E-2"/>
        <n v="7.5441064164305741E-3"/>
        <n v="5.4000000000000006E-2"/>
        <n v="4.9623241768894877E-2"/>
        <n v="5.2837497010265371E-3"/>
        <n v="9.840006657273942E-3"/>
        <n v="3.0202927202235993E-2"/>
        <n v="4.0417528558939264E-2"/>
        <n v="6.765181369987272E-2"/>
        <n v="2.959836153967476E-2"/>
        <n v="2.343930710942525E-2"/>
        <n v="2.4482383374950623E-2"/>
        <n v="3.3341303280623673E-2"/>
        <n v="3.1475868118271078E-2"/>
        <n v="2.4094206287527543E-2"/>
        <n v="2.8500000000000001E-2"/>
        <n v="1.4999999999999999E-2"/>
        <n v="0.05"/>
        <n v="5.7849645880048151E-2"/>
        <n v="4.7873274823730716E-2"/>
        <n v="7.4999999999999997E-3"/>
        <n v="1.29E-2"/>
        <n v="4.0500000000000001E-2"/>
        <n v="3.7999999999999999E-2"/>
        <n v="1.95E-2"/>
        <n v="1.609587357932396E-2"/>
        <n v="1.8500000000000003E-2"/>
        <n v="3.5000000000000003E-2"/>
        <n v="3.1506175639021139E-2"/>
        <n v="4.015736044542062E-2"/>
        <n v="1.5655636247780658E-2"/>
        <n v="1.3981539578857394E-2"/>
        <n v="6.4483573642899472E-3"/>
        <n v="1.6699915905651563E-2"/>
        <n v="1.5244251038439627E-2"/>
        <n v="4.7333622949210508E-3"/>
        <n v="3.4199026263797672E-2"/>
        <n v="7.0491951816031628E-2"/>
        <n v="1.0791639435281386E-3"/>
        <n v="8.0000000000000002E-3"/>
        <n v="2.6438609515595513E-2"/>
        <n v="1.4499999999999999E-2"/>
        <n v="-3.8286906505957674E-4"/>
        <n v="2.11059573457959E-2"/>
        <n v="4.023753387741702E-2"/>
        <n v="3.0723252824105263E-3"/>
        <n v="4.1188055372809451E-4"/>
        <n v="1.9452624262604967E-2"/>
        <n v="3.9972371689434905E-2"/>
        <n v="1.8972618106170458E-2"/>
        <n v="6.8999999999999999E-3"/>
        <n v="8.1521380967564117E-3"/>
        <n v="1.087163456281659E-2"/>
        <n v="4.6923739593280958E-2"/>
        <n v="1.7500000000000002E-2"/>
        <n v="4.5399999999999998E-3"/>
        <n v="4.1325287443632064E-3"/>
        <n v="9.0000000000000011E-3"/>
        <n v="8.5000000000000006E-3"/>
        <n v="1.7000000000000001E-2"/>
        <n v="1.6E-2"/>
        <n v="4.6189209405952517E-2"/>
        <n v="8.8398325053484772E-3"/>
        <n v="1.4475248313748024E-2"/>
        <n v="9.5540485226726091E-3"/>
        <n v="2.6847053391805136E-2"/>
        <n v="5.5905388633823883E-2"/>
        <n v="4.5432526897638104E-2"/>
        <n v="1.55E-2"/>
        <n v="2.9739089651910078E-3"/>
        <n v="7.4582735496095606E-3"/>
        <n v="2.4006291517652606E-3"/>
        <n v="1.4076687668435506E-2"/>
        <n v="2.1536877034549897E-2"/>
        <n v="2.2258713158324065E-2"/>
        <n v="4.3576180954415858E-3"/>
        <n v="1.6500000000000001E-2"/>
        <n v="0.02"/>
        <n v="1.8582648043217409E-2"/>
        <n v="2.6499999999999999E-2"/>
        <n v="2.2628024356858401E-2"/>
        <n v="1.8362899748158856E-2"/>
        <n v="1.3518927037481143E-2"/>
        <n v="1.4865820908918748E-2"/>
        <n v="2.7610563309885761E-2"/>
        <n v="1.0185622550690443E-2"/>
        <n v="1.0354764919061399E-2"/>
        <n v="4.1526636118506266E-2"/>
        <n v="4.9964836445694827E-2"/>
        <n v="2.6064604795942081E-2"/>
        <n v="3.9238069640534556E-2"/>
        <n v="3.7734363683545658E-2"/>
        <n v="5.0095109176576447E-2"/>
        <n v="2.3966635794522739E-2"/>
        <n v="3.9182267411901339E-2"/>
        <n v="3.5658030132180718E-2"/>
        <n v="3.9936663477124101E-2"/>
        <n v="6.9999999999999993E-3"/>
        <n v="0.01"/>
        <n v="9.9580365641116497E-3"/>
        <n v="1.2E-2"/>
        <n v="1.2125318250302497E-2"/>
        <n v="2.033447348682027E-2"/>
        <n v="1.3480780535695791E-2"/>
        <n v="9.7562734682465901E-3"/>
        <n v="4.0206608393469345E-3"/>
        <n v="1.8651845037651275E-2"/>
        <n v="6.2185755510817398E-3"/>
        <n v="6.3056578334491187E-2"/>
        <n v="5.908266142141877E-3"/>
        <n v="4.5577590836291355E-3"/>
        <n v="6.433802739494357E-3"/>
        <n v="9.4556217395396214E-3"/>
        <n v="1.4423597626045614E-2"/>
        <n v="3.5467931354284499E-2"/>
        <n v="1.4190824862453599E-2"/>
        <n v="1.2443403559372346E-2"/>
        <n v="1.2190923266410802E-2"/>
        <n v="3.3896976234699429E-2"/>
        <n v="5.1819030804687721E-2"/>
        <n v="4.4999999999999998E-2"/>
        <n v="3.1322493570187238E-2"/>
        <n v="3.3622968399086073E-2"/>
        <n v="6.8343820082715778E-2"/>
        <n v="6.2383573989025498E-2"/>
        <n v="6.287704603173716E-2"/>
        <n v="4.9276563587330902E-2"/>
        <n v="6.965528671008081E-2"/>
        <n v="1.270252601352384E-2"/>
        <n v="1.2509766887391249E-2"/>
        <n v="3.1559344107938925E-2"/>
        <n v="2.3432653155916805E-2"/>
        <n v="1.4115161866876289E-2"/>
        <n v="1.0989691938876599E-2"/>
        <n v="1.3258711060067339E-2"/>
        <n v="1.2548325769659373E-2"/>
        <n v="1.2500000000000001E-2"/>
        <n v="1.41124262469337E-2"/>
        <n v="1.1553595392548743E-2"/>
        <n v="1.6247324630025539E-2"/>
        <n v="3.7499999999999999E-2"/>
        <n v="1.4164291090012484E-2"/>
        <n v="1.6306716609078009E-2"/>
        <n v="-1.2812260942345834E-3"/>
        <n v="9.4999999999999998E-3"/>
        <n v="3.0748646073593067E-2"/>
        <n v="1.3197724978515095E-2"/>
        <n v="4.0312141728838569E-2"/>
        <n v="2.0409370729472132E-2"/>
        <n v="1.6201249241704074E-2"/>
        <n v="7.9904938668893255E-3"/>
        <n v="1.1766151987582685E-2"/>
        <n v="4.6014971236980839E-2"/>
        <n v="2.7905437766002184E-2"/>
        <n v="0.04"/>
        <n v="4.0999999999999995E-2"/>
        <n v="1.142545649491189E-2"/>
        <n v="1.18E-2"/>
        <n v="2.6000000000000002E-2"/>
        <n v="2.8072431015108812E-2"/>
        <n v="1.5342850392917606E-2"/>
        <n v="2.5099999999999997E-2"/>
        <n v="3.9040698438589816E-2"/>
        <n v="2.8884797597171996E-2"/>
        <n v="4.2000000000000003E-2"/>
        <n v="2.2000000000000002E-2"/>
        <n v="3.6142913974750446E-2"/>
        <n v="1.3500000000000002E-2"/>
        <n v="8.4341361251929481E-3"/>
        <n v="2.349734366634082E-2"/>
        <n v="1.8529427683058642E-2"/>
        <n v="1.15E-2"/>
        <n v="3.2883220489348108E-3"/>
        <n v="3.0281665583921757E-2"/>
        <n v="3.0164443942955366E-2"/>
        <n v="3.465399115130971E-2"/>
        <n v="2.9883486935029069E-2"/>
        <n v="2.424881051711214E-2"/>
        <n v="3.3068475659474794E-2"/>
        <n v="2.6399463532976508E-2"/>
        <n v="3.2679352680916152E-2"/>
        <n v="3.7083175447063077E-2"/>
        <n v="3.8252856066533836E-2"/>
        <n v="6.9273082454898605E-2"/>
        <n v="7.405760536218442E-2"/>
        <n v="3.3568350216095499E-2"/>
        <n v="4.1031330001819244E-2"/>
        <n v="2.143565323755614E-2"/>
        <n v="1.9129053004034224E-2"/>
        <n v="1.7976200985041269E-2"/>
        <n v="2.5288359312976905E-2"/>
        <n v="4.1470649175676666E-2"/>
        <n v="1.8719447467970385E-2"/>
        <n v="7.8918372935750769E-2"/>
        <n v="3.7178928481767404E-2"/>
        <n v="8.0867187505597959E-2"/>
        <n v="1.9299999999999998E-2"/>
        <n v="3.7000000000000005E-2"/>
        <n v="2.0499999999999997E-2"/>
        <n v="2.75E-2"/>
        <n v="3.3301888425993686E-2"/>
        <n v="3.752599291835601E-2"/>
        <n v="2.5000000000000001E-2"/>
        <n v="3.2000000000000001E-2"/>
        <n v="2.7000000000000003E-2"/>
        <n v="2.9500000000000002E-2"/>
        <n v="1.5727705203647968E-2"/>
        <n v="3.4508060670419782E-2"/>
        <n v="3.2888592540073924E-2"/>
        <n v="8.4788981808620427E-3"/>
        <n v="9.5028440230666006E-3"/>
        <n v="7.4150203878619323E-3"/>
        <n v="8.8213961141190914E-3"/>
        <n v="9.2460075600163446E-3"/>
        <n v="1.1077013807165486E-2"/>
        <n v="1.081201627685595E-2"/>
        <n v="9.9579739307182093E-3"/>
        <n v="1.2010042098670064E-2"/>
        <n v="1.3189020710146215E-2"/>
        <n v="2.1758156496881842E-2"/>
        <n v="1.805013833392799E-2"/>
        <n v="9.3999999999999986E-3"/>
        <n v="1.2374478439314052E-2"/>
        <n v="-2.0816001846274228E-2"/>
        <n v="1.8277996246921946E-2"/>
        <n v="5.3772411338334658E-2"/>
        <n v="5.5261974590611537E-3"/>
        <n v="-1.1025469042358349E-3"/>
        <n v="-3.5346357219493418E-3"/>
        <n v="8.6028476264177201E-4"/>
        <n v="1.8373437826946226E-3"/>
        <n v="-4.1516193542532331E-3"/>
        <n v="9.6104995909662705E-4"/>
        <n v="6.6759137794922272E-3"/>
        <n v="5.7480659251790966E-3"/>
        <n v="3.2445691227251272E-2"/>
        <n v="3.544129370823601E-2"/>
        <n v="3.6100445862176533E-2"/>
        <n v="2.3777894020265089E-2"/>
        <n v="3.8369561739408864E-2"/>
        <n v="1.6374834684147466E-2"/>
        <n v="1.8023954684549093E-2"/>
        <n v="2.9568365235058458E-2"/>
        <n v="3.4371682858379105E-2"/>
        <n v="4.6185498059376995E-2"/>
        <n v="2.5517885094564541E-2"/>
        <n v="3.3065159368694585E-2"/>
        <n v="2.3698309243131543E-2"/>
        <n v="1.5981106764594299E-2"/>
        <n v="6.35581542044239E-3"/>
        <n v="8.5579889134503873E-3"/>
        <n v="2.1628928786174617E-2"/>
        <n v="4.1836218274165615E-2"/>
        <n v="-4.1753560869517425E-4"/>
        <n v="8.7451265491358399E-3"/>
        <n v="3.165859118178016E-3"/>
        <n v="-2.8946580467299476E-3"/>
        <n v="1.2773335320889867E-2"/>
        <n v="3.5820001863068891E-2"/>
        <n v="1.9018154910432673E-2"/>
        <n v="1.3205942263497262E-2"/>
        <n v="1.7105466406881067E-2"/>
        <n v="1.0180001104728262E-2"/>
        <n v="5.243613224615664E-2"/>
        <n v="2.2142673285790431E-2"/>
        <n v="9.0513681464847728E-3"/>
        <n v="8.8999999999999999E-3"/>
        <n v="3.5893393102754967E-3"/>
        <n v="2.1297387243117472E-2"/>
        <n v="7.2281627997561326E-3"/>
        <n v="2.8543755705650042E-3"/>
        <n v="3.5874829767077676E-2"/>
        <n v="9.0285496807668147E-3"/>
        <n v="2.1000000000000001E-2"/>
        <n v="1.0200000000000001E-2"/>
        <n v="6.2943663344020183E-3"/>
        <n v="2.4E-2"/>
        <n v="7.9000000000000008E-3"/>
        <n v="1.7567539926467424E-2"/>
        <n v="1.3810003622565459E-2"/>
        <n v="1.7587056110925259E-2"/>
        <n v="1.3000000000000001E-2"/>
        <n v="1.9193198348066431E-2"/>
        <n v="2.5499999999999998E-2"/>
        <n v="1.2331886793079949E-3"/>
        <n v="6.8613025290367169E-3"/>
        <n v="2.8576984540753747E-2"/>
        <n v="4.1822530079089759E-3"/>
        <n v="7.5067311753969079E-3"/>
        <n v="3.0341799518824875E-3"/>
        <n v="6.8807341954011392E-3"/>
        <n v="3.4909510387220566E-2"/>
        <n v="2.1179202871856706E-2"/>
        <n v="2.1962358542059985E-2"/>
        <n v="2.0465598430974351E-2"/>
        <n v="1.8882530055031443E-2"/>
        <n v="2.0154403245554658E-2"/>
        <n v="1.9798020773846181E-2"/>
        <n v="2.3068193821138241E-2"/>
        <n v="2.2765255468301326E-2"/>
        <n v="2.2092331408492878E-2"/>
        <n v="9.4818592281103488E-3"/>
        <n v="3.4315254502407466E-2"/>
        <n v="3.6943968404894223E-2"/>
        <n v="3.5294796357836722E-2"/>
        <n v="4.2921095395236586E-2"/>
        <n v="1.4775311220029147E-2"/>
        <n v="1.9761106845022744E-3"/>
        <n v="3.1304109926429291E-2"/>
        <n v="3.6085786666145925E-2"/>
        <n v="1.2449799526929706E-2"/>
        <n v="1.958697356956085E-2"/>
        <n v="7.7868652583821252E-3"/>
        <n v="6.5381578677621288E-3"/>
        <n v="1.3286814777627276E-2"/>
        <n v="1.7126975598439342E-2"/>
        <n v="4.2369839199843939E-2"/>
        <n v="1.6377653273914383E-2"/>
        <n v="3.5770224885680824E-2"/>
        <n v="3.4534885764128553E-2"/>
        <n v="2.2161454320951623E-2"/>
        <n v="8.52775741801645E-3"/>
        <n v="1.1199780455757058E-2"/>
        <n v="4.8186262296113719E-3"/>
        <n v="2.0824236100700722E-2"/>
        <n v="8.3817677559336889E-3"/>
        <n v="3.5403578924644963E-2"/>
        <n v="3.2106564280990568E-2"/>
        <n v="-1.1284162663882658E-4"/>
        <n v="7.5205878770552292E-3"/>
        <n v="2.4544996723085966E-4"/>
        <n v="7.6999024418418216E-3"/>
        <n v="1.5348639145729148E-3"/>
        <n v="2.1918542666863328E-3"/>
        <n v="1.803324538990414E-2"/>
        <n v="1.2194609831299053E-2"/>
        <n v="1.8286108583573712E-2"/>
        <n v="1.4181478949022441E-3"/>
        <n v="2.5937831332745409E-2"/>
        <n v="9.7810905659582829E-3"/>
        <n v="1.8736446205041373E-2"/>
        <n v="2.233316455374515E-2"/>
        <n v="8.7377622129751632E-3"/>
        <n v="1.7597398896003959E-2"/>
        <n v="1.09E-2"/>
        <n v="1.7820376526369006E-2"/>
        <n v="1.5707999980897322E-2"/>
        <n v="1.2301859665232232E-2"/>
        <n v="8.79967786004659E-3"/>
        <n v="3.0551174246535862E-2"/>
        <n v="3.7635157834776889E-2"/>
      </sharedItems>
    </cacheField>
    <cacheField name="Juros Criterio Novo - Prazo" numFmtId="0">
      <sharedItems containsSemiMixedTypes="0" containsString="0" containsNumber="1" containsInteger="1" minValue="252" maxValue="360"/>
    </cacheField>
    <cacheField name="Juros Criterio Novo - Criterio" numFmtId="0">
      <sharedItems/>
    </cacheField>
    <cacheField name="Deb. Incent. (Lei 12.431)" numFmtId="0">
      <sharedItems/>
    </cacheField>
    <cacheField name="βDebInc" numFmtId="0">
      <sharedItems containsSemiMixedTypes="0" containsString="0" containsNumber="1" containsInteger="1" minValue="0" maxValue="1" count="2">
        <n v="1"/>
        <n v="0"/>
      </sharedItems>
    </cacheField>
    <cacheField name="Resgate Antecipado" numFmtId="0">
      <sharedItems/>
    </cacheField>
    <cacheField name="βCall" numFmtId="0">
      <sharedItems containsSemiMixedTypes="0" containsString="0" containsNumber="1" containsInteger="1" minValue="0" maxValue="1" count="2">
        <n v="0"/>
        <n v="1"/>
      </sharedItems>
    </cacheField>
    <cacheField name="Corporate Rating na data da Emissão" numFmtId="0">
      <sharedItems count="15">
        <s v="BB"/>
        <s v="NR"/>
        <s v="BBB-"/>
        <s v="B-"/>
        <s v="CCC-"/>
        <s v="CCC+"/>
        <s v="BB+"/>
        <s v="BBB"/>
        <s v="B+"/>
        <s v="B"/>
        <s v="BBB+"/>
        <s v="BB-"/>
        <s v="CCC"/>
        <s v="C"/>
        <s v="D"/>
      </sharedItems>
    </cacheField>
    <cacheField name="βHighGrade" numFmtId="0">
      <sharedItems containsSemiMixedTypes="0" containsString="0" containsNumber="1" containsInteger="1" minValue="0" maxValue="1" count="2">
        <n v="0"/>
        <n v="1"/>
      </sharedItems>
    </cacheField>
    <cacheField name="RiscoPaís (%)" numFmtId="0">
      <sharedItems containsSemiMixedTypes="0" containsString="0" containsNumber="1" minValue="1.43" maxValue="4.8499999999999996" count="165">
        <n v="2.76"/>
        <n v="2.5499999999999998"/>
        <n v="1.57"/>
        <n v="2.19"/>
        <n v="2.95"/>
        <n v="2.14"/>
        <n v="3.11"/>
        <n v="2.92"/>
        <n v="3.34"/>
        <n v="2.48"/>
        <n v="3.33"/>
        <n v="2.1800000000000002"/>
        <n v="1.43"/>
        <n v="2.2400000000000002"/>
        <n v="2.0299999999999998"/>
        <n v="2.7"/>
        <n v="2.4300000000000002"/>
        <n v="2.54"/>
        <n v="4.2699999999999996"/>
        <n v="3.75"/>
        <n v="3.07"/>
        <n v="2.72"/>
        <n v="3.28"/>
        <n v="1.69"/>
        <n v="2.64"/>
        <n v="2.33"/>
        <n v="2.31"/>
        <n v="1.55"/>
        <n v="2.38"/>
        <n v="3.06"/>
        <n v="1.74"/>
        <n v="1.64"/>
        <n v="1.91"/>
        <n v="2.4500000000000002"/>
        <n v="2.12"/>
        <n v="3.18"/>
        <n v="3.27"/>
        <n v="2.99"/>
        <n v="3.43"/>
        <n v="2.68"/>
        <n v="2.66"/>
        <n v="2.42"/>
        <n v="4.7"/>
        <n v="3.92"/>
        <n v="2.86"/>
        <n v="3.32"/>
        <n v="1.63"/>
        <n v="2.0499999999999998"/>
        <n v="2.78"/>
        <n v="1.83"/>
        <n v="1.75"/>
        <n v="3.51"/>
        <n v="2.52"/>
        <n v="2.15"/>
        <n v="1.78"/>
        <n v="2.21"/>
        <n v="3.17"/>
        <n v="2.13"/>
        <n v="1.58"/>
        <n v="4.6500000000000004"/>
        <n v="2.44"/>
        <n v="2.67"/>
        <n v="2.29"/>
        <n v="2.8"/>
        <n v="3.25"/>
        <n v="2.63"/>
        <n v="2.36"/>
        <n v="3.39"/>
        <n v="2.0699999999999998"/>
        <n v="2.91"/>
        <n v="2.4700000000000002"/>
        <n v="1.65"/>
        <n v="1.62"/>
        <n v="2.35"/>
        <n v="3.8"/>
        <n v="2.27"/>
        <n v="2.4900000000000002"/>
        <n v="2.56"/>
        <n v="3.22"/>
        <n v="3.99"/>
        <n v="2.9"/>
        <n v="1.97"/>
        <n v="2.71"/>
        <n v="2.5"/>
        <n v="2.34"/>
        <n v="1.77"/>
        <n v="4.8499999999999996"/>
        <n v="3.46"/>
        <n v="2.39"/>
        <n v="2.59"/>
        <n v="3.24"/>
        <n v="2.2599999999999998"/>
        <n v="1.7"/>
        <n v="2.2000000000000002"/>
        <n v="4.45"/>
        <n v="3.14"/>
        <n v="1.76"/>
        <n v="1.81"/>
        <n v="3.2"/>
        <n v="1.79"/>
        <n v="2.2200000000000002"/>
        <n v="2.61"/>
        <n v="2.4"/>
        <n v="2.73"/>
        <n v="3.29"/>
        <n v="2.75"/>
        <n v="2.23"/>
        <n v="3.89"/>
        <n v="2.93"/>
        <n v="2.37"/>
        <n v="3.94"/>
        <n v="3.49"/>
        <n v="3.21"/>
        <n v="2.16"/>
        <n v="1.67"/>
        <n v="2.88"/>
        <n v="2.82"/>
        <n v="3.71"/>
        <n v="1.68"/>
        <n v="1.51"/>
        <n v="2.6"/>
        <n v="2.89"/>
        <n v="2.85"/>
        <n v="2.0099999999999998"/>
        <n v="4.5"/>
        <n v="4.22"/>
        <n v="3.66"/>
        <n v="3.3"/>
        <n v="2.74"/>
        <n v="3.1"/>
        <n v="3.44"/>
        <n v="2.57"/>
        <n v="2.87"/>
        <n v="2.77"/>
        <n v="1.89"/>
        <n v="2.69"/>
        <n v="2.5099999999999998"/>
        <n v="3.97"/>
        <n v="2.25"/>
        <n v="2.1"/>
        <n v="2.08"/>
        <n v="1.56"/>
        <n v="3.87"/>
        <n v="2.94"/>
        <n v="3.12"/>
        <n v="3.31"/>
        <n v="3.37"/>
        <n v="2.11"/>
        <n v="3.74"/>
        <n v="2.2799999999999998"/>
        <n v="1.73"/>
        <n v="2.41"/>
        <n v="3.82"/>
        <n v="3.36"/>
        <n v="2.83"/>
        <n v="3.09"/>
        <n v="2.3199999999999998"/>
        <n v="1.71"/>
        <n v="3.55"/>
        <n v="1.53"/>
        <n v="3.16"/>
        <n v="3.83"/>
        <n v="3.05"/>
        <n v="2.2999999999999998"/>
        <n v="1.96"/>
      </sharedItems>
    </cacheField>
    <cacheField name="Trimestres" numFmtId="0" databaseField="0">
      <fieldGroup base="9">
        <rangePr groupBy="quarters" startDate="2011-01-18T00:00:00" endDate="2021-12-16T00:00:00"/>
        <groupItems count="6">
          <s v="&lt;18/01/2011"/>
          <s v="Trim1"/>
          <s v="Trim2"/>
          <s v="Trim3"/>
          <s v="Trim4"/>
          <s v="&gt;16/12/2021"/>
        </groupItems>
      </fieldGroup>
    </cacheField>
    <cacheField name="Anos" numFmtId="0" databaseField="0">
      <fieldGroup base="9">
        <rangePr groupBy="years" startDate="2011-01-18T00:00:00" endDate="2021-12-16T00:00:00"/>
        <groupItems count="13">
          <s v="&lt;18/01/2011"/>
          <s v="2011"/>
          <s v="2012"/>
          <s v="2013"/>
          <s v="2014"/>
          <s v="2015"/>
          <s v="2016"/>
          <s v="2017"/>
          <s v="2018"/>
          <s v="2019"/>
          <s v="2020"/>
          <s v="2021"/>
          <s v="&gt;16/12/202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13">
  <r>
    <n v="0"/>
    <s v="Adecoagro4415046371"/>
    <n v="1"/>
    <s v="ADECOAGRO VALE DO IVINHEMA S.A."/>
    <s v="Adecoagro"/>
    <x v="0"/>
    <n v="0"/>
    <s v="ADAG11    "/>
    <n v="1"/>
    <x v="0"/>
    <d v="2026-12-15T00:00:00"/>
    <x v="0"/>
    <n v="1"/>
    <x v="0"/>
    <x v="0"/>
    <n v="400000"/>
    <n v="1000"/>
    <s v=""/>
    <n v="400000000"/>
    <x v="0"/>
    <s v="IPCA"/>
    <s v="-"/>
    <n v="4.24"/>
    <x v="0"/>
    <n v="252"/>
    <s v="Útil"/>
    <s v="S"/>
    <x v="0"/>
    <s v="N"/>
    <x v="0"/>
    <x v="0"/>
    <x v="0"/>
    <x v="0"/>
  </r>
  <r>
    <n v="1"/>
    <s v="Adecoagro4299921/09/2027"/>
    <n v="1"/>
    <s v="Adecoagro SA"/>
    <s v="Adecoagro"/>
    <x v="1"/>
    <n v="1"/>
    <m/>
    <n v="2"/>
    <x v="1"/>
    <s v="21/09/2027"/>
    <x v="1"/>
    <n v="1"/>
    <x v="1"/>
    <x v="0"/>
    <m/>
    <m/>
    <n v="3.1341000000000001"/>
    <n v="500000000"/>
    <x v="1"/>
    <s v="USD"/>
    <s v="-"/>
    <n v="6"/>
    <x v="1"/>
    <n v="360"/>
    <s v="Corrido"/>
    <s v="N"/>
    <x v="1"/>
    <s v="S"/>
    <x v="1"/>
    <x v="0"/>
    <x v="0"/>
    <x v="1"/>
  </r>
  <r>
    <n v="0"/>
    <s v="Aegea4121241572"/>
    <n v="2"/>
    <s v="AEGEA SANEAMENTO E PARTICIPACOES S/A"/>
    <s v="Aegea"/>
    <x v="0"/>
    <n v="0"/>
    <s v="AEGA11    "/>
    <n v="1"/>
    <x v="2"/>
    <d v="2013-10-25T00:00:00"/>
    <x v="2"/>
    <n v="0"/>
    <x v="0"/>
    <x v="0"/>
    <n v="300"/>
    <n v="500000"/>
    <s v=""/>
    <n v="150000000"/>
    <x v="2"/>
    <s v="DI"/>
    <n v="100"/>
    <n v="3"/>
    <x v="2"/>
    <n v="252"/>
    <s v="Útil"/>
    <s v="N"/>
    <x v="1"/>
    <s v="S"/>
    <x v="1"/>
    <x v="1"/>
    <x v="0"/>
    <x v="2"/>
  </r>
  <r>
    <n v="0"/>
    <s v="Aegea4157242119"/>
    <n v="2"/>
    <s v="AEGEA SANEAMENTO E PARTICIPACOES S/A"/>
    <s v="Aegea"/>
    <x v="0"/>
    <n v="0"/>
    <s v="AEGA12    "/>
    <n v="2"/>
    <x v="3"/>
    <d v="2015-04-25T00:00:00"/>
    <x v="3"/>
    <n v="0"/>
    <x v="0"/>
    <x v="0"/>
    <n v="150000"/>
    <n v="1000"/>
    <s v=""/>
    <n v="150000000"/>
    <x v="2"/>
    <s v="DI"/>
    <n v="100"/>
    <n v="2.2999999999999998"/>
    <x v="3"/>
    <n v="252"/>
    <s v="Útil"/>
    <s v="N"/>
    <x v="1"/>
    <s v="S"/>
    <x v="1"/>
    <x v="1"/>
    <x v="0"/>
    <x v="3"/>
  </r>
  <r>
    <n v="0"/>
    <s v="Aegea4329645122"/>
    <n v="2"/>
    <s v="AEGEA SANEAMENTO E PARTICIPACOES S/A"/>
    <s v="Aegea"/>
    <x v="0"/>
    <n v="0"/>
    <s v="AEGP13    "/>
    <n v="3"/>
    <x v="4"/>
    <d v="2023-07-15T00:00:00"/>
    <x v="4"/>
    <n v="1"/>
    <x v="2"/>
    <x v="1"/>
    <n v="53350"/>
    <n v="10000"/>
    <s v=""/>
    <n v="533500000"/>
    <x v="3"/>
    <s v="DI"/>
    <n v="100"/>
    <n v="1.4"/>
    <x v="4"/>
    <n v="252"/>
    <s v="Útil"/>
    <s v="N"/>
    <x v="1"/>
    <s v="S"/>
    <x v="1"/>
    <x v="0"/>
    <x v="0"/>
    <x v="4"/>
  </r>
  <r>
    <n v="0"/>
    <s v="Aegea4386645693"/>
    <n v="2"/>
    <s v="AEGEA SANEAMENTO E PARTICIPACOES S/A"/>
    <s v="Aegea"/>
    <x v="0"/>
    <n v="0"/>
    <s v="AEGP14    "/>
    <n v="4"/>
    <x v="5"/>
    <d v="2025-02-05T00:00:00"/>
    <x v="5"/>
    <n v="1"/>
    <x v="2"/>
    <x v="1"/>
    <n v="305000"/>
    <n v="1000"/>
    <s v=""/>
    <n v="305000000"/>
    <x v="4"/>
    <s v="DI"/>
    <n v="100"/>
    <n v="1.8"/>
    <x v="5"/>
    <n v="252"/>
    <s v="Útil"/>
    <s v="N"/>
    <x v="1"/>
    <s v="S"/>
    <x v="1"/>
    <x v="0"/>
    <x v="0"/>
    <x v="5"/>
  </r>
  <r>
    <n v="0"/>
    <s v="Aegea4408545180"/>
    <n v="2"/>
    <s v="AEGEA SANEAMENTO E PARTICIPACOES S/A"/>
    <s v="Aegea"/>
    <x v="0"/>
    <n v="0"/>
    <s v="AEGP15    "/>
    <n v="5"/>
    <x v="6"/>
    <d v="2023-09-11T00:00:00"/>
    <x v="6"/>
    <n v="0"/>
    <x v="2"/>
    <x v="1"/>
    <n v="300000"/>
    <n v="1000"/>
    <s v=""/>
    <n v="300000000"/>
    <x v="5"/>
    <s v="DI"/>
    <n v="100"/>
    <n v="3"/>
    <x v="2"/>
    <n v="252"/>
    <s v="Útil"/>
    <s v="N"/>
    <x v="1"/>
    <s v="S"/>
    <x v="1"/>
    <x v="0"/>
    <x v="0"/>
    <x v="6"/>
  </r>
  <r>
    <n v="0"/>
    <s v="Aegea4429846489"/>
    <n v="2"/>
    <s v="AEGEA SANEAMENTO E PARTICIPACOES S/A"/>
    <s v="Aegea"/>
    <x v="0"/>
    <n v="0"/>
    <s v="AEGP17    "/>
    <n v="6"/>
    <x v="7"/>
    <d v="2027-04-12T00:00:00"/>
    <x v="7"/>
    <n v="1"/>
    <x v="2"/>
    <x v="1"/>
    <n v="400000"/>
    <n v="1000"/>
    <s v=""/>
    <n v="400000000"/>
    <x v="0"/>
    <s v="DI"/>
    <n v="100"/>
    <n v="2.15"/>
    <x v="6"/>
    <n v="252"/>
    <s v="Útil"/>
    <s v="N"/>
    <x v="1"/>
    <s v="S"/>
    <x v="1"/>
    <x v="0"/>
    <x v="0"/>
    <x v="7"/>
  </r>
  <r>
    <n v="0"/>
    <s v="Aegea4447347030"/>
    <n v="2"/>
    <s v="AEGEA SANEAMENTO E PARTICIPACOES S/A"/>
    <s v="Aegea"/>
    <x v="0"/>
    <n v="0"/>
    <s v="AEGP19    "/>
    <n v="7"/>
    <x v="8"/>
    <d v="2028-10-04T00:00:00"/>
    <x v="8"/>
    <n v="1"/>
    <x v="2"/>
    <x v="1"/>
    <n v="800000"/>
    <n v="1000"/>
    <s v=""/>
    <n v="800000000"/>
    <x v="6"/>
    <s v="DI"/>
    <n v="100"/>
    <n v="1.9"/>
    <x v="7"/>
    <n v="252"/>
    <s v="Útil"/>
    <s v="N"/>
    <x v="1"/>
    <s v="S"/>
    <x v="1"/>
    <x v="0"/>
    <x v="0"/>
    <x v="8"/>
  </r>
  <r>
    <n v="0"/>
    <s v="Aegea4329645853"/>
    <n v="2"/>
    <s v="AEGEA SANEAMENTO E PARTICIPACOES S/A"/>
    <s v="Aegea"/>
    <x v="0"/>
    <n v="0"/>
    <s v="AEGP23    "/>
    <n v="8"/>
    <x v="4"/>
    <d v="2025-07-15T00:00:00"/>
    <x v="8"/>
    <n v="1"/>
    <x v="2"/>
    <x v="1"/>
    <n v="6650"/>
    <n v="10000"/>
    <s v=""/>
    <n v="66500000"/>
    <x v="7"/>
    <s v="IPCA"/>
    <s v="-"/>
    <n v="7.0824999999999996"/>
    <x v="8"/>
    <n v="252"/>
    <s v="Útil"/>
    <s v="N"/>
    <x v="1"/>
    <s v="S"/>
    <x v="1"/>
    <x v="0"/>
    <x v="0"/>
    <x v="4"/>
  </r>
  <r>
    <n v="2"/>
    <s v="Aegea4301810/10/2024"/>
    <n v="2"/>
    <s v="Aegea Finance Sarl"/>
    <s v="Aegea"/>
    <x v="1"/>
    <n v="1"/>
    <m/>
    <n v="9"/>
    <x v="9"/>
    <s v="10/10/2024"/>
    <x v="8"/>
    <n v="1"/>
    <x v="1"/>
    <x v="0"/>
    <m/>
    <m/>
    <n v="3.1682000000000001"/>
    <n v="400000000"/>
    <x v="8"/>
    <s v="USD"/>
    <s v="-"/>
    <n v="5.75"/>
    <x v="9"/>
    <n v="360"/>
    <s v="Corrido"/>
    <s v="N"/>
    <x v="1"/>
    <s v="S"/>
    <x v="1"/>
    <x v="0"/>
    <x v="0"/>
    <x v="9"/>
  </r>
  <r>
    <n v="0"/>
    <s v="Americanas4107342899"/>
    <n v="3"/>
    <s v="AMERICANAS S/A"/>
    <s v="Americanas"/>
    <x v="0"/>
    <n v="0"/>
    <s v="BTOW13    "/>
    <n v="1"/>
    <x v="10"/>
    <d v="2017-06-13T00:00:00"/>
    <x v="4"/>
    <n v="1"/>
    <x v="2"/>
    <x v="1"/>
    <n v="30000"/>
    <n v="10000"/>
    <s v=""/>
    <n v="300000000"/>
    <x v="5"/>
    <s v="DI"/>
    <n v="120"/>
    <m/>
    <x v="10"/>
    <n v="252"/>
    <s v="Útil"/>
    <s v="N"/>
    <x v="1"/>
    <s v="S"/>
    <x v="1"/>
    <x v="1"/>
    <x v="0"/>
    <x v="5"/>
  </r>
  <r>
    <n v="0"/>
    <s v="Americanas4415047832"/>
    <n v="3"/>
    <s v="AMERICANAS S/A"/>
    <s v="Americanas"/>
    <x v="0"/>
    <n v="0"/>
    <s v="BTOW15    "/>
    <n v="2"/>
    <x v="0"/>
    <d v="2030-12-15T00:00:00"/>
    <x v="9"/>
    <n v="1"/>
    <x v="2"/>
    <x v="1"/>
    <n v="3100000"/>
    <n v="1000"/>
    <s v=""/>
    <n v="3100000000"/>
    <x v="9"/>
    <s v="IPCA"/>
    <s v="-"/>
    <n v="6.9569999999999999"/>
    <x v="11"/>
    <n v="252"/>
    <s v="Útil"/>
    <s v="S"/>
    <x v="0"/>
    <s v="N"/>
    <x v="0"/>
    <x v="0"/>
    <x v="0"/>
    <x v="0"/>
  </r>
  <r>
    <n v="0"/>
    <s v="Americanas4269543790"/>
    <n v="3"/>
    <s v="AMERICANAS S/A"/>
    <s v="Americanas"/>
    <x v="0"/>
    <n v="0"/>
    <s v="LAME10    "/>
    <n v="3"/>
    <x v="11"/>
    <d v="2019-11-21T00:00:00"/>
    <x v="6"/>
    <n v="0"/>
    <x v="2"/>
    <x v="1"/>
    <n v="30000"/>
    <n v="10000"/>
    <s v=""/>
    <n v="300000000"/>
    <x v="5"/>
    <s v="DI"/>
    <n v="112"/>
    <m/>
    <x v="12"/>
    <n v="252"/>
    <s v="Útil"/>
    <s v="N"/>
    <x v="1"/>
    <s v="S"/>
    <x v="1"/>
    <x v="1"/>
    <x v="0"/>
    <x v="10"/>
  </r>
  <r>
    <n v="0"/>
    <s v="Americanas4079145468"/>
    <n v="3"/>
    <s v="AMERICANAS S/A"/>
    <s v="Americanas"/>
    <x v="0"/>
    <n v="0"/>
    <s v="LAME14    "/>
    <n v="4"/>
    <x v="12"/>
    <d v="2024-06-25T00:00:00"/>
    <x v="10"/>
    <n v="1"/>
    <x v="3"/>
    <x v="0"/>
    <n v="50000"/>
    <n v="10000"/>
    <s v=""/>
    <n v="500000000"/>
    <x v="10"/>
    <s v="DI"/>
    <n v="117.5"/>
    <m/>
    <x v="13"/>
    <n v="252"/>
    <s v="Útil"/>
    <s v="N"/>
    <x v="1"/>
    <s v="S"/>
    <x v="1"/>
    <x v="1"/>
    <x v="0"/>
    <x v="5"/>
  </r>
  <r>
    <n v="0"/>
    <s v="Americanas4093443126"/>
    <n v="3"/>
    <s v="AMERICANAS S/A"/>
    <s v="Americanas"/>
    <x v="0"/>
    <n v="0"/>
    <s v="LAME16    "/>
    <n v="5"/>
    <x v="13"/>
    <d v="2018-01-26T00:00:00"/>
    <x v="11"/>
    <n v="1"/>
    <x v="2"/>
    <x v="1"/>
    <n v="30000"/>
    <n v="10000"/>
    <s v=""/>
    <n v="300000000"/>
    <x v="5"/>
    <s v="DI"/>
    <n v="112"/>
    <m/>
    <x v="14"/>
    <n v="252"/>
    <s v="Útil"/>
    <s v="N"/>
    <x v="1"/>
    <s v="S"/>
    <x v="1"/>
    <x v="1"/>
    <x v="0"/>
    <x v="11"/>
  </r>
  <r>
    <n v="0"/>
    <s v="Americanas4126443090"/>
    <n v="3"/>
    <s v="AMERICANAS S/A"/>
    <s v="Americanas"/>
    <x v="0"/>
    <n v="0"/>
    <s v="LAME17    "/>
    <n v="6"/>
    <x v="14"/>
    <d v="2017-12-21T00:00:00"/>
    <x v="4"/>
    <n v="1"/>
    <x v="2"/>
    <x v="1"/>
    <n v="30000"/>
    <n v="10000"/>
    <s v=""/>
    <n v="300000000"/>
    <x v="5"/>
    <s v="DI"/>
    <n v="100"/>
    <n v="1.03"/>
    <x v="15"/>
    <n v="252"/>
    <s v="Útil"/>
    <s v="N"/>
    <x v="1"/>
    <s v="S"/>
    <x v="1"/>
    <x v="1"/>
    <x v="0"/>
    <x v="12"/>
  </r>
  <r>
    <n v="0"/>
    <s v="Americanas4147043296"/>
    <n v="3"/>
    <s v="AMERICANAS S/A"/>
    <s v="Americanas"/>
    <x v="0"/>
    <n v="0"/>
    <s v="LAME18    "/>
    <n v="7"/>
    <x v="15"/>
    <d v="2018-07-15T00:00:00"/>
    <x v="4"/>
    <n v="1"/>
    <x v="2"/>
    <x v="1"/>
    <n v="15460"/>
    <n v="10000"/>
    <s v=""/>
    <n v="154600000"/>
    <x v="11"/>
    <s v="DI"/>
    <n v="112"/>
    <m/>
    <x v="16"/>
    <n v="252"/>
    <s v="Útil"/>
    <s v="N"/>
    <x v="1"/>
    <s v="S"/>
    <x v="1"/>
    <x v="1"/>
    <x v="0"/>
    <x v="13"/>
  </r>
  <r>
    <n v="0"/>
    <s v="Americanas4181545468"/>
    <n v="3"/>
    <s v="AMERICANAS S/A"/>
    <s v="Americanas"/>
    <x v="0"/>
    <n v="0"/>
    <s v="LAME19    "/>
    <n v="8"/>
    <x v="16"/>
    <d v="2024-06-25T00:00:00"/>
    <x v="12"/>
    <n v="1"/>
    <x v="2"/>
    <x v="1"/>
    <n v="70000"/>
    <n v="10000"/>
    <s v=""/>
    <n v="700000000"/>
    <x v="12"/>
    <s v="DI"/>
    <n v="117.5"/>
    <m/>
    <x v="17"/>
    <n v="252"/>
    <s v="Útil"/>
    <s v="N"/>
    <x v="1"/>
    <s v="S"/>
    <x v="1"/>
    <x v="1"/>
    <x v="0"/>
    <x v="14"/>
  </r>
  <r>
    <n v="0"/>
    <s v="Americanas4093443126"/>
    <n v="3"/>
    <s v="AMERICANAS S/A"/>
    <s v="Americanas"/>
    <x v="0"/>
    <n v="0"/>
    <s v="LAME26    "/>
    <n v="9"/>
    <x v="13"/>
    <d v="2018-01-26T00:00:00"/>
    <x v="11"/>
    <n v="1"/>
    <x v="2"/>
    <x v="1"/>
    <n v="20000"/>
    <n v="10000"/>
    <s v=""/>
    <n v="200000000"/>
    <x v="13"/>
    <s v="DI"/>
    <n v="112"/>
    <m/>
    <x v="14"/>
    <n v="252"/>
    <s v="Útil"/>
    <s v="N"/>
    <x v="1"/>
    <s v="S"/>
    <x v="1"/>
    <x v="1"/>
    <x v="0"/>
    <x v="11"/>
  </r>
  <r>
    <n v="0"/>
    <s v="Americanas4126444916"/>
    <n v="3"/>
    <s v="AMERICANAS S/A"/>
    <s v="Americanas"/>
    <x v="0"/>
    <n v="0"/>
    <s v="LAME27    "/>
    <n v="10"/>
    <x v="14"/>
    <d v="2022-12-21T00:00:00"/>
    <x v="1"/>
    <n v="1"/>
    <x v="2"/>
    <x v="1"/>
    <n v="35000"/>
    <n v="10000"/>
    <s v=""/>
    <n v="350000000"/>
    <x v="14"/>
    <s v="DI"/>
    <n v="114.5"/>
    <m/>
    <x v="18"/>
    <n v="252"/>
    <s v="Útil"/>
    <s v="N"/>
    <x v="1"/>
    <s v="S"/>
    <x v="1"/>
    <x v="1"/>
    <x v="0"/>
    <x v="12"/>
  </r>
  <r>
    <n v="0"/>
    <s v="Americanas4147043661"/>
    <n v="3"/>
    <s v="AMERICANAS S/A"/>
    <s v="Americanas"/>
    <x v="0"/>
    <n v="0"/>
    <s v="LAME28    "/>
    <n v="11"/>
    <x v="15"/>
    <d v="2019-07-15T00:00:00"/>
    <x v="7"/>
    <n v="1"/>
    <x v="2"/>
    <x v="1"/>
    <n v="4540"/>
    <n v="10000"/>
    <s v=""/>
    <n v="45400000"/>
    <x v="15"/>
    <s v="DI"/>
    <n v="112.55"/>
    <m/>
    <x v="19"/>
    <n v="252"/>
    <s v="Útil"/>
    <s v="N"/>
    <x v="1"/>
    <s v="S"/>
    <x v="1"/>
    <x v="1"/>
    <x v="0"/>
    <x v="13"/>
  </r>
  <r>
    <n v="0"/>
    <s v="Americanas4181544372"/>
    <n v="3"/>
    <s v="AMERICANAS S/A"/>
    <s v="Americanas"/>
    <x v="0"/>
    <n v="0"/>
    <s v="LAME29    "/>
    <n v="12"/>
    <x v="16"/>
    <d v="2021-06-25T00:00:00"/>
    <x v="8"/>
    <n v="1"/>
    <x v="2"/>
    <x v="1"/>
    <n v="25000"/>
    <n v="10000"/>
    <s v=""/>
    <n v="250000000"/>
    <x v="16"/>
    <s v="DI"/>
    <n v="113"/>
    <m/>
    <x v="20"/>
    <n v="252"/>
    <s v="Útil"/>
    <s v="N"/>
    <x v="1"/>
    <s v="S"/>
    <x v="1"/>
    <x v="1"/>
    <x v="0"/>
    <x v="14"/>
  </r>
  <r>
    <n v="0"/>
    <s v="Americanas4147044392"/>
    <n v="3"/>
    <s v="AMERICANAS S/A"/>
    <s v="Americanas"/>
    <x v="0"/>
    <n v="0"/>
    <s v="LAME38    "/>
    <n v="13"/>
    <x v="15"/>
    <d v="2021-07-15T00:00:00"/>
    <x v="13"/>
    <n v="1"/>
    <x v="2"/>
    <x v="1"/>
    <n v="20000"/>
    <n v="10000"/>
    <s v=""/>
    <n v="200000000"/>
    <x v="13"/>
    <s v="IPCA"/>
    <s v="-"/>
    <n v="6.39"/>
    <x v="21"/>
    <n v="252"/>
    <s v="Útil"/>
    <s v="N"/>
    <x v="1"/>
    <s v="S"/>
    <x v="1"/>
    <x v="1"/>
    <x v="0"/>
    <x v="13"/>
  </r>
  <r>
    <n v="0"/>
    <s v="Americanas4284044666"/>
    <n v="3"/>
    <s v="AMERICANAS S/A"/>
    <s v="Americanas"/>
    <x v="0"/>
    <n v="0"/>
    <s v="LAMEA1    "/>
    <n v="14"/>
    <x v="17"/>
    <d v="2022-04-15T00:00:00"/>
    <x v="4"/>
    <n v="1"/>
    <x v="2"/>
    <x v="1"/>
    <n v="126335"/>
    <n v="10000"/>
    <s v=""/>
    <n v="1263350000"/>
    <x v="17"/>
    <s v="DI"/>
    <n v="115"/>
    <m/>
    <x v="22"/>
    <n v="252"/>
    <s v="Útil"/>
    <s v="N"/>
    <x v="1"/>
    <s v="S"/>
    <x v="1"/>
    <x v="1"/>
    <x v="0"/>
    <x v="15"/>
  </r>
  <r>
    <n v="0"/>
    <s v="Americanas4321045036"/>
    <n v="3"/>
    <s v="AMERICANAS S/A"/>
    <s v="Americanas"/>
    <x v="0"/>
    <n v="0"/>
    <s v="LAMEA2    "/>
    <n v="15"/>
    <x v="18"/>
    <d v="2023-04-20T00:00:00"/>
    <x v="4"/>
    <n v="1"/>
    <x v="2"/>
    <x v="1"/>
    <n v="100000"/>
    <n v="10000"/>
    <s v=""/>
    <n v="1000000000"/>
    <x v="18"/>
    <s v="DI"/>
    <n v="116"/>
    <m/>
    <x v="23"/>
    <n v="252"/>
    <s v="Útil"/>
    <s v="N"/>
    <x v="1"/>
    <s v="S"/>
    <x v="1"/>
    <x v="1"/>
    <x v="0"/>
    <x v="16"/>
  </r>
  <r>
    <n v="0"/>
    <s v="Americanas4347546032"/>
    <n v="3"/>
    <s v="AMERICANAS S/A"/>
    <s v="Americanas"/>
    <x v="0"/>
    <n v="0"/>
    <s v="LAMEA3    "/>
    <n v="16"/>
    <x v="19"/>
    <d v="2026-01-10T00:00:00"/>
    <x v="8"/>
    <n v="1"/>
    <x v="2"/>
    <x v="1"/>
    <n v="100000"/>
    <n v="10000"/>
    <s v=""/>
    <n v="1000000000"/>
    <x v="18"/>
    <s v="DI"/>
    <n v="116.7"/>
    <m/>
    <x v="24"/>
    <n v="252"/>
    <s v="Útil"/>
    <s v="N"/>
    <x v="1"/>
    <s v="S"/>
    <x v="1"/>
    <x v="1"/>
    <x v="0"/>
    <x v="17"/>
  </r>
  <r>
    <n v="0"/>
    <s v="Americanas4396945064"/>
    <n v="3"/>
    <s v="AMERICANAS S/A"/>
    <s v="Americanas"/>
    <x v="0"/>
    <n v="0"/>
    <s v="LAMEA4    "/>
    <n v="17"/>
    <x v="20"/>
    <d v="2023-05-18T00:00:00"/>
    <x v="6"/>
    <n v="0"/>
    <x v="2"/>
    <x v="1"/>
    <n v="50000"/>
    <n v="10000"/>
    <s v=""/>
    <n v="500000000"/>
    <x v="10"/>
    <s v="DI"/>
    <n v="100"/>
    <n v="3"/>
    <x v="2"/>
    <n v="252"/>
    <s v="Útil"/>
    <s v="N"/>
    <x v="1"/>
    <s v="N"/>
    <x v="0"/>
    <x v="0"/>
    <x v="0"/>
    <x v="18"/>
  </r>
  <r>
    <n v="0"/>
    <s v="Americanas4398445079"/>
    <n v="3"/>
    <s v="AMERICANAS S/A"/>
    <s v="Americanas"/>
    <x v="0"/>
    <n v="0"/>
    <s v="LAMEA5    "/>
    <n v="18"/>
    <x v="21"/>
    <d v="2023-06-02T00:00:00"/>
    <x v="6"/>
    <n v="0"/>
    <x v="2"/>
    <x v="1"/>
    <n v="50000"/>
    <n v="10000"/>
    <s v=""/>
    <n v="500000000"/>
    <x v="10"/>
    <s v="DI"/>
    <n v="100"/>
    <n v="3"/>
    <x v="2"/>
    <n v="252"/>
    <s v="Útil"/>
    <s v="N"/>
    <x v="1"/>
    <s v="N"/>
    <x v="0"/>
    <x v="0"/>
    <x v="0"/>
    <x v="19"/>
  </r>
  <r>
    <n v="0"/>
    <s v="Americanas4408947771"/>
    <n v="3"/>
    <s v="AMERICANAS S/A"/>
    <s v="Americanas"/>
    <x v="0"/>
    <n v="0"/>
    <s v="LAMEA6    "/>
    <n v="19"/>
    <x v="22"/>
    <d v="2030-10-15T00:00:00"/>
    <x v="9"/>
    <n v="1"/>
    <x v="2"/>
    <x v="1"/>
    <n v="3100000"/>
    <n v="1000"/>
    <s v=""/>
    <n v="3100000000"/>
    <x v="9"/>
    <s v="IPCA"/>
    <s v="-"/>
    <n v="7.4"/>
    <x v="25"/>
    <n v="252"/>
    <s v="Útil"/>
    <s v="S"/>
    <x v="0"/>
    <s v="N"/>
    <x v="0"/>
    <x v="0"/>
    <x v="0"/>
    <x v="20"/>
  </r>
  <r>
    <n v="0"/>
    <s v="Americanas4284045397"/>
    <n v="3"/>
    <s v="AMERICANAS S/A"/>
    <s v="Americanas"/>
    <x v="0"/>
    <n v="0"/>
    <s v="LAMEB1    "/>
    <n v="20"/>
    <x v="17"/>
    <d v="2024-04-15T00:00:00"/>
    <x v="8"/>
    <n v="1"/>
    <x v="2"/>
    <x v="1"/>
    <n v="23665"/>
    <n v="10000"/>
    <s v=""/>
    <n v="236650000"/>
    <x v="19"/>
    <s v="IPCA"/>
    <s v="-"/>
    <n v="7.0972"/>
    <x v="26"/>
    <n v="252"/>
    <s v="Útil"/>
    <s v="N"/>
    <x v="1"/>
    <s v="S"/>
    <x v="1"/>
    <x v="1"/>
    <x v="0"/>
    <x v="15"/>
  </r>
  <r>
    <n v="3"/>
    <s v="Americanas4415920/12/2030"/>
    <n v="3"/>
    <s v="B2W Digital Lux Sarl"/>
    <s v="Americanas"/>
    <x v="1"/>
    <n v="1"/>
    <m/>
    <n v="21"/>
    <x v="23"/>
    <s v="20/12/2030"/>
    <x v="14"/>
    <n v="1"/>
    <x v="1"/>
    <x v="0"/>
    <m/>
    <m/>
    <n v="5.4031000000000002"/>
    <n v="500000000"/>
    <x v="20"/>
    <s v="USD"/>
    <s v="-"/>
    <n v="4.375"/>
    <x v="27"/>
    <n v="360"/>
    <s v="Corrido"/>
    <s v="N"/>
    <x v="1"/>
    <s v="S"/>
    <x v="1"/>
    <x v="0"/>
    <x v="0"/>
    <x v="21"/>
  </r>
  <r>
    <n v="4"/>
    <s v="Americanas4411020/10/2030"/>
    <n v="3"/>
    <s v="JSM Global Sarl"/>
    <s v="Americanas"/>
    <x v="1"/>
    <n v="1"/>
    <m/>
    <n v="22"/>
    <x v="24"/>
    <s v="20/10/2030"/>
    <x v="15"/>
    <n v="1"/>
    <x v="1"/>
    <x v="0"/>
    <m/>
    <m/>
    <n v="5.5198999999999998"/>
    <n v="500000000"/>
    <x v="21"/>
    <s v="USD"/>
    <s v="-"/>
    <n v="4.75"/>
    <x v="28"/>
    <n v="360"/>
    <s v="Corrido"/>
    <s v="N"/>
    <x v="1"/>
    <s v="S"/>
    <x v="1"/>
    <x v="0"/>
    <x v="0"/>
    <x v="22"/>
  </r>
  <r>
    <n v="0"/>
    <s v="Andrade Gutierrez4139643953"/>
    <n v="4"/>
    <s v="ANDRADE GUTIERREZ PARTICIPACOES S.A."/>
    <s v="Andrade Gutierrez"/>
    <x v="0"/>
    <n v="0"/>
    <s v="ANDG11    "/>
    <n v="1"/>
    <x v="25"/>
    <d v="2020-05-02T00:00:00"/>
    <x v="8"/>
    <n v="1"/>
    <x v="2"/>
    <x v="1"/>
    <n v="25400"/>
    <n v="10000"/>
    <s v=""/>
    <n v="254000000"/>
    <x v="22"/>
    <s v="DI"/>
    <n v="111"/>
    <m/>
    <x v="29"/>
    <n v="252"/>
    <s v="Útil"/>
    <s v="N"/>
    <x v="1"/>
    <s v="S"/>
    <x v="1"/>
    <x v="2"/>
    <x v="1"/>
    <x v="23"/>
  </r>
  <r>
    <n v="0"/>
    <s v="Andrade Gutierrez4295044046"/>
    <n v="4"/>
    <s v="ANDRADE GUTIERREZ PARTICIPACOES S.A."/>
    <s v="Andrade Gutierrez"/>
    <x v="0"/>
    <n v="0"/>
    <s v="ANDG12    "/>
    <n v="2"/>
    <x v="26"/>
    <d v="2020-08-03T00:00:00"/>
    <x v="16"/>
    <n v="0"/>
    <x v="2"/>
    <x v="1"/>
    <n v="88000"/>
    <n v="1000"/>
    <s v=""/>
    <n v="88000000"/>
    <x v="23"/>
    <s v="DI"/>
    <n v="129"/>
    <m/>
    <x v="30"/>
    <n v="252"/>
    <s v="Útil"/>
    <s v="N"/>
    <x v="1"/>
    <s v="S"/>
    <x v="1"/>
    <x v="3"/>
    <x v="0"/>
    <x v="24"/>
  </r>
  <r>
    <n v="0"/>
    <s v="Andrade Gutierrez4107542901"/>
    <n v="4"/>
    <s v="ANDRADE GUTIERREZ PARTICIPACOES S.A."/>
    <s v="Andrade Gutierrez"/>
    <x v="0"/>
    <n v="0"/>
    <s v="CANT12    "/>
    <n v="3"/>
    <x v="27"/>
    <d v="2017-06-15T00:00:00"/>
    <x v="4"/>
    <n v="1"/>
    <x v="2"/>
    <x v="1"/>
    <n v="8294"/>
    <n v="10000"/>
    <s v=""/>
    <n v="82940000"/>
    <x v="24"/>
    <s v="DI"/>
    <n v="100"/>
    <n v="2.9"/>
    <x v="31"/>
    <n v="252"/>
    <s v="Útil"/>
    <s v="N"/>
    <x v="1"/>
    <s v="S"/>
    <x v="1"/>
    <x v="2"/>
    <x v="1"/>
    <x v="14"/>
  </r>
  <r>
    <n v="0"/>
    <s v="Andrade Gutierrez4159342019"/>
    <n v="4"/>
    <s v="ANDRADE GUTIERREZ PARTICIPACOES S.A."/>
    <s v="Andrade Gutierrez"/>
    <x v="0"/>
    <n v="0"/>
    <s v="CANT13    "/>
    <n v="4"/>
    <x v="28"/>
    <d v="2015-01-15T00:00:00"/>
    <x v="17"/>
    <n v="0"/>
    <x v="2"/>
    <x v="1"/>
    <n v="18000"/>
    <n v="10000"/>
    <s v=""/>
    <n v="180000000"/>
    <x v="25"/>
    <s v="DI"/>
    <n v="107"/>
    <m/>
    <x v="32"/>
    <n v="252"/>
    <s v="Útil"/>
    <s v="N"/>
    <x v="1"/>
    <s v="S"/>
    <x v="1"/>
    <x v="2"/>
    <x v="1"/>
    <x v="25"/>
  </r>
  <r>
    <n v="0"/>
    <s v="Andrade Gutierrez4380846000"/>
    <n v="4"/>
    <s v="ANDRADE GUTIERREZ PARTICIPACOES S.A."/>
    <s v="Andrade Gutierrez"/>
    <x v="0"/>
    <n v="0"/>
    <s v="CANT15    "/>
    <n v="5"/>
    <x v="29"/>
    <d v="2025-12-09T00:00:00"/>
    <x v="11"/>
    <n v="1"/>
    <x v="0"/>
    <x v="0"/>
    <n v="550000"/>
    <n v="1000"/>
    <s v=""/>
    <n v="550000000"/>
    <x v="26"/>
    <s v="DI"/>
    <n v="100"/>
    <n v="5.4"/>
    <x v="33"/>
    <n v="252"/>
    <s v="Útil"/>
    <s v="N"/>
    <x v="1"/>
    <s v="S"/>
    <x v="1"/>
    <x v="4"/>
    <x v="0"/>
    <x v="26"/>
  </r>
  <r>
    <n v="0"/>
    <s v="Andrade Gutierrez4107543631"/>
    <n v="4"/>
    <s v="ANDRADE GUTIERREZ PARTICIPACOES S.A."/>
    <s v="Andrade Gutierrez"/>
    <x v="0"/>
    <n v="0"/>
    <s v="CANT22    "/>
    <n v="6"/>
    <x v="27"/>
    <d v="2019-06-15T00:00:00"/>
    <x v="18"/>
    <n v="1"/>
    <x v="2"/>
    <x v="1"/>
    <n v="7845"/>
    <n v="10000"/>
    <s v=""/>
    <n v="78450000"/>
    <x v="27"/>
    <s v="DI"/>
    <n v="100"/>
    <n v="3"/>
    <x v="2"/>
    <n v="252"/>
    <s v="Útil"/>
    <s v="N"/>
    <x v="1"/>
    <s v="S"/>
    <x v="1"/>
    <x v="2"/>
    <x v="1"/>
    <x v="14"/>
  </r>
  <r>
    <n v="0"/>
    <s v="Andrade Gutierrez4107544727"/>
    <n v="4"/>
    <s v="ANDRADE GUTIERREZ PARTICIPACOES S.A."/>
    <s v="Andrade Gutierrez"/>
    <x v="0"/>
    <n v="0"/>
    <s v="CANT32    "/>
    <n v="7"/>
    <x v="27"/>
    <d v="2022-06-15T00:00:00"/>
    <x v="1"/>
    <n v="1"/>
    <x v="2"/>
    <x v="1"/>
    <n v="47806"/>
    <n v="10000"/>
    <s v=""/>
    <n v="478060000"/>
    <x v="28"/>
    <s v="IPCA"/>
    <s v="-"/>
    <n v="9.8000000000000007"/>
    <x v="34"/>
    <n v="252"/>
    <s v="Útil"/>
    <s v="N"/>
    <x v="1"/>
    <s v="S"/>
    <x v="1"/>
    <x v="2"/>
    <x v="1"/>
    <x v="14"/>
  </r>
  <r>
    <n v="0"/>
    <s v="Andrade Gutierrez4125341983"/>
    <n v="4"/>
    <s v="ANDRADE GUTIERREZ S/A"/>
    <s v="Andrade Gutierrez"/>
    <x v="0"/>
    <n v="0"/>
    <s v="AGUT12    "/>
    <n v="8"/>
    <x v="30"/>
    <d v="2014-12-10T00:00:00"/>
    <x v="19"/>
    <n v="0"/>
    <x v="2"/>
    <x v="1"/>
    <n v="400000"/>
    <n v="1000"/>
    <s v=""/>
    <n v="400000000"/>
    <x v="0"/>
    <s v="DI"/>
    <n v="107"/>
    <m/>
    <x v="35"/>
    <n v="252"/>
    <s v="Útil"/>
    <s v="N"/>
    <x v="1"/>
    <s v="S"/>
    <x v="1"/>
    <x v="2"/>
    <x v="1"/>
    <x v="27"/>
  </r>
  <r>
    <n v="0"/>
    <s v="Andrade Gutierrez4162542355"/>
    <n v="4"/>
    <s v="ANDRADE GUTIERREZ S/A"/>
    <s v="Andrade Gutierrez"/>
    <x v="0"/>
    <n v="0"/>
    <s v="AGUT13    "/>
    <n v="9"/>
    <x v="31"/>
    <d v="2015-12-17T00:00:00"/>
    <x v="19"/>
    <n v="0"/>
    <x v="2"/>
    <x v="1"/>
    <n v="43000"/>
    <n v="10000"/>
    <s v=""/>
    <n v="430000000"/>
    <x v="29"/>
    <s v="DI"/>
    <n v="108.6"/>
    <m/>
    <x v="36"/>
    <n v="252"/>
    <s v="Útil"/>
    <s v="N"/>
    <x v="1"/>
    <s v="S"/>
    <x v="1"/>
    <x v="2"/>
    <x v="1"/>
    <x v="28"/>
  </r>
  <r>
    <n v="0"/>
    <s v="Andrade Gutierrez4196243058"/>
    <n v="4"/>
    <s v="ANDRADE GUTIERREZ S/A"/>
    <s v="Andrade Gutierrez"/>
    <x v="0"/>
    <n v="0"/>
    <s v="AGUT14    "/>
    <n v="10"/>
    <x v="32"/>
    <d v="2017-11-19T00:00:00"/>
    <x v="16"/>
    <n v="0"/>
    <x v="2"/>
    <x v="1"/>
    <n v="600000"/>
    <n v="1000"/>
    <s v=""/>
    <n v="600000000"/>
    <x v="30"/>
    <s v="DI"/>
    <n v="124"/>
    <m/>
    <x v="37"/>
    <n v="252"/>
    <s v="Útil"/>
    <s v="N"/>
    <x v="1"/>
    <s v="S"/>
    <x v="1"/>
    <x v="2"/>
    <x v="1"/>
    <x v="1"/>
  </r>
  <r>
    <n v="0"/>
    <s v="Andrade Gutierrez4332745884"/>
    <n v="4"/>
    <s v="ANDRADE GUTIERREZ S/A"/>
    <s v="Andrade Gutierrez"/>
    <x v="0"/>
    <n v="0"/>
    <s v="AGUT15    "/>
    <n v="11"/>
    <x v="33"/>
    <d v="2025-08-15T00:00:00"/>
    <x v="8"/>
    <n v="1"/>
    <x v="2"/>
    <x v="1"/>
    <n v="252000"/>
    <n v="1000"/>
    <s v=""/>
    <n v="252000000"/>
    <x v="31"/>
    <s v="DI"/>
    <n v="135"/>
    <s v=""/>
    <x v="38"/>
    <n v="252"/>
    <s v="Útil"/>
    <s v="N"/>
    <x v="1"/>
    <s v="S"/>
    <x v="1"/>
    <x v="4"/>
    <x v="0"/>
    <x v="29"/>
  </r>
  <r>
    <n v="5"/>
    <s v="Andrade Gutierrez4380830/12/2024"/>
    <n v="4"/>
    <s v="Andrade Gutierrez International SA"/>
    <s v="Andrade Gutierrez"/>
    <x v="1"/>
    <n v="1"/>
    <m/>
    <n v="12"/>
    <x v="29"/>
    <s v="30/12/2024"/>
    <x v="20"/>
    <n v="1"/>
    <x v="4"/>
    <x v="0"/>
    <m/>
    <m/>
    <n v="4.1497000000000002"/>
    <n v="480000000"/>
    <x v="32"/>
    <s v="USD"/>
    <s v="-"/>
    <n v="9.5"/>
    <x v="39"/>
    <n v="360"/>
    <s v="Corrido"/>
    <s v="N"/>
    <x v="1"/>
    <s v="S"/>
    <x v="1"/>
    <x v="4"/>
    <x v="0"/>
    <x v="26"/>
  </r>
  <r>
    <n v="0"/>
    <s v="Azul Linhas Aéreas4070941805"/>
    <n v="5"/>
    <s v="AZUL LINHAS AEREAS BRASILEIRAS S.A."/>
    <s v="Azul Linhas Aéreas"/>
    <x v="0"/>
    <n v="0"/>
    <s v="AZLA11    "/>
    <n v="1"/>
    <x v="34"/>
    <d v="2014-06-15T00:00:00"/>
    <x v="16"/>
    <n v="0"/>
    <x v="2"/>
    <x v="1"/>
    <n v="300"/>
    <n v="1000000"/>
    <s v=""/>
    <n v="300000000"/>
    <x v="5"/>
    <s v="DI"/>
    <n v="124"/>
    <m/>
    <x v="40"/>
    <n v="252"/>
    <s v="Útil"/>
    <s v="N"/>
    <x v="1"/>
    <s v="S"/>
    <x v="1"/>
    <x v="1"/>
    <x v="0"/>
    <x v="30"/>
  </r>
  <r>
    <n v="0"/>
    <s v="Azul Linhas Aéreas4117742272"/>
    <n v="5"/>
    <s v="AZUL LINHAS AEREAS BRASILEIRAS S.A."/>
    <s v="Azul Linhas Aéreas"/>
    <x v="0"/>
    <n v="0"/>
    <s v="AZLA12    "/>
    <n v="2"/>
    <x v="35"/>
    <d v="2015-09-25T00:00:00"/>
    <x v="6"/>
    <n v="0"/>
    <x v="2"/>
    <x v="1"/>
    <n v="100"/>
    <n v="1000000"/>
    <s v=""/>
    <n v="100000000"/>
    <x v="33"/>
    <s v="DI"/>
    <n v="127"/>
    <m/>
    <x v="41"/>
    <n v="252"/>
    <s v="Útil"/>
    <s v="N"/>
    <x v="1"/>
    <s v="S"/>
    <x v="1"/>
    <x v="1"/>
    <x v="0"/>
    <x v="31"/>
  </r>
  <r>
    <n v="0"/>
    <s v="Azul Linhas Aéreas4142142396"/>
    <n v="5"/>
    <s v="AZUL LINHAS AEREAS BRASILEIRAS S.A."/>
    <s v="Azul Linhas Aéreas"/>
    <x v="0"/>
    <n v="0"/>
    <s v="AZLA13    "/>
    <n v="3"/>
    <x v="36"/>
    <d v="2016-01-27T00:00:00"/>
    <x v="21"/>
    <n v="0"/>
    <x v="2"/>
    <x v="1"/>
    <n v="30000"/>
    <n v="10000"/>
    <s v=""/>
    <n v="300000000"/>
    <x v="5"/>
    <s v="DI"/>
    <n v="127"/>
    <m/>
    <x v="42"/>
    <n v="252"/>
    <s v="Útil"/>
    <s v="N"/>
    <x v="1"/>
    <s v="S"/>
    <x v="1"/>
    <x v="1"/>
    <x v="0"/>
    <x v="32"/>
  </r>
  <r>
    <n v="0"/>
    <s v="Azul Linhas Aéreas4169842914"/>
    <n v="5"/>
    <s v="AZUL LINHAS AEREAS BRASILEIRAS S.A."/>
    <s v="Azul Linhas Aéreas"/>
    <x v="0"/>
    <n v="0"/>
    <s v="AZLA14    "/>
    <n v="4"/>
    <x v="37"/>
    <d v="2017-06-28T00:00:00"/>
    <x v="22"/>
    <n v="0"/>
    <x v="0"/>
    <x v="0"/>
    <n v="105"/>
    <n v="1000000"/>
    <s v=""/>
    <n v="105000000"/>
    <x v="34"/>
    <s v="DI"/>
    <n v="127"/>
    <m/>
    <x v="43"/>
    <n v="252"/>
    <s v="Útil"/>
    <s v="N"/>
    <x v="1"/>
    <s v="S"/>
    <x v="1"/>
    <x v="1"/>
    <x v="0"/>
    <x v="33"/>
  </r>
  <r>
    <n v="0"/>
    <s v="Azul Linhas Aéreas4190143727"/>
    <n v="5"/>
    <s v="AZUL LINHAS AEREAS BRASILEIRAS S.A."/>
    <s v="Azul Linhas Aéreas"/>
    <x v="0"/>
    <n v="0"/>
    <s v="AZLA15    "/>
    <n v="5"/>
    <x v="38"/>
    <d v="2019-09-19T00:00:00"/>
    <x v="4"/>
    <n v="1"/>
    <x v="2"/>
    <x v="1"/>
    <n v="100000"/>
    <n v="10000"/>
    <s v=""/>
    <n v="1000000000"/>
    <x v="18"/>
    <s v="DI"/>
    <n v="127"/>
    <m/>
    <x v="44"/>
    <n v="252"/>
    <s v="Útil"/>
    <s v="N"/>
    <x v="1"/>
    <s v="N"/>
    <x v="0"/>
    <x v="1"/>
    <x v="0"/>
    <x v="34"/>
  </r>
  <r>
    <n v="0"/>
    <s v="Azul Linhas Aéreas4209342916"/>
    <n v="5"/>
    <s v="AZUL LINHAS AEREAS BRASILEIRAS S.A."/>
    <s v="Azul Linhas Aéreas"/>
    <x v="0"/>
    <n v="0"/>
    <s v="AZLA16    "/>
    <n v="6"/>
    <x v="39"/>
    <d v="2017-06-30T00:00:00"/>
    <x v="23"/>
    <n v="0"/>
    <x v="2"/>
    <x v="1"/>
    <n v="20000"/>
    <n v="10000"/>
    <s v=""/>
    <n v="200000000"/>
    <x v="13"/>
    <s v="DI"/>
    <n v="118"/>
    <m/>
    <x v="45"/>
    <n v="252"/>
    <s v="Útil"/>
    <s v="N"/>
    <x v="1"/>
    <s v="S"/>
    <x v="1"/>
    <x v="1"/>
    <x v="0"/>
    <x v="35"/>
  </r>
  <r>
    <n v="0"/>
    <s v="Azul Linhas Aéreas4272343818"/>
    <n v="5"/>
    <s v="AZUL LINHAS AEREAS BRASILEIRAS S.A."/>
    <s v="Azul Linhas Aéreas"/>
    <x v="0"/>
    <n v="0"/>
    <s v="AZLA17    "/>
    <n v="7"/>
    <x v="40"/>
    <d v="2019-12-19T00:00:00"/>
    <x v="6"/>
    <n v="0"/>
    <x v="2"/>
    <x v="1"/>
    <n v="15000"/>
    <n v="10000"/>
    <s v=""/>
    <n v="150000000"/>
    <x v="2"/>
    <s v="DI"/>
    <n v="100"/>
    <n v="2.85"/>
    <x v="46"/>
    <n v="252"/>
    <s v="Útil"/>
    <s v="N"/>
    <x v="1"/>
    <s v="S"/>
    <x v="1"/>
    <x v="1"/>
    <x v="0"/>
    <x v="36"/>
  </r>
  <r>
    <n v="0"/>
    <s v="Azul Linhas Aéreas4290643468"/>
    <n v="5"/>
    <s v="AZUL LINHAS AEREAS BRASILEIRAS S.A."/>
    <s v="Azul Linhas Aéreas"/>
    <x v="0"/>
    <n v="0"/>
    <s v="AZLA18    "/>
    <n v="8"/>
    <x v="41"/>
    <d v="2019-01-03T00:00:00"/>
    <x v="24"/>
    <n v="0"/>
    <x v="2"/>
    <x v="1"/>
    <n v="20000"/>
    <n v="10000"/>
    <s v=""/>
    <n v="200000000"/>
    <x v="13"/>
    <s v="DI"/>
    <n v="100"/>
    <n v="1.5"/>
    <x v="47"/>
    <n v="252"/>
    <s v="Útil"/>
    <s v="N"/>
    <x v="1"/>
    <s v="S"/>
    <x v="1"/>
    <x v="1"/>
    <x v="0"/>
    <x v="37"/>
  </r>
  <r>
    <n v="0"/>
    <s v="Azul Linhas Aéreas4326946741"/>
    <n v="5"/>
    <s v="AZUL LINHAS AEREAS BRASILEIRAS S.A."/>
    <s v="Azul Linhas Aéreas"/>
    <x v="0"/>
    <n v="0"/>
    <s v="AZLA19    "/>
    <n v="9"/>
    <x v="42"/>
    <d v="2027-12-20T00:00:00"/>
    <x v="25"/>
    <n v="1"/>
    <x v="2"/>
    <x v="1"/>
    <n v="50000"/>
    <n v="10000"/>
    <s v=""/>
    <n v="500000000"/>
    <x v="10"/>
    <s v="DI"/>
    <n v="100"/>
    <n v="5"/>
    <x v="48"/>
    <n v="252"/>
    <s v="Útil"/>
    <s v="N"/>
    <x v="1"/>
    <s v="S"/>
    <x v="1"/>
    <x v="1"/>
    <x v="0"/>
    <x v="38"/>
  </r>
  <r>
    <n v="0"/>
    <s v="Azul Linhas Aéreas4345446741"/>
    <n v="5"/>
    <s v="AZUL LINHAS AEREAS BRASILEIRAS S.A."/>
    <s v="Azul Linhas Aéreas"/>
    <x v="0"/>
    <n v="0"/>
    <s v="AZLAA0    "/>
    <n v="10"/>
    <x v="43"/>
    <d v="2027-12-20T00:00:00"/>
    <x v="26"/>
    <n v="1"/>
    <x v="2"/>
    <x v="1"/>
    <n v="20000"/>
    <n v="10000"/>
    <s v=""/>
    <n v="200000000"/>
    <x v="13"/>
    <s v="DI"/>
    <n v="100"/>
    <n v="5"/>
    <x v="48"/>
    <n v="252"/>
    <s v="Útil"/>
    <s v="N"/>
    <x v="1"/>
    <s v="S"/>
    <x v="1"/>
    <x v="1"/>
    <x v="0"/>
    <x v="39"/>
  </r>
  <r>
    <n v="6"/>
    <s v="Azul Linhas Aéreas4436215/06/2026"/>
    <n v="5"/>
    <s v="Azul Investments LLP"/>
    <s v="Azul Linhas Aéreas"/>
    <x v="1"/>
    <n v="1"/>
    <m/>
    <n v="11"/>
    <x v="44"/>
    <s v="15/06/2026"/>
    <x v="4"/>
    <n v="1"/>
    <x v="1"/>
    <x v="0"/>
    <m/>
    <m/>
    <n v="5.0873999999999997"/>
    <n v="600000000"/>
    <x v="35"/>
    <s v="USD"/>
    <s v="-"/>
    <n v="7.25"/>
    <x v="49"/>
    <n v="360"/>
    <s v="Corrido"/>
    <s v="N"/>
    <x v="1"/>
    <s v="S"/>
    <x v="1"/>
    <x v="5"/>
    <x v="0"/>
    <x v="40"/>
  </r>
  <r>
    <n v="7"/>
    <s v="Azul Linhas Aéreas4303426/10/2024"/>
    <n v="5"/>
    <s v="Azul Investments LLP"/>
    <s v="Azul Linhas Aéreas"/>
    <x v="1"/>
    <n v="1"/>
    <m/>
    <n v="12"/>
    <x v="45"/>
    <s v="26/10/2024"/>
    <x v="8"/>
    <n v="1"/>
    <x v="1"/>
    <x v="0"/>
    <m/>
    <m/>
    <n v="3.2437999999999998"/>
    <n v="400000000"/>
    <x v="36"/>
    <s v="USD"/>
    <s v="-"/>
    <n v="5.875"/>
    <x v="50"/>
    <n v="360"/>
    <s v="Corrido"/>
    <s v="N"/>
    <x v="1"/>
    <s v="S"/>
    <x v="1"/>
    <x v="1"/>
    <x v="0"/>
    <x v="41"/>
  </r>
  <r>
    <n v="0"/>
    <s v="Braskem4361943985"/>
    <n v="6"/>
    <s v="BRK AMBIENTAL PARTICIPACOES S/A"/>
    <s v="Braskem"/>
    <x v="0"/>
    <n v="0"/>
    <s v="BRKP14    "/>
    <n v="1"/>
    <x v="46"/>
    <d v="2020-06-03T00:00:00"/>
    <x v="27"/>
    <n v="0"/>
    <x v="2"/>
    <x v="1"/>
    <n v="45000"/>
    <n v="10000"/>
    <s v=""/>
    <n v="450000000"/>
    <x v="37"/>
    <s v="DI"/>
    <n v="100"/>
    <n v="0.75"/>
    <x v="51"/>
    <n v="252"/>
    <s v="Útil"/>
    <s v="N"/>
    <x v="1"/>
    <s v="S"/>
    <x v="1"/>
    <x v="2"/>
    <x v="1"/>
    <x v="0"/>
  </r>
  <r>
    <n v="0"/>
    <s v="Braskem4381444362"/>
    <n v="6"/>
    <s v="BRK AMBIENTAL PARTICIPACOES S/A"/>
    <s v="Braskem"/>
    <x v="0"/>
    <n v="0"/>
    <s v="BRKP15    "/>
    <n v="2"/>
    <x v="47"/>
    <d v="2021-06-15T00:00:00"/>
    <x v="28"/>
    <n v="0"/>
    <x v="2"/>
    <x v="1"/>
    <n v="160000"/>
    <n v="1000"/>
    <s v=""/>
    <n v="160000000"/>
    <x v="38"/>
    <s v="DI"/>
    <n v="100"/>
    <n v="1.29"/>
    <x v="52"/>
    <n v="252"/>
    <s v="Útil"/>
    <s v="N"/>
    <x v="1"/>
    <s v="S"/>
    <x v="1"/>
    <x v="2"/>
    <x v="1"/>
    <x v="34"/>
  </r>
  <r>
    <n v="0"/>
    <s v="Braskem4394944314"/>
    <n v="6"/>
    <s v="BRK AMBIENTAL PARTICIPACOES S/A"/>
    <s v="Braskem"/>
    <x v="0"/>
    <n v="0"/>
    <s v="BRKP16    "/>
    <n v="3"/>
    <x v="48"/>
    <d v="2021-04-28T00:00:00"/>
    <x v="29"/>
    <n v="0"/>
    <x v="2"/>
    <x v="1"/>
    <n v="50000"/>
    <n v="1000"/>
    <s v=""/>
    <n v="50000000"/>
    <x v="39"/>
    <s v="DI"/>
    <n v="100"/>
    <n v="3"/>
    <x v="2"/>
    <n v="252"/>
    <s v="Útil"/>
    <s v="N"/>
    <x v="1"/>
    <s v="S"/>
    <x v="1"/>
    <x v="6"/>
    <x v="0"/>
    <x v="42"/>
  </r>
  <r>
    <n v="0"/>
    <s v="Braskem4398044529"/>
    <n v="6"/>
    <s v="BRK AMBIENTAL PARTICIPACOES S/A"/>
    <s v="Braskem"/>
    <x v="0"/>
    <n v="0"/>
    <s v="BRKP17    "/>
    <n v="4"/>
    <x v="49"/>
    <d v="2021-11-29T00:00:00"/>
    <x v="30"/>
    <n v="0"/>
    <x v="2"/>
    <x v="1"/>
    <n v="45000"/>
    <n v="10000"/>
    <s v=""/>
    <n v="450000000"/>
    <x v="37"/>
    <s v="DI"/>
    <n v="100"/>
    <n v="4.05"/>
    <x v="53"/>
    <n v="252"/>
    <s v="Útil"/>
    <s v="N"/>
    <x v="1"/>
    <s v="S"/>
    <x v="1"/>
    <x v="6"/>
    <x v="0"/>
    <x v="43"/>
  </r>
  <r>
    <n v="0"/>
    <s v="Braskem4408945915"/>
    <n v="6"/>
    <s v="BRK AMBIENTAL PARTICIPACOES S/A"/>
    <s v="Braskem"/>
    <x v="0"/>
    <n v="0"/>
    <s v="BRKP18    "/>
    <n v="5"/>
    <x v="22"/>
    <d v="2025-09-15T00:00:00"/>
    <x v="4"/>
    <n v="1"/>
    <x v="2"/>
    <x v="1"/>
    <n v="795000"/>
    <n v="1000"/>
    <s v=""/>
    <n v="795000000"/>
    <x v="40"/>
    <s v="DI"/>
    <n v="100"/>
    <n v="3.8"/>
    <x v="54"/>
    <n v="252"/>
    <s v="Útil"/>
    <s v="N"/>
    <x v="1"/>
    <s v="S"/>
    <x v="1"/>
    <x v="6"/>
    <x v="0"/>
    <x v="20"/>
  </r>
  <r>
    <n v="0"/>
    <s v="Braskem4437846204"/>
    <n v="6"/>
    <s v="BRK AMBIENTAL PARTICIPACOES S/A"/>
    <s v="Braskem"/>
    <x v="0"/>
    <n v="0"/>
    <s v="BRKP19    "/>
    <n v="6"/>
    <x v="50"/>
    <d v="2026-07-01T00:00:00"/>
    <x v="4"/>
    <n v="1"/>
    <x v="2"/>
    <x v="1"/>
    <n v="200000"/>
    <n v="1000"/>
    <s v=""/>
    <n v="200000000"/>
    <x v="13"/>
    <s v="DI"/>
    <n v="100"/>
    <n v="1.95"/>
    <x v="55"/>
    <n v="252"/>
    <s v="Útil"/>
    <s v="N"/>
    <x v="1"/>
    <s v="S"/>
    <x v="1"/>
    <x v="6"/>
    <x v="0"/>
    <x v="0"/>
  </r>
  <r>
    <n v="0"/>
    <s v="Braskem4408949202"/>
    <n v="6"/>
    <s v="BRK AMBIENTAL PARTICIPACOES S/A"/>
    <s v="Braskem"/>
    <x v="0"/>
    <n v="0"/>
    <s v="BRKP28    "/>
    <n v="7"/>
    <x v="22"/>
    <d v="2034-09-15T00:00:00"/>
    <x v="31"/>
    <n v="1"/>
    <x v="2"/>
    <x v="1"/>
    <n v="305000"/>
    <n v="1000"/>
    <s v=""/>
    <n v="305000000"/>
    <x v="4"/>
    <s v="IPCA"/>
    <s v="-"/>
    <n v="5.5365000000000002"/>
    <x v="56"/>
    <n v="252"/>
    <s v="Útil"/>
    <s v="S"/>
    <x v="0"/>
    <s v="N"/>
    <x v="0"/>
    <x v="6"/>
    <x v="0"/>
    <x v="20"/>
  </r>
  <r>
    <n v="0"/>
    <s v="Braskem4203044210"/>
    <n v="6"/>
    <s v="BRK AMBIENTAL PARTICIPACOES S/A"/>
    <s v="Braskem"/>
    <x v="0"/>
    <n v="0"/>
    <s v="ODAP11    "/>
    <n v="8"/>
    <x v="51"/>
    <d v="2021-01-14T00:00:00"/>
    <x v="32"/>
    <n v="1"/>
    <x v="2"/>
    <x v="1"/>
    <n v="10"/>
    <n v="10000000"/>
    <s v=""/>
    <n v="100000000"/>
    <x v="33"/>
    <s v="DI"/>
    <n v="100"/>
    <n v="1.85"/>
    <x v="57"/>
    <n v="252"/>
    <s v="Útil"/>
    <s v="N"/>
    <x v="1"/>
    <s v="N"/>
    <x v="0"/>
    <x v="2"/>
    <x v="1"/>
    <x v="44"/>
  </r>
  <r>
    <n v="0"/>
    <s v="Braskem4271944545"/>
    <n v="6"/>
    <s v="BRK AMBIENTAL PARTICIPACOES S/A"/>
    <s v="Braskem"/>
    <x v="0"/>
    <n v="0"/>
    <s v="ODBA13    "/>
    <n v="9"/>
    <x v="52"/>
    <d v="2021-12-15T00:00:00"/>
    <x v="4"/>
    <n v="1"/>
    <x v="0"/>
    <x v="0"/>
    <n v="399000000"/>
    <n v="1"/>
    <s v=""/>
    <n v="399000000"/>
    <x v="41"/>
    <s v="DI"/>
    <n v="100"/>
    <n v="3.5"/>
    <x v="58"/>
    <n v="252"/>
    <s v="Útil"/>
    <s v="N"/>
    <x v="1"/>
    <s v="S"/>
    <x v="1"/>
    <x v="2"/>
    <x v="1"/>
    <x v="45"/>
  </r>
  <r>
    <n v="8"/>
    <s v="Braskem4074622/07/2041"/>
    <n v="6"/>
    <s v="Braskem America Finance Co"/>
    <s v="Braskem"/>
    <x v="1"/>
    <n v="1"/>
    <m/>
    <n v="10"/>
    <x v="53"/>
    <s v="22/07/2041"/>
    <x v="33"/>
    <n v="1"/>
    <x v="1"/>
    <x v="0"/>
    <m/>
    <m/>
    <n v="1.5539000000000001"/>
    <n v="500000000"/>
    <x v="42"/>
    <s v="USD"/>
    <s v="-"/>
    <n v="7.125"/>
    <x v="59"/>
    <n v="360"/>
    <s v="Corrido"/>
    <s v="N"/>
    <x v="1"/>
    <s v="S"/>
    <x v="1"/>
    <x v="6"/>
    <x v="0"/>
    <x v="46"/>
  </r>
  <r>
    <n v="9"/>
    <s v="Braskem4111322/07/2041"/>
    <n v="6"/>
    <s v="Braskem America Finance Co"/>
    <s v="Braskem"/>
    <x v="1"/>
    <n v="1"/>
    <m/>
    <n v="11"/>
    <x v="54"/>
    <s v="22/07/2041"/>
    <x v="34"/>
    <n v="1"/>
    <x v="1"/>
    <x v="0"/>
    <m/>
    <m/>
    <n v="2.0406"/>
    <n v="250000000"/>
    <x v="43"/>
    <s v="USD"/>
    <s v="-"/>
    <n v="7.125"/>
    <x v="60"/>
    <n v="360"/>
    <s v="Corrido"/>
    <s v="N"/>
    <x v="1"/>
    <s v="S"/>
    <x v="1"/>
    <x v="2"/>
    <x v="1"/>
    <x v="47"/>
  </r>
  <r>
    <n v="10"/>
    <s v="Braskem4167303/02/2024"/>
    <n v="6"/>
    <s v="Braskem Finance Ltd"/>
    <s v="Braskem"/>
    <x v="1"/>
    <n v="1"/>
    <m/>
    <n v="12"/>
    <x v="55"/>
    <s v="03/02/2024"/>
    <x v="1"/>
    <n v="1"/>
    <x v="1"/>
    <x v="0"/>
    <m/>
    <m/>
    <n v="2.4083999999999999"/>
    <n v="500000000"/>
    <x v="44"/>
    <s v="USD"/>
    <s v="-"/>
    <n v="6.45"/>
    <x v="61"/>
    <n v="360"/>
    <s v="Corrido"/>
    <s v="N"/>
    <x v="1"/>
    <s v="N"/>
    <x v="0"/>
    <x v="2"/>
    <x v="1"/>
    <x v="48"/>
  </r>
  <r>
    <n v="11"/>
    <s v="Braskem4103102/05/2022"/>
    <n v="6"/>
    <s v="Braskem Finance Ltd"/>
    <s v="Braskem"/>
    <x v="1"/>
    <n v="1"/>
    <m/>
    <n v="13"/>
    <x v="56"/>
    <s v="02/05/2022"/>
    <x v="1"/>
    <n v="1"/>
    <x v="1"/>
    <x v="0"/>
    <m/>
    <m/>
    <n v="1.9142999999999999"/>
    <n v="500000000"/>
    <x v="45"/>
    <s v="USD"/>
    <s v="-"/>
    <n v="5.375"/>
    <x v="62"/>
    <n v="360"/>
    <s v="Corrido"/>
    <s v="N"/>
    <x v="1"/>
    <s v="N"/>
    <x v="0"/>
    <x v="2"/>
    <x v="1"/>
    <x v="49"/>
  </r>
  <r>
    <n v="12"/>
    <s v="Braskem4064815/04/2021"/>
    <n v="6"/>
    <s v="Braskem Finance Ltd"/>
    <s v="Braskem"/>
    <x v="1"/>
    <n v="1"/>
    <m/>
    <n v="14"/>
    <x v="57"/>
    <s v="15/04/2021"/>
    <x v="12"/>
    <n v="1"/>
    <x v="1"/>
    <x v="0"/>
    <m/>
    <m/>
    <n v="1.5768"/>
    <n v="750000000"/>
    <x v="46"/>
    <s v="USD"/>
    <s v="-"/>
    <n v="5.75"/>
    <x v="63"/>
    <n v="360"/>
    <s v="Corrido"/>
    <s v="N"/>
    <x v="1"/>
    <s v="N"/>
    <x v="0"/>
    <x v="6"/>
    <x v="0"/>
    <x v="50"/>
  </r>
  <r>
    <n v="13"/>
    <s v="Braskem4094115/04/2021"/>
    <n v="6"/>
    <s v="Braskem Finance Ltd"/>
    <s v="Braskem"/>
    <x v="1"/>
    <n v="1"/>
    <m/>
    <n v="15"/>
    <x v="58"/>
    <s v="15/04/2021"/>
    <x v="35"/>
    <n v="1"/>
    <x v="1"/>
    <x v="0"/>
    <m/>
    <m/>
    <n v="1.732"/>
    <n v="250000000"/>
    <x v="47"/>
    <s v="USD"/>
    <s v="-"/>
    <n v="5.75"/>
    <x v="64"/>
    <n v="360"/>
    <s v="Corrido"/>
    <s v="N"/>
    <x v="1"/>
    <s v="S"/>
    <x v="1"/>
    <x v="2"/>
    <x v="1"/>
    <x v="11"/>
  </r>
  <r>
    <n v="14"/>
    <s v="Braskem4377031/01/2030"/>
    <n v="6"/>
    <s v="Braskem Netherlands Finance BV"/>
    <s v="Braskem"/>
    <x v="1"/>
    <n v="1"/>
    <m/>
    <n v="16"/>
    <x v="59"/>
    <s v="31/01/2030"/>
    <x v="36"/>
    <n v="1"/>
    <x v="1"/>
    <x v="0"/>
    <m/>
    <m/>
    <n v="3.9780000000000002"/>
    <n v="1500000000"/>
    <x v="48"/>
    <s v="USD"/>
    <s v="-"/>
    <n v="4.5"/>
    <x v="65"/>
    <n v="360"/>
    <s v="Corrido"/>
    <s v="N"/>
    <x v="1"/>
    <s v="N"/>
    <x v="0"/>
    <x v="2"/>
    <x v="1"/>
    <x v="26"/>
  </r>
  <r>
    <n v="15"/>
    <s v="Braskem4301810/01/2028"/>
    <n v="6"/>
    <s v="Braskem Netherlands Finance BV"/>
    <s v="Braskem"/>
    <x v="1"/>
    <n v="1"/>
    <m/>
    <n v="17"/>
    <x v="9"/>
    <s v="10/01/2028"/>
    <x v="36"/>
    <n v="1"/>
    <x v="1"/>
    <x v="0"/>
    <m/>
    <m/>
    <n v="3.1682000000000001"/>
    <n v="1250000000"/>
    <x v="49"/>
    <s v="USD"/>
    <s v="-"/>
    <n v="4.5"/>
    <x v="66"/>
    <n v="360"/>
    <s v="Corrido"/>
    <s v="N"/>
    <x v="1"/>
    <s v="S"/>
    <x v="1"/>
    <x v="2"/>
    <x v="1"/>
    <x v="9"/>
  </r>
  <r>
    <n v="16"/>
    <s v="Braskem4377031/01/2050"/>
    <n v="6"/>
    <s v="Braskem Netherlands Finance BV"/>
    <s v="Braskem"/>
    <x v="1"/>
    <n v="1"/>
    <m/>
    <n v="18"/>
    <x v="59"/>
    <s v="31/01/2050"/>
    <x v="37"/>
    <n v="1"/>
    <x v="1"/>
    <x v="0"/>
    <m/>
    <m/>
    <n v="3.9780000000000002"/>
    <n v="750000000"/>
    <x v="50"/>
    <s v="USD"/>
    <s v="-"/>
    <n v="5.875"/>
    <x v="67"/>
    <n v="360"/>
    <s v="Corrido"/>
    <s v="N"/>
    <x v="1"/>
    <s v="N"/>
    <x v="0"/>
    <x v="2"/>
    <x v="1"/>
    <x v="26"/>
  </r>
  <r>
    <n v="17"/>
    <s v="Braskem4403523/01/2081"/>
    <n v="6"/>
    <s v="Braskem Netherlands Finance BV"/>
    <s v="Braskem"/>
    <x v="1"/>
    <n v="1"/>
    <m/>
    <n v="19"/>
    <x v="60"/>
    <s v="23/01/2081"/>
    <x v="38"/>
    <n v="1"/>
    <x v="1"/>
    <x v="0"/>
    <m/>
    <m/>
    <n v="5.1641000000000004"/>
    <n v="600000000"/>
    <x v="51"/>
    <s v="USD"/>
    <s v="-"/>
    <n v="8.5"/>
    <x v="68"/>
    <n v="360"/>
    <s v="Corrido"/>
    <s v="N"/>
    <x v="1"/>
    <s v="S"/>
    <x v="1"/>
    <x v="6"/>
    <x v="0"/>
    <x v="51"/>
  </r>
  <r>
    <n v="18"/>
    <s v="Braskem4301810/01/2023"/>
    <n v="6"/>
    <s v="Braskem Netherlands Finance BV"/>
    <s v="Braskem"/>
    <x v="1"/>
    <n v="1"/>
    <m/>
    <n v="20"/>
    <x v="9"/>
    <s v="10/01/2023"/>
    <x v="39"/>
    <n v="1"/>
    <x v="1"/>
    <x v="0"/>
    <m/>
    <m/>
    <n v="3.1682000000000001"/>
    <n v="500000000"/>
    <x v="52"/>
    <s v="USD"/>
    <s v="-"/>
    <n v="3.5"/>
    <x v="69"/>
    <n v="360"/>
    <s v="Corrido"/>
    <s v="N"/>
    <x v="1"/>
    <s v="S"/>
    <x v="1"/>
    <x v="2"/>
    <x v="1"/>
    <x v="9"/>
  </r>
  <r>
    <n v="0"/>
    <s v="BRF4358544681"/>
    <n v="7"/>
    <s v="BRF S/A"/>
    <s v="BRF"/>
    <x v="0"/>
    <n v="0"/>
    <s v="BRFS11    "/>
    <n v="1"/>
    <x v="61"/>
    <d v="2022-04-30T00:00:00"/>
    <x v="16"/>
    <n v="0"/>
    <x v="2"/>
    <x v="1"/>
    <n v="70000"/>
    <n v="1000"/>
    <s v=""/>
    <n v="70000000"/>
    <x v="53"/>
    <s v="DI"/>
    <n v="100"/>
    <n v="0.8"/>
    <x v="70"/>
    <n v="252"/>
    <s v="Útil"/>
    <s v="N"/>
    <x v="1"/>
    <s v="S"/>
    <x v="1"/>
    <x v="0"/>
    <x v="0"/>
    <x v="52"/>
  </r>
  <r>
    <n v="0"/>
    <s v="BRF4358546142"/>
    <n v="7"/>
    <s v="BRF S/A"/>
    <s v="BRF"/>
    <x v="0"/>
    <n v="0"/>
    <s v="BRFS31    "/>
    <n v="2"/>
    <x v="61"/>
    <d v="2026-04-30T00:00:00"/>
    <x v="8"/>
    <n v="1"/>
    <x v="2"/>
    <x v="1"/>
    <n v="411732"/>
    <n v="1000"/>
    <s v=""/>
    <n v="411732000"/>
    <x v="54"/>
    <s v="IPCA"/>
    <s v="-"/>
    <n v="5.5"/>
    <x v="71"/>
    <n v="252"/>
    <s v="Útil"/>
    <s v="N"/>
    <x v="1"/>
    <s v="S"/>
    <x v="1"/>
    <x v="0"/>
    <x v="0"/>
    <x v="52"/>
  </r>
  <r>
    <n v="0"/>
    <s v="BRF4358546142"/>
    <n v="7"/>
    <s v="BRF S/A"/>
    <s v="BRF"/>
    <x v="0"/>
    <n v="0"/>
    <s v="BRFS41    "/>
    <n v="3"/>
    <x v="61"/>
    <d v="2026-04-30T00:00:00"/>
    <x v="8"/>
    <n v="1"/>
    <x v="2"/>
    <x v="1"/>
    <n v="268268"/>
    <n v="1000"/>
    <s v=""/>
    <n v="268268000"/>
    <x v="55"/>
    <s v="DI"/>
    <n v="100"/>
    <n v="1.45"/>
    <x v="72"/>
    <n v="252"/>
    <s v="Útil"/>
    <s v="N"/>
    <x v="1"/>
    <s v="S"/>
    <x v="1"/>
    <x v="0"/>
    <x v="0"/>
    <x v="52"/>
  </r>
  <r>
    <n v="19"/>
    <s v="BRF4264229/09/2026"/>
    <n v="7"/>
    <s v="BRF GmbH"/>
    <s v="BRF"/>
    <x v="1"/>
    <n v="1"/>
    <m/>
    <n v="4"/>
    <x v="62"/>
    <s v="29/09/2026"/>
    <x v="1"/>
    <n v="1"/>
    <x v="1"/>
    <x v="0"/>
    <m/>
    <m/>
    <n v="3.2229000000000001"/>
    <n v="500000000"/>
    <x v="56"/>
    <s v="USD"/>
    <s v="-"/>
    <n v="4.3499999999999996"/>
    <x v="73"/>
    <n v="360"/>
    <s v="Corrido"/>
    <s v="N"/>
    <x v="1"/>
    <s v="N"/>
    <x v="0"/>
    <x v="7"/>
    <x v="1"/>
    <x v="35"/>
  </r>
  <r>
    <n v="20"/>
    <s v="BRF4373224/01/2030"/>
    <n v="7"/>
    <s v="BRF SA"/>
    <s v="BRF"/>
    <x v="1"/>
    <n v="1"/>
    <m/>
    <n v="5"/>
    <x v="63"/>
    <s v="24/01/2030"/>
    <x v="40"/>
    <n v="1"/>
    <x v="5"/>
    <x v="1"/>
    <m/>
    <m/>
    <n v="4.1715"/>
    <n v="750000000"/>
    <x v="57"/>
    <s v="USD"/>
    <s v="-"/>
    <n v="4.875"/>
    <x v="74"/>
    <n v="360"/>
    <s v="Corrido"/>
    <s v="N"/>
    <x v="1"/>
    <s v="S"/>
    <x v="1"/>
    <x v="0"/>
    <x v="0"/>
    <x v="16"/>
  </r>
  <r>
    <n v="21"/>
    <s v="BRF4409521/09/2050"/>
    <n v="7"/>
    <s v="BRF SA"/>
    <s v="BRF"/>
    <x v="1"/>
    <n v="1"/>
    <m/>
    <n v="6"/>
    <x v="64"/>
    <s v="21/09/2050"/>
    <x v="41"/>
    <n v="1"/>
    <x v="5"/>
    <x v="1"/>
    <m/>
    <m/>
    <n v="5.4433999999999996"/>
    <n v="500000000"/>
    <x v="58"/>
    <s v="USD"/>
    <s v="-"/>
    <n v="5.75"/>
    <x v="75"/>
    <n v="360"/>
    <s v="Corrido"/>
    <s v="N"/>
    <x v="1"/>
    <s v="S"/>
    <x v="1"/>
    <x v="0"/>
    <x v="0"/>
    <x v="36"/>
  </r>
  <r>
    <n v="22"/>
    <s v="BRF4178122/05/2024"/>
    <n v="7"/>
    <s v="BRF SA"/>
    <s v="BRF"/>
    <x v="1"/>
    <n v="1"/>
    <m/>
    <n v="7"/>
    <x v="65"/>
    <s v="22/05/2024"/>
    <x v="12"/>
    <n v="1"/>
    <x v="5"/>
    <x v="1"/>
    <m/>
    <m/>
    <n v="2.2124999999999999"/>
    <n v="500000000"/>
    <x v="59"/>
    <s v="USD"/>
    <s v="-"/>
    <n v="4.75"/>
    <x v="76"/>
    <n v="360"/>
    <s v="Corrido"/>
    <s v="N"/>
    <x v="1"/>
    <s v="N"/>
    <x v="0"/>
    <x v="2"/>
    <x v="1"/>
    <x v="53"/>
  </r>
  <r>
    <n v="23"/>
    <s v="BRF4141622/05/2023"/>
    <n v="7"/>
    <s v="BRF SA"/>
    <s v="BRF"/>
    <x v="1"/>
    <n v="1"/>
    <m/>
    <n v="8"/>
    <x v="66"/>
    <s v="22/05/2023"/>
    <x v="1"/>
    <n v="1"/>
    <x v="5"/>
    <x v="1"/>
    <m/>
    <m/>
    <n v="2.0381"/>
    <n v="500000000"/>
    <x v="60"/>
    <s v="USD"/>
    <s v="-"/>
    <n v="3.95"/>
    <x v="77"/>
    <n v="360"/>
    <s v="Corrido"/>
    <s v="N"/>
    <x v="1"/>
    <s v="N"/>
    <x v="0"/>
    <x v="2"/>
    <x v="1"/>
    <x v="54"/>
  </r>
  <r>
    <n v="24"/>
    <s v="BRF4106606/06/2022"/>
    <n v="7"/>
    <s v="BRF SA"/>
    <s v="BRF"/>
    <x v="1"/>
    <n v="1"/>
    <m/>
    <n v="9"/>
    <x v="67"/>
    <s v="06/06/2022"/>
    <x v="1"/>
    <n v="1"/>
    <x v="5"/>
    <x v="1"/>
    <m/>
    <m/>
    <n v="2.0175999999999998"/>
    <n v="500000000"/>
    <x v="61"/>
    <s v="USD"/>
    <s v="-"/>
    <n v="5.875"/>
    <x v="78"/>
    <n v="360"/>
    <s v="Corrido"/>
    <s v="N"/>
    <x v="1"/>
    <s v="N"/>
    <x v="0"/>
    <x v="2"/>
    <x v="1"/>
    <x v="55"/>
  </r>
  <r>
    <n v="25"/>
    <s v="BRF4413021/09/2050"/>
    <n v="7"/>
    <s v="BRF SA"/>
    <s v="BRF"/>
    <x v="1"/>
    <n v="1"/>
    <m/>
    <n v="10"/>
    <x v="68"/>
    <s v="21/09/2050"/>
    <x v="42"/>
    <n v="1"/>
    <x v="5"/>
    <x v="1"/>
    <m/>
    <m/>
    <n v="5.6322000000000001"/>
    <n v="300000000"/>
    <x v="62"/>
    <s v="USD"/>
    <s v="-"/>
    <n v="5.75"/>
    <x v="79"/>
    <n v="360"/>
    <s v="Corrido"/>
    <s v="N"/>
    <x v="1"/>
    <s v="S"/>
    <x v="1"/>
    <x v="0"/>
    <x v="0"/>
    <x v="56"/>
  </r>
  <r>
    <n v="26"/>
    <s v="BRF4108606/06/2022"/>
    <n v="7"/>
    <s v="BRF SA"/>
    <s v="BRF"/>
    <x v="1"/>
    <n v="1"/>
    <m/>
    <n v="11"/>
    <x v="69"/>
    <s v="06/06/2022"/>
    <x v="43"/>
    <n v="1"/>
    <x v="1"/>
    <x v="0"/>
    <m/>
    <m/>
    <n v="2.0737000000000001"/>
    <n v="250000000"/>
    <x v="63"/>
    <s v="USD"/>
    <s v="-"/>
    <n v="5.875"/>
    <x v="80"/>
    <n v="360"/>
    <s v="Corrido"/>
    <s v="N"/>
    <x v="1"/>
    <s v="S"/>
    <x v="1"/>
    <x v="2"/>
    <x v="1"/>
    <x v="57"/>
  </r>
  <r>
    <n v="0"/>
    <s v="Cemig4136043186"/>
    <n v="8"/>
    <s v="CEMIG CAPIM BRANCO ENERGIA S.A."/>
    <s v="Cemig"/>
    <x v="0"/>
    <n v="0"/>
    <s v="CMCB11    "/>
    <n v="1"/>
    <x v="70"/>
    <d v="2018-03-27T00:00:00"/>
    <x v="4"/>
    <n v="1"/>
    <x v="2"/>
    <x v="1"/>
    <n v="7200"/>
    <n v="10000"/>
    <s v=""/>
    <n v="72000000"/>
    <x v="64"/>
    <s v="DI"/>
    <n v="100"/>
    <n v="0.8"/>
    <x v="70"/>
    <n v="252"/>
    <s v="Útil"/>
    <s v="N"/>
    <x v="1"/>
    <s v="N"/>
    <x v="0"/>
    <x v="1"/>
    <x v="0"/>
    <x v="32"/>
  </r>
  <r>
    <n v="0"/>
    <s v="Cemig4132043146"/>
    <n v="8"/>
    <s v="CEMIG DISTRIBUICAO S/A"/>
    <s v="Cemig"/>
    <x v="0"/>
    <n v="0"/>
    <s v="CMDT13    "/>
    <n v="2"/>
    <x v="71"/>
    <d v="2018-02-15T00:00:00"/>
    <x v="4"/>
    <n v="1"/>
    <x v="2"/>
    <x v="1"/>
    <n v="410817"/>
    <n v="1000"/>
    <s v=""/>
    <n v="410817000"/>
    <x v="65"/>
    <s v="DI"/>
    <n v="100"/>
    <n v="0.69"/>
    <x v="81"/>
    <n v="252"/>
    <s v="Útil"/>
    <s v="N"/>
    <x v="1"/>
    <s v="N"/>
    <x v="0"/>
    <x v="1"/>
    <x v="0"/>
    <x v="58"/>
  </r>
  <r>
    <n v="0"/>
    <s v="Cemig4235343449"/>
    <n v="8"/>
    <s v="CEMIG DISTRIBUICAO S/A"/>
    <s v="Cemig"/>
    <x v="0"/>
    <n v="0"/>
    <s v="CMDT14    "/>
    <n v="3"/>
    <x v="72"/>
    <d v="2018-12-15T00:00:00"/>
    <x v="16"/>
    <n v="0"/>
    <x v="2"/>
    <x v="1"/>
    <n v="161500"/>
    <n v="10000"/>
    <s v=""/>
    <n v="1615000000"/>
    <x v="66"/>
    <s v="DI"/>
    <n v="100"/>
    <n v="4.05"/>
    <x v="53"/>
    <n v="252"/>
    <s v="Útil"/>
    <s v="N"/>
    <x v="1"/>
    <s v="S"/>
    <x v="1"/>
    <x v="1"/>
    <x v="0"/>
    <x v="59"/>
  </r>
  <r>
    <n v="0"/>
    <s v="Cemig4132044242"/>
    <n v="8"/>
    <s v="CEMIG DISTRIBUICAO S/A"/>
    <s v="Cemig"/>
    <x v="0"/>
    <n v="0"/>
    <s v="CMDT23    "/>
    <n v="4"/>
    <x v="71"/>
    <d v="2021-02-15T00:00:00"/>
    <x v="13"/>
    <n v="1"/>
    <x v="2"/>
    <x v="1"/>
    <n v="1095508"/>
    <n v="1000"/>
    <s v=""/>
    <n v="1095508000"/>
    <x v="67"/>
    <s v="IPCA"/>
    <s v="-"/>
    <n v="4.7"/>
    <x v="82"/>
    <n v="252"/>
    <s v="Útil"/>
    <s v="N"/>
    <x v="1"/>
    <s v="S"/>
    <x v="1"/>
    <x v="1"/>
    <x v="0"/>
    <x v="58"/>
  </r>
  <r>
    <n v="0"/>
    <s v="Cemig4132045703"/>
    <n v="8"/>
    <s v="CEMIG DISTRIBUICAO S/A"/>
    <s v="Cemig"/>
    <x v="0"/>
    <n v="0"/>
    <s v="CMDT33    "/>
    <n v="5"/>
    <x v="71"/>
    <d v="2025-02-15T00:00:00"/>
    <x v="44"/>
    <n v="1"/>
    <x v="2"/>
    <x v="1"/>
    <n v="653675"/>
    <n v="1000"/>
    <s v=""/>
    <n v="653675000"/>
    <x v="68"/>
    <s v="IPCA"/>
    <s v="-"/>
    <n v="5.0999999999999996"/>
    <x v="83"/>
    <n v="252"/>
    <s v="Útil"/>
    <s v="N"/>
    <x v="1"/>
    <s v="S"/>
    <x v="1"/>
    <x v="1"/>
    <x v="0"/>
    <x v="58"/>
  </r>
  <r>
    <n v="0"/>
    <s v="Cemig4308444727"/>
    <n v="8"/>
    <s v="CEMIG DISTRIBUICAO S/A"/>
    <s v="Cemig"/>
    <x v="0"/>
    <n v="0"/>
    <s v="CMGD15    "/>
    <n v="6"/>
    <x v="73"/>
    <d v="2022-06-15T00:00:00"/>
    <x v="45"/>
    <n v="0"/>
    <x v="0"/>
    <x v="0"/>
    <n v="157500"/>
    <n v="10000"/>
    <s v=""/>
    <n v="1575000000"/>
    <x v="69"/>
    <s v="DI"/>
    <n v="146.5"/>
    <m/>
    <x v="84"/>
    <n v="252"/>
    <s v="Útil"/>
    <s v="N"/>
    <x v="1"/>
    <s v="S"/>
    <x v="1"/>
    <x v="8"/>
    <x v="0"/>
    <x v="60"/>
  </r>
  <r>
    <n v="0"/>
    <s v="Cemig4343743985"/>
    <n v="8"/>
    <s v="CEMIG DISTRIBUICAO S/A"/>
    <s v="Cemig"/>
    <x v="0"/>
    <n v="0"/>
    <s v="CMGD16    "/>
    <n v="7"/>
    <x v="74"/>
    <d v="2020-06-03T00:00:00"/>
    <x v="28"/>
    <n v="0"/>
    <x v="0"/>
    <x v="0"/>
    <n v="550000"/>
    <n v="1000"/>
    <s v=""/>
    <n v="550000000"/>
    <x v="26"/>
    <s v="DI"/>
    <n v="100"/>
    <n v="1.75"/>
    <x v="85"/>
    <n v="252"/>
    <s v="Útil"/>
    <s v="N"/>
    <x v="1"/>
    <s v="S"/>
    <x v="1"/>
    <x v="9"/>
    <x v="0"/>
    <x v="61"/>
  </r>
  <r>
    <n v="0"/>
    <s v="Cemig4363145458"/>
    <n v="8"/>
    <s v="CEMIG DISTRIBUICAO S/A"/>
    <s v="Cemig"/>
    <x v="0"/>
    <n v="0"/>
    <s v="CMGD17    "/>
    <n v="8"/>
    <x v="75"/>
    <d v="2024-06-15T00:00:00"/>
    <x v="5"/>
    <n v="1"/>
    <x v="2"/>
    <x v="1"/>
    <n v="2160000"/>
    <n v="1000"/>
    <s v=""/>
    <n v="2160000000"/>
    <x v="70"/>
    <s v="DI"/>
    <n v="100"/>
    <n v="0.45400000000000001"/>
    <x v="86"/>
    <n v="252"/>
    <s v="Útil"/>
    <s v="N"/>
    <x v="1"/>
    <s v="S"/>
    <x v="1"/>
    <x v="8"/>
    <x v="0"/>
    <x v="52"/>
  </r>
  <r>
    <n v="0"/>
    <s v="Cemig4363146188"/>
    <n v="8"/>
    <s v="CEMIG DISTRIBUICAO S/A"/>
    <s v="Cemig"/>
    <x v="0"/>
    <n v="0"/>
    <s v="CMGD27    "/>
    <n v="9"/>
    <x v="75"/>
    <d v="2026-06-15T00:00:00"/>
    <x v="8"/>
    <n v="1"/>
    <x v="2"/>
    <x v="1"/>
    <n v="1500000"/>
    <n v="1000"/>
    <s v=""/>
    <n v="1500000000"/>
    <x v="71"/>
    <s v="IPCA"/>
    <s v="-"/>
    <n v="4.0999999999999996"/>
    <x v="87"/>
    <n v="252"/>
    <s v="Útil"/>
    <s v="S"/>
    <x v="0"/>
    <s v="N"/>
    <x v="0"/>
    <x v="8"/>
    <x v="0"/>
    <x v="52"/>
  </r>
  <r>
    <n v="0"/>
    <s v="Cemig4095442781"/>
    <n v="8"/>
    <s v="CEMIG GERACAO E TRANSMISSAO S/A"/>
    <s v="Cemig"/>
    <x v="0"/>
    <n v="0"/>
    <s v="CMTR13    "/>
    <n v="10"/>
    <x v="76"/>
    <d v="2017-02-15T00:00:00"/>
    <x v="5"/>
    <n v="1"/>
    <x v="2"/>
    <x v="1"/>
    <n v="480000"/>
    <n v="1000"/>
    <s v=""/>
    <n v="480000000"/>
    <x v="72"/>
    <s v="DI"/>
    <n v="100"/>
    <n v="0.9"/>
    <x v="88"/>
    <n v="252"/>
    <s v="Útil"/>
    <s v="N"/>
    <x v="1"/>
    <s v="S"/>
    <x v="1"/>
    <x v="1"/>
    <x v="0"/>
    <x v="47"/>
  </r>
  <r>
    <n v="0"/>
    <s v="Cemig4163142727"/>
    <n v="8"/>
    <s v="CEMIG GERACAO E TRANSMISSAO S/A"/>
    <s v="Cemig"/>
    <x v="0"/>
    <n v="0"/>
    <s v="CMTR14    "/>
    <n v="11"/>
    <x v="77"/>
    <d v="2016-12-23T00:00:00"/>
    <x v="16"/>
    <n v="0"/>
    <x v="2"/>
    <x v="1"/>
    <n v="50000"/>
    <n v="10000"/>
    <s v=""/>
    <n v="500000000"/>
    <x v="10"/>
    <s v="DI"/>
    <n v="100"/>
    <n v="0.85"/>
    <x v="89"/>
    <n v="252"/>
    <s v="Útil"/>
    <s v="N"/>
    <x v="1"/>
    <s v="N"/>
    <x v="0"/>
    <x v="1"/>
    <x v="0"/>
    <x v="62"/>
  </r>
  <r>
    <n v="0"/>
    <s v="Cemig4198343444"/>
    <n v="8"/>
    <s v="CEMIG GERACAO E TRANSMISSAO S/A"/>
    <s v="Cemig"/>
    <x v="0"/>
    <n v="0"/>
    <s v="CMTR15    "/>
    <n v="12"/>
    <x v="78"/>
    <d v="2018-12-10T00:00:00"/>
    <x v="46"/>
    <n v="0"/>
    <x v="2"/>
    <x v="1"/>
    <n v="140000"/>
    <n v="10000"/>
    <s v=""/>
    <n v="1400000000"/>
    <x v="73"/>
    <s v="DI"/>
    <n v="100"/>
    <n v="1.7"/>
    <x v="90"/>
    <n v="252"/>
    <s v="Útil"/>
    <s v="N"/>
    <x v="1"/>
    <s v="N"/>
    <x v="0"/>
    <x v="1"/>
    <x v="0"/>
    <x v="63"/>
  </r>
  <r>
    <n v="0"/>
    <s v="Cemig4220043296"/>
    <n v="8"/>
    <s v="CEMIG GERACAO E TRANSMISSAO S/A"/>
    <s v="Cemig"/>
    <x v="0"/>
    <n v="0"/>
    <s v="CMTR16    "/>
    <n v="13"/>
    <x v="79"/>
    <d v="2018-07-15T00:00:00"/>
    <x v="16"/>
    <n v="0"/>
    <x v="2"/>
    <x v="1"/>
    <n v="97275"/>
    <n v="10000"/>
    <s v=""/>
    <n v="972750000"/>
    <x v="74"/>
    <s v="DI"/>
    <n v="100"/>
    <n v="1.6"/>
    <x v="91"/>
    <n v="252"/>
    <s v="Útil"/>
    <s v="N"/>
    <x v="1"/>
    <s v="N"/>
    <x v="0"/>
    <x v="1"/>
    <x v="0"/>
    <x v="29"/>
  </r>
  <r>
    <n v="0"/>
    <s v="Cemig4272744553"/>
    <n v="8"/>
    <s v="CEMIG GERACAO E TRANSMISSAO S/A"/>
    <s v="Cemig"/>
    <x v="0"/>
    <n v="0"/>
    <s v="CMTR17    "/>
    <n v="14"/>
    <x v="80"/>
    <d v="2021-12-23T00:00:00"/>
    <x v="4"/>
    <n v="1"/>
    <x v="0"/>
    <x v="0"/>
    <n v="224000"/>
    <n v="10000"/>
    <s v=""/>
    <n v="2240000000"/>
    <x v="75"/>
    <s v="DI"/>
    <n v="140"/>
    <m/>
    <x v="92"/>
    <n v="252"/>
    <s v="Útil"/>
    <s v="N"/>
    <x v="1"/>
    <s v="S"/>
    <x v="1"/>
    <x v="1"/>
    <x v="0"/>
    <x v="64"/>
  </r>
  <r>
    <n v="0"/>
    <s v="Cemig4095443511"/>
    <n v="8"/>
    <s v="CEMIG GERACAO E TRANSMISSAO S/A"/>
    <s v="Cemig"/>
    <x v="0"/>
    <n v="0"/>
    <s v="CMTR23    "/>
    <n v="15"/>
    <x v="76"/>
    <d v="2019-02-15T00:00:00"/>
    <x v="8"/>
    <n v="1"/>
    <x v="2"/>
    <x v="1"/>
    <n v="200000"/>
    <n v="1000"/>
    <s v=""/>
    <n v="200000000"/>
    <x v="13"/>
    <s v="IPCA"/>
    <s v="-"/>
    <n v="6"/>
    <x v="93"/>
    <n v="252"/>
    <s v="Útil"/>
    <s v="N"/>
    <x v="1"/>
    <s v="S"/>
    <x v="1"/>
    <x v="1"/>
    <x v="0"/>
    <x v="47"/>
  </r>
  <r>
    <n v="0"/>
    <s v="Cemig4220044027"/>
    <n v="8"/>
    <s v="CEMIG GERACAO E TRANSMISSAO S/A"/>
    <s v="Cemig"/>
    <x v="0"/>
    <n v="0"/>
    <s v="CMTR26    "/>
    <n v="16"/>
    <x v="79"/>
    <d v="2020-07-15T00:00:00"/>
    <x v="5"/>
    <n v="1"/>
    <x v="2"/>
    <x v="1"/>
    <n v="2725"/>
    <n v="10000"/>
    <s v=""/>
    <n v="27250000"/>
    <x v="76"/>
    <s v="IPCA"/>
    <s v="-"/>
    <n v="8.0670000000000002"/>
    <x v="94"/>
    <n v="252"/>
    <s v="Útil"/>
    <s v="N"/>
    <x v="1"/>
    <s v="N"/>
    <x v="0"/>
    <x v="1"/>
    <x v="0"/>
    <x v="29"/>
  </r>
  <r>
    <n v="0"/>
    <s v="Cemig4095444607"/>
    <n v="8"/>
    <s v="CEMIG GERACAO E TRANSMISSAO S/A"/>
    <s v="Cemig"/>
    <x v="0"/>
    <n v="0"/>
    <s v="CMTR33    "/>
    <n v="17"/>
    <x v="76"/>
    <d v="2022-02-15T00:00:00"/>
    <x v="12"/>
    <n v="1"/>
    <x v="2"/>
    <x v="1"/>
    <n v="670000"/>
    <n v="1000"/>
    <s v=""/>
    <n v="670000000"/>
    <x v="77"/>
    <s v="IPCA"/>
    <s v="-"/>
    <n v="6.2"/>
    <x v="95"/>
    <n v="252"/>
    <s v="Útil"/>
    <s v="N"/>
    <x v="1"/>
    <s v="S"/>
    <x v="1"/>
    <x v="1"/>
    <x v="0"/>
    <x v="47"/>
  </r>
  <r>
    <n v="0"/>
    <s v="Cemig4284743577"/>
    <n v="8"/>
    <s v="COMPANHIA ENERGETICA DE MINAS GERAIS - CEMIG"/>
    <s v="Cemig"/>
    <x v="0"/>
    <n v="0"/>
    <s v="CMTG12    "/>
    <n v="18"/>
    <x v="81"/>
    <d v="2019-04-22T00:00:00"/>
    <x v="19"/>
    <n v="0"/>
    <x v="0"/>
    <x v="0"/>
    <n v="2700"/>
    <n v="10000"/>
    <s v=""/>
    <n v="27000000"/>
    <x v="78"/>
    <s v="DI"/>
    <n v="128.5"/>
    <m/>
    <x v="96"/>
    <n v="252"/>
    <s v="Útil"/>
    <s v="N"/>
    <x v="1"/>
    <s v="N"/>
    <x v="0"/>
    <x v="8"/>
    <x v="0"/>
    <x v="65"/>
  </r>
  <r>
    <n v="27"/>
    <s v="Cemig4307405/12/2024"/>
    <n v="8"/>
    <s v="Cemig Geracao e Transmissao SA"/>
    <s v="Cemig"/>
    <x v="1"/>
    <n v="1"/>
    <m/>
    <n v="19"/>
    <x v="82"/>
    <s v="05/12/2024"/>
    <x v="8"/>
    <n v="1"/>
    <x v="1"/>
    <x v="0"/>
    <m/>
    <m/>
    <n v="3.2315999999999998"/>
    <n v="1000000000"/>
    <x v="79"/>
    <s v="USD"/>
    <s v="-"/>
    <n v="9.25"/>
    <x v="97"/>
    <n v="360"/>
    <s v="Corrido"/>
    <s v="N"/>
    <x v="1"/>
    <s v="S"/>
    <x v="1"/>
    <x v="8"/>
    <x v="0"/>
    <x v="66"/>
  </r>
  <r>
    <n v="28"/>
    <s v="Cemig4329905/12/2024"/>
    <n v="8"/>
    <s v="Cemig Geracao e Transmissao SA"/>
    <s v="Cemig"/>
    <x v="1"/>
    <n v="1"/>
    <m/>
    <n v="20"/>
    <x v="83"/>
    <s v="05/12/2024"/>
    <x v="47"/>
    <n v="1"/>
    <x v="1"/>
    <x v="0"/>
    <m/>
    <m/>
    <n v="3.8468"/>
    <n v="500000000"/>
    <x v="80"/>
    <s v="USD"/>
    <s v="-"/>
    <n v="9.25"/>
    <x v="98"/>
    <n v="360"/>
    <s v="Corrido"/>
    <s v="N"/>
    <x v="1"/>
    <s v="S"/>
    <x v="1"/>
    <x v="9"/>
    <x v="0"/>
    <x v="7"/>
  </r>
  <r>
    <n v="0"/>
    <s v="Cia Brasileira de Alumínio4454547284"/>
    <n v="9"/>
    <s v="COMPANHIA BRASILEIRA DE ALUMINIO"/>
    <s v="Cia Brasileira de Alumínio"/>
    <x v="0"/>
    <n v="0"/>
    <s v="CBAV11    "/>
    <n v="1"/>
    <x v="84"/>
    <d v="2029-06-15T00:00:00"/>
    <x v="48"/>
    <n v="1"/>
    <x v="2"/>
    <x v="1"/>
    <n v="230000"/>
    <n v="1000"/>
    <s v=""/>
    <n v="230000000"/>
    <x v="81"/>
    <s v="DI"/>
    <n v="100"/>
    <n v="1.55"/>
    <x v="99"/>
    <n v="252"/>
    <s v="Útil"/>
    <s v="N"/>
    <x v="1"/>
    <s v="S"/>
    <x v="1"/>
    <x v="1"/>
    <x v="0"/>
    <x v="67"/>
  </r>
  <r>
    <n v="29"/>
    <s v="Cia Brasileira de Alumínio4180717/06/2024"/>
    <n v="9"/>
    <s v="Cia Brasileira de Aluminio"/>
    <s v="Cia Brasileira de Alumínio"/>
    <x v="1"/>
    <n v="1"/>
    <m/>
    <n v="2"/>
    <x v="85"/>
    <s v="17/06/2024"/>
    <x v="12"/>
    <n v="1"/>
    <x v="1"/>
    <x v="0"/>
    <m/>
    <m/>
    <n v="2.2480000000000002"/>
    <n v="400000000"/>
    <x v="82"/>
    <s v="USD"/>
    <s v="-"/>
    <n v="4.75"/>
    <x v="100"/>
    <n v="360"/>
    <s v="Corrido"/>
    <s v="N"/>
    <x v="1"/>
    <s v="N"/>
    <x v="0"/>
    <x v="7"/>
    <x v="1"/>
    <x v="68"/>
  </r>
  <r>
    <n v="0"/>
    <s v="Cielo4210743203"/>
    <n v="10"/>
    <s v="CIELO S.A."/>
    <s v="Cielo"/>
    <x v="0"/>
    <n v="0"/>
    <s v="CIEL14    "/>
    <n v="1"/>
    <x v="86"/>
    <d v="2018-04-13T00:00:00"/>
    <x v="16"/>
    <n v="0"/>
    <x v="2"/>
    <x v="1"/>
    <n v="460000"/>
    <n v="10000"/>
    <s v=""/>
    <n v="4600000000"/>
    <x v="83"/>
    <s v="DI"/>
    <n v="105.8"/>
    <m/>
    <x v="101"/>
    <n v="252"/>
    <s v="Útil"/>
    <s v="N"/>
    <x v="1"/>
    <s v="S"/>
    <x v="1"/>
    <x v="10"/>
    <x v="1"/>
    <x v="69"/>
  </r>
  <r>
    <n v="0"/>
    <s v="Cielo4363444412"/>
    <n v="10"/>
    <s v="CIELO S.A."/>
    <s v="Cielo"/>
    <x v="0"/>
    <n v="0"/>
    <s v="CIEL15    "/>
    <n v="2"/>
    <x v="87"/>
    <d v="2021-08-04T00:00:00"/>
    <x v="49"/>
    <n v="0"/>
    <x v="2"/>
    <x v="1"/>
    <n v="3000000"/>
    <n v="1000"/>
    <s v=""/>
    <n v="3000000000"/>
    <x v="84"/>
    <s v="DI"/>
    <n v="103.8"/>
    <m/>
    <x v="102"/>
    <n v="252"/>
    <s v="Útil"/>
    <s v="N"/>
    <x v="1"/>
    <s v="S"/>
    <x v="1"/>
    <x v="6"/>
    <x v="0"/>
    <x v="70"/>
  </r>
  <r>
    <n v="30"/>
    <s v="Cielo4122916/11/2022"/>
    <n v="10"/>
    <s v="Cielo SA"/>
    <s v="Cielo"/>
    <x v="1"/>
    <n v="1"/>
    <m/>
    <n v="3"/>
    <x v="88"/>
    <s v="16/11/2022"/>
    <x v="1"/>
    <n v="1"/>
    <x v="5"/>
    <x v="1"/>
    <m/>
    <m/>
    <n v="2.0706000000000002"/>
    <n v="470000000"/>
    <x v="85"/>
    <s v="USD"/>
    <s v="-"/>
    <n v="3.75"/>
    <x v="103"/>
    <n v="360"/>
    <s v="Corrido"/>
    <s v="N"/>
    <x v="1"/>
    <s v="N"/>
    <x v="0"/>
    <x v="10"/>
    <x v="1"/>
    <x v="71"/>
  </r>
  <r>
    <n v="31"/>
    <s v="Cielo4122916/11/2022"/>
    <n v="10"/>
    <s v="Cielo USA Inc"/>
    <s v="Cielo"/>
    <x v="1"/>
    <n v="1"/>
    <m/>
    <n v="4"/>
    <x v="88"/>
    <s v="16/11/2022"/>
    <x v="1"/>
    <n v="1"/>
    <x v="1"/>
    <x v="0"/>
    <m/>
    <m/>
    <n v="2.0706000000000002"/>
    <n v="405000000"/>
    <x v="86"/>
    <s v="USD"/>
    <s v="-"/>
    <n v="3.75"/>
    <x v="103"/>
    <n v="360"/>
    <s v="Corrido"/>
    <s v="N"/>
    <x v="1"/>
    <s v="N"/>
    <x v="0"/>
    <x v="10"/>
    <x v="1"/>
    <x v="71"/>
  </r>
  <r>
    <n v="0"/>
    <s v="Cosan4118343374"/>
    <n v="11"/>
    <s v="COSAN S.A."/>
    <s v="Cosan"/>
    <x v="0"/>
    <n v="0"/>
    <s v="COIC11    "/>
    <n v="1"/>
    <x v="89"/>
    <d v="2018-10-01T00:00:00"/>
    <x v="7"/>
    <n v="1"/>
    <x v="2"/>
    <x v="1"/>
    <n v="1900"/>
    <n v="1000000"/>
    <s v=""/>
    <n v="1900000000"/>
    <x v="87"/>
    <s v="DI"/>
    <n v="123"/>
    <m/>
    <x v="104"/>
    <n v="252"/>
    <s v="Útil"/>
    <s v="N"/>
    <x v="1"/>
    <s v="S"/>
    <x v="1"/>
    <x v="6"/>
    <x v="0"/>
    <x v="72"/>
  </r>
  <r>
    <n v="0"/>
    <s v="Cosan4118344105"/>
    <n v="11"/>
    <s v="COSAN S.A."/>
    <s v="Cosan"/>
    <x v="0"/>
    <n v="0"/>
    <s v="COIC21    "/>
    <n v="2"/>
    <x v="89"/>
    <d v="2020-10-01T00:00:00"/>
    <x v="13"/>
    <n v="1"/>
    <x v="2"/>
    <x v="1"/>
    <n v="1400"/>
    <n v="1000000"/>
    <s v=""/>
    <n v="1400000000"/>
    <x v="73"/>
    <s v="DI"/>
    <n v="123"/>
    <m/>
    <x v="105"/>
    <n v="252"/>
    <s v="Útil"/>
    <s v="N"/>
    <x v="1"/>
    <s v="S"/>
    <x v="1"/>
    <x v="6"/>
    <x v="0"/>
    <x v="72"/>
  </r>
  <r>
    <n v="0"/>
    <s v="Cosan4352444255"/>
    <n v="11"/>
    <s v="COSAN S.A."/>
    <s v="Cosan"/>
    <x v="0"/>
    <n v="0"/>
    <s v="CSAN12    "/>
    <n v="3"/>
    <x v="90"/>
    <d v="2021-02-28T00:00:00"/>
    <x v="50"/>
    <n v="0"/>
    <x v="2"/>
    <x v="1"/>
    <n v="1700000"/>
    <n v="1000"/>
    <s v=""/>
    <n v="1700000000"/>
    <x v="88"/>
    <s v="DI"/>
    <n v="106"/>
    <m/>
    <x v="106"/>
    <n v="252"/>
    <s v="Útil"/>
    <s v="N"/>
    <x v="1"/>
    <s v="S"/>
    <x v="1"/>
    <x v="0"/>
    <x v="0"/>
    <x v="73"/>
  </r>
  <r>
    <n v="0"/>
    <s v="Cosan4439246980"/>
    <n v="11"/>
    <s v="COSAN S.A."/>
    <s v="Cosan"/>
    <x v="0"/>
    <n v="0"/>
    <s v="CSAN13    "/>
    <n v="4"/>
    <x v="91"/>
    <d v="2028-08-15T00:00:00"/>
    <x v="51"/>
    <n v="1"/>
    <x v="2"/>
    <x v="1"/>
    <n v="750000"/>
    <n v="1000"/>
    <s v=""/>
    <n v="750000000"/>
    <x v="89"/>
    <s v="DI"/>
    <n v="100"/>
    <n v="1.65"/>
    <x v="107"/>
    <n v="252"/>
    <s v="Útil"/>
    <s v="N"/>
    <x v="1"/>
    <s v="S"/>
    <x v="1"/>
    <x v="0"/>
    <x v="0"/>
    <x v="7"/>
  </r>
  <r>
    <n v="0"/>
    <s v="Cosan4439248075"/>
    <n v="11"/>
    <s v="COSAN S.A."/>
    <s v="Cosan"/>
    <x v="0"/>
    <n v="0"/>
    <s v="CSAN23    "/>
    <n v="5"/>
    <x v="91"/>
    <d v="2031-08-15T00:00:00"/>
    <x v="52"/>
    <n v="1"/>
    <x v="2"/>
    <x v="1"/>
    <n v="900000"/>
    <n v="1000"/>
    <s v=""/>
    <n v="900000000"/>
    <x v="90"/>
    <s v="DI"/>
    <n v="100"/>
    <n v="2"/>
    <x v="108"/>
    <n v="252"/>
    <s v="Útil"/>
    <s v="N"/>
    <x v="1"/>
    <s v="S"/>
    <x v="1"/>
    <x v="0"/>
    <x v="0"/>
    <x v="7"/>
  </r>
  <r>
    <n v="0"/>
    <s v="Cosan4439248075"/>
    <n v="11"/>
    <s v="COSAN S.A."/>
    <s v="Cosan"/>
    <x v="0"/>
    <n v="0"/>
    <s v="CSAN33    "/>
    <n v="6"/>
    <x v="91"/>
    <d v="2031-08-15T00:00:00"/>
    <x v="52"/>
    <n v="1"/>
    <x v="2"/>
    <x v="1"/>
    <n v="350000"/>
    <n v="1000"/>
    <s v=""/>
    <n v="350000000"/>
    <x v="14"/>
    <s v="IPCA"/>
    <s v="-"/>
    <n v="5.7530999999999999"/>
    <x v="109"/>
    <n v="252"/>
    <s v="Útil"/>
    <s v="N"/>
    <x v="1"/>
    <s v="S"/>
    <x v="1"/>
    <x v="0"/>
    <x v="0"/>
    <x v="7"/>
  </r>
  <r>
    <n v="0"/>
    <s v="Cosan4406845894"/>
    <n v="11"/>
    <s v="COSAN S.A."/>
    <s v="Cosan"/>
    <x v="0"/>
    <n v="0"/>
    <s v="RLOG11    "/>
    <n v="7"/>
    <x v="92"/>
    <d v="2025-08-25T00:00:00"/>
    <x v="4"/>
    <n v="1"/>
    <x v="2"/>
    <x v="1"/>
    <n v="1740000"/>
    <n v="1000"/>
    <s v=""/>
    <n v="1740000000"/>
    <x v="91"/>
    <s v="DI"/>
    <n v="100"/>
    <n v="2.65"/>
    <x v="110"/>
    <n v="252"/>
    <s v="Útil"/>
    <s v="N"/>
    <x v="1"/>
    <s v="S"/>
    <x v="1"/>
    <x v="0"/>
    <x v="0"/>
    <x v="8"/>
  </r>
  <r>
    <n v="32"/>
    <s v="Cosan4299820/09/2024"/>
    <n v="11"/>
    <s v="Cosan Ltd"/>
    <s v="Cosan"/>
    <x v="1"/>
    <n v="1"/>
    <m/>
    <n v="8"/>
    <x v="93"/>
    <s v="20/09/2024"/>
    <x v="8"/>
    <n v="1"/>
    <x v="5"/>
    <x v="1"/>
    <m/>
    <m/>
    <n v="3.1274999999999999"/>
    <n v="203636000"/>
    <x v="92"/>
    <s v="USD"/>
    <s v="-"/>
    <n v="5.95"/>
    <x v="111"/>
    <n v="360"/>
    <s v="Corrido"/>
    <s v="N"/>
    <x v="1"/>
    <s v="S"/>
    <x v="1"/>
    <x v="6"/>
    <x v="0"/>
    <x v="17"/>
  </r>
  <r>
    <n v="33"/>
    <s v="Cosan4254120/01/2027"/>
    <n v="11"/>
    <s v="Cosan Luxembourg SA"/>
    <s v="Cosan"/>
    <x v="1"/>
    <n v="1"/>
    <m/>
    <n v="9"/>
    <x v="94"/>
    <s v="20/01/2027"/>
    <x v="53"/>
    <n v="1"/>
    <x v="1"/>
    <x v="0"/>
    <m/>
    <m/>
    <n v="3.3828999999999998"/>
    <n v="500000000"/>
    <x v="93"/>
    <s v="USD"/>
    <s v="-"/>
    <n v="7"/>
    <x v="112"/>
    <n v="360"/>
    <s v="Corrido"/>
    <s v="N"/>
    <x v="1"/>
    <s v="S"/>
    <x v="1"/>
    <x v="6"/>
    <x v="0"/>
    <x v="74"/>
  </r>
  <r>
    <n v="34"/>
    <s v="Cosan4134714/03/2023"/>
    <n v="11"/>
    <s v="Cosan Luxembourg SA"/>
    <s v="Cosan"/>
    <x v="1"/>
    <n v="1"/>
    <m/>
    <n v="10"/>
    <x v="95"/>
    <s v="14/03/2023"/>
    <x v="1"/>
    <n v="1"/>
    <x v="1"/>
    <x v="0"/>
    <m/>
    <m/>
    <n v="1.9671000000000001"/>
    <n v="500000000"/>
    <x v="94"/>
    <s v="USD"/>
    <s v="-"/>
    <n v="5"/>
    <x v="113"/>
    <n v="360"/>
    <s v="Corrido"/>
    <s v="N"/>
    <x v="1"/>
    <s v="S"/>
    <x v="1"/>
    <x v="6"/>
    <x v="0"/>
    <x v="30"/>
  </r>
  <r>
    <n v="35"/>
    <s v="Cosan4256920/01/2027"/>
    <n v="11"/>
    <s v="Cosan Luxembourg SA"/>
    <s v="Cosan"/>
    <x v="1"/>
    <n v="1"/>
    <m/>
    <n v="11"/>
    <x v="96"/>
    <s v="20/01/2027"/>
    <x v="54"/>
    <n v="1"/>
    <x v="1"/>
    <x v="0"/>
    <m/>
    <m/>
    <n v="3.2627999999999999"/>
    <n v="150000000"/>
    <x v="95"/>
    <s v="USD"/>
    <s v="-"/>
    <n v="7"/>
    <x v="114"/>
    <n v="360"/>
    <s v="Corrido"/>
    <s v="N"/>
    <x v="1"/>
    <s v="S"/>
    <x v="1"/>
    <x v="6"/>
    <x v="0"/>
    <x v="45"/>
  </r>
  <r>
    <n v="36"/>
    <s v="Cosan4367720/09/2029"/>
    <n v="11"/>
    <s v="Cosan SA"/>
    <s v="Cosan"/>
    <x v="1"/>
    <n v="1"/>
    <m/>
    <n v="12"/>
    <x v="97"/>
    <s v="20/09/2029"/>
    <x v="55"/>
    <n v="1"/>
    <x v="5"/>
    <x v="1"/>
    <m/>
    <m/>
    <n v="3.7643"/>
    <n v="750000000"/>
    <x v="96"/>
    <s v="USD"/>
    <s v="-"/>
    <n v="5.5"/>
    <x v="115"/>
    <n v="360"/>
    <s v="Corrido"/>
    <s v="N"/>
    <x v="1"/>
    <s v="S"/>
    <x v="1"/>
    <x v="0"/>
    <x v="0"/>
    <x v="34"/>
  </r>
  <r>
    <n v="0"/>
    <s v="CSN4439248044"/>
    <n v="12"/>
    <s v="CSN MINERACAO S.A."/>
    <s v="CSN"/>
    <x v="0"/>
    <n v="0"/>
    <s v="CMIN11    "/>
    <n v="1"/>
    <x v="91"/>
    <d v="2031-07-15T00:00:00"/>
    <x v="1"/>
    <n v="1"/>
    <x v="2"/>
    <x v="1"/>
    <n v="576448"/>
    <n v="1000"/>
    <s v=""/>
    <n v="576448000"/>
    <x v="97"/>
    <s v="IPCA"/>
    <s v="-"/>
    <n v="4.8789999999999996"/>
    <x v="116"/>
    <n v="252"/>
    <s v="Útil"/>
    <s v="S"/>
    <x v="0"/>
    <s v="N"/>
    <x v="0"/>
    <x v="0"/>
    <x v="0"/>
    <x v="7"/>
  </r>
  <r>
    <n v="0"/>
    <s v="CSN4439249871"/>
    <n v="12"/>
    <s v="CSN MINERACAO S.A."/>
    <s v="CSN"/>
    <x v="0"/>
    <n v="0"/>
    <s v="CMIN21    "/>
    <n v="2"/>
    <x v="91"/>
    <d v="2036-07-15T00:00:00"/>
    <x v="56"/>
    <n v="1"/>
    <x v="2"/>
    <x v="1"/>
    <n v="423552"/>
    <n v="1000"/>
    <s v=""/>
    <n v="423552000"/>
    <x v="98"/>
    <s v="IPCA"/>
    <s v="-"/>
    <n v="5.0209999999999999"/>
    <x v="117"/>
    <n v="252"/>
    <s v="Útil"/>
    <s v="S"/>
    <x v="0"/>
    <s v="N"/>
    <x v="0"/>
    <x v="0"/>
    <x v="0"/>
    <x v="7"/>
  </r>
  <r>
    <n v="37"/>
    <s v="CSN4385828/01/2028"/>
    <n v="12"/>
    <s v="CSN Inova Ventures"/>
    <s v="CSN"/>
    <x v="1"/>
    <n v="1"/>
    <m/>
    <n v="3"/>
    <x v="98"/>
    <s v="28/01/2028"/>
    <x v="13"/>
    <n v="1"/>
    <x v="1"/>
    <x v="0"/>
    <m/>
    <m/>
    <n v="4.2058"/>
    <n v="1000000000"/>
    <x v="99"/>
    <s v="USD"/>
    <s v="-"/>
    <n v="6.75"/>
    <x v="118"/>
    <n v="360"/>
    <s v="Corrido"/>
    <s v="N"/>
    <x v="1"/>
    <s v="S"/>
    <x v="1"/>
    <x v="9"/>
    <x v="0"/>
    <x v="75"/>
  </r>
  <r>
    <n v="38"/>
    <s v="CSN4415128/01/2028"/>
    <n v="12"/>
    <s v="CSN Inova Ventures"/>
    <s v="CSN"/>
    <x v="1"/>
    <n v="1"/>
    <m/>
    <n v="4"/>
    <x v="99"/>
    <s v="28/01/2028"/>
    <x v="57"/>
    <n v="1"/>
    <x v="1"/>
    <x v="0"/>
    <m/>
    <m/>
    <n v="5.4192"/>
    <n v="300000000"/>
    <x v="100"/>
    <s v="USD"/>
    <s v="-"/>
    <n v="6.75"/>
    <x v="119"/>
    <n v="360"/>
    <s v="Corrido"/>
    <s v="N"/>
    <x v="1"/>
    <s v="S"/>
    <x v="1"/>
    <x v="9"/>
    <x v="0"/>
    <x v="0"/>
  </r>
  <r>
    <n v="39"/>
    <s v="CSN4435710/06/2031"/>
    <n v="12"/>
    <s v="CSN Resources SA"/>
    <s v="CSN"/>
    <x v="1"/>
    <n v="1"/>
    <m/>
    <n v="5"/>
    <x v="100"/>
    <s v="10/06/2031"/>
    <x v="1"/>
    <n v="1"/>
    <x v="1"/>
    <x v="0"/>
    <m/>
    <m/>
    <n v="5.0635000000000003"/>
    <n v="850000000"/>
    <x v="101"/>
    <s v="USD"/>
    <s v="-"/>
    <n v="4.625"/>
    <x v="120"/>
    <n v="360"/>
    <s v="Corrido"/>
    <s v="N"/>
    <x v="1"/>
    <s v="S"/>
    <x v="1"/>
    <x v="0"/>
    <x v="0"/>
    <x v="40"/>
  </r>
  <r>
    <n v="40"/>
    <s v="CSN4357217/04/2026"/>
    <n v="12"/>
    <s v="CSN Resources SA"/>
    <s v="CSN"/>
    <x v="1"/>
    <n v="1"/>
    <m/>
    <n v="6"/>
    <x v="101"/>
    <s v="17/04/2026"/>
    <x v="8"/>
    <n v="1"/>
    <x v="1"/>
    <x v="0"/>
    <m/>
    <m/>
    <n v="3.9218999999999999"/>
    <n v="600000000"/>
    <x v="102"/>
    <s v="USD"/>
    <s v="-"/>
    <n v="7.625"/>
    <x v="121"/>
    <n v="360"/>
    <s v="Corrido"/>
    <s v="N"/>
    <x v="1"/>
    <s v="S"/>
    <x v="1"/>
    <x v="9"/>
    <x v="0"/>
    <x v="76"/>
  </r>
  <r>
    <n v="41"/>
    <s v="CSN4314013/02/2023"/>
    <n v="12"/>
    <s v="CSN Resources SA"/>
    <s v="CSN"/>
    <x v="1"/>
    <n v="1"/>
    <m/>
    <n v="7"/>
    <x v="102"/>
    <s v="13/02/2023"/>
    <x v="58"/>
    <n v="1"/>
    <x v="1"/>
    <x v="0"/>
    <m/>
    <m/>
    <n v="3.2814999999999999"/>
    <n v="350000000"/>
    <x v="103"/>
    <s v="USD"/>
    <s v="-"/>
    <n v="7.625"/>
    <x v="122"/>
    <n v="360"/>
    <s v="Corrido"/>
    <s v="N"/>
    <x v="1"/>
    <s v="S"/>
    <x v="1"/>
    <x v="3"/>
    <x v="0"/>
    <x v="77"/>
  </r>
  <r>
    <n v="42"/>
    <s v="CSN4364813/02/2023"/>
    <n v="12"/>
    <s v="CSN Resources SA"/>
    <s v="CSN"/>
    <x v="1"/>
    <n v="1"/>
    <m/>
    <n v="8"/>
    <x v="103"/>
    <s v="13/02/2023"/>
    <x v="59"/>
    <n v="0"/>
    <x v="1"/>
    <x v="0"/>
    <m/>
    <m/>
    <n v="3.8557999999999999"/>
    <n v="175000000"/>
    <x v="104"/>
    <s v="USD"/>
    <s v="-"/>
    <n v="7.625"/>
    <x v="123"/>
    <n v="360"/>
    <s v="Corrido"/>
    <s v="N"/>
    <x v="1"/>
    <s v="S"/>
    <x v="1"/>
    <x v="9"/>
    <x v="0"/>
    <x v="28"/>
  </r>
  <r>
    <n v="43"/>
    <s v="CSN4094221/07/2020"/>
    <n v="12"/>
    <s v="CSN Resources SA"/>
    <s v="CSN"/>
    <x v="1"/>
    <n v="1"/>
    <m/>
    <n v="9"/>
    <x v="104"/>
    <s v="21/07/2020"/>
    <x v="60"/>
    <n v="1"/>
    <x v="1"/>
    <x v="0"/>
    <m/>
    <m/>
    <n v="1.7216"/>
    <n v="200000000"/>
    <x v="105"/>
    <s v="USD"/>
    <s v="-"/>
    <n v="6.5"/>
    <x v="124"/>
    <n v="360"/>
    <s v="Corrido"/>
    <s v="N"/>
    <x v="1"/>
    <s v="S"/>
    <x v="1"/>
    <x v="2"/>
    <x v="1"/>
    <x v="68"/>
  </r>
  <r>
    <n v="44"/>
    <s v="CSN4357213/02/2023"/>
    <n v="12"/>
    <s v="CSN Resources SA"/>
    <s v="CSN"/>
    <x v="1"/>
    <n v="1"/>
    <m/>
    <n v="10"/>
    <x v="101"/>
    <s v="13/02/2023"/>
    <x v="61"/>
    <n v="0"/>
    <x v="1"/>
    <x v="0"/>
    <m/>
    <m/>
    <n v="3.9218999999999999"/>
    <n v="400000000"/>
    <x v="106"/>
    <s v="USD"/>
    <s v="-"/>
    <n v="7.625"/>
    <x v="125"/>
    <n v="360"/>
    <s v="Corrido"/>
    <s v="N"/>
    <x v="1"/>
    <s v="S"/>
    <x v="1"/>
    <x v="9"/>
    <x v="0"/>
    <x v="76"/>
  </r>
  <r>
    <n v="0"/>
    <s v="Eldorado4445945555"/>
    <n v="13"/>
    <s v="ELDORADO BRASIL CELULOSE S.A."/>
    <s v="Eldorado"/>
    <x v="0"/>
    <n v="0"/>
    <s v="ELDC14    "/>
    <n v="1"/>
    <x v="105"/>
    <d v="2024-09-20T00:00:00"/>
    <x v="16"/>
    <n v="0"/>
    <x v="2"/>
    <x v="1"/>
    <n v="700000"/>
    <n v="1000"/>
    <s v=""/>
    <n v="700000000"/>
    <x v="12"/>
    <s v="DI"/>
    <n v="100"/>
    <n v="3"/>
    <x v="2"/>
    <n v="252"/>
    <s v="Útil"/>
    <s v="N"/>
    <x v="1"/>
    <s v="S"/>
    <x v="1"/>
    <x v="11"/>
    <x v="0"/>
    <x v="78"/>
  </r>
  <r>
    <n v="0"/>
    <s v="Eldorado4124446722"/>
    <n v="13"/>
    <s v="ELDORADO BRASIL CELULOSE S.A."/>
    <s v="Eldorado"/>
    <x v="0"/>
    <n v="0"/>
    <s v="ELDO12    "/>
    <n v="2"/>
    <x v="106"/>
    <d v="2027-12-01T00:00:00"/>
    <x v="62"/>
    <n v="1"/>
    <x v="2"/>
    <x v="1"/>
    <n v="940000"/>
    <n v="1000"/>
    <s v=""/>
    <n v="940000000"/>
    <x v="107"/>
    <s v="IPCA"/>
    <s v="-"/>
    <n v="7.41"/>
    <x v="126"/>
    <n v="252"/>
    <s v="Útil"/>
    <s v="N"/>
    <x v="1"/>
    <s v="S"/>
    <x v="1"/>
    <x v="1"/>
    <x v="0"/>
    <x v="27"/>
  </r>
  <r>
    <n v="45"/>
    <s v="Eldorado4253716/06/2021"/>
    <n v="13"/>
    <s v="Eldorado Intl. Finance GmbH"/>
    <s v="Eldorado"/>
    <x v="1"/>
    <n v="1"/>
    <m/>
    <n v="3"/>
    <x v="107"/>
    <s v="16/06/2021"/>
    <x v="4"/>
    <n v="1"/>
    <x v="1"/>
    <x v="0"/>
    <m/>
    <m/>
    <n v="3.4897999999999998"/>
    <n v="350000000"/>
    <x v="108"/>
    <s v="USD"/>
    <s v="-"/>
    <n v="8.625"/>
    <x v="127"/>
    <n v="360"/>
    <s v="Corrido"/>
    <s v="N"/>
    <x v="1"/>
    <s v="S"/>
    <x v="1"/>
    <x v="8"/>
    <x v="0"/>
    <x v="79"/>
  </r>
  <r>
    <n v="0"/>
    <s v="Eletrobras4358044676"/>
    <n v="14"/>
    <s v="CENTRAIS ELETRICAS BRAS.S/A - ELETROBRAS"/>
    <s v="Eletrobras"/>
    <x v="0"/>
    <n v="0"/>
    <s v="ELET12    "/>
    <n v="1"/>
    <x v="108"/>
    <d v="2022-04-25T00:00:00"/>
    <x v="16"/>
    <n v="0"/>
    <x v="2"/>
    <x v="1"/>
    <n v="1100000"/>
    <n v="1000"/>
    <s v=""/>
    <n v="1100000000"/>
    <x v="109"/>
    <s v="DI"/>
    <n v="100"/>
    <n v="0.7"/>
    <x v="128"/>
    <n v="252"/>
    <s v="Útil"/>
    <s v="N"/>
    <x v="1"/>
    <s v="S"/>
    <x v="1"/>
    <x v="11"/>
    <x v="0"/>
    <x v="52"/>
  </r>
  <r>
    <n v="0"/>
    <s v="Eletrobras4430146127"/>
    <n v="14"/>
    <s v="CENTRAIS ELETRICAS BRAS.S/A - ELETROBRAS"/>
    <s v="Eletrobras"/>
    <x v="0"/>
    <n v="0"/>
    <s v="ELET13    "/>
    <n v="2"/>
    <x v="109"/>
    <d v="2026-04-15T00:00:00"/>
    <x v="4"/>
    <n v="1"/>
    <x v="2"/>
    <x v="1"/>
    <n v="1200000"/>
    <n v="1000"/>
    <s v=""/>
    <n v="1200000000"/>
    <x v="110"/>
    <s v="DI"/>
    <n v="100"/>
    <n v="1.8"/>
    <x v="5"/>
    <n v="252"/>
    <s v="Útil"/>
    <s v="N"/>
    <x v="1"/>
    <s v="N"/>
    <x v="0"/>
    <x v="11"/>
    <x v="0"/>
    <x v="80"/>
  </r>
  <r>
    <n v="0"/>
    <s v="Eletrobras4358045407"/>
    <n v="14"/>
    <s v="CENTRAIS ELETRICAS BRAS.S/A - ELETROBRAS"/>
    <s v="Eletrobras"/>
    <x v="0"/>
    <n v="0"/>
    <s v="ELET22    "/>
    <n v="3"/>
    <x v="108"/>
    <d v="2024-04-25T00:00:00"/>
    <x v="5"/>
    <n v="1"/>
    <x v="2"/>
    <x v="1"/>
    <n v="2200000"/>
    <n v="1000"/>
    <s v=""/>
    <n v="2200000000"/>
    <x v="111"/>
    <s v="DI"/>
    <n v="100"/>
    <n v="1"/>
    <x v="129"/>
    <n v="252"/>
    <s v="Útil"/>
    <s v="N"/>
    <x v="1"/>
    <s v="S"/>
    <x v="1"/>
    <x v="11"/>
    <x v="0"/>
    <x v="52"/>
  </r>
  <r>
    <n v="0"/>
    <s v="Eletrobras4430147953"/>
    <n v="14"/>
    <s v="CENTRAIS ELETRICAS BRAS.S/A - ELETROBRAS"/>
    <s v="Eletrobras"/>
    <x v="0"/>
    <n v="0"/>
    <s v="ELET23    "/>
    <n v="4"/>
    <x v="109"/>
    <d v="2031-04-15T00:00:00"/>
    <x v="1"/>
    <n v="1"/>
    <x v="2"/>
    <x v="1"/>
    <n v="1500000"/>
    <n v="1000"/>
    <s v=""/>
    <n v="1500000000"/>
    <x v="71"/>
    <s v="IPCA"/>
    <s v="-"/>
    <n v="4.9126000000000003"/>
    <x v="130"/>
    <n v="252"/>
    <s v="Útil"/>
    <s v="S"/>
    <x v="0"/>
    <s v="N"/>
    <x v="0"/>
    <x v="11"/>
    <x v="0"/>
    <x v="80"/>
  </r>
  <r>
    <n v="0"/>
    <s v="Eletrobras4358046137"/>
    <n v="14"/>
    <s v="CENTRAIS ELETRICAS BRAS.S/A - ELETROBRAS"/>
    <s v="Eletrobras"/>
    <x v="0"/>
    <n v="0"/>
    <s v="ELET32    "/>
    <n v="5"/>
    <x v="108"/>
    <d v="2026-04-25T00:00:00"/>
    <x v="8"/>
    <n v="1"/>
    <x v="2"/>
    <x v="1"/>
    <n v="1000000"/>
    <n v="1000"/>
    <s v=""/>
    <n v="1000000000"/>
    <x v="18"/>
    <s v="DI"/>
    <n v="100"/>
    <n v="1.2"/>
    <x v="131"/>
    <n v="252"/>
    <s v="Útil"/>
    <s v="N"/>
    <x v="1"/>
    <s v="S"/>
    <x v="1"/>
    <x v="11"/>
    <x v="0"/>
    <x v="52"/>
  </r>
  <r>
    <n v="0"/>
    <s v="Eletrobras4358047253"/>
    <n v="14"/>
    <s v="CENTRAIS ELETRICAS BRAS.S/A - ELETROBRAS"/>
    <s v="Eletrobras"/>
    <x v="0"/>
    <n v="0"/>
    <s v="ELET42    "/>
    <n v="6"/>
    <x v="108"/>
    <d v="2029-05-15T00:00:00"/>
    <x v="63"/>
    <n v="1"/>
    <x v="2"/>
    <x v="1"/>
    <n v="700000"/>
    <n v="1000"/>
    <s v=""/>
    <n v="700000000"/>
    <x v="12"/>
    <s v="IPCA"/>
    <s v="-"/>
    <n v="5.1814"/>
    <x v="132"/>
    <n v="252"/>
    <s v="Útil"/>
    <s v="S"/>
    <x v="0"/>
    <s v="N"/>
    <x v="0"/>
    <x v="11"/>
    <x v="0"/>
    <x v="52"/>
  </r>
  <r>
    <n v="46"/>
    <s v="Eletrobras4386504/02/2030"/>
    <n v="14"/>
    <s v="Centrais Eletricas Brasileiras SA"/>
    <s v="Eletrobras"/>
    <x v="1"/>
    <n v="1"/>
    <m/>
    <n v="7"/>
    <x v="110"/>
    <s v="04/02/2030"/>
    <x v="12"/>
    <n v="1"/>
    <x v="5"/>
    <x v="1"/>
    <m/>
    <m/>
    <n v="4.2374999999999998"/>
    <n v="750000000"/>
    <x v="112"/>
    <s v="USD"/>
    <s v="-"/>
    <n v="4.625"/>
    <x v="133"/>
    <n v="360"/>
    <s v="Corrido"/>
    <s v="N"/>
    <x v="1"/>
    <s v="N"/>
    <x v="0"/>
    <x v="11"/>
    <x v="0"/>
    <x v="3"/>
  </r>
  <r>
    <n v="47"/>
    <s v="Eletrobras4386504/02/2025"/>
    <n v="14"/>
    <s v="Centrais Eletricas Brasileiras SA"/>
    <s v="Eletrobras"/>
    <x v="1"/>
    <n v="1"/>
    <m/>
    <n v="8"/>
    <x v="110"/>
    <s v="04/02/2025"/>
    <x v="5"/>
    <n v="1"/>
    <x v="5"/>
    <x v="1"/>
    <m/>
    <m/>
    <n v="4.2374999999999998"/>
    <n v="500000000"/>
    <x v="113"/>
    <s v="USD"/>
    <s v="-"/>
    <n v="3.625"/>
    <x v="134"/>
    <n v="360"/>
    <s v="Corrido"/>
    <s v="N"/>
    <x v="1"/>
    <s v="N"/>
    <x v="0"/>
    <x v="11"/>
    <x v="0"/>
    <x v="3"/>
  </r>
  <r>
    <n v="48"/>
    <s v="Eletrobras4084327/10/2021"/>
    <n v="14"/>
    <s v="Centrais Eletricas Brasileiras SA"/>
    <s v="Eletrobras"/>
    <x v="1"/>
    <n v="1"/>
    <m/>
    <n v="9"/>
    <x v="111"/>
    <s v="27/10/2021"/>
    <x v="12"/>
    <n v="1"/>
    <x v="5"/>
    <x v="1"/>
    <m/>
    <m/>
    <n v="1.7316"/>
    <n v="1750000000"/>
    <x v="114"/>
    <s v="USD"/>
    <s v="-"/>
    <n v="5.75"/>
    <x v="135"/>
    <n v="360"/>
    <s v="Corrido"/>
    <s v="N"/>
    <x v="1"/>
    <s v="N"/>
    <x v="0"/>
    <x v="7"/>
    <x v="1"/>
    <x v="81"/>
  </r>
  <r>
    <n v="0"/>
    <s v="Equatorial4271944545"/>
    <n v="15"/>
    <s v="EQUATORIAL PARA DISTRIBUIDORA DE ENERGIA S.A."/>
    <s v="Equatorial"/>
    <x v="0"/>
    <n v="0"/>
    <s v="CLPP13    "/>
    <n v="1"/>
    <x v="52"/>
    <d v="2021-12-15T00:00:00"/>
    <x v="4"/>
    <n v="1"/>
    <x v="2"/>
    <x v="1"/>
    <n v="199069"/>
    <n v="1000"/>
    <s v=""/>
    <n v="199069000"/>
    <x v="115"/>
    <s v="IPCA"/>
    <s v="-"/>
    <n v="6.6970999999999998"/>
    <x v="136"/>
    <n v="252"/>
    <s v="Útil"/>
    <s v="S"/>
    <x v="0"/>
    <s v="S"/>
    <x v="1"/>
    <x v="1"/>
    <x v="0"/>
    <x v="45"/>
  </r>
  <r>
    <n v="0"/>
    <s v="Equatorial4271943814"/>
    <n v="15"/>
    <s v="EQUATORIAL PARA DISTRIBUIDORA DE ENERGIA S.A."/>
    <s v="Equatorial"/>
    <x v="0"/>
    <n v="0"/>
    <s v="CLPP14    "/>
    <n v="2"/>
    <x v="52"/>
    <d v="2019-12-15T00:00:00"/>
    <x v="6"/>
    <n v="0"/>
    <x v="2"/>
    <x v="1"/>
    <n v="50000"/>
    <n v="10000"/>
    <s v=""/>
    <n v="500000000"/>
    <x v="10"/>
    <s v="DI"/>
    <n v="116"/>
    <m/>
    <x v="137"/>
    <n v="252"/>
    <s v="Útil"/>
    <s v="N"/>
    <x v="1"/>
    <s v="S"/>
    <x v="1"/>
    <x v="1"/>
    <x v="0"/>
    <x v="45"/>
  </r>
  <r>
    <n v="0"/>
    <s v="Equatorial4271945275"/>
    <n v="15"/>
    <s v="EQUATORIAL PARA DISTRIBUIDORA DE ENERGIA S.A."/>
    <s v="Equatorial"/>
    <x v="0"/>
    <n v="0"/>
    <s v="CLPP23    "/>
    <n v="3"/>
    <x v="52"/>
    <d v="2023-12-15T00:00:00"/>
    <x v="18"/>
    <n v="1"/>
    <x v="2"/>
    <x v="1"/>
    <n v="100931"/>
    <n v="1000"/>
    <s v=""/>
    <n v="100931000"/>
    <x v="116"/>
    <s v="IPCA"/>
    <s v="-"/>
    <n v="6.8701999999999996"/>
    <x v="138"/>
    <n v="252"/>
    <s v="Útil"/>
    <s v="S"/>
    <x v="0"/>
    <s v="S"/>
    <x v="1"/>
    <x v="1"/>
    <x v="0"/>
    <x v="45"/>
  </r>
  <r>
    <n v="49"/>
    <s v="Equatorial4069703/06/2016"/>
    <n v="15"/>
    <s v="EQUATORIAL PARA DISTRIBUIDORA"/>
    <s v="Equatorial"/>
    <x v="1"/>
    <n v="1"/>
    <m/>
    <n v="4"/>
    <x v="112"/>
    <s v="03/06/2016"/>
    <x v="5"/>
    <n v="1"/>
    <x v="5"/>
    <x v="1"/>
    <m/>
    <m/>
    <n v="1.5736000000000001"/>
    <n v="250000000"/>
    <x v="117"/>
    <s v="USD"/>
    <s v="-"/>
    <n v="10.5"/>
    <x v="139"/>
    <n v="360"/>
    <s v="Corrido"/>
    <s v="N"/>
    <x v="1"/>
    <s v="S"/>
    <x v="1"/>
    <x v="9"/>
    <x v="0"/>
    <x v="50"/>
  </r>
  <r>
    <n v="0"/>
    <s v="Gerdau4342544886"/>
    <n v="16"/>
    <s v="GERDAU S/A"/>
    <s v="Gerdau"/>
    <x v="0"/>
    <n v="0"/>
    <s v="GGBRA5    "/>
    <n v="1"/>
    <x v="113"/>
    <d v="2022-11-21T00:00:00"/>
    <x v="46"/>
    <n v="0"/>
    <x v="2"/>
    <x v="1"/>
    <n v="1500000"/>
    <n v="1000"/>
    <s v=""/>
    <n v="1500000000"/>
    <x v="71"/>
    <s v="DI"/>
    <n v="106.5"/>
    <m/>
    <x v="140"/>
    <n v="252"/>
    <s v="Útil"/>
    <s v="N"/>
    <x v="1"/>
    <s v="S"/>
    <x v="1"/>
    <x v="2"/>
    <x v="1"/>
    <x v="82"/>
  </r>
  <r>
    <n v="0"/>
    <s v="Gerdau4359145052"/>
    <n v="16"/>
    <s v="GERDAU S/A"/>
    <s v="Gerdau"/>
    <x v="0"/>
    <n v="0"/>
    <s v="GGBRA6    "/>
    <n v="2"/>
    <x v="114"/>
    <d v="2023-05-06T00:00:00"/>
    <x v="46"/>
    <n v="0"/>
    <x v="2"/>
    <x v="1"/>
    <n v="600000"/>
    <n v="1000"/>
    <s v=""/>
    <n v="600000000"/>
    <x v="30"/>
    <s v="DI"/>
    <n v="105.5"/>
    <m/>
    <x v="141"/>
    <n v="252"/>
    <s v="Útil"/>
    <s v="N"/>
    <x v="1"/>
    <s v="S"/>
    <x v="1"/>
    <x v="2"/>
    <x v="1"/>
    <x v="83"/>
  </r>
  <r>
    <n v="0"/>
    <s v="Gerdau4359146148"/>
    <n v="16"/>
    <s v="GERDAU S/A"/>
    <s v="Gerdau"/>
    <x v="0"/>
    <n v="0"/>
    <s v="GGBRB6    "/>
    <n v="3"/>
    <x v="114"/>
    <d v="2026-05-06T00:00:00"/>
    <x v="8"/>
    <n v="1"/>
    <x v="2"/>
    <x v="1"/>
    <n v="800000"/>
    <n v="1000"/>
    <s v=""/>
    <n v="800000000"/>
    <x v="6"/>
    <s v="DI"/>
    <n v="107.25"/>
    <m/>
    <x v="142"/>
    <n v="252"/>
    <s v="Útil"/>
    <s v="N"/>
    <x v="1"/>
    <s v="S"/>
    <x v="1"/>
    <x v="2"/>
    <x v="1"/>
    <x v="83"/>
  </r>
  <r>
    <n v="50"/>
    <s v="Gerdau4303224/10/2027"/>
    <n v="16"/>
    <s v="Gerdau Trade Inc"/>
    <s v="Gerdau"/>
    <x v="1"/>
    <n v="1"/>
    <m/>
    <n v="4"/>
    <x v="115"/>
    <s v="24/10/2027"/>
    <x v="1"/>
    <n v="1"/>
    <x v="1"/>
    <x v="0"/>
    <m/>
    <m/>
    <n v="3.2464"/>
    <n v="650000000"/>
    <x v="118"/>
    <s v="USD"/>
    <s v="-"/>
    <n v="4.875"/>
    <x v="143"/>
    <n v="360"/>
    <s v="Corrido"/>
    <s v="N"/>
    <x v="1"/>
    <s v="N"/>
    <x v="0"/>
    <x v="2"/>
    <x v="1"/>
    <x v="84"/>
  </r>
  <r>
    <n v="51"/>
    <s v="Gerdau4137915/04/2023"/>
    <n v="16"/>
    <s v="Gerdau Trade Inc"/>
    <s v="Gerdau"/>
    <x v="1"/>
    <n v="1"/>
    <m/>
    <n v="5"/>
    <x v="116"/>
    <s v="15/04/2023"/>
    <x v="1"/>
    <n v="1"/>
    <x v="1"/>
    <x v="0"/>
    <m/>
    <m/>
    <n v="1.9783999999999999"/>
    <n v="750000000"/>
    <x v="119"/>
    <s v="USD"/>
    <s v="-"/>
    <n v="4.75"/>
    <x v="144"/>
    <n v="360"/>
    <s v="Corrido"/>
    <s v="N"/>
    <x v="1"/>
    <s v="N"/>
    <x v="0"/>
    <x v="2"/>
    <x v="1"/>
    <x v="30"/>
  </r>
  <r>
    <n v="52"/>
    <s v="Gerdau4174516/04/2044"/>
    <n v="16"/>
    <s v="GTL Trade Finance Inc"/>
    <s v="Gerdau"/>
    <x v="1"/>
    <n v="1"/>
    <m/>
    <n v="6"/>
    <x v="117"/>
    <s v="16/04/2044"/>
    <x v="33"/>
    <n v="1"/>
    <x v="1"/>
    <x v="0"/>
    <m/>
    <m/>
    <n v="2.2336"/>
    <n v="500000000"/>
    <x v="120"/>
    <s v="USD"/>
    <s v="-"/>
    <n v="7.25"/>
    <x v="145"/>
    <n v="360"/>
    <s v="Corrido"/>
    <s v="N"/>
    <x v="1"/>
    <s v="S"/>
    <x v="1"/>
    <x v="2"/>
    <x v="1"/>
    <x v="55"/>
  </r>
  <r>
    <n v="53"/>
    <s v="Gerdau4176829/04/2024"/>
    <n v="16"/>
    <s v="GTL Trade Finance Inc"/>
    <s v="Gerdau"/>
    <x v="1"/>
    <n v="1"/>
    <m/>
    <n v="7"/>
    <x v="118"/>
    <s v="29/04/2024"/>
    <x v="64"/>
    <n v="1"/>
    <x v="1"/>
    <x v="0"/>
    <m/>
    <m/>
    <n v="2.2185999999999999"/>
    <n v="600000000"/>
    <x v="121"/>
    <s v="USD"/>
    <s v="-"/>
    <n v="5.8929999999999998"/>
    <x v="146"/>
    <n v="360"/>
    <s v="Corrido"/>
    <s v="N"/>
    <x v="1"/>
    <s v="S"/>
    <x v="1"/>
    <x v="2"/>
    <x v="1"/>
    <x v="47"/>
  </r>
  <r>
    <n v="54"/>
    <s v="Gerdau4175829/04/2024"/>
    <n v="16"/>
    <s v="GTL Trade Finance Inc / Gerdau Holdings Inc"/>
    <s v="Gerdau"/>
    <x v="1"/>
    <n v="1"/>
    <m/>
    <n v="8"/>
    <x v="119"/>
    <s v="29/04/2024"/>
    <x v="12"/>
    <n v="1"/>
    <x v="1"/>
    <x v="0"/>
    <m/>
    <m/>
    <n v="2.2193000000000001"/>
    <n v="600000000"/>
    <x v="122"/>
    <s v="USD"/>
    <s v="-"/>
    <n v="5.8929999999999998"/>
    <x v="147"/>
    <n v="360"/>
    <s v="Corrido"/>
    <s v="N"/>
    <x v="1"/>
    <s v="S"/>
    <x v="1"/>
    <x v="2"/>
    <x v="1"/>
    <x v="5"/>
  </r>
  <r>
    <n v="55"/>
    <s v="Gerdau4379021/01/2030"/>
    <n v="16"/>
    <s v="GUSAP III LP"/>
    <s v="Gerdau"/>
    <x v="1"/>
    <n v="1"/>
    <m/>
    <n v="9"/>
    <x v="120"/>
    <s v="21/01/2030"/>
    <x v="65"/>
    <n v="1"/>
    <x v="1"/>
    <x v="0"/>
    <m/>
    <m/>
    <n v="4.2005999999999997"/>
    <n v="500000000"/>
    <x v="123"/>
    <s v="USD"/>
    <s v="-"/>
    <n v="4.25"/>
    <x v="148"/>
    <n v="360"/>
    <s v="Corrido"/>
    <s v="N"/>
    <x v="1"/>
    <s v="S"/>
    <x v="1"/>
    <x v="2"/>
    <x v="1"/>
    <x v="33"/>
  </r>
  <r>
    <n v="0"/>
    <s v="Gol Linhas Aéreas4070442896"/>
    <n v="17"/>
    <s v="GOL LINHAS AEREAS S/A"/>
    <s v="Gol Linhas Aéreas"/>
    <x v="0"/>
    <n v="0"/>
    <s v="VRGL15    "/>
    <n v="1"/>
    <x v="121"/>
    <d v="2017-06-10T00:00:00"/>
    <x v="11"/>
    <n v="1"/>
    <x v="2"/>
    <x v="1"/>
    <n v="500"/>
    <n v="1000000"/>
    <s v=""/>
    <n v="500000000"/>
    <x v="10"/>
    <s v="DI"/>
    <n v="128"/>
    <m/>
    <x v="149"/>
    <n v="252"/>
    <s v="Útil"/>
    <s v="N"/>
    <x v="1"/>
    <s v="S"/>
    <x v="1"/>
    <x v="11"/>
    <x v="0"/>
    <x v="85"/>
  </r>
  <r>
    <n v="0"/>
    <s v="Gol Linhas Aéreas4227643737"/>
    <n v="17"/>
    <s v="GOL LINHAS AEREAS S/A"/>
    <s v="Gol Linhas Aéreas"/>
    <x v="0"/>
    <n v="0"/>
    <s v="VRGL16    "/>
    <n v="2"/>
    <x v="122"/>
    <d v="2019-09-29T00:00:00"/>
    <x v="46"/>
    <n v="0"/>
    <x v="2"/>
    <x v="1"/>
    <n v="105000"/>
    <n v="10000"/>
    <s v=""/>
    <n v="1050000000"/>
    <x v="124"/>
    <s v="DI"/>
    <n v="132"/>
    <m/>
    <x v="150"/>
    <n v="252"/>
    <s v="Útil"/>
    <s v="N"/>
    <x v="1"/>
    <s v="S"/>
    <x v="1"/>
    <x v="3"/>
    <x v="0"/>
    <x v="86"/>
  </r>
  <r>
    <n v="0"/>
    <s v="Gol Linhas Aéreas4340145592"/>
    <n v="17"/>
    <s v="GOL LINHAS AEREAS S/A"/>
    <s v="Gol Linhas Aéreas"/>
    <x v="0"/>
    <n v="0"/>
    <s v="VRGL17    "/>
    <n v="3"/>
    <x v="123"/>
    <d v="2024-10-27T00:00:00"/>
    <x v="7"/>
    <n v="1"/>
    <x v="2"/>
    <x v="1"/>
    <n v="22187"/>
    <n v="10000"/>
    <s v=""/>
    <n v="221870000"/>
    <x v="125"/>
    <s v="DI"/>
    <n v="100"/>
    <n v="4.5"/>
    <x v="151"/>
    <n v="252"/>
    <s v="Útil"/>
    <s v="N"/>
    <x v="1"/>
    <s v="S"/>
    <x v="1"/>
    <x v="9"/>
    <x v="0"/>
    <x v="61"/>
  </r>
  <r>
    <n v="0"/>
    <s v="Gol Linhas Aéreas4449645592"/>
    <n v="17"/>
    <s v="GOL LINHAS AEREAS S/A"/>
    <s v="Gol Linhas Aéreas"/>
    <x v="0"/>
    <n v="0"/>
    <s v="VRGL18    "/>
    <n v="4"/>
    <x v="124"/>
    <d v="2024-10-27T00:00:00"/>
    <x v="16"/>
    <n v="0"/>
    <x v="2"/>
    <x v="1"/>
    <n v="610217"/>
    <n v="1000"/>
    <s v=""/>
    <n v="610217000"/>
    <x v="126"/>
    <s v="DI"/>
    <n v="100"/>
    <n v="4.5"/>
    <x v="151"/>
    <n v="252"/>
    <s v="Útil"/>
    <s v="N"/>
    <x v="1"/>
    <s v="S"/>
    <x v="1"/>
    <x v="5"/>
    <x v="0"/>
    <x v="87"/>
  </r>
  <r>
    <n v="0"/>
    <s v="Gol Linhas Aéreas4340145592"/>
    <n v="17"/>
    <s v="GOL LINHAS AEREAS S/A"/>
    <s v="Gol Linhas Aéreas"/>
    <x v="0"/>
    <n v="0"/>
    <s v="VRGL27    "/>
    <n v="5"/>
    <x v="123"/>
    <d v="2024-10-27T00:00:00"/>
    <x v="7"/>
    <n v="1"/>
    <x v="2"/>
    <x v="1"/>
    <n v="22188"/>
    <n v="10000"/>
    <s v=""/>
    <n v="221880000"/>
    <x v="127"/>
    <s v="DI"/>
    <n v="100"/>
    <n v="4.5"/>
    <x v="151"/>
    <n v="252"/>
    <s v="Útil"/>
    <s v="N"/>
    <x v="1"/>
    <s v="S"/>
    <x v="1"/>
    <x v="9"/>
    <x v="0"/>
    <x v="61"/>
  </r>
  <r>
    <n v="56"/>
    <s v="Gol Linhas Aéreas4313331/01/2025"/>
    <n v="17"/>
    <s v="Gol Finance Inc"/>
    <s v="Gol Linhas Aéreas"/>
    <x v="1"/>
    <n v="1"/>
    <m/>
    <n v="6"/>
    <x v="125"/>
    <s v="31/01/2025"/>
    <x v="66"/>
    <n v="1"/>
    <x v="1"/>
    <x v="0"/>
    <m/>
    <m/>
    <n v="3.2054"/>
    <n v="150000000"/>
    <x v="128"/>
    <s v="USD"/>
    <s v="-"/>
    <n v="7"/>
    <x v="152"/>
    <n v="360"/>
    <s v="Corrido"/>
    <s v="N"/>
    <x v="1"/>
    <s v="S"/>
    <x v="1"/>
    <x v="9"/>
    <x v="0"/>
    <x v="62"/>
  </r>
  <r>
    <n v="57"/>
    <s v="Gol Linhas Aéreas4308031/01/2025"/>
    <n v="17"/>
    <s v="Gol Finance SA"/>
    <s v="Gol Linhas Aéreas"/>
    <x v="1"/>
    <n v="1"/>
    <m/>
    <n v="7"/>
    <x v="126"/>
    <s v="31/01/2025"/>
    <x v="67"/>
    <n v="1"/>
    <x v="1"/>
    <x v="0"/>
    <m/>
    <m/>
    <n v="3.2839"/>
    <n v="650000000"/>
    <x v="129"/>
    <s v="USD"/>
    <s v="-"/>
    <n v="7"/>
    <x v="153"/>
    <n v="360"/>
    <s v="Corrido"/>
    <s v="N"/>
    <x v="1"/>
    <s v="S"/>
    <x v="1"/>
    <x v="12"/>
    <x v="0"/>
    <x v="88"/>
  </r>
  <r>
    <n v="58"/>
    <s v="Gol Linhas Aéreas4418830/06/2026"/>
    <n v="17"/>
    <s v="Gol Finance SA"/>
    <s v="Gol Linhas Aéreas"/>
    <x v="1"/>
    <n v="1"/>
    <m/>
    <n v="8"/>
    <x v="127"/>
    <s v="30/06/2026"/>
    <x v="68"/>
    <n v="1"/>
    <x v="4"/>
    <x v="0"/>
    <m/>
    <m/>
    <n v="5.1734"/>
    <n v="650000000"/>
    <x v="130"/>
    <s v="USD"/>
    <s v="-"/>
    <n v="8"/>
    <x v="154"/>
    <n v="360"/>
    <s v="Corrido"/>
    <s v="N"/>
    <x v="1"/>
    <s v="S"/>
    <x v="1"/>
    <x v="9"/>
    <x v="0"/>
    <x v="89"/>
  </r>
  <r>
    <n v="59"/>
    <s v="Gol Linhas Aéreas4432730/06/2026"/>
    <n v="17"/>
    <s v="Gol Finance SA"/>
    <s v="Gol Linhas Aéreas"/>
    <x v="1"/>
    <n v="1"/>
    <m/>
    <n v="9"/>
    <x v="128"/>
    <s v="30/06/2026"/>
    <x v="69"/>
    <n v="1"/>
    <x v="4"/>
    <x v="0"/>
    <m/>
    <m/>
    <n v="5.2397"/>
    <n v="300000000"/>
    <x v="131"/>
    <s v="USD"/>
    <s v="-"/>
    <n v="8"/>
    <x v="155"/>
    <n v="360"/>
    <s v="Corrido"/>
    <s v="N"/>
    <x v="1"/>
    <s v="S"/>
    <x v="1"/>
    <x v="5"/>
    <x v="0"/>
    <x v="77"/>
  </r>
  <r>
    <n v="60"/>
    <s v="Gol Linhas Aéreas4446730/06/2026"/>
    <n v="17"/>
    <s v="Gol Finance SA"/>
    <s v="Gol Linhas Aéreas"/>
    <x v="1"/>
    <n v="1"/>
    <m/>
    <n v="10"/>
    <x v="129"/>
    <s v="30/06/2026"/>
    <x v="70"/>
    <n v="0"/>
    <x v="4"/>
    <x v="0"/>
    <m/>
    <m/>
    <n v="5.42"/>
    <n v="150000000"/>
    <x v="132"/>
    <s v="USD"/>
    <s v="-"/>
    <n v="8"/>
    <x v="156"/>
    <n v="360"/>
    <s v="Corrido"/>
    <s v="N"/>
    <x v="1"/>
    <s v="S"/>
    <x v="1"/>
    <x v="5"/>
    <x v="0"/>
    <x v="64"/>
  </r>
  <r>
    <n v="61"/>
    <s v="Gol Linhas Aéreas4190624/01/2022"/>
    <n v="17"/>
    <s v="Gol Finance SA"/>
    <s v="Gol Linhas Aéreas"/>
    <x v="1"/>
    <n v="1"/>
    <m/>
    <n v="11"/>
    <x v="130"/>
    <s v="24/01/2022"/>
    <x v="71"/>
    <n v="1"/>
    <x v="1"/>
    <x v="0"/>
    <m/>
    <m/>
    <n v="2.4064000000000001"/>
    <n v="325000000"/>
    <x v="133"/>
    <s v="USD"/>
    <s v="-"/>
    <n v="8.875"/>
    <x v="157"/>
    <n v="360"/>
    <s v="Corrido"/>
    <s v="N"/>
    <x v="1"/>
    <s v="S"/>
    <x v="1"/>
    <x v="3"/>
    <x v="0"/>
    <x v="11"/>
  </r>
  <r>
    <n v="62"/>
    <s v="Gol Linhas Aéreas4131312/02/2023"/>
    <n v="17"/>
    <s v="Gol Linhas Aereas SA"/>
    <s v="Gol Linhas Aéreas"/>
    <x v="1"/>
    <n v="1"/>
    <m/>
    <n v="12"/>
    <x v="131"/>
    <s v="12/02/2023"/>
    <x v="72"/>
    <n v="1"/>
    <x v="1"/>
    <x v="0"/>
    <m/>
    <m/>
    <n v="1.9630000000000001"/>
    <n v="200000000"/>
    <x v="134"/>
    <s v="USD"/>
    <s v="-"/>
    <n v="10.75"/>
    <x v="158"/>
    <n v="360"/>
    <s v="Corrido"/>
    <s v="N"/>
    <x v="1"/>
    <s v="S"/>
    <x v="1"/>
    <x v="3"/>
    <x v="0"/>
    <x v="27"/>
  </r>
  <r>
    <n v="0"/>
    <s v="Hidrovias do Brasil4448447041"/>
    <n v="18"/>
    <s v="HIDROVIAS DO BRASIL S.A."/>
    <s v="Hidrovias do Brasil"/>
    <x v="0"/>
    <n v="0"/>
    <s v="HBSA11    "/>
    <n v="1"/>
    <x v="132"/>
    <d v="2028-10-15T00:00:00"/>
    <x v="8"/>
    <n v="1"/>
    <x v="2"/>
    <x v="1"/>
    <n v="280000"/>
    <n v="1000"/>
    <s v=""/>
    <n v="280000000"/>
    <x v="135"/>
    <s v="IPCA"/>
    <s v="-"/>
    <n v="6.0029000000000003"/>
    <x v="159"/>
    <n v="252"/>
    <s v="Útil"/>
    <s v="S"/>
    <x v="0"/>
    <s v="N"/>
    <x v="0"/>
    <x v="0"/>
    <x v="0"/>
    <x v="90"/>
  </r>
  <r>
    <n v="0"/>
    <s v="Hidrovias do Brasil4448448136"/>
    <n v="18"/>
    <s v="HIDROVIAS DO BRASIL S.A."/>
    <s v="Hidrovias do Brasil"/>
    <x v="0"/>
    <n v="0"/>
    <s v="HBSA21    "/>
    <n v="2"/>
    <x v="132"/>
    <d v="2031-10-15T00:00:00"/>
    <x v="1"/>
    <n v="1"/>
    <x v="2"/>
    <x v="1"/>
    <n v="100000"/>
    <n v="1000"/>
    <s v=""/>
    <n v="100000000"/>
    <x v="33"/>
    <s v="IPCA"/>
    <s v="-"/>
    <n v="6.0444000000000004"/>
    <x v="160"/>
    <n v="252"/>
    <s v="Útil"/>
    <s v="S"/>
    <x v="0"/>
    <s v="N"/>
    <x v="0"/>
    <x v="0"/>
    <x v="0"/>
    <x v="90"/>
  </r>
  <r>
    <n v="63"/>
    <s v="Hidrovias do Brasil4423508/02/2031"/>
    <n v="18"/>
    <s v="Hidrovias International Finance SARL"/>
    <s v="Hidrovias do Brasil"/>
    <x v="1"/>
    <n v="1"/>
    <m/>
    <n v="3"/>
    <x v="133"/>
    <s v="08/02/2031"/>
    <x v="1"/>
    <n v="1"/>
    <x v="5"/>
    <x v="1"/>
    <m/>
    <m/>
    <n v="5.3663999999999996"/>
    <n v="500000000"/>
    <x v="136"/>
    <s v="USD"/>
    <s v="-"/>
    <n v="4.95"/>
    <x v="161"/>
    <n v="360"/>
    <s v="Corrido"/>
    <s v="N"/>
    <x v="1"/>
    <s v="S"/>
    <x v="1"/>
    <x v="0"/>
    <x v="0"/>
    <x v="39"/>
  </r>
  <r>
    <n v="64"/>
    <s v="Hidrovias do Brasil4312424/01/2025"/>
    <n v="18"/>
    <s v="Hidrovias International Finance SARL"/>
    <s v="Hidrovias do Brasil"/>
    <x v="1"/>
    <n v="1"/>
    <m/>
    <n v="4"/>
    <x v="134"/>
    <s v="24/01/2025"/>
    <x v="8"/>
    <n v="1"/>
    <x v="1"/>
    <x v="0"/>
    <m/>
    <m/>
    <n v="3.1964000000000001"/>
    <n v="600000000"/>
    <x v="137"/>
    <s v="USD"/>
    <s v="-"/>
    <n v="5.95"/>
    <x v="162"/>
    <n v="360"/>
    <s v="Corrido"/>
    <s v="N"/>
    <x v="1"/>
    <s v="S"/>
    <x v="1"/>
    <x v="0"/>
    <x v="0"/>
    <x v="91"/>
  </r>
  <r>
    <n v="0"/>
    <s v="Hypera4063041726"/>
    <n v="19"/>
    <s v="HYPERA S/A"/>
    <s v="Hypera"/>
    <x v="0"/>
    <n v="0"/>
    <s v="HYPE14    "/>
    <n v="1"/>
    <x v="135"/>
    <d v="2014-03-28T00:00:00"/>
    <x v="16"/>
    <n v="0"/>
    <x v="2"/>
    <x v="1"/>
    <n v="200"/>
    <n v="1000000"/>
    <s v=""/>
    <n v="200000000"/>
    <x v="13"/>
    <s v="DI"/>
    <n v="111"/>
    <m/>
    <x v="163"/>
    <n v="252"/>
    <s v="Útil"/>
    <s v="N"/>
    <x v="1"/>
    <s v="S"/>
    <x v="1"/>
    <x v="11"/>
    <x v="0"/>
    <x v="92"/>
  </r>
  <r>
    <n v="0"/>
    <s v="Hypera4148843314"/>
    <n v="19"/>
    <s v="HYPERA S/A"/>
    <s v="Hypera"/>
    <x v="0"/>
    <n v="0"/>
    <s v="HYPE15    "/>
    <n v="2"/>
    <x v="136"/>
    <d v="2018-08-02T00:00:00"/>
    <x v="4"/>
    <n v="1"/>
    <x v="3"/>
    <x v="0"/>
    <n v="40000"/>
    <n v="10000"/>
    <s v=""/>
    <n v="400000000"/>
    <x v="0"/>
    <s v="DI"/>
    <n v="109.95"/>
    <m/>
    <x v="164"/>
    <n v="252"/>
    <s v="Útil"/>
    <s v="N"/>
    <x v="1"/>
    <s v="S"/>
    <x v="1"/>
    <x v="11"/>
    <x v="0"/>
    <x v="66"/>
  </r>
  <r>
    <n v="0"/>
    <s v="Hypera4160242940"/>
    <n v="19"/>
    <s v="HYPERA S/A"/>
    <s v="Hypera"/>
    <x v="0"/>
    <n v="0"/>
    <s v="HYPE16    "/>
    <n v="3"/>
    <x v="137"/>
    <d v="2017-07-24T00:00:00"/>
    <x v="73"/>
    <n v="0"/>
    <x v="2"/>
    <x v="1"/>
    <n v="200"/>
    <n v="1000000"/>
    <s v=""/>
    <n v="200000000"/>
    <x v="13"/>
    <s v="DI"/>
    <n v="110.75"/>
    <m/>
    <x v="165"/>
    <n v="252"/>
    <s v="Útil"/>
    <s v="N"/>
    <x v="1"/>
    <s v="S"/>
    <x v="1"/>
    <x v="11"/>
    <x v="0"/>
    <x v="41"/>
  </r>
  <r>
    <n v="0"/>
    <s v="Hypera4173943565"/>
    <n v="19"/>
    <s v="HYPERA S/A"/>
    <s v="Hypera"/>
    <x v="0"/>
    <n v="0"/>
    <s v="HYPE17    "/>
    <n v="4"/>
    <x v="138"/>
    <d v="2019-04-10T00:00:00"/>
    <x v="4"/>
    <n v="1"/>
    <x v="2"/>
    <x v="1"/>
    <n v="400"/>
    <n v="1000000"/>
    <s v=""/>
    <n v="400000000"/>
    <x v="0"/>
    <s v="DI"/>
    <n v="110"/>
    <m/>
    <x v="166"/>
    <n v="252"/>
    <s v="Útil"/>
    <s v="N"/>
    <x v="1"/>
    <s v="S"/>
    <x v="1"/>
    <x v="0"/>
    <x v="0"/>
    <x v="93"/>
  </r>
  <r>
    <n v="0"/>
    <s v="Hypera4379745989"/>
    <n v="19"/>
    <s v="HYPERA S/A"/>
    <s v="Hypera"/>
    <x v="0"/>
    <n v="0"/>
    <s v="HYPE18    "/>
    <n v="5"/>
    <x v="139"/>
    <d v="2025-11-28T00:00:00"/>
    <x v="11"/>
    <n v="1"/>
    <x v="2"/>
    <x v="1"/>
    <n v="80000"/>
    <n v="10000"/>
    <s v=""/>
    <n v="800000000"/>
    <x v="6"/>
    <s v="DI"/>
    <n v="100"/>
    <n v="1.25"/>
    <x v="167"/>
    <n v="252"/>
    <s v="Útil"/>
    <s v="N"/>
    <x v="1"/>
    <s v="S"/>
    <x v="1"/>
    <x v="6"/>
    <x v="0"/>
    <x v="60"/>
  </r>
  <r>
    <n v="0"/>
    <s v="Hypera4392446115"/>
    <n v="19"/>
    <s v="HYPERA S/A"/>
    <s v="Hypera"/>
    <x v="0"/>
    <n v="0"/>
    <s v="HYPE19    "/>
    <n v="6"/>
    <x v="140"/>
    <d v="2026-04-03T00:00:00"/>
    <x v="7"/>
    <n v="1"/>
    <x v="2"/>
    <x v="1"/>
    <n v="248500"/>
    <n v="10000"/>
    <s v=""/>
    <n v="2485000000"/>
    <x v="138"/>
    <s v="DI"/>
    <n v="100"/>
    <n v="1.5"/>
    <x v="47"/>
    <n v="252"/>
    <s v="Útil"/>
    <s v="N"/>
    <x v="1"/>
    <s v="S"/>
    <x v="1"/>
    <x v="6"/>
    <x v="0"/>
    <x v="94"/>
  </r>
  <r>
    <n v="0"/>
    <s v="Hypera4063041757"/>
    <n v="19"/>
    <s v="HYPERA S/A"/>
    <s v="Hypera"/>
    <x v="0"/>
    <n v="0"/>
    <s v="HYPE24    "/>
    <n v="7"/>
    <x v="135"/>
    <d v="2014-04-28T00:00:00"/>
    <x v="74"/>
    <n v="0"/>
    <x v="2"/>
    <x v="1"/>
    <n v="200"/>
    <n v="1000000"/>
    <s v=""/>
    <n v="200000000"/>
    <x v="13"/>
    <s v="DI"/>
    <n v="111"/>
    <m/>
    <x v="168"/>
    <n v="252"/>
    <s v="Útil"/>
    <s v="N"/>
    <x v="1"/>
    <s v="S"/>
    <x v="1"/>
    <x v="11"/>
    <x v="0"/>
    <x v="92"/>
  </r>
  <r>
    <n v="0"/>
    <s v="Hypera4407545901"/>
    <n v="19"/>
    <s v="HYPERA S/A"/>
    <s v="Hypera"/>
    <x v="0"/>
    <n v="0"/>
    <s v="HYPEA0    "/>
    <n v="8"/>
    <x v="141"/>
    <d v="2025-09-01T00:00:00"/>
    <x v="4"/>
    <n v="1"/>
    <x v="2"/>
    <x v="1"/>
    <n v="23500"/>
    <n v="10000"/>
    <s v=""/>
    <n v="235000000"/>
    <x v="139"/>
    <s v="DI"/>
    <n v="100"/>
    <n v="1.75"/>
    <x v="85"/>
    <n v="252"/>
    <s v="Útil"/>
    <s v="N"/>
    <x v="1"/>
    <s v="S"/>
    <x v="1"/>
    <x v="6"/>
    <x v="0"/>
    <x v="95"/>
  </r>
  <r>
    <n v="0"/>
    <s v="Hypera4444846274"/>
    <n v="19"/>
    <s v="HYPERA S/A"/>
    <s v="Hypera"/>
    <x v="0"/>
    <n v="0"/>
    <s v="HYPEA1    "/>
    <n v="9"/>
    <x v="142"/>
    <d v="2026-09-09T00:00:00"/>
    <x v="4"/>
    <n v="1"/>
    <x v="2"/>
    <x v="1"/>
    <n v="1000000"/>
    <n v="1000"/>
    <s v=""/>
    <n v="1000000000"/>
    <x v="18"/>
    <s v="DI"/>
    <n v="100"/>
    <n v="1.45"/>
    <x v="72"/>
    <n v="252"/>
    <s v="Útil"/>
    <s v="N"/>
    <x v="1"/>
    <s v="S"/>
    <x v="1"/>
    <x v="6"/>
    <x v="0"/>
    <x v="56"/>
  </r>
  <r>
    <n v="0"/>
    <s v="Hypera4407545901"/>
    <n v="19"/>
    <s v="HYPERA S/A"/>
    <s v="Hypera"/>
    <x v="0"/>
    <n v="0"/>
    <s v="HYPEB0    "/>
    <n v="10"/>
    <x v="141"/>
    <d v="2025-09-01T00:00:00"/>
    <x v="4"/>
    <n v="1"/>
    <x v="2"/>
    <x v="1"/>
    <n v="50000"/>
    <n v="10000"/>
    <s v=""/>
    <n v="500000000"/>
    <x v="10"/>
    <s v="DI"/>
    <n v="100"/>
    <n v="1.75"/>
    <x v="85"/>
    <n v="252"/>
    <s v="Útil"/>
    <s v="N"/>
    <x v="1"/>
    <s v="S"/>
    <x v="1"/>
    <x v="6"/>
    <x v="0"/>
    <x v="95"/>
  </r>
  <r>
    <n v="65"/>
    <s v="Hypera4065320/04/2021"/>
    <n v="19"/>
    <s v="Hypera SA"/>
    <s v="Hypera"/>
    <x v="1"/>
    <n v="1"/>
    <m/>
    <n v="11"/>
    <x v="143"/>
    <s v="20/04/2021"/>
    <x v="12"/>
    <n v="1"/>
    <x v="5"/>
    <x v="1"/>
    <m/>
    <m/>
    <n v="1.5713999999999999"/>
    <n v="750000000"/>
    <x v="140"/>
    <s v="USD"/>
    <s v="-"/>
    <n v="6.5"/>
    <x v="169"/>
    <n v="360"/>
    <s v="Corrido"/>
    <s v="N"/>
    <x v="1"/>
    <s v="S"/>
    <x v="1"/>
    <x v="11"/>
    <x v="0"/>
    <x v="96"/>
  </r>
  <r>
    <n v="0"/>
    <s v="InterCement4101844670"/>
    <n v="20"/>
    <s v="INTERCEMENT BRASIL S.A."/>
    <s v="InterCement"/>
    <x v="0"/>
    <n v="0"/>
    <s v="CCCI12    "/>
    <n v="1"/>
    <x v="144"/>
    <d v="2022-04-19T00:00:00"/>
    <x v="1"/>
    <n v="1"/>
    <x v="2"/>
    <x v="1"/>
    <n v="100000"/>
    <n v="10000"/>
    <s v=""/>
    <n v="1000000000"/>
    <x v="18"/>
    <s v="DI"/>
    <n v="115"/>
    <m/>
    <x v="170"/>
    <n v="252"/>
    <s v="Útil"/>
    <s v="N"/>
    <x v="1"/>
    <s v="S"/>
    <x v="1"/>
    <x v="1"/>
    <x v="0"/>
    <x v="97"/>
  </r>
  <r>
    <n v="0"/>
    <s v="InterCement4399046546"/>
    <n v="20"/>
    <s v="INTERCEMENT BRASIL S.A."/>
    <s v="InterCement"/>
    <x v="0"/>
    <n v="0"/>
    <s v="CCCI13    "/>
    <n v="2"/>
    <x v="145"/>
    <d v="2027-06-08T00:00:00"/>
    <x v="18"/>
    <n v="1"/>
    <x v="2"/>
    <x v="1"/>
    <n v="175719"/>
    <n v="1000"/>
    <s v=""/>
    <n v="175719000"/>
    <x v="141"/>
    <s v="DI"/>
    <n v="100"/>
    <n v="3.75"/>
    <x v="171"/>
    <n v="252"/>
    <s v="Útil"/>
    <s v="N"/>
    <x v="1"/>
    <s v="S"/>
    <x v="1"/>
    <x v="13"/>
    <x v="0"/>
    <x v="45"/>
  </r>
  <r>
    <n v="0"/>
    <s v="InterCement4101844670"/>
    <n v="20"/>
    <s v="INTERCEMENT BRASIL S.A."/>
    <s v="InterCement"/>
    <x v="0"/>
    <n v="0"/>
    <s v="CCCI22    "/>
    <n v="3"/>
    <x v="144"/>
    <d v="2022-04-19T00:00:00"/>
    <x v="1"/>
    <n v="1"/>
    <x v="2"/>
    <x v="1"/>
    <n v="50000"/>
    <n v="10000"/>
    <s v=""/>
    <n v="500000000"/>
    <x v="10"/>
    <s v="DI"/>
    <n v="115"/>
    <m/>
    <x v="170"/>
    <n v="252"/>
    <s v="Útil"/>
    <s v="N"/>
    <x v="1"/>
    <s v="S"/>
    <x v="1"/>
    <x v="1"/>
    <x v="0"/>
    <x v="97"/>
  </r>
  <r>
    <n v="0"/>
    <s v="InterCement4399046546"/>
    <n v="20"/>
    <s v="INTERCEMENT BRASIL S.A."/>
    <s v="InterCement"/>
    <x v="0"/>
    <n v="0"/>
    <s v="CCCI23    "/>
    <n v="4"/>
    <x v="145"/>
    <d v="2027-06-08T00:00:00"/>
    <x v="18"/>
    <n v="1"/>
    <x v="2"/>
    <x v="1"/>
    <n v="175719"/>
    <n v="1000"/>
    <s v=""/>
    <n v="175719000"/>
    <x v="141"/>
    <s v="DI"/>
    <n v="100"/>
    <n v="3.75"/>
    <x v="171"/>
    <n v="252"/>
    <s v="Útil"/>
    <s v="N"/>
    <x v="1"/>
    <s v="S"/>
    <x v="1"/>
    <x v="13"/>
    <x v="0"/>
    <x v="45"/>
  </r>
  <r>
    <n v="0"/>
    <s v="InterCement4399046546"/>
    <n v="20"/>
    <s v="INTERCEMENT BRASIL S.A."/>
    <s v="InterCement"/>
    <x v="0"/>
    <n v="0"/>
    <s v="CCCI33    "/>
    <n v="5"/>
    <x v="145"/>
    <d v="2027-06-08T00:00:00"/>
    <x v="18"/>
    <n v="1"/>
    <x v="2"/>
    <x v="1"/>
    <n v="175719"/>
    <n v="1000"/>
    <s v=""/>
    <n v="175719000"/>
    <x v="141"/>
    <s v="DI"/>
    <n v="100"/>
    <n v="3.75"/>
    <x v="171"/>
    <n v="252"/>
    <s v="Útil"/>
    <s v="N"/>
    <x v="1"/>
    <s v="S"/>
    <x v="1"/>
    <x v="13"/>
    <x v="0"/>
    <x v="45"/>
  </r>
  <r>
    <n v="0"/>
    <s v="InterCement4399046546"/>
    <n v="20"/>
    <s v="INTERCEMENT BRASIL S.A."/>
    <s v="InterCement"/>
    <x v="0"/>
    <n v="0"/>
    <s v="CCCI43    "/>
    <n v="6"/>
    <x v="145"/>
    <d v="2027-06-08T00:00:00"/>
    <x v="18"/>
    <n v="1"/>
    <x v="2"/>
    <x v="1"/>
    <n v="168668"/>
    <n v="1000"/>
    <s v=""/>
    <n v="168668000"/>
    <x v="142"/>
    <s v="DI"/>
    <n v="100"/>
    <n v="3.75"/>
    <x v="171"/>
    <n v="252"/>
    <s v="Útil"/>
    <s v="N"/>
    <x v="1"/>
    <s v="S"/>
    <x v="1"/>
    <x v="13"/>
    <x v="0"/>
    <x v="45"/>
  </r>
  <r>
    <n v="0"/>
    <s v="InterCement4399046546"/>
    <n v="20"/>
    <s v="INTERCEMENT BRASIL S.A."/>
    <s v="InterCement"/>
    <x v="0"/>
    <n v="0"/>
    <s v="CCCI53    "/>
    <n v="7"/>
    <x v="145"/>
    <d v="2027-06-08T00:00:00"/>
    <x v="18"/>
    <n v="1"/>
    <x v="2"/>
    <x v="1"/>
    <n v="168667"/>
    <n v="1000"/>
    <s v=""/>
    <n v="168667000"/>
    <x v="143"/>
    <s v="DI"/>
    <n v="100"/>
    <n v="3.75"/>
    <x v="171"/>
    <n v="252"/>
    <s v="Útil"/>
    <s v="N"/>
    <x v="1"/>
    <s v="S"/>
    <x v="1"/>
    <x v="13"/>
    <x v="0"/>
    <x v="45"/>
  </r>
  <r>
    <n v="0"/>
    <s v="InterCement4399046546"/>
    <n v="20"/>
    <s v="INTERCEMENT BRASIL S.A."/>
    <s v="InterCement"/>
    <x v="0"/>
    <n v="0"/>
    <s v="CCCI63    "/>
    <n v="8"/>
    <x v="145"/>
    <d v="2027-06-08T00:00:00"/>
    <x v="18"/>
    <n v="1"/>
    <x v="2"/>
    <x v="1"/>
    <n v="168667"/>
    <n v="1000"/>
    <s v=""/>
    <n v="168667000"/>
    <x v="143"/>
    <s v="DI"/>
    <n v="100"/>
    <n v="3.75"/>
    <x v="171"/>
    <n v="252"/>
    <s v="Útil"/>
    <s v="N"/>
    <x v="1"/>
    <s v="S"/>
    <x v="1"/>
    <x v="13"/>
    <x v="0"/>
    <x v="45"/>
  </r>
  <r>
    <n v="0"/>
    <s v="InterCement4399046546"/>
    <n v="20"/>
    <s v="INTERCEMENT BRASIL S.A."/>
    <s v="InterCement"/>
    <x v="0"/>
    <n v="0"/>
    <s v="CCCI73    "/>
    <n v="9"/>
    <x v="145"/>
    <d v="2027-06-08T00:00:00"/>
    <x v="18"/>
    <n v="1"/>
    <x v="2"/>
    <x v="1"/>
    <n v="222334"/>
    <n v="1000"/>
    <s v=""/>
    <n v="222334000"/>
    <x v="144"/>
    <s v="DI"/>
    <n v="100"/>
    <n v="3.75"/>
    <x v="171"/>
    <n v="252"/>
    <s v="Útil"/>
    <s v="N"/>
    <x v="1"/>
    <s v="S"/>
    <x v="1"/>
    <x v="13"/>
    <x v="0"/>
    <x v="45"/>
  </r>
  <r>
    <n v="0"/>
    <s v="InterCement4399046546"/>
    <n v="20"/>
    <s v="INTERCEMENT BRASIL S.A."/>
    <s v="InterCement"/>
    <x v="0"/>
    <n v="0"/>
    <s v="CCCI83    "/>
    <n v="10"/>
    <x v="145"/>
    <d v="2027-06-08T00:00:00"/>
    <x v="18"/>
    <n v="1"/>
    <x v="2"/>
    <x v="1"/>
    <n v="222334"/>
    <n v="1000"/>
    <s v=""/>
    <n v="222334000"/>
    <x v="144"/>
    <s v="DI"/>
    <n v="100"/>
    <n v="3.75"/>
    <x v="171"/>
    <n v="252"/>
    <s v="Útil"/>
    <s v="N"/>
    <x v="1"/>
    <s v="S"/>
    <x v="1"/>
    <x v="13"/>
    <x v="0"/>
    <x v="45"/>
  </r>
  <r>
    <n v="0"/>
    <s v="InterCement4399046546"/>
    <n v="20"/>
    <s v="INTERCEMENT BRASIL S.A."/>
    <s v="InterCement"/>
    <x v="0"/>
    <n v="0"/>
    <s v="CCCI93    "/>
    <n v="11"/>
    <x v="145"/>
    <d v="2027-06-08T00:00:00"/>
    <x v="18"/>
    <n v="1"/>
    <x v="2"/>
    <x v="1"/>
    <n v="222334"/>
    <n v="1000"/>
    <s v=""/>
    <n v="222334000"/>
    <x v="144"/>
    <s v="DI"/>
    <n v="100"/>
    <n v="3.75"/>
    <x v="171"/>
    <n v="252"/>
    <s v="Útil"/>
    <s v="N"/>
    <x v="1"/>
    <s v="S"/>
    <x v="1"/>
    <x v="13"/>
    <x v="0"/>
    <x v="45"/>
  </r>
  <r>
    <n v="0"/>
    <s v="InterCement4446346546"/>
    <n v="20"/>
    <s v="INTERCEMENT BRASIL S.A."/>
    <s v="InterCement"/>
    <x v="0"/>
    <n v="0"/>
    <s v="ICBR14    "/>
    <n v="12"/>
    <x v="146"/>
    <d v="2027-06-08T00:00:00"/>
    <x v="75"/>
    <n v="1"/>
    <x v="2"/>
    <x v="1"/>
    <n v="103355"/>
    <n v="1000"/>
    <s v=""/>
    <n v="103355000"/>
    <x v="145"/>
    <s v="DI"/>
    <n v="100"/>
    <n v="3.75"/>
    <x v="171"/>
    <n v="252"/>
    <s v="Útil"/>
    <s v="N"/>
    <x v="1"/>
    <s v="S"/>
    <x v="1"/>
    <x v="12"/>
    <x v="0"/>
    <x v="98"/>
  </r>
  <r>
    <n v="0"/>
    <s v="InterCement4446346546"/>
    <n v="20"/>
    <s v="INTERCEMENT BRASIL S.A."/>
    <s v="InterCement"/>
    <x v="0"/>
    <n v="0"/>
    <s v="ICBR24    "/>
    <n v="13"/>
    <x v="146"/>
    <d v="2027-06-08T00:00:00"/>
    <x v="75"/>
    <n v="1"/>
    <x v="2"/>
    <x v="1"/>
    <n v="103354"/>
    <n v="1000"/>
    <s v=""/>
    <n v="103354000"/>
    <x v="146"/>
    <s v="DI"/>
    <n v="100"/>
    <n v="3.75"/>
    <x v="171"/>
    <n v="252"/>
    <s v="Útil"/>
    <s v="N"/>
    <x v="1"/>
    <s v="S"/>
    <x v="1"/>
    <x v="12"/>
    <x v="0"/>
    <x v="98"/>
  </r>
  <r>
    <n v="0"/>
    <s v="InterCement4446346546"/>
    <n v="20"/>
    <s v="INTERCEMENT BRASIL S.A."/>
    <s v="InterCement"/>
    <x v="0"/>
    <n v="0"/>
    <s v="ICBR34    "/>
    <n v="14"/>
    <x v="146"/>
    <d v="2027-06-08T00:00:00"/>
    <x v="75"/>
    <n v="1"/>
    <x v="2"/>
    <x v="1"/>
    <n v="103354"/>
    <n v="1000"/>
    <s v=""/>
    <n v="103354000"/>
    <x v="146"/>
    <s v="DI"/>
    <n v="100"/>
    <n v="3.75"/>
    <x v="171"/>
    <n v="252"/>
    <s v="Útil"/>
    <s v="N"/>
    <x v="1"/>
    <s v="S"/>
    <x v="1"/>
    <x v="12"/>
    <x v="0"/>
    <x v="98"/>
  </r>
  <r>
    <n v="0"/>
    <s v="InterCement4446346546"/>
    <n v="20"/>
    <s v="INTERCEMENT BRASIL S.A."/>
    <s v="InterCement"/>
    <x v="0"/>
    <n v="0"/>
    <s v="ICBR44    "/>
    <n v="15"/>
    <x v="146"/>
    <d v="2027-06-08T00:00:00"/>
    <x v="75"/>
    <n v="1"/>
    <x v="2"/>
    <x v="1"/>
    <n v="99207"/>
    <n v="1000"/>
    <s v=""/>
    <n v="99207000"/>
    <x v="147"/>
    <s v="DI"/>
    <n v="100"/>
    <n v="3.75"/>
    <x v="171"/>
    <n v="252"/>
    <s v="Útil"/>
    <s v="N"/>
    <x v="1"/>
    <s v="S"/>
    <x v="1"/>
    <x v="12"/>
    <x v="0"/>
    <x v="98"/>
  </r>
  <r>
    <n v="0"/>
    <s v="InterCement4446346546"/>
    <n v="20"/>
    <s v="INTERCEMENT BRASIL S.A."/>
    <s v="InterCement"/>
    <x v="0"/>
    <n v="0"/>
    <s v="ICBR54    "/>
    <n v="16"/>
    <x v="146"/>
    <d v="2027-06-08T00:00:00"/>
    <x v="75"/>
    <n v="1"/>
    <x v="2"/>
    <x v="1"/>
    <n v="99207"/>
    <n v="1000"/>
    <s v=""/>
    <n v="99207000"/>
    <x v="147"/>
    <s v="DI"/>
    <n v="100"/>
    <n v="3.75"/>
    <x v="171"/>
    <n v="252"/>
    <s v="Útil"/>
    <s v="N"/>
    <x v="1"/>
    <s v="S"/>
    <x v="1"/>
    <x v="12"/>
    <x v="0"/>
    <x v="98"/>
  </r>
  <r>
    <n v="0"/>
    <s v="InterCement4446346546"/>
    <n v="20"/>
    <s v="INTERCEMENT BRASIL S.A."/>
    <s v="InterCement"/>
    <x v="0"/>
    <n v="0"/>
    <s v="ICBR64    "/>
    <n v="17"/>
    <x v="146"/>
    <d v="2027-06-08T00:00:00"/>
    <x v="75"/>
    <n v="1"/>
    <x v="2"/>
    <x v="1"/>
    <n v="99206"/>
    <n v="1000"/>
    <s v=""/>
    <n v="99206000"/>
    <x v="148"/>
    <s v="DI"/>
    <n v="100"/>
    <n v="3.75"/>
    <x v="171"/>
    <n v="252"/>
    <s v="Útil"/>
    <s v="N"/>
    <x v="1"/>
    <s v="S"/>
    <x v="1"/>
    <x v="12"/>
    <x v="0"/>
    <x v="98"/>
  </r>
  <r>
    <n v="0"/>
    <s v="InterCement4446346546"/>
    <n v="20"/>
    <s v="INTERCEMENT BRASIL S.A."/>
    <s v="InterCement"/>
    <x v="0"/>
    <n v="0"/>
    <s v="ICBR74    "/>
    <n v="18"/>
    <x v="146"/>
    <d v="2027-06-08T00:00:00"/>
    <x v="75"/>
    <n v="1"/>
    <x v="2"/>
    <x v="1"/>
    <n v="130773"/>
    <n v="1000"/>
    <s v=""/>
    <n v="130773000"/>
    <x v="149"/>
    <s v="DI"/>
    <n v="100"/>
    <n v="3.75"/>
    <x v="171"/>
    <n v="252"/>
    <s v="Útil"/>
    <s v="N"/>
    <x v="1"/>
    <s v="S"/>
    <x v="1"/>
    <x v="12"/>
    <x v="0"/>
    <x v="98"/>
  </r>
  <r>
    <n v="0"/>
    <s v="InterCement4446346546"/>
    <n v="20"/>
    <s v="INTERCEMENT BRASIL S.A."/>
    <s v="InterCement"/>
    <x v="0"/>
    <n v="0"/>
    <s v="ICBR84    "/>
    <n v="19"/>
    <x v="146"/>
    <d v="2027-06-08T00:00:00"/>
    <x v="75"/>
    <n v="1"/>
    <x v="2"/>
    <x v="1"/>
    <n v="130772"/>
    <n v="1000"/>
    <s v=""/>
    <n v="130772000"/>
    <x v="150"/>
    <s v="DI"/>
    <n v="100"/>
    <n v="3.75"/>
    <x v="171"/>
    <n v="252"/>
    <s v="Útil"/>
    <s v="N"/>
    <x v="1"/>
    <s v="S"/>
    <x v="1"/>
    <x v="12"/>
    <x v="0"/>
    <x v="98"/>
  </r>
  <r>
    <n v="0"/>
    <s v="InterCement4446346546"/>
    <n v="20"/>
    <s v="INTERCEMENT BRASIL S.A."/>
    <s v="InterCement"/>
    <x v="0"/>
    <n v="0"/>
    <s v="ICBR94    "/>
    <n v="20"/>
    <x v="146"/>
    <d v="2027-06-08T00:00:00"/>
    <x v="75"/>
    <n v="1"/>
    <x v="2"/>
    <x v="1"/>
    <n v="130772"/>
    <n v="1000"/>
    <s v=""/>
    <n v="130772000"/>
    <x v="150"/>
    <s v="DI"/>
    <n v="100"/>
    <n v="3.75"/>
    <x v="171"/>
    <n v="252"/>
    <s v="Útil"/>
    <s v="N"/>
    <x v="1"/>
    <s v="S"/>
    <x v="1"/>
    <x v="12"/>
    <x v="0"/>
    <x v="98"/>
  </r>
  <r>
    <n v="0"/>
    <s v="InterCement4126444794"/>
    <n v="20"/>
    <s v="INTERCEMENT BRASIL S.A."/>
    <s v="InterCement"/>
    <x v="0"/>
    <n v="0"/>
    <s v="SFCI11    "/>
    <n v="21"/>
    <x v="14"/>
    <d v="2022-08-21T00:00:00"/>
    <x v="76"/>
    <n v="1"/>
    <x v="2"/>
    <x v="1"/>
    <n v="1200"/>
    <n v="1000000"/>
    <s v=""/>
    <n v="1200000000"/>
    <x v="110"/>
    <s v="DI"/>
    <n v="115"/>
    <m/>
    <x v="172"/>
    <n v="252"/>
    <s v="Útil"/>
    <s v="N"/>
    <x v="1"/>
    <s v="S"/>
    <x v="1"/>
    <x v="1"/>
    <x v="0"/>
    <x v="12"/>
  </r>
  <r>
    <n v="0"/>
    <s v="InterCement4399046546"/>
    <n v="20"/>
    <s v="INTERCEMENT PARTICIPACOES S.A."/>
    <s v="InterCement"/>
    <x v="0"/>
    <n v="0"/>
    <s v="ITCT11    "/>
    <n v="22"/>
    <x v="145"/>
    <d v="2027-06-08T00:00:00"/>
    <x v="18"/>
    <n v="1"/>
    <x v="2"/>
    <x v="1"/>
    <n v="307652"/>
    <n v="1000"/>
    <s v=""/>
    <n v="307652000"/>
    <x v="151"/>
    <s v="DI"/>
    <n v="100"/>
    <n v="3.75"/>
    <x v="171"/>
    <n v="252"/>
    <s v="Útil"/>
    <s v="N"/>
    <x v="1"/>
    <s v="S"/>
    <x v="1"/>
    <x v="13"/>
    <x v="0"/>
    <x v="45"/>
  </r>
  <r>
    <n v="0"/>
    <s v="InterCement4399046546"/>
    <n v="20"/>
    <s v="INTERCEMENT PARTICIPACOES S.A."/>
    <s v="InterCement"/>
    <x v="0"/>
    <n v="0"/>
    <s v="ITCT21    "/>
    <n v="23"/>
    <x v="145"/>
    <d v="2027-06-08T00:00:00"/>
    <x v="18"/>
    <n v="1"/>
    <x v="2"/>
    <x v="1"/>
    <n v="307651"/>
    <n v="1000"/>
    <s v=""/>
    <n v="307651000"/>
    <x v="152"/>
    <s v="DI"/>
    <n v="100"/>
    <n v="3.75"/>
    <x v="171"/>
    <n v="252"/>
    <s v="Útil"/>
    <s v="N"/>
    <x v="1"/>
    <s v="S"/>
    <x v="1"/>
    <x v="13"/>
    <x v="0"/>
    <x v="45"/>
  </r>
  <r>
    <n v="0"/>
    <s v="InterCement4399046546"/>
    <n v="20"/>
    <s v="INTERCEMENT PARTICIPACOES S.A."/>
    <s v="InterCement"/>
    <x v="0"/>
    <n v="0"/>
    <s v="ITCT31    "/>
    <n v="24"/>
    <x v="145"/>
    <d v="2027-06-08T00:00:00"/>
    <x v="18"/>
    <n v="1"/>
    <x v="2"/>
    <x v="1"/>
    <n v="307651"/>
    <n v="1000"/>
    <s v=""/>
    <n v="307651000"/>
    <x v="152"/>
    <s v="DI"/>
    <n v="100"/>
    <n v="3.75"/>
    <x v="171"/>
    <n v="252"/>
    <s v="Útil"/>
    <s v="N"/>
    <x v="1"/>
    <s v="S"/>
    <x v="1"/>
    <x v="13"/>
    <x v="0"/>
    <x v="45"/>
  </r>
  <r>
    <n v="0"/>
    <s v="InterCement4399046546"/>
    <n v="20"/>
    <s v="INTERCEMENT PARTICIPACOES S.A."/>
    <s v="InterCement"/>
    <x v="0"/>
    <n v="0"/>
    <s v="ITCT41    "/>
    <n v="25"/>
    <x v="145"/>
    <d v="2027-06-08T00:00:00"/>
    <x v="18"/>
    <n v="1"/>
    <x v="2"/>
    <x v="1"/>
    <n v="295305"/>
    <n v="1000"/>
    <s v=""/>
    <n v="295305000"/>
    <x v="153"/>
    <s v="DI"/>
    <n v="100"/>
    <n v="3.75"/>
    <x v="171"/>
    <n v="252"/>
    <s v="Útil"/>
    <s v="N"/>
    <x v="1"/>
    <s v="S"/>
    <x v="1"/>
    <x v="13"/>
    <x v="0"/>
    <x v="45"/>
  </r>
  <r>
    <n v="0"/>
    <s v="InterCement4399046546"/>
    <n v="20"/>
    <s v="INTERCEMENT PARTICIPACOES S.A."/>
    <s v="InterCement"/>
    <x v="0"/>
    <n v="0"/>
    <s v="ITCT51    "/>
    <n v="26"/>
    <x v="145"/>
    <d v="2027-06-08T00:00:00"/>
    <x v="18"/>
    <n v="1"/>
    <x v="2"/>
    <x v="1"/>
    <n v="295305"/>
    <n v="1000"/>
    <s v=""/>
    <n v="295305000"/>
    <x v="153"/>
    <s v="DI"/>
    <n v="100"/>
    <n v="3.75"/>
    <x v="171"/>
    <n v="252"/>
    <s v="Útil"/>
    <s v="N"/>
    <x v="1"/>
    <s v="S"/>
    <x v="1"/>
    <x v="13"/>
    <x v="0"/>
    <x v="45"/>
  </r>
  <r>
    <n v="0"/>
    <s v="InterCement4399046546"/>
    <n v="20"/>
    <s v="INTERCEMENT PARTICIPACOES S.A."/>
    <s v="InterCement"/>
    <x v="0"/>
    <n v="0"/>
    <s v="ITCT61    "/>
    <n v="27"/>
    <x v="145"/>
    <d v="2027-06-08T00:00:00"/>
    <x v="18"/>
    <n v="1"/>
    <x v="2"/>
    <x v="1"/>
    <n v="295305"/>
    <n v="1000"/>
    <s v=""/>
    <n v="295305000"/>
    <x v="153"/>
    <s v="DI"/>
    <n v="100"/>
    <n v="3.75"/>
    <x v="171"/>
    <n v="252"/>
    <s v="Útil"/>
    <s v="N"/>
    <x v="1"/>
    <s v="S"/>
    <x v="1"/>
    <x v="13"/>
    <x v="0"/>
    <x v="45"/>
  </r>
  <r>
    <n v="0"/>
    <s v="InterCement4399046546"/>
    <n v="20"/>
    <s v="INTERCEMENT PARTICIPACOES S.A."/>
    <s v="InterCement"/>
    <x v="0"/>
    <n v="0"/>
    <s v="ITCT71    "/>
    <n v="28"/>
    <x v="145"/>
    <d v="2027-06-08T00:00:00"/>
    <x v="18"/>
    <n v="1"/>
    <x v="2"/>
    <x v="1"/>
    <n v="389266"/>
    <n v="1000"/>
    <s v=""/>
    <n v="389266000"/>
    <x v="154"/>
    <s v="DI"/>
    <n v="100"/>
    <n v="3.75"/>
    <x v="171"/>
    <n v="252"/>
    <s v="Útil"/>
    <s v="N"/>
    <x v="1"/>
    <s v="S"/>
    <x v="1"/>
    <x v="13"/>
    <x v="0"/>
    <x v="45"/>
  </r>
  <r>
    <n v="0"/>
    <s v="InterCement4399046546"/>
    <n v="20"/>
    <s v="INTERCEMENT PARTICIPACOES S.A."/>
    <s v="InterCement"/>
    <x v="0"/>
    <n v="0"/>
    <s v="ITCT81    "/>
    <n v="29"/>
    <x v="145"/>
    <d v="2027-06-08T00:00:00"/>
    <x v="18"/>
    <n v="1"/>
    <x v="2"/>
    <x v="1"/>
    <n v="389266"/>
    <n v="1000"/>
    <s v=""/>
    <n v="389266000"/>
    <x v="154"/>
    <s v="DI"/>
    <n v="100"/>
    <n v="3.75"/>
    <x v="171"/>
    <n v="252"/>
    <s v="Útil"/>
    <s v="N"/>
    <x v="1"/>
    <s v="S"/>
    <x v="1"/>
    <x v="13"/>
    <x v="0"/>
    <x v="45"/>
  </r>
  <r>
    <n v="0"/>
    <s v="InterCement4399046546"/>
    <n v="20"/>
    <s v="INTERCEMENT PARTICIPACOES S.A."/>
    <s v="InterCement"/>
    <x v="0"/>
    <n v="0"/>
    <s v="ITCT91    "/>
    <n v="30"/>
    <x v="145"/>
    <d v="2027-06-08T00:00:00"/>
    <x v="18"/>
    <n v="1"/>
    <x v="2"/>
    <x v="1"/>
    <n v="389266"/>
    <n v="1000"/>
    <s v=""/>
    <n v="389266000"/>
    <x v="154"/>
    <s v="DI"/>
    <n v="100"/>
    <n v="3.75"/>
    <x v="171"/>
    <n v="252"/>
    <s v="Útil"/>
    <s v="N"/>
    <x v="1"/>
    <s v="S"/>
    <x v="1"/>
    <x v="13"/>
    <x v="0"/>
    <x v="45"/>
  </r>
  <r>
    <n v="66"/>
    <s v="InterCement4183717/07/2024"/>
    <n v="20"/>
    <s v="InterCement Financial Operations BV"/>
    <s v="InterCement"/>
    <x v="1"/>
    <n v="1"/>
    <m/>
    <n v="31"/>
    <x v="147"/>
    <s v="17/07/2024"/>
    <x v="12"/>
    <n v="1"/>
    <x v="1"/>
    <x v="0"/>
    <m/>
    <m/>
    <n v="2.2397"/>
    <n v="750000000"/>
    <x v="155"/>
    <s v="USD"/>
    <s v="-"/>
    <n v="5.75"/>
    <x v="173"/>
    <n v="360"/>
    <s v="Corrido"/>
    <s v="N"/>
    <x v="1"/>
    <s v="S"/>
    <x v="1"/>
    <x v="0"/>
    <x v="0"/>
    <x v="3"/>
  </r>
  <r>
    <n v="0"/>
    <s v="Iochpe-Maxion4372445551"/>
    <n v="21"/>
    <s v="IOCHPE-MAXION S/A"/>
    <s v="Iochpe-Maxion"/>
    <x v="0"/>
    <n v="0"/>
    <s v="IOCH10    "/>
    <n v="1"/>
    <x v="148"/>
    <d v="2024-09-16T00:00:00"/>
    <x v="5"/>
    <n v="1"/>
    <x v="2"/>
    <x v="1"/>
    <n v="350000"/>
    <n v="1000"/>
    <s v=""/>
    <n v="350000000"/>
    <x v="14"/>
    <s v="DI"/>
    <n v="100"/>
    <n v="0.75"/>
    <x v="51"/>
    <n v="252"/>
    <s v="Útil"/>
    <s v="N"/>
    <x v="1"/>
    <s v="S"/>
    <x v="1"/>
    <x v="1"/>
    <x v="0"/>
    <x v="13"/>
  </r>
  <r>
    <n v="0"/>
    <s v="Iochpe-Maxion4134844635"/>
    <n v="21"/>
    <s v="IOCHPE-MAXION S/A"/>
    <s v="Iochpe-Maxion"/>
    <x v="0"/>
    <n v="0"/>
    <s v="IOCH15    "/>
    <n v="2"/>
    <x v="149"/>
    <d v="2022-03-15T00:00:00"/>
    <x v="26"/>
    <n v="1"/>
    <x v="0"/>
    <x v="0"/>
    <n v="124000"/>
    <n v="10000"/>
    <s v=""/>
    <n v="1240000000"/>
    <x v="156"/>
    <s v="DI"/>
    <n v="100"/>
    <n v="3"/>
    <x v="2"/>
    <n v="252"/>
    <s v="Útil"/>
    <s v="N"/>
    <x v="1"/>
    <s v="S"/>
    <x v="1"/>
    <x v="1"/>
    <x v="0"/>
    <x v="99"/>
  </r>
  <r>
    <n v="0"/>
    <s v="Iochpe-Maxion4173043556"/>
    <n v="21"/>
    <s v="IOCHPE-MAXION S/A"/>
    <s v="Iochpe-Maxion"/>
    <x v="0"/>
    <n v="0"/>
    <s v="IOCH17    "/>
    <n v="3"/>
    <x v="150"/>
    <d v="2019-04-01T00:00:00"/>
    <x v="4"/>
    <n v="1"/>
    <x v="2"/>
    <x v="1"/>
    <n v="397732"/>
    <n v="1000"/>
    <s v=""/>
    <n v="397732000"/>
    <x v="157"/>
    <s v="DI"/>
    <n v="100"/>
    <n v="2"/>
    <x v="108"/>
    <n v="252"/>
    <s v="Útil"/>
    <s v="N"/>
    <x v="1"/>
    <s v="S"/>
    <x v="1"/>
    <x v="1"/>
    <x v="0"/>
    <x v="100"/>
  </r>
  <r>
    <n v="0"/>
    <s v="Iochpe-Maxion4318545011"/>
    <n v="21"/>
    <s v="IOCHPE-MAXION S/A"/>
    <s v="Iochpe-Maxion"/>
    <x v="0"/>
    <n v="0"/>
    <s v="IOCH18    "/>
    <n v="4"/>
    <x v="151"/>
    <d v="2023-03-26T00:00:00"/>
    <x v="4"/>
    <n v="1"/>
    <x v="2"/>
    <x v="1"/>
    <n v="450000"/>
    <n v="1000"/>
    <s v=""/>
    <n v="450000000"/>
    <x v="37"/>
    <s v="DI"/>
    <n v="100"/>
    <n v="1.4"/>
    <x v="4"/>
    <n v="252"/>
    <s v="Útil"/>
    <s v="N"/>
    <x v="1"/>
    <s v="S"/>
    <x v="1"/>
    <x v="1"/>
    <x v="0"/>
    <x v="9"/>
  </r>
  <r>
    <n v="0"/>
    <s v="Iochpe-Maxion4350745333"/>
    <n v="21"/>
    <s v="IOCHPE-MAXION S/A"/>
    <s v="Iochpe-Maxion"/>
    <x v="0"/>
    <n v="0"/>
    <s v="IOCH19    "/>
    <n v="5"/>
    <x v="152"/>
    <d v="2024-02-11T00:00:00"/>
    <x v="4"/>
    <n v="1"/>
    <x v="2"/>
    <x v="1"/>
    <n v="338800"/>
    <n v="1000"/>
    <s v=""/>
    <n v="338800000"/>
    <x v="158"/>
    <s v="DI"/>
    <n v="100"/>
    <n v="0.75"/>
    <x v="51"/>
    <n v="252"/>
    <s v="Útil"/>
    <s v="N"/>
    <x v="1"/>
    <s v="S"/>
    <x v="1"/>
    <x v="1"/>
    <x v="0"/>
    <x v="83"/>
  </r>
  <r>
    <n v="0"/>
    <s v="Iochpe-Maxion4173043556"/>
    <n v="21"/>
    <s v="IOCHPE-MAXION S/A"/>
    <s v="Iochpe-Maxion"/>
    <x v="0"/>
    <n v="0"/>
    <s v="IOCH27    "/>
    <n v="6"/>
    <x v="150"/>
    <d v="2019-04-01T00:00:00"/>
    <x v="4"/>
    <n v="1"/>
    <x v="2"/>
    <x v="1"/>
    <n v="250000"/>
    <n v="1000"/>
    <s v=""/>
    <n v="250000000"/>
    <x v="16"/>
    <s v="DI"/>
    <n v="99"/>
    <m/>
    <x v="174"/>
    <n v="252"/>
    <s v="Útil"/>
    <s v="N"/>
    <x v="1"/>
    <s v="S"/>
    <x v="1"/>
    <x v="1"/>
    <x v="0"/>
    <x v="100"/>
  </r>
  <r>
    <n v="0"/>
    <s v="Iochpe-Maxion4350746064"/>
    <n v="21"/>
    <s v="IOCHPE-MAXION S/A"/>
    <s v="Iochpe-Maxion"/>
    <x v="0"/>
    <n v="0"/>
    <s v="IOCH29    "/>
    <n v="7"/>
    <x v="152"/>
    <d v="2026-02-11T00:00:00"/>
    <x v="8"/>
    <n v="1"/>
    <x v="2"/>
    <x v="1"/>
    <n v="111200"/>
    <n v="1000"/>
    <s v=""/>
    <n v="111200000"/>
    <x v="159"/>
    <s v="DI"/>
    <n v="100"/>
    <n v="0.95"/>
    <x v="175"/>
    <n v="252"/>
    <s v="Útil"/>
    <s v="N"/>
    <x v="1"/>
    <s v="S"/>
    <x v="1"/>
    <x v="1"/>
    <x v="0"/>
    <x v="83"/>
  </r>
  <r>
    <n v="67"/>
    <s v="Iochpe-Maxion4432307/05/2028"/>
    <n v="21"/>
    <s v="Iochpe-Maxion Austria GmbH / Maxion Wheels de Mexico S de RL de CV"/>
    <s v="Iochpe-Maxion"/>
    <x v="1"/>
    <n v="1"/>
    <m/>
    <n v="8"/>
    <x v="153"/>
    <s v="07/05/2028"/>
    <x v="8"/>
    <n v="1"/>
    <x v="1"/>
    <x v="0"/>
    <m/>
    <m/>
    <n v="5.2210999999999999"/>
    <n v="400000000"/>
    <x v="160"/>
    <s v="USD"/>
    <s v="-"/>
    <n v="5"/>
    <x v="176"/>
    <n v="360"/>
    <s v="Corrido"/>
    <s v="N"/>
    <x v="1"/>
    <s v="S"/>
    <x v="1"/>
    <x v="11"/>
    <x v="0"/>
    <x v="101"/>
  </r>
  <r>
    <n v="0"/>
    <s v="Klabin4354347196"/>
    <n v="22"/>
    <s v="KLABIN S/A"/>
    <s v="Klabin"/>
    <x v="0"/>
    <n v="0"/>
    <s v="KLBNA2    "/>
    <n v="1"/>
    <x v="154"/>
    <d v="2029-03-19T00:00:00"/>
    <x v="12"/>
    <n v="1"/>
    <x v="2"/>
    <x v="1"/>
    <n v="100000"/>
    <n v="10000"/>
    <s v=""/>
    <n v="1000000000"/>
    <x v="18"/>
    <s v="DI"/>
    <n v="114.65"/>
    <m/>
    <x v="177"/>
    <n v="252"/>
    <s v="Útil"/>
    <s v="N"/>
    <x v="1"/>
    <s v="S"/>
    <x v="1"/>
    <x v="6"/>
    <x v="0"/>
    <x v="102"/>
  </r>
  <r>
    <n v="68"/>
    <s v="Klabin4355803/04/2049"/>
    <n v="22"/>
    <s v="Klabin Austria GmbH"/>
    <s v="Klabin"/>
    <x v="1"/>
    <n v="1"/>
    <m/>
    <n v="2"/>
    <x v="155"/>
    <s v="03/04/2049"/>
    <x v="33"/>
    <n v="1"/>
    <x v="1"/>
    <x v="0"/>
    <m/>
    <m/>
    <n v="3.843"/>
    <n v="500000000"/>
    <x v="161"/>
    <s v="USD"/>
    <s v="-"/>
    <n v="7"/>
    <x v="178"/>
    <n v="360"/>
    <s v="Corrido"/>
    <s v="N"/>
    <x v="1"/>
    <s v="S"/>
    <x v="1"/>
    <x v="6"/>
    <x v="0"/>
    <x v="76"/>
  </r>
  <r>
    <n v="69"/>
    <s v="Klabin4355803/04/2029"/>
    <n v="22"/>
    <s v="Klabin Austria GmbH"/>
    <s v="Klabin"/>
    <x v="1"/>
    <n v="1"/>
    <m/>
    <n v="3"/>
    <x v="155"/>
    <s v="03/04/2029"/>
    <x v="12"/>
    <n v="1"/>
    <x v="1"/>
    <x v="0"/>
    <m/>
    <m/>
    <n v="3.843"/>
    <n v="500000000"/>
    <x v="161"/>
    <s v="USD"/>
    <s v="-"/>
    <n v="5.75"/>
    <x v="179"/>
    <n v="360"/>
    <s v="Corrido"/>
    <s v="N"/>
    <x v="1"/>
    <s v="S"/>
    <x v="1"/>
    <x v="6"/>
    <x v="0"/>
    <x v="76"/>
  </r>
  <r>
    <n v="70"/>
    <s v="Klabin4420812/01/2031"/>
    <n v="22"/>
    <s v="Klabin Austria GmbH"/>
    <s v="Klabin"/>
    <x v="1"/>
    <n v="1"/>
    <m/>
    <n v="4"/>
    <x v="156"/>
    <s v="12/01/2031"/>
    <x v="1"/>
    <n v="1"/>
    <x v="1"/>
    <x v="0"/>
    <m/>
    <m/>
    <n v="5.4630999999999998"/>
    <n v="500000000"/>
    <x v="162"/>
    <s v="USD"/>
    <s v="-"/>
    <n v="3.2"/>
    <x v="180"/>
    <n v="360"/>
    <s v="Corrido"/>
    <s v="N"/>
    <x v="1"/>
    <s v="S"/>
    <x v="1"/>
    <x v="6"/>
    <x v="0"/>
    <x v="103"/>
  </r>
  <r>
    <n v="71"/>
    <s v="Klabin4299719/09/2027"/>
    <n v="22"/>
    <s v="Klabin Austria GmbH"/>
    <s v="Klabin"/>
    <x v="1"/>
    <n v="1"/>
    <m/>
    <n v="5"/>
    <x v="157"/>
    <s v="19/09/2027"/>
    <x v="1"/>
    <n v="1"/>
    <x v="1"/>
    <x v="0"/>
    <m/>
    <m/>
    <n v="3.1316999999999999"/>
    <n v="500000000"/>
    <x v="163"/>
    <s v="USD"/>
    <s v="-"/>
    <n v="4.875"/>
    <x v="181"/>
    <n v="360"/>
    <s v="Corrido"/>
    <s v="N"/>
    <x v="1"/>
    <s v="N"/>
    <x v="0"/>
    <x v="6"/>
    <x v="0"/>
    <x v="52"/>
  </r>
  <r>
    <n v="72"/>
    <s v="Klabin4183616/07/2024"/>
    <n v="22"/>
    <s v="Klabin Austria GmbH"/>
    <s v="Klabin"/>
    <x v="1"/>
    <n v="1"/>
    <m/>
    <n v="6"/>
    <x v="158"/>
    <s v="16/07/2024"/>
    <x v="12"/>
    <n v="1"/>
    <x v="1"/>
    <x v="0"/>
    <m/>
    <m/>
    <n v="2.2187000000000001"/>
    <n v="500000000"/>
    <x v="164"/>
    <s v="USD"/>
    <s v="-"/>
    <n v="5.25"/>
    <x v="182"/>
    <n v="360"/>
    <s v="Corrido"/>
    <s v="N"/>
    <x v="1"/>
    <s v="N"/>
    <x v="0"/>
    <x v="2"/>
    <x v="1"/>
    <x v="5"/>
  </r>
  <r>
    <n v="73"/>
    <s v="Klabin4385103/04/2049"/>
    <n v="22"/>
    <s v="Klabin Austria GmbH"/>
    <s v="Klabin"/>
    <x v="1"/>
    <n v="1"/>
    <m/>
    <n v="7"/>
    <x v="159"/>
    <s v="03/04/2049"/>
    <x v="77"/>
    <n v="1"/>
    <x v="1"/>
    <x v="0"/>
    <m/>
    <m/>
    <n v="4.2008000000000001"/>
    <n v="200000000"/>
    <x v="165"/>
    <s v="USD"/>
    <s v="-"/>
    <n v="7"/>
    <x v="183"/>
    <n v="360"/>
    <s v="Corrido"/>
    <s v="N"/>
    <x v="1"/>
    <s v="S"/>
    <x v="1"/>
    <x v="6"/>
    <x v="0"/>
    <x v="5"/>
  </r>
  <r>
    <n v="74"/>
    <s v="Klabin4365703/04/2029"/>
    <n v="22"/>
    <s v="Klabin Austria GmbH"/>
    <s v="Klabin"/>
    <x v="1"/>
    <n v="1"/>
    <m/>
    <n v="8"/>
    <x v="160"/>
    <s v="03/04/2029"/>
    <x v="78"/>
    <n v="1"/>
    <x v="1"/>
    <x v="0"/>
    <m/>
    <m/>
    <n v="3.7526999999999999"/>
    <n v="250000000"/>
    <x v="166"/>
    <s v="USD"/>
    <s v="-"/>
    <n v="5.75"/>
    <x v="184"/>
    <n v="360"/>
    <s v="Corrido"/>
    <s v="N"/>
    <x v="1"/>
    <s v="S"/>
    <x v="1"/>
    <x v="6"/>
    <x v="0"/>
    <x v="11"/>
  </r>
  <r>
    <n v="0"/>
    <s v="Light Energia4064341985"/>
    <n v="23"/>
    <s v="LIGHT ENERGIA S.A"/>
    <s v="Light Energia"/>
    <x v="0"/>
    <n v="0"/>
    <s v="LGTE11    "/>
    <n v="1"/>
    <x v="161"/>
    <d v="2014-12-12T00:00:00"/>
    <x v="79"/>
    <n v="0"/>
    <x v="2"/>
    <x v="1"/>
    <n v="17000"/>
    <n v="10000"/>
    <s v=""/>
    <n v="170000000"/>
    <x v="167"/>
    <s v="DI"/>
    <n v="100"/>
    <n v="1.45"/>
    <x v="72"/>
    <n v="252"/>
    <s v="Útil"/>
    <s v="N"/>
    <x v="1"/>
    <s v="S"/>
    <x v="1"/>
    <x v="1"/>
    <x v="0"/>
    <x v="31"/>
  </r>
  <r>
    <n v="0"/>
    <s v="Light Energia4269043055"/>
    <n v="23"/>
    <s v="LIGHT ENERGIA S.A"/>
    <s v="Light Energia"/>
    <x v="0"/>
    <n v="0"/>
    <s v="LGTE14    "/>
    <n v="2"/>
    <x v="162"/>
    <d v="2017-11-16T00:00:00"/>
    <x v="29"/>
    <n v="0"/>
    <x v="2"/>
    <x v="1"/>
    <n v="100000"/>
    <n v="1000"/>
    <s v=""/>
    <n v="100000000"/>
    <x v="33"/>
    <s v="DI"/>
    <n v="100"/>
    <n v="4"/>
    <x v="185"/>
    <n v="252"/>
    <s v="Útil"/>
    <s v="N"/>
    <x v="1"/>
    <s v="N"/>
    <x v="0"/>
    <x v="1"/>
    <x v="0"/>
    <x v="104"/>
  </r>
  <r>
    <n v="0"/>
    <s v="Light Energia4284543373"/>
    <n v="23"/>
    <s v="LIGHT ENERGIA S.A"/>
    <s v="Light Energia"/>
    <x v="0"/>
    <n v="0"/>
    <s v="LGTE15    "/>
    <n v="3"/>
    <x v="163"/>
    <d v="2018-09-30T00:00:00"/>
    <x v="80"/>
    <n v="0"/>
    <x v="2"/>
    <x v="1"/>
    <n v="150000"/>
    <n v="1000"/>
    <s v=""/>
    <n v="150000000"/>
    <x v="2"/>
    <s v="DI"/>
    <n v="100"/>
    <n v="4.0999999999999996"/>
    <x v="186"/>
    <n v="252"/>
    <s v="Útil"/>
    <s v="N"/>
    <x v="1"/>
    <s v="S"/>
    <x v="1"/>
    <x v="1"/>
    <x v="0"/>
    <x v="105"/>
  </r>
  <r>
    <n v="0"/>
    <s v="Light Energia4306343793"/>
    <n v="23"/>
    <s v="LIGHT ENERGIA S.A"/>
    <s v="Light Energia"/>
    <x v="0"/>
    <n v="0"/>
    <s v="LGTE16    "/>
    <n v="4"/>
    <x v="164"/>
    <d v="2019-11-24T00:00:00"/>
    <x v="19"/>
    <n v="0"/>
    <x v="2"/>
    <x v="1"/>
    <n v="100000"/>
    <n v="1000"/>
    <s v=""/>
    <n v="100000000"/>
    <x v="33"/>
    <s v="DI"/>
    <n v="100"/>
    <n v="3.5"/>
    <x v="58"/>
    <n v="252"/>
    <s v="Útil"/>
    <s v="N"/>
    <x v="1"/>
    <s v="N"/>
    <x v="0"/>
    <x v="1"/>
    <x v="0"/>
    <x v="16"/>
  </r>
  <r>
    <n v="0"/>
    <s v="Light Energia4439246949"/>
    <n v="23"/>
    <s v="LIGHT ENERGIA S.A"/>
    <s v="Light Energia"/>
    <x v="0"/>
    <n v="0"/>
    <s v="LGTE17    "/>
    <n v="5"/>
    <x v="91"/>
    <d v="2028-07-15T00:00:00"/>
    <x v="8"/>
    <n v="1"/>
    <x v="2"/>
    <x v="1"/>
    <n v="400000"/>
    <n v="1000"/>
    <s v=""/>
    <n v="400000000"/>
    <x v="0"/>
    <s v="IPCA"/>
    <s v="-"/>
    <n v="4.8499999999999996"/>
    <x v="187"/>
    <n v="252"/>
    <s v="Útil"/>
    <s v="S"/>
    <x v="0"/>
    <s v="N"/>
    <x v="0"/>
    <x v="11"/>
    <x v="0"/>
    <x v="7"/>
  </r>
  <r>
    <n v="0"/>
    <s v="Light Energia4439246949"/>
    <n v="23"/>
    <s v="LIGHT ENERGIA S.A"/>
    <s v="Light Energia"/>
    <x v="0"/>
    <n v="0"/>
    <s v="LGTE27    "/>
    <n v="6"/>
    <x v="91"/>
    <d v="2028-07-15T00:00:00"/>
    <x v="8"/>
    <n v="1"/>
    <x v="2"/>
    <x v="1"/>
    <n v="100000"/>
    <n v="1000"/>
    <s v=""/>
    <n v="100000000"/>
    <x v="33"/>
    <s v="IPCA"/>
    <s v="-"/>
    <n v="4.8499999999999996"/>
    <x v="187"/>
    <n v="252"/>
    <s v="Útil"/>
    <s v="S"/>
    <x v="0"/>
    <s v="N"/>
    <x v="0"/>
    <x v="11"/>
    <x v="0"/>
    <x v="7"/>
  </r>
  <r>
    <n v="0"/>
    <s v="Light Energia4090643696"/>
    <n v="23"/>
    <s v="LIGHT ENERGIA S.A"/>
    <s v="Light Energia"/>
    <x v="0"/>
    <n v="0"/>
    <s v="LTEN12    "/>
    <n v="7"/>
    <x v="165"/>
    <d v="2019-08-19T00:00:00"/>
    <x v="81"/>
    <n v="1"/>
    <x v="2"/>
    <x v="1"/>
    <n v="425"/>
    <n v="1000000"/>
    <s v=""/>
    <n v="425000000"/>
    <x v="168"/>
    <s v="DI"/>
    <n v="100"/>
    <n v="1.18"/>
    <x v="188"/>
    <n v="252"/>
    <s v="Útil"/>
    <s v="N"/>
    <x v="1"/>
    <s v="S"/>
    <x v="1"/>
    <x v="1"/>
    <x v="0"/>
    <x v="106"/>
  </r>
  <r>
    <n v="0"/>
    <s v="Light Energia4421145672"/>
    <n v="23"/>
    <s v="LIGHT SERVICOS DE ELETRICIDADE S/A"/>
    <s v="Light Energia"/>
    <x v="0"/>
    <n v="0"/>
    <s v="LIGH1B    "/>
    <n v="8"/>
    <x v="166"/>
    <d v="2025-01-15T00:00:00"/>
    <x v="46"/>
    <n v="0"/>
    <x v="2"/>
    <x v="1"/>
    <n v="360000"/>
    <n v="1000"/>
    <s v=""/>
    <n v="360000000"/>
    <x v="169"/>
    <s v="DI"/>
    <n v="100"/>
    <n v="2.6"/>
    <x v="189"/>
    <n v="252"/>
    <s v="Útil"/>
    <s v="N"/>
    <x v="1"/>
    <s v="S"/>
    <x v="1"/>
    <x v="11"/>
    <x v="0"/>
    <x v="63"/>
  </r>
  <r>
    <n v="0"/>
    <s v="Light Energia4253443264"/>
    <n v="23"/>
    <s v="LIGHT SERVICOS DE ELETRICIDADE S/A"/>
    <s v="Light Energia"/>
    <x v="0"/>
    <n v="0"/>
    <s v="LIGHA1    "/>
    <n v="9"/>
    <x v="167"/>
    <d v="2018-06-13T00:00:00"/>
    <x v="19"/>
    <n v="0"/>
    <x v="2"/>
    <x v="1"/>
    <n v="17500"/>
    <n v="10000"/>
    <s v=""/>
    <n v="175000000"/>
    <x v="170"/>
    <s v="DI"/>
    <n v="100"/>
    <n v="4.05"/>
    <x v="53"/>
    <n v="252"/>
    <s v="Útil"/>
    <s v="N"/>
    <x v="1"/>
    <s v="S"/>
    <x v="1"/>
    <x v="1"/>
    <x v="0"/>
    <x v="107"/>
  </r>
  <r>
    <n v="0"/>
    <s v="Light Energia4292343480"/>
    <n v="23"/>
    <s v="LIGHT SERVICOS DE ELETRICIDADE S/A"/>
    <s v="Light Energia"/>
    <x v="0"/>
    <n v="0"/>
    <s v="LIGHA2    "/>
    <n v="10"/>
    <x v="168"/>
    <d v="2019-01-15T00:00:00"/>
    <x v="82"/>
    <n v="0"/>
    <x v="2"/>
    <x v="1"/>
    <n v="198778"/>
    <n v="1000"/>
    <s v=""/>
    <n v="198778000"/>
    <x v="171"/>
    <s v="DI"/>
    <n v="100"/>
    <n v="4"/>
    <x v="185"/>
    <n v="252"/>
    <s v="Útil"/>
    <s v="N"/>
    <x v="1"/>
    <s v="S"/>
    <x v="1"/>
    <x v="1"/>
    <x v="0"/>
    <x v="108"/>
  </r>
  <r>
    <n v="0"/>
    <s v="Light Energia4302344849"/>
    <n v="23"/>
    <s v="LIGHT SERVICOS DE ELETRICIDADE S/A"/>
    <s v="Light Energia"/>
    <x v="0"/>
    <n v="0"/>
    <s v="LIGHA3    "/>
    <n v="11"/>
    <x v="169"/>
    <d v="2022-10-15T00:00:00"/>
    <x v="4"/>
    <n v="1"/>
    <x v="2"/>
    <x v="1"/>
    <n v="458664"/>
    <n v="1000"/>
    <s v=""/>
    <n v="458664000"/>
    <x v="172"/>
    <s v="IPCA"/>
    <s v="-"/>
    <n v="7.4366000000000003"/>
    <x v="190"/>
    <n v="252"/>
    <s v="Útil"/>
    <s v="S"/>
    <x v="0"/>
    <s v="S"/>
    <x v="1"/>
    <x v="1"/>
    <x v="0"/>
    <x v="41"/>
  </r>
  <r>
    <n v="0"/>
    <s v="Light Energia4318844284"/>
    <n v="23"/>
    <s v="LIGHT SERVICOS DE ELETRICIDADE S/A"/>
    <s v="Light Energia"/>
    <x v="0"/>
    <n v="0"/>
    <s v="LIGHA4    "/>
    <n v="12"/>
    <x v="170"/>
    <d v="2021-03-29T00:00:00"/>
    <x v="16"/>
    <n v="0"/>
    <x v="2"/>
    <x v="1"/>
    <n v="425000"/>
    <n v="1000"/>
    <s v=""/>
    <n v="425000000"/>
    <x v="168"/>
    <s v="DI"/>
    <n v="100"/>
    <n v="3.5"/>
    <x v="58"/>
    <n v="252"/>
    <s v="Útil"/>
    <s v="N"/>
    <x v="1"/>
    <s v="S"/>
    <x v="1"/>
    <x v="11"/>
    <x v="0"/>
    <x v="9"/>
  </r>
  <r>
    <n v="0"/>
    <s v="Light Energia4338845945"/>
    <n v="23"/>
    <s v="LIGHT SERVICOS DE ELETRICIDADE S/A"/>
    <s v="Light Energia"/>
    <x v="0"/>
    <n v="0"/>
    <s v="LIGHA5    "/>
    <n v="13"/>
    <x v="171"/>
    <d v="2025-10-15T00:00:00"/>
    <x v="8"/>
    <n v="1"/>
    <x v="2"/>
    <x v="1"/>
    <n v="540000"/>
    <n v="1000"/>
    <s v=""/>
    <n v="540000000"/>
    <x v="173"/>
    <s v="IPCA"/>
    <s v="-"/>
    <n v="6.8278999999999996"/>
    <x v="191"/>
    <n v="252"/>
    <s v="Útil"/>
    <s v="S"/>
    <x v="0"/>
    <s v="N"/>
    <x v="0"/>
    <x v="11"/>
    <x v="0"/>
    <x v="101"/>
  </r>
  <r>
    <n v="0"/>
    <s v="Light Energia4357044666"/>
    <n v="23"/>
    <s v="LIGHT SERVICOS DE ELETRICIDADE S/A"/>
    <s v="Light Energia"/>
    <x v="0"/>
    <n v="0"/>
    <s v="LIGHA6    "/>
    <n v="14"/>
    <x v="172"/>
    <d v="2022-04-15T00:00:00"/>
    <x v="16"/>
    <n v="0"/>
    <x v="2"/>
    <x v="1"/>
    <n v="132500"/>
    <n v="1000"/>
    <s v=""/>
    <n v="132500000"/>
    <x v="174"/>
    <s v="DI"/>
    <n v="100"/>
    <n v="0.9"/>
    <x v="88"/>
    <n v="252"/>
    <s v="Útil"/>
    <s v="N"/>
    <x v="1"/>
    <s v="S"/>
    <x v="1"/>
    <x v="11"/>
    <x v="0"/>
    <x v="17"/>
  </r>
  <r>
    <n v="0"/>
    <s v="Light Energia4375344849"/>
    <n v="23"/>
    <s v="LIGHT SERVICOS DE ELETRICIDADE S/A"/>
    <s v="Light Energia"/>
    <x v="0"/>
    <n v="0"/>
    <s v="LIGHA7    "/>
    <n v="15"/>
    <x v="173"/>
    <d v="2022-10-15T00:00:00"/>
    <x v="16"/>
    <n v="0"/>
    <x v="2"/>
    <x v="1"/>
    <n v="500400"/>
    <n v="1000"/>
    <s v=""/>
    <n v="500400000"/>
    <x v="175"/>
    <s v="DI"/>
    <n v="100"/>
    <n v="1.5"/>
    <x v="47"/>
    <n v="252"/>
    <s v="Útil"/>
    <s v="N"/>
    <x v="1"/>
    <s v="S"/>
    <x v="1"/>
    <x v="11"/>
    <x v="0"/>
    <x v="109"/>
  </r>
  <r>
    <n v="0"/>
    <s v="Light Energia4393644301"/>
    <n v="23"/>
    <s v="LIGHT SERVICOS DE ELETRICIDADE S/A"/>
    <s v="Light Energia"/>
    <x v="0"/>
    <n v="0"/>
    <s v="LIGHA8    "/>
    <n v="16"/>
    <x v="174"/>
    <d v="2021-04-15T00:00:00"/>
    <x v="29"/>
    <n v="0"/>
    <x v="2"/>
    <x v="1"/>
    <n v="400000"/>
    <n v="1000"/>
    <s v=""/>
    <n v="400000000"/>
    <x v="0"/>
    <s v="DI"/>
    <n v="100"/>
    <n v="2.5099999999999998"/>
    <x v="192"/>
    <n v="252"/>
    <s v="Útil"/>
    <s v="N"/>
    <x v="1"/>
    <s v="S"/>
    <x v="1"/>
    <x v="11"/>
    <x v="0"/>
    <x v="110"/>
  </r>
  <r>
    <n v="0"/>
    <s v="Light Energia4404045853"/>
    <n v="23"/>
    <s v="LIGHT SERVICOS DE ELETRICIDADE S/A"/>
    <s v="Light Energia"/>
    <x v="0"/>
    <n v="0"/>
    <s v="LIGHA9    "/>
    <n v="17"/>
    <x v="175"/>
    <d v="2025-07-15T00:00:00"/>
    <x v="83"/>
    <n v="0"/>
    <x v="2"/>
    <x v="1"/>
    <n v="500000"/>
    <n v="1000"/>
    <s v=""/>
    <n v="500000000"/>
    <x v="10"/>
    <s v="IPCA"/>
    <s v="-"/>
    <n v="5.8"/>
    <x v="193"/>
    <n v="252"/>
    <s v="Útil"/>
    <s v="S"/>
    <x v="0"/>
    <s v="N"/>
    <x v="0"/>
    <x v="11"/>
    <x v="0"/>
    <x v="111"/>
  </r>
  <r>
    <n v="0"/>
    <s v="Light Energia4405845884"/>
    <n v="23"/>
    <s v="LIGHT SERVICOS DE ELETRICIDADE S/A"/>
    <s v="Light Energia"/>
    <x v="0"/>
    <n v="0"/>
    <s v="LIGHB0    "/>
    <n v="18"/>
    <x v="176"/>
    <d v="2025-08-15T00:00:00"/>
    <x v="4"/>
    <n v="1"/>
    <x v="2"/>
    <x v="1"/>
    <n v="600000"/>
    <n v="1000"/>
    <s v=""/>
    <n v="600000000"/>
    <x v="30"/>
    <s v="IPCA"/>
    <s v="-"/>
    <n v="5.0867000000000004"/>
    <x v="194"/>
    <n v="252"/>
    <s v="Útil"/>
    <s v="S"/>
    <x v="0"/>
    <s v="N"/>
    <x v="0"/>
    <x v="11"/>
    <x v="0"/>
    <x v="112"/>
  </r>
  <r>
    <n v="0"/>
    <s v="Light Energia4292344027"/>
    <n v="23"/>
    <s v="LIGHT SERVICOS DE ELETRICIDADE S/A"/>
    <s v="Light Energia"/>
    <x v="0"/>
    <n v="0"/>
    <s v="LIGHB2    "/>
    <n v="19"/>
    <x v="168"/>
    <d v="2020-07-15T00:00:00"/>
    <x v="84"/>
    <n v="0"/>
    <x v="2"/>
    <x v="1"/>
    <n v="147889"/>
    <n v="1000"/>
    <s v=""/>
    <n v="147889000"/>
    <x v="176"/>
    <s v="DI"/>
    <n v="100"/>
    <n v="4.2"/>
    <x v="195"/>
    <n v="252"/>
    <s v="Útil"/>
    <s v="N"/>
    <x v="1"/>
    <s v="S"/>
    <x v="1"/>
    <x v="1"/>
    <x v="0"/>
    <x v="108"/>
  </r>
  <r>
    <n v="0"/>
    <s v="Light Energia4338844849"/>
    <n v="23"/>
    <s v="LIGHT SERVICOS DE ELETRICIDADE S/A"/>
    <s v="Light Energia"/>
    <x v="0"/>
    <n v="0"/>
    <s v="LIGHB5    "/>
    <n v="20"/>
    <x v="171"/>
    <d v="2022-10-15T00:00:00"/>
    <x v="46"/>
    <n v="0"/>
    <x v="2"/>
    <x v="1"/>
    <n v="160000"/>
    <n v="1000"/>
    <s v=""/>
    <n v="160000000"/>
    <x v="38"/>
    <s v="DI"/>
    <n v="100"/>
    <n v="2.2000000000000002"/>
    <x v="196"/>
    <n v="252"/>
    <s v="Útil"/>
    <s v="N"/>
    <x v="1"/>
    <s v="S"/>
    <x v="1"/>
    <x v="11"/>
    <x v="0"/>
    <x v="101"/>
  </r>
  <r>
    <n v="0"/>
    <s v="Light Energia4357045397"/>
    <n v="23"/>
    <s v="LIGHT SERVICOS DE ELETRICIDADE S/A"/>
    <s v="Light Energia"/>
    <x v="0"/>
    <n v="0"/>
    <s v="LIGHB6    "/>
    <n v="21"/>
    <x v="172"/>
    <d v="2024-04-15T00:00:00"/>
    <x v="5"/>
    <n v="1"/>
    <x v="2"/>
    <x v="1"/>
    <n v="422950"/>
    <n v="1000"/>
    <s v=""/>
    <n v="422950000"/>
    <x v="177"/>
    <s v="DI"/>
    <n v="100"/>
    <n v="1.25"/>
    <x v="167"/>
    <n v="252"/>
    <s v="Útil"/>
    <s v="N"/>
    <x v="1"/>
    <s v="S"/>
    <x v="1"/>
    <x v="11"/>
    <x v="0"/>
    <x v="17"/>
  </r>
  <r>
    <n v="0"/>
    <s v="Light Energia4375345580"/>
    <n v="23"/>
    <s v="LIGHT SERVICOS DE ELETRICIDADE S/A"/>
    <s v="Light Energia"/>
    <x v="0"/>
    <n v="0"/>
    <s v="LIGHB7    "/>
    <n v="22"/>
    <x v="173"/>
    <d v="2024-10-15T00:00:00"/>
    <x v="5"/>
    <n v="1"/>
    <x v="2"/>
    <x v="1"/>
    <n v="50000"/>
    <n v="1000"/>
    <s v=""/>
    <n v="50000000"/>
    <x v="39"/>
    <s v="DI"/>
    <n v="100"/>
    <n v="1.75"/>
    <x v="85"/>
    <n v="252"/>
    <s v="Útil"/>
    <s v="N"/>
    <x v="1"/>
    <s v="S"/>
    <x v="1"/>
    <x v="11"/>
    <x v="0"/>
    <x v="109"/>
  </r>
  <r>
    <n v="0"/>
    <s v="Light Energia4292344027"/>
    <n v="23"/>
    <s v="LIGHT SERVICOS DE ELETRICIDADE S/A"/>
    <s v="Light Energia"/>
    <x v="0"/>
    <n v="0"/>
    <s v="LIGHC2    "/>
    <n v="23"/>
    <x v="168"/>
    <d v="2020-07-15T00:00:00"/>
    <x v="84"/>
    <n v="0"/>
    <x v="2"/>
    <x v="1"/>
    <n v="53333"/>
    <n v="1000"/>
    <s v=""/>
    <n v="53333000"/>
    <x v="178"/>
    <s v="IPCA"/>
    <s v="-"/>
    <n v="9.0920000000000005"/>
    <x v="197"/>
    <n v="252"/>
    <s v="Útil"/>
    <s v="N"/>
    <x v="1"/>
    <s v="S"/>
    <x v="1"/>
    <x v="1"/>
    <x v="0"/>
    <x v="108"/>
  </r>
  <r>
    <n v="0"/>
    <s v="Light Energia4448446310"/>
    <n v="23"/>
    <s v="LIGHT SERVICOS DE ELETRICIDADE S/A"/>
    <s v="Light Energia"/>
    <x v="0"/>
    <n v="0"/>
    <s v="LIGHC3    "/>
    <n v="24"/>
    <x v="132"/>
    <d v="2026-10-15T00:00:00"/>
    <x v="4"/>
    <n v="1"/>
    <x v="2"/>
    <x v="1"/>
    <n v="263500"/>
    <n v="1000"/>
    <s v=""/>
    <n v="263500000"/>
    <x v="179"/>
    <s v="DI"/>
    <n v="100"/>
    <n v="1.65"/>
    <x v="107"/>
    <n v="252"/>
    <s v="Útil"/>
    <s v="N"/>
    <x v="1"/>
    <s v="N"/>
    <x v="0"/>
    <x v="11"/>
    <x v="0"/>
    <x v="90"/>
  </r>
  <r>
    <n v="0"/>
    <s v="Light Energia4357045762"/>
    <n v="23"/>
    <s v="LIGHT SERVICOS DE ELETRICIDADE S/A"/>
    <s v="Light Energia"/>
    <x v="0"/>
    <n v="0"/>
    <s v="LIGHC6    "/>
    <n v="25"/>
    <x v="172"/>
    <d v="2025-04-15T00:00:00"/>
    <x v="11"/>
    <n v="1"/>
    <x v="2"/>
    <x v="1"/>
    <n v="62500"/>
    <n v="1000"/>
    <s v=""/>
    <n v="62500000"/>
    <x v="180"/>
    <s v="DI"/>
    <n v="100"/>
    <n v="1.35"/>
    <x v="198"/>
    <n v="252"/>
    <s v="Útil"/>
    <s v="N"/>
    <x v="1"/>
    <s v="S"/>
    <x v="1"/>
    <x v="11"/>
    <x v="0"/>
    <x v="17"/>
  </r>
  <r>
    <n v="0"/>
    <s v="Light Energia4430147953"/>
    <n v="23"/>
    <s v="LIGHT SERVICOS DE ELETRICIDADE S/A"/>
    <s v="Light Energia"/>
    <x v="0"/>
    <n v="0"/>
    <s v="LIGHD2    "/>
    <n v="26"/>
    <x v="109"/>
    <d v="2031-04-15T00:00:00"/>
    <x v="1"/>
    <n v="1"/>
    <x v="2"/>
    <x v="1"/>
    <n v="916381"/>
    <n v="1000"/>
    <s v=""/>
    <n v="916381000"/>
    <x v="181"/>
    <s v="IPCA"/>
    <s v="-"/>
    <n v="4.7542999999999997"/>
    <x v="199"/>
    <n v="252"/>
    <s v="Útil"/>
    <s v="S"/>
    <x v="0"/>
    <s v="N"/>
    <x v="0"/>
    <x v="11"/>
    <x v="0"/>
    <x v="80"/>
  </r>
  <r>
    <n v="0"/>
    <s v="Light Energia4448447041"/>
    <n v="23"/>
    <s v="LIGHT SERVICOS DE ELETRICIDADE S/A"/>
    <s v="Light Energia"/>
    <x v="0"/>
    <n v="0"/>
    <s v="LIGHD3    "/>
    <n v="27"/>
    <x v="132"/>
    <d v="2028-10-15T00:00:00"/>
    <x v="8"/>
    <n v="1"/>
    <x v="2"/>
    <x v="1"/>
    <n v="268500"/>
    <n v="1000"/>
    <s v=""/>
    <n v="268500000"/>
    <x v="182"/>
    <s v="DI"/>
    <n v="100"/>
    <n v="1.95"/>
    <x v="55"/>
    <n v="252"/>
    <s v="Útil"/>
    <s v="N"/>
    <x v="1"/>
    <s v="N"/>
    <x v="0"/>
    <x v="11"/>
    <x v="0"/>
    <x v="90"/>
  </r>
  <r>
    <n v="0"/>
    <s v="Light Energia4375346310"/>
    <n v="23"/>
    <s v="LIGHT SERVICOS DE ELETRICIDADE S/A"/>
    <s v="Light Energia"/>
    <x v="0"/>
    <n v="0"/>
    <s v="LIGHD7    "/>
    <n v="28"/>
    <x v="173"/>
    <d v="2026-10-15T00:00:00"/>
    <x v="8"/>
    <n v="1"/>
    <x v="2"/>
    <x v="1"/>
    <n v="149600"/>
    <n v="1000"/>
    <s v=""/>
    <n v="149600000"/>
    <x v="183"/>
    <s v="IPCA"/>
    <s v="-"/>
    <n v="5.25"/>
    <x v="200"/>
    <n v="252"/>
    <s v="Útil"/>
    <s v="N"/>
    <x v="1"/>
    <s v="S"/>
    <x v="1"/>
    <x v="11"/>
    <x v="0"/>
    <x v="109"/>
  </r>
  <r>
    <n v="0"/>
    <s v="Light Energia4176843960"/>
    <n v="23"/>
    <s v="LIGHT SERVICOS DE ELETRICIDADE S/A"/>
    <s v="Light Energia"/>
    <x v="0"/>
    <n v="0"/>
    <s v="LSVE10    "/>
    <n v="29"/>
    <x v="118"/>
    <d v="2020-05-09T00:00:00"/>
    <x v="11"/>
    <n v="1"/>
    <x v="2"/>
    <x v="1"/>
    <n v="75000"/>
    <n v="10000"/>
    <s v=""/>
    <n v="750000000"/>
    <x v="89"/>
    <s v="DI"/>
    <n v="115"/>
    <m/>
    <x v="201"/>
    <n v="252"/>
    <s v="Útil"/>
    <s v="N"/>
    <x v="1"/>
    <s v="S"/>
    <x v="1"/>
    <x v="1"/>
    <x v="0"/>
    <x v="47"/>
  </r>
  <r>
    <n v="0"/>
    <s v="Light Energia4066541985"/>
    <n v="23"/>
    <s v="LIGHT SERVICOS DE ELETRICIDADE S/A"/>
    <s v="Light Energia"/>
    <x v="0"/>
    <n v="0"/>
    <s v="LSVE17    "/>
    <n v="30"/>
    <x v="177"/>
    <d v="2014-12-12T00:00:00"/>
    <x v="85"/>
    <n v="0"/>
    <x v="2"/>
    <x v="1"/>
    <n v="65000"/>
    <n v="10000"/>
    <s v=""/>
    <n v="650000000"/>
    <x v="184"/>
    <s v="DI"/>
    <n v="100"/>
    <n v="1.35"/>
    <x v="198"/>
    <n v="252"/>
    <s v="Útil"/>
    <s v="N"/>
    <x v="1"/>
    <s v="S"/>
    <x v="1"/>
    <x v="1"/>
    <x v="0"/>
    <x v="71"/>
  </r>
  <r>
    <n v="0"/>
    <s v="Light Energia4144044331"/>
    <n v="23"/>
    <s v="LIGHT SERVICOS DE ELETRICIDADE S/A"/>
    <s v="Light Energia"/>
    <x v="0"/>
    <n v="0"/>
    <s v="LSVE19    "/>
    <n v="31"/>
    <x v="178"/>
    <d v="2021-05-15T00:00:00"/>
    <x v="86"/>
    <n v="1"/>
    <x v="2"/>
    <x v="1"/>
    <n v="100000"/>
    <n v="10000"/>
    <s v=""/>
    <n v="1000000000"/>
    <x v="18"/>
    <s v="DI"/>
    <n v="100"/>
    <n v="1.1499999999999999"/>
    <x v="202"/>
    <n v="252"/>
    <s v="Útil"/>
    <s v="N"/>
    <x v="1"/>
    <s v="S"/>
    <x v="1"/>
    <x v="1"/>
    <x v="0"/>
    <x v="113"/>
  </r>
  <r>
    <n v="0"/>
    <s v="Light Energia4144045061"/>
    <n v="23"/>
    <s v="LIGHT SERVICOS DE ELETRICIDADE S/A"/>
    <s v="Light Energia"/>
    <x v="0"/>
    <n v="0"/>
    <s v="LSVE29    "/>
    <n v="32"/>
    <x v="178"/>
    <d v="2023-05-15T00:00:00"/>
    <x v="87"/>
    <n v="1"/>
    <x v="2"/>
    <x v="1"/>
    <n v="60000"/>
    <n v="10000"/>
    <s v=""/>
    <n v="600000000"/>
    <x v="30"/>
    <s v="IPCA"/>
    <s v="-"/>
    <n v="5.74"/>
    <x v="203"/>
    <n v="252"/>
    <s v="Útil"/>
    <s v="N"/>
    <x v="1"/>
    <s v="S"/>
    <x v="1"/>
    <x v="1"/>
    <x v="0"/>
    <x v="113"/>
  </r>
  <r>
    <n v="75"/>
    <s v="Light Energia4436518/06/2026"/>
    <n v="23"/>
    <s v="Light Servicos de Eletricidade SA/Light Energia SA"/>
    <s v="Light Energia"/>
    <x v="1"/>
    <n v="1"/>
    <m/>
    <n v="33"/>
    <x v="179"/>
    <s v="18/06/2026"/>
    <x v="4"/>
    <n v="1"/>
    <x v="1"/>
    <x v="0"/>
    <m/>
    <m/>
    <n v="5.0313999999999997"/>
    <n v="600000000"/>
    <x v="185"/>
    <s v="USD"/>
    <s v="-"/>
    <n v="4.375"/>
    <x v="204"/>
    <n v="360"/>
    <s v="Corrido"/>
    <s v="N"/>
    <x v="1"/>
    <s v="S"/>
    <x v="1"/>
    <x v="11"/>
    <x v="0"/>
    <x v="61"/>
  </r>
  <r>
    <n v="76"/>
    <s v="Light Energia4322203/05/2023"/>
    <n v="23"/>
    <s v="Light Servicos de Eletricidade SA/Light Energia SA"/>
    <s v="Light Energia"/>
    <x v="1"/>
    <n v="1"/>
    <m/>
    <n v="34"/>
    <x v="180"/>
    <s v="03/05/2023"/>
    <x v="5"/>
    <n v="1"/>
    <x v="1"/>
    <x v="0"/>
    <m/>
    <m/>
    <n v="3.5417999999999998"/>
    <n v="600000000"/>
    <x v="186"/>
    <s v="USD"/>
    <s v="-"/>
    <n v="7.25"/>
    <x v="205"/>
    <n v="360"/>
    <s v="Corrido"/>
    <s v="N"/>
    <x v="1"/>
    <s v="S"/>
    <x v="1"/>
    <x v="11"/>
    <x v="0"/>
    <x v="77"/>
  </r>
  <r>
    <n v="0"/>
    <s v="Marfrig4056142022"/>
    <n v="24"/>
    <s v="MARFRIG GLOBAL FOODS S.A."/>
    <s v="Marfrig"/>
    <x v="0"/>
    <n v="0"/>
    <s v="MRFG13    "/>
    <n v="1"/>
    <x v="181"/>
    <d v="2015-01-18T00:00:00"/>
    <x v="46"/>
    <n v="0"/>
    <x v="2"/>
    <x v="1"/>
    <n v="360000"/>
    <n v="1000"/>
    <s v=""/>
    <n v="360000000"/>
    <x v="169"/>
    <s v="DI"/>
    <n v="127.6"/>
    <m/>
    <x v="206"/>
    <n v="252"/>
    <s v="Útil"/>
    <s v="N"/>
    <x v="1"/>
    <s v="S"/>
    <x v="1"/>
    <x v="8"/>
    <x v="0"/>
    <x v="114"/>
  </r>
  <r>
    <n v="0"/>
    <s v="Marfrig4056142022"/>
    <n v="24"/>
    <s v="MARFRIG GLOBAL FOODS S.A."/>
    <s v="Marfrig"/>
    <x v="0"/>
    <n v="0"/>
    <s v="MRFG23    "/>
    <n v="2"/>
    <x v="181"/>
    <d v="2015-01-18T00:00:00"/>
    <x v="46"/>
    <n v="0"/>
    <x v="2"/>
    <x v="1"/>
    <n v="238200"/>
    <n v="1000"/>
    <s v=""/>
    <n v="238200000"/>
    <x v="187"/>
    <s v="IPCA"/>
    <s v="-"/>
    <n v="9.5"/>
    <x v="207"/>
    <n v="252"/>
    <s v="Útil"/>
    <s v="N"/>
    <x v="1"/>
    <s v="S"/>
    <x v="1"/>
    <x v="8"/>
    <x v="0"/>
    <x v="114"/>
  </r>
  <r>
    <n v="77"/>
    <s v="Marfrig4422529/01/2031"/>
    <n v="24"/>
    <s v="MARB BondCo PLC"/>
    <s v="Marfrig"/>
    <x v="1"/>
    <n v="1"/>
    <m/>
    <n v="3"/>
    <x v="182"/>
    <s v="29/01/2031"/>
    <x v="1"/>
    <n v="1"/>
    <x v="1"/>
    <x v="0"/>
    <m/>
    <m/>
    <n v="5.4752999999999998"/>
    <n v="1500000000"/>
    <x v="188"/>
    <s v="USD"/>
    <s v="-"/>
    <n v="3.95"/>
    <x v="208"/>
    <n v="360"/>
    <s v="Corrido"/>
    <s v="N"/>
    <x v="1"/>
    <s v="S"/>
    <x v="1"/>
    <x v="0"/>
    <x v="0"/>
    <x v="115"/>
  </r>
  <r>
    <n v="78"/>
    <s v="Marfrig4311919/01/2025"/>
    <n v="24"/>
    <s v="MARB BondCo PLC"/>
    <s v="Marfrig"/>
    <x v="1"/>
    <n v="1"/>
    <m/>
    <n v="4"/>
    <x v="183"/>
    <s v="19/01/2025"/>
    <x v="8"/>
    <n v="1"/>
    <x v="1"/>
    <x v="0"/>
    <m/>
    <m/>
    <n v="3.2081"/>
    <n v="1000000000"/>
    <x v="189"/>
    <s v="USD"/>
    <s v="-"/>
    <n v="6.875"/>
    <x v="209"/>
    <n v="360"/>
    <s v="Corrido"/>
    <s v="N"/>
    <x v="1"/>
    <s v="S"/>
    <x v="1"/>
    <x v="11"/>
    <x v="0"/>
    <x v="26"/>
  </r>
  <r>
    <n v="79"/>
    <s v="Marfrig4280915/03/2024"/>
    <n v="24"/>
    <s v="MARB BondCo PLC"/>
    <s v="Marfrig"/>
    <x v="1"/>
    <n v="1"/>
    <m/>
    <n v="5"/>
    <x v="184"/>
    <s v="15/03/2024"/>
    <x v="8"/>
    <n v="1"/>
    <x v="1"/>
    <x v="0"/>
    <m/>
    <m/>
    <n v="3.1623000000000001"/>
    <n v="750000000"/>
    <x v="190"/>
    <s v="USD"/>
    <s v="-"/>
    <n v="7"/>
    <x v="210"/>
    <n v="360"/>
    <s v="Corrido"/>
    <s v="N"/>
    <x v="1"/>
    <s v="S"/>
    <x v="1"/>
    <x v="11"/>
    <x v="0"/>
    <x v="116"/>
  </r>
  <r>
    <n v="80"/>
    <s v="Marfrig4252908/06/2023"/>
    <n v="24"/>
    <s v="Marfrig Holdings Europe BV"/>
    <s v="Marfrig"/>
    <x v="1"/>
    <n v="1"/>
    <m/>
    <n v="6"/>
    <x v="185"/>
    <s v="08/06/2023"/>
    <x v="18"/>
    <n v="1"/>
    <x v="1"/>
    <x v="0"/>
    <m/>
    <m/>
    <n v="3.3892000000000002"/>
    <n v="750000000"/>
    <x v="191"/>
    <s v="USD"/>
    <s v="-"/>
    <n v="8"/>
    <x v="211"/>
    <n v="360"/>
    <s v="Corrido"/>
    <s v="N"/>
    <x v="1"/>
    <s v="S"/>
    <x v="1"/>
    <x v="8"/>
    <x v="0"/>
    <x v="117"/>
  </r>
  <r>
    <n v="81"/>
    <s v="Marfrig4181424/06/2019"/>
    <n v="24"/>
    <s v="Marfrig Holdings Europe BV"/>
    <s v="Marfrig"/>
    <x v="1"/>
    <n v="1"/>
    <m/>
    <n v="7"/>
    <x v="186"/>
    <s v="24/06/2019"/>
    <x v="4"/>
    <n v="1"/>
    <x v="1"/>
    <x v="0"/>
    <m/>
    <m/>
    <n v="2.2210999999999999"/>
    <n v="850000000"/>
    <x v="192"/>
    <s v="USD"/>
    <s v="-"/>
    <n v="6.875"/>
    <x v="212"/>
    <n v="360"/>
    <s v="Corrido"/>
    <s v="N"/>
    <x v="1"/>
    <s v="S"/>
    <x v="1"/>
    <x v="9"/>
    <x v="0"/>
    <x v="68"/>
  </r>
  <r>
    <n v="82"/>
    <s v="Marfrig4067209/05/2018"/>
    <n v="24"/>
    <s v="Marfrig Holdings Europe BV"/>
    <s v="Marfrig"/>
    <x v="1"/>
    <n v="1"/>
    <m/>
    <n v="8"/>
    <x v="187"/>
    <s v="09/05/2018"/>
    <x v="8"/>
    <n v="1"/>
    <x v="1"/>
    <x v="0"/>
    <m/>
    <m/>
    <n v="1.6191"/>
    <n v="750000000"/>
    <x v="193"/>
    <s v="USD"/>
    <s v="-"/>
    <n v="8.375"/>
    <x v="213"/>
    <n v="360"/>
    <s v="Corrido"/>
    <s v="N"/>
    <x v="1"/>
    <s v="N"/>
    <x v="0"/>
    <x v="8"/>
    <x v="0"/>
    <x v="118"/>
  </r>
  <r>
    <n v="83"/>
    <s v="Marfrig4153720/09/2021"/>
    <n v="24"/>
    <s v="Marfrig Holdings Europe BV"/>
    <s v="Marfrig"/>
    <x v="1"/>
    <n v="1"/>
    <m/>
    <n v="9"/>
    <x v="188"/>
    <s v="20/09/2021"/>
    <x v="13"/>
    <n v="1"/>
    <x v="1"/>
    <x v="0"/>
    <m/>
    <m/>
    <n v="2.2046999999999999"/>
    <n v="400000000"/>
    <x v="194"/>
    <s v="USD"/>
    <s v="-"/>
    <n v="11.25"/>
    <x v="214"/>
    <n v="360"/>
    <s v="Corrido"/>
    <s v="N"/>
    <x v="1"/>
    <s v="S"/>
    <x v="1"/>
    <x v="9"/>
    <x v="0"/>
    <x v="57"/>
  </r>
  <r>
    <n v="84"/>
    <s v="Marfrig4129824/07/2017"/>
    <n v="24"/>
    <s v="Marfrig Holdings Europe BV"/>
    <s v="Marfrig"/>
    <x v="1"/>
    <n v="1"/>
    <m/>
    <n v="10"/>
    <x v="189"/>
    <s v="24/07/2017"/>
    <x v="88"/>
    <n v="0"/>
    <x v="1"/>
    <x v="0"/>
    <m/>
    <m/>
    <n v="2.0337999999999998"/>
    <n v="600000000"/>
    <x v="195"/>
    <s v="USD"/>
    <s v="-"/>
    <n v="9.875"/>
    <x v="215"/>
    <n v="360"/>
    <s v="Corrido"/>
    <s v="N"/>
    <x v="1"/>
    <s v="S"/>
    <x v="1"/>
    <x v="9"/>
    <x v="0"/>
    <x v="119"/>
  </r>
  <r>
    <n v="85"/>
    <s v="Marfrig4359914/05/2026"/>
    <n v="24"/>
    <s v="NBM US Holdings Inc"/>
    <s v="Marfrig"/>
    <x v="1"/>
    <n v="1"/>
    <m/>
    <n v="11"/>
    <x v="190"/>
    <s v="14/05/2026"/>
    <x v="8"/>
    <n v="1"/>
    <x v="1"/>
    <x v="0"/>
    <m/>
    <m/>
    <n v="3.9782000000000002"/>
    <n v="1000000000"/>
    <x v="196"/>
    <s v="USD"/>
    <s v="-"/>
    <n v="7"/>
    <x v="216"/>
    <n v="360"/>
    <s v="Corrido"/>
    <s v="N"/>
    <x v="1"/>
    <s v="S"/>
    <x v="1"/>
    <x v="11"/>
    <x v="0"/>
    <x v="77"/>
  </r>
  <r>
    <n v="86"/>
    <s v="Marfrig4368306/08/2029"/>
    <n v="24"/>
    <s v="NBM US Holdings Inc"/>
    <s v="Marfrig"/>
    <x v="1"/>
    <n v="1"/>
    <m/>
    <n v="12"/>
    <x v="191"/>
    <s v="06/08/2029"/>
    <x v="12"/>
    <n v="1"/>
    <x v="1"/>
    <x v="0"/>
    <m/>
    <m/>
    <n v="3.9636999999999998"/>
    <n v="500000000"/>
    <x v="197"/>
    <s v="USD"/>
    <s v="-"/>
    <n v="6.625"/>
    <x v="217"/>
    <n v="360"/>
    <s v="Corrido"/>
    <s v="N"/>
    <x v="1"/>
    <s v="S"/>
    <x v="1"/>
    <x v="11"/>
    <x v="0"/>
    <x v="25"/>
  </r>
  <r>
    <n v="0"/>
    <s v="Minerva4144043266"/>
    <n v="25"/>
    <s v="MINERVA S/A"/>
    <s v="Minerva"/>
    <x v="0"/>
    <n v="0"/>
    <s v="MNRV14    "/>
    <n v="1"/>
    <x v="178"/>
    <d v="2018-06-15T00:00:00"/>
    <x v="4"/>
    <n v="1"/>
    <x v="2"/>
    <x v="1"/>
    <n v="30000"/>
    <n v="10000"/>
    <s v=""/>
    <n v="300000000"/>
    <x v="5"/>
    <s v="DI"/>
    <n v="100"/>
    <n v="1.75"/>
    <x v="85"/>
    <n v="252"/>
    <s v="Útil"/>
    <s v="N"/>
    <x v="1"/>
    <s v="S"/>
    <x v="1"/>
    <x v="8"/>
    <x v="0"/>
    <x v="113"/>
  </r>
  <r>
    <n v="0"/>
    <s v="Minerva4360044696"/>
    <n v="25"/>
    <s v="MINERVA S/A"/>
    <s v="Minerva"/>
    <x v="0"/>
    <n v="0"/>
    <s v="MNRV16    "/>
    <n v="2"/>
    <x v="192"/>
    <d v="2022-05-15T00:00:00"/>
    <x v="16"/>
    <n v="0"/>
    <x v="2"/>
    <x v="1"/>
    <n v="400000"/>
    <n v="1000"/>
    <s v=""/>
    <n v="400000000"/>
    <x v="0"/>
    <s v="DI"/>
    <n v="100"/>
    <n v="1.8"/>
    <x v="5"/>
    <n v="252"/>
    <s v="Útil"/>
    <s v="N"/>
    <x v="1"/>
    <s v="S"/>
    <x v="1"/>
    <x v="11"/>
    <x v="0"/>
    <x v="120"/>
  </r>
  <r>
    <n v="0"/>
    <s v="Minerva4448446310"/>
    <n v="25"/>
    <s v="MINERVA S/A"/>
    <s v="Minerva"/>
    <x v="0"/>
    <n v="0"/>
    <s v="MNRVA1    "/>
    <n v="3"/>
    <x v="132"/>
    <d v="2026-10-15T00:00:00"/>
    <x v="4"/>
    <n v="1"/>
    <x v="2"/>
    <x v="1"/>
    <n v="400000"/>
    <n v="1000"/>
    <s v=""/>
    <n v="400000000"/>
    <x v="0"/>
    <s v="DI"/>
    <n v="100"/>
    <n v="1.6"/>
    <x v="91"/>
    <n v="252"/>
    <s v="Útil"/>
    <s v="N"/>
    <x v="1"/>
    <s v="S"/>
    <x v="1"/>
    <x v="0"/>
    <x v="0"/>
    <x v="90"/>
  </r>
  <r>
    <n v="87"/>
    <s v="Minerva4427318/03/2031"/>
    <n v="25"/>
    <s v="Minerva Luxembourg SA"/>
    <s v="Minerva"/>
    <x v="1"/>
    <n v="1"/>
    <m/>
    <n v="4"/>
    <x v="193"/>
    <s v="18/03/2031"/>
    <x v="1"/>
    <n v="1"/>
    <x v="1"/>
    <x v="0"/>
    <m/>
    <m/>
    <n v="5.5468000000000002"/>
    <n v="1000000000"/>
    <x v="198"/>
    <s v="USD"/>
    <s v="-"/>
    <n v="4.375"/>
    <x v="218"/>
    <n v="360"/>
    <s v="Corrido"/>
    <s v="N"/>
    <x v="1"/>
    <s v="S"/>
    <x v="1"/>
    <x v="0"/>
    <x v="0"/>
    <x v="121"/>
  </r>
  <r>
    <n v="88"/>
    <s v="Minerva4308819/01/2028"/>
    <n v="25"/>
    <s v="Minerva Luxembourg SA"/>
    <s v="Minerva"/>
    <x v="1"/>
    <n v="1"/>
    <m/>
    <n v="5"/>
    <x v="194"/>
    <s v="19/01/2028"/>
    <x v="52"/>
    <n v="1"/>
    <x v="1"/>
    <x v="0"/>
    <m/>
    <m/>
    <n v="3.2877000000000001"/>
    <n v="500000000"/>
    <x v="199"/>
    <s v="USD"/>
    <s v="-"/>
    <n v="5.875"/>
    <x v="219"/>
    <n v="360"/>
    <s v="Corrido"/>
    <s v="N"/>
    <x v="1"/>
    <s v="S"/>
    <x v="1"/>
    <x v="11"/>
    <x v="0"/>
    <x v="84"/>
  </r>
  <r>
    <n v="89"/>
    <s v="Minerva4263320/09/2026"/>
    <n v="25"/>
    <s v="Minerva Luxembourg SA"/>
    <s v="Minerva"/>
    <x v="1"/>
    <n v="1"/>
    <m/>
    <n v="6"/>
    <x v="195"/>
    <s v="20/09/2026"/>
    <x v="1"/>
    <n v="1"/>
    <x v="1"/>
    <x v="0"/>
    <m/>
    <m/>
    <n v="3.2534000000000001"/>
    <n v="1000000000"/>
    <x v="200"/>
    <s v="USD"/>
    <s v="-"/>
    <n v="6.5"/>
    <x v="220"/>
    <n v="360"/>
    <s v="Corrido"/>
    <s v="N"/>
    <x v="1"/>
    <s v="S"/>
    <x v="1"/>
    <x v="11"/>
    <x v="0"/>
    <x v="22"/>
  </r>
  <r>
    <n v="90"/>
    <s v="Minerva4439018/03/2031"/>
    <n v="25"/>
    <s v="Minerva Luxembourg SA"/>
    <s v="Minerva"/>
    <x v="1"/>
    <n v="1"/>
    <m/>
    <n v="7"/>
    <x v="196"/>
    <s v="18/03/2031"/>
    <x v="89"/>
    <n v="1"/>
    <x v="1"/>
    <x v="0"/>
    <m/>
    <m/>
    <n v="5.1764000000000001"/>
    <n v="400000000"/>
    <x v="201"/>
    <s v="USD"/>
    <s v="-"/>
    <n v="4.375"/>
    <x v="221"/>
    <n v="360"/>
    <s v="Corrido"/>
    <s v="N"/>
    <x v="1"/>
    <s v="S"/>
    <x v="1"/>
    <x v="0"/>
    <x v="0"/>
    <x v="122"/>
  </r>
  <r>
    <n v="91"/>
    <s v="Minerva4130531/01/2023"/>
    <n v="25"/>
    <s v="Minerva Luxembourg SA"/>
    <s v="Minerva"/>
    <x v="1"/>
    <n v="1"/>
    <m/>
    <n v="8"/>
    <x v="197"/>
    <s v="31/01/2023"/>
    <x v="1"/>
    <n v="1"/>
    <x v="1"/>
    <x v="0"/>
    <m/>
    <m/>
    <n v="1.9877"/>
    <n v="850000000"/>
    <x v="202"/>
    <s v="USD"/>
    <s v="-"/>
    <n v="7.75"/>
    <x v="222"/>
    <n v="360"/>
    <s v="Corrido"/>
    <s v="N"/>
    <x v="1"/>
    <s v="S"/>
    <x v="1"/>
    <x v="8"/>
    <x v="0"/>
    <x v="27"/>
  </r>
  <r>
    <n v="92"/>
    <s v="Minerva4290220/09/2026"/>
    <n v="25"/>
    <s v="Minerva Luxembourg SA"/>
    <s v="Minerva"/>
    <x v="1"/>
    <n v="1"/>
    <m/>
    <n v="9"/>
    <x v="198"/>
    <s v="20/09/2026"/>
    <x v="90"/>
    <n v="1"/>
    <x v="1"/>
    <x v="0"/>
    <m/>
    <m/>
    <n v="3.2886000000000002"/>
    <n v="350000000"/>
    <x v="203"/>
    <s v="USD"/>
    <s v="-"/>
    <n v="6.5"/>
    <x v="223"/>
    <n v="360"/>
    <s v="Corrido"/>
    <s v="N"/>
    <x v="1"/>
    <s v="S"/>
    <x v="1"/>
    <x v="11"/>
    <x v="0"/>
    <x v="44"/>
  </r>
  <r>
    <n v="93"/>
    <s v="Minerva4099710/02/2022"/>
    <n v="25"/>
    <s v="Minerva Luxembourg SA"/>
    <s v="Minerva"/>
    <x v="1"/>
    <n v="1"/>
    <m/>
    <n v="10"/>
    <x v="199"/>
    <s v="10/02/2022"/>
    <x v="91"/>
    <n v="1"/>
    <x v="1"/>
    <x v="0"/>
    <m/>
    <m/>
    <n v="1.8327"/>
    <n v="100000000"/>
    <x v="204"/>
    <s v="USD"/>
    <s v="-"/>
    <n v="12.25"/>
    <x v="224"/>
    <n v="360"/>
    <s v="Corrido"/>
    <s v="N"/>
    <x v="1"/>
    <s v="S"/>
    <x v="1"/>
    <x v="8"/>
    <x v="0"/>
    <x v="49"/>
  </r>
  <r>
    <n v="94"/>
    <s v="Minerva4187131/01/2023"/>
    <n v="25"/>
    <s v="Minerva Luxembourg SA"/>
    <s v="Minerva"/>
    <x v="1"/>
    <n v="1"/>
    <m/>
    <n v="11"/>
    <x v="200"/>
    <s v="31/01/2023"/>
    <x v="92"/>
    <n v="1"/>
    <x v="1"/>
    <x v="0"/>
    <m/>
    <m/>
    <n v="2.2544"/>
    <n v="200000000"/>
    <x v="205"/>
    <s v="USD"/>
    <s v="-"/>
    <n v="7.75"/>
    <x v="225"/>
    <n v="360"/>
    <s v="Corrido"/>
    <s v="N"/>
    <x v="1"/>
    <s v="S"/>
    <x v="1"/>
    <x v="11"/>
    <x v="0"/>
    <x v="57"/>
  </r>
  <r>
    <n v="95"/>
    <s v="Minerva4094910/02/2022"/>
    <n v="25"/>
    <s v="Minerva Luxembourg SA"/>
    <s v="Minerva"/>
    <x v="1"/>
    <n v="1"/>
    <m/>
    <n v="12"/>
    <x v="201"/>
    <s v="10/02/2022"/>
    <x v="12"/>
    <n v="1"/>
    <x v="1"/>
    <x v="0"/>
    <m/>
    <m/>
    <n v="1.7254"/>
    <n v="350000000"/>
    <x v="206"/>
    <s v="USD"/>
    <s v="-"/>
    <n v="12.25"/>
    <x v="226"/>
    <n v="360"/>
    <s v="Corrido"/>
    <s v="N"/>
    <x v="1"/>
    <s v="S"/>
    <x v="1"/>
    <x v="8"/>
    <x v="0"/>
    <x v="123"/>
  </r>
  <r>
    <n v="0"/>
    <s v="Movida4227143367"/>
    <n v="26"/>
    <s v="MOVIDA GESTAO E TERCEIRIZACAO DE FROTAS S/A"/>
    <s v="Movida"/>
    <x v="0"/>
    <n v="0"/>
    <s v="JSLO11    "/>
    <n v="1"/>
    <x v="202"/>
    <d v="2018-09-24T00:00:00"/>
    <x v="16"/>
    <n v="0"/>
    <x v="2"/>
    <x v="1"/>
    <n v="30000"/>
    <n v="10000"/>
    <s v=""/>
    <n v="300000000"/>
    <x v="5"/>
    <s v="DI"/>
    <n v="100"/>
    <n v="1.93"/>
    <x v="227"/>
    <n v="252"/>
    <s v="Útil"/>
    <s v="N"/>
    <x v="1"/>
    <s v="N"/>
    <x v="0"/>
    <x v="1"/>
    <x v="0"/>
    <x v="124"/>
  </r>
  <r>
    <n v="0"/>
    <s v="Movida4417546001"/>
    <n v="26"/>
    <s v="MOVIDA LOCACAO DE VEICULOS S.A."/>
    <s v="Movida"/>
    <x v="0"/>
    <n v="0"/>
    <s v="CSBR11    "/>
    <n v="2"/>
    <x v="203"/>
    <d v="2025-12-10T00:00:00"/>
    <x v="4"/>
    <n v="1"/>
    <x v="2"/>
    <x v="1"/>
    <n v="600000"/>
    <n v="1000"/>
    <s v=""/>
    <n v="600000000"/>
    <x v="30"/>
    <s v="DI"/>
    <n v="100"/>
    <n v="3.7"/>
    <x v="228"/>
    <n v="252"/>
    <s v="Útil"/>
    <s v="N"/>
    <x v="1"/>
    <s v="S"/>
    <x v="1"/>
    <x v="1"/>
    <x v="0"/>
    <x v="39"/>
  </r>
  <r>
    <n v="0"/>
    <s v="Movida4418046006"/>
    <n v="26"/>
    <s v="MOVIDA LOCACAO DE VEICULOS S.A."/>
    <s v="Movida"/>
    <x v="0"/>
    <n v="0"/>
    <s v="CSBR12    "/>
    <n v="3"/>
    <x v="204"/>
    <d v="2025-12-15T00:00:00"/>
    <x v="4"/>
    <n v="1"/>
    <x v="3"/>
    <x v="0"/>
    <n v="150000"/>
    <n v="1000"/>
    <s v=""/>
    <n v="150000000"/>
    <x v="2"/>
    <s v="DI"/>
    <n v="100"/>
    <n v="2.9"/>
    <x v="31"/>
    <n v="252"/>
    <s v="Útil"/>
    <s v="N"/>
    <x v="1"/>
    <s v="S"/>
    <x v="1"/>
    <x v="1"/>
    <x v="0"/>
    <x v="65"/>
  </r>
  <r>
    <n v="0"/>
    <s v="Movida4318845014"/>
    <n v="26"/>
    <s v="MOVIDA LOCACAO DE VEICULOS S.A."/>
    <s v="Movida"/>
    <x v="0"/>
    <n v="0"/>
    <s v="MVLV11    "/>
    <n v="4"/>
    <x v="170"/>
    <d v="2023-03-29T00:00:00"/>
    <x v="4"/>
    <n v="1"/>
    <x v="2"/>
    <x v="1"/>
    <n v="250000000"/>
    <n v="1"/>
    <s v=""/>
    <n v="250000000"/>
    <x v="16"/>
    <s v="DI"/>
    <n v="100"/>
    <n v="2.0499999999999998"/>
    <x v="229"/>
    <n v="252"/>
    <s v="Útil"/>
    <s v="N"/>
    <x v="1"/>
    <s v="S"/>
    <x v="1"/>
    <x v="1"/>
    <x v="0"/>
    <x v="9"/>
  </r>
  <r>
    <n v="0"/>
    <s v="Movida4338344479"/>
    <n v="26"/>
    <s v="MOVIDA LOCACAO DE VEICULOS S.A."/>
    <s v="Movida"/>
    <x v="0"/>
    <n v="0"/>
    <s v="MVLV12    "/>
    <n v="5"/>
    <x v="205"/>
    <d v="2021-10-10T00:00:00"/>
    <x v="16"/>
    <n v="0"/>
    <x v="2"/>
    <x v="1"/>
    <n v="100000"/>
    <n v="1000"/>
    <s v=""/>
    <n v="100000000"/>
    <x v="33"/>
    <s v="DI"/>
    <n v="100"/>
    <n v="1.8"/>
    <x v="5"/>
    <n v="252"/>
    <s v="Útil"/>
    <s v="N"/>
    <x v="1"/>
    <s v="S"/>
    <x v="1"/>
    <x v="1"/>
    <x v="0"/>
    <x v="39"/>
  </r>
  <r>
    <n v="0"/>
    <s v="Movida4364045315"/>
    <n v="26"/>
    <s v="MOVIDA LOCACAO DE VEICULOS S.A."/>
    <s v="Movida"/>
    <x v="0"/>
    <n v="0"/>
    <s v="MVLV13    "/>
    <n v="6"/>
    <x v="206"/>
    <d v="2024-01-24T00:00:00"/>
    <x v="93"/>
    <n v="0"/>
    <x v="2"/>
    <x v="1"/>
    <n v="200000"/>
    <n v="1000"/>
    <s v=""/>
    <n v="200000000"/>
    <x v="13"/>
    <s v="DI"/>
    <n v="100"/>
    <n v="1.6"/>
    <x v="91"/>
    <n v="252"/>
    <s v="Útil"/>
    <s v="N"/>
    <x v="1"/>
    <s v="S"/>
    <x v="1"/>
    <x v="1"/>
    <x v="0"/>
    <x v="88"/>
  </r>
  <r>
    <n v="0"/>
    <s v="Movida4395144671"/>
    <n v="26"/>
    <s v="MOVIDA LOCACAO DE VEICULOS S.A."/>
    <s v="Movida"/>
    <x v="0"/>
    <n v="0"/>
    <s v="MVLV14    "/>
    <n v="7"/>
    <x v="207"/>
    <d v="2022-04-20T00:00:00"/>
    <x v="94"/>
    <n v="0"/>
    <x v="2"/>
    <x v="1"/>
    <n v="200000"/>
    <n v="1000"/>
    <s v=""/>
    <n v="200000000"/>
    <x v="13"/>
    <s v="DI"/>
    <n v="100"/>
    <n v="4.2"/>
    <x v="195"/>
    <n v="252"/>
    <s v="Útil"/>
    <s v="N"/>
    <x v="1"/>
    <s v="S"/>
    <x v="1"/>
    <x v="1"/>
    <x v="0"/>
    <x v="125"/>
  </r>
  <r>
    <n v="0"/>
    <s v="Movida4415345248"/>
    <n v="26"/>
    <s v="MOVIDA LOCACAO DE VEICULOS S.A."/>
    <s v="Movida"/>
    <x v="0"/>
    <n v="0"/>
    <s v="MVLV15    "/>
    <n v="8"/>
    <x v="208"/>
    <d v="2023-11-18T00:00:00"/>
    <x v="6"/>
    <n v="0"/>
    <x v="2"/>
    <x v="1"/>
    <n v="200000"/>
    <n v="1000"/>
    <s v=""/>
    <n v="200000000"/>
    <x v="13"/>
    <s v="DI"/>
    <n v="100"/>
    <n v="2.75"/>
    <x v="230"/>
    <n v="252"/>
    <s v="Útil"/>
    <s v="N"/>
    <x v="1"/>
    <s v="S"/>
    <x v="1"/>
    <x v="1"/>
    <x v="0"/>
    <x v="105"/>
  </r>
  <r>
    <n v="0"/>
    <s v="Movida4430146919"/>
    <n v="26"/>
    <s v="MOVIDA LOCACAO DE VEICULOS S.A."/>
    <s v="Movida"/>
    <x v="0"/>
    <n v="0"/>
    <s v="MVLV16    "/>
    <n v="9"/>
    <x v="109"/>
    <d v="2028-06-15T00:00:00"/>
    <x v="95"/>
    <n v="1"/>
    <x v="3"/>
    <x v="0"/>
    <n v="400000"/>
    <n v="1000"/>
    <s v=""/>
    <n v="400000000"/>
    <x v="0"/>
    <s v="IPCA"/>
    <s v="-"/>
    <n v="7.1702000000000004"/>
    <x v="231"/>
    <n v="252"/>
    <s v="Útil"/>
    <s v="N"/>
    <x v="1"/>
    <s v="S"/>
    <x v="1"/>
    <x v="11"/>
    <x v="0"/>
    <x v="80"/>
  </r>
  <r>
    <n v="0"/>
    <s v="Movida4453046356"/>
    <n v="26"/>
    <s v="MOVIDA LOCACAO DE VEICULOS S.A."/>
    <s v="Movida"/>
    <x v="0"/>
    <n v="0"/>
    <s v="MVLV17    "/>
    <n v="10"/>
    <x v="209"/>
    <d v="2026-11-30T00:00:00"/>
    <x v="4"/>
    <n v="1"/>
    <x v="2"/>
    <x v="1"/>
    <n v="400000"/>
    <n v="1000"/>
    <s v=""/>
    <n v="400000000"/>
    <x v="0"/>
    <s v="DI"/>
    <n v="100"/>
    <n v="2.6"/>
    <x v="189"/>
    <n v="252"/>
    <s v="Útil"/>
    <s v="N"/>
    <x v="1"/>
    <s v="S"/>
    <x v="1"/>
    <x v="11"/>
    <x v="0"/>
    <x v="126"/>
  </r>
  <r>
    <n v="0"/>
    <s v="Movida4430146006"/>
    <n v="26"/>
    <s v="MOVIDA LOCACAO DE VEICULOS S.A."/>
    <s v="Movida"/>
    <x v="0"/>
    <n v="0"/>
    <s v="MVLV26    "/>
    <n v="11"/>
    <x v="109"/>
    <d v="2025-12-15T00:00:00"/>
    <x v="96"/>
    <n v="0"/>
    <x v="3"/>
    <x v="0"/>
    <n v="300000"/>
    <n v="1000"/>
    <s v=""/>
    <n v="300000000"/>
    <x v="5"/>
    <s v="IPCA"/>
    <s v="-"/>
    <n v="7.2412999999999998"/>
    <x v="232"/>
    <n v="252"/>
    <s v="Útil"/>
    <s v="S"/>
    <x v="0"/>
    <s v="N"/>
    <x v="0"/>
    <x v="11"/>
    <x v="0"/>
    <x v="80"/>
  </r>
  <r>
    <n v="0"/>
    <s v="Movida4293144027"/>
    <n v="26"/>
    <s v="MOVIDA PARTICIPACOES S/A"/>
    <s v="Movida"/>
    <x v="0"/>
    <n v="0"/>
    <s v="MOVI11    "/>
    <n v="12"/>
    <x v="210"/>
    <d v="2020-07-15T00:00:00"/>
    <x v="16"/>
    <n v="0"/>
    <x v="2"/>
    <x v="1"/>
    <n v="150000"/>
    <n v="1000"/>
    <s v=""/>
    <n v="150000000"/>
    <x v="2"/>
    <s v="DI"/>
    <n v="100"/>
    <n v="1.55"/>
    <x v="99"/>
    <n v="252"/>
    <s v="Útil"/>
    <s v="N"/>
    <x v="1"/>
    <s v="S"/>
    <x v="1"/>
    <x v="1"/>
    <x v="0"/>
    <x v="103"/>
  </r>
  <r>
    <n v="0"/>
    <s v="Movida4325844354"/>
    <n v="26"/>
    <s v="MOVIDA PARTICIPACOES S/A"/>
    <s v="Movida"/>
    <x v="0"/>
    <n v="0"/>
    <s v="MOVI12    "/>
    <n v="13"/>
    <x v="211"/>
    <d v="2021-06-07T00:00:00"/>
    <x v="16"/>
    <n v="0"/>
    <x v="2"/>
    <x v="1"/>
    <n v="13825"/>
    <n v="10000"/>
    <s v=""/>
    <n v="138250000"/>
    <x v="207"/>
    <s v="DI"/>
    <n v="100"/>
    <n v="1.6"/>
    <x v="91"/>
    <n v="252"/>
    <s v="Útil"/>
    <s v="N"/>
    <x v="1"/>
    <s v="S"/>
    <x v="1"/>
    <x v="1"/>
    <x v="0"/>
    <x v="127"/>
  </r>
  <r>
    <n v="0"/>
    <s v="Movida4344145450"/>
    <n v="26"/>
    <s v="MOVIDA PARTICIPACOES S/A"/>
    <s v="Movida"/>
    <x v="0"/>
    <n v="0"/>
    <s v="MOVI13    "/>
    <n v="14"/>
    <x v="212"/>
    <d v="2024-06-07T00:00:00"/>
    <x v="97"/>
    <n v="1"/>
    <x v="2"/>
    <x v="1"/>
    <n v="214478"/>
    <n v="1000"/>
    <s v=""/>
    <n v="214478000"/>
    <x v="208"/>
    <s v="DI"/>
    <n v="100"/>
    <n v="1.85"/>
    <x v="57"/>
    <n v="252"/>
    <s v="Útil"/>
    <s v="N"/>
    <x v="1"/>
    <s v="S"/>
    <x v="1"/>
    <x v="1"/>
    <x v="0"/>
    <x v="128"/>
  </r>
  <r>
    <n v="0"/>
    <s v="Movida4364344837"/>
    <n v="26"/>
    <s v="MOVIDA PARTICIPACOES S/A"/>
    <s v="Movida"/>
    <x v="0"/>
    <n v="0"/>
    <s v="MOVI14    "/>
    <n v="15"/>
    <x v="213"/>
    <d v="2022-10-03T00:00:00"/>
    <x v="98"/>
    <n v="0"/>
    <x v="2"/>
    <x v="1"/>
    <n v="250000"/>
    <n v="1000"/>
    <s v=""/>
    <n v="250000000"/>
    <x v="16"/>
    <s v="DI"/>
    <n v="100"/>
    <n v="1.25"/>
    <x v="167"/>
    <n v="252"/>
    <s v="Útil"/>
    <s v="N"/>
    <x v="1"/>
    <s v="S"/>
    <x v="1"/>
    <x v="1"/>
    <x v="0"/>
    <x v="41"/>
  </r>
  <r>
    <n v="0"/>
    <s v="Movida4411945214"/>
    <n v="26"/>
    <s v="MOVIDA PARTICIPACOES S/A"/>
    <s v="Movida"/>
    <x v="0"/>
    <n v="0"/>
    <s v="MOVI15    "/>
    <n v="16"/>
    <x v="214"/>
    <d v="2023-10-15T00:00:00"/>
    <x v="6"/>
    <n v="0"/>
    <x v="2"/>
    <x v="1"/>
    <n v="250000"/>
    <n v="1000"/>
    <s v=""/>
    <n v="250000000"/>
    <x v="16"/>
    <s v="DI"/>
    <n v="100"/>
    <n v="2.5"/>
    <x v="233"/>
    <n v="252"/>
    <s v="Útil"/>
    <s v="N"/>
    <x v="1"/>
    <s v="S"/>
    <x v="1"/>
    <x v="1"/>
    <x v="0"/>
    <x v="129"/>
  </r>
  <r>
    <n v="0"/>
    <s v="Movida4429846492"/>
    <n v="26"/>
    <s v="MOVIDA PARTICIPACOES S/A"/>
    <s v="Movida"/>
    <x v="0"/>
    <n v="0"/>
    <s v="MOVI16    "/>
    <n v="17"/>
    <x v="7"/>
    <d v="2027-04-15T00:00:00"/>
    <x v="99"/>
    <n v="1"/>
    <x v="3"/>
    <x v="0"/>
    <n v="550000"/>
    <n v="1000"/>
    <s v=""/>
    <n v="550000000"/>
    <x v="26"/>
    <s v="DI"/>
    <n v="100"/>
    <n v="3.2"/>
    <x v="234"/>
    <n v="252"/>
    <s v="Útil"/>
    <s v="N"/>
    <x v="1"/>
    <s v="S"/>
    <x v="1"/>
    <x v="11"/>
    <x v="0"/>
    <x v="7"/>
  </r>
  <r>
    <n v="0"/>
    <s v="Movida4445446280"/>
    <n v="26"/>
    <s v="MOVIDA PARTICIPACOES S/A"/>
    <s v="Movida"/>
    <x v="0"/>
    <n v="0"/>
    <s v="MOVI17    "/>
    <n v="18"/>
    <x v="215"/>
    <d v="2026-09-15T00:00:00"/>
    <x v="4"/>
    <n v="1"/>
    <x v="2"/>
    <x v="1"/>
    <n v="1150000"/>
    <n v="1000"/>
    <s v=""/>
    <n v="1150000000"/>
    <x v="209"/>
    <s v="DI"/>
    <n v="100"/>
    <n v="2.7"/>
    <x v="235"/>
    <n v="252"/>
    <s v="Útil"/>
    <s v="N"/>
    <x v="1"/>
    <s v="S"/>
    <x v="1"/>
    <x v="11"/>
    <x v="0"/>
    <x v="95"/>
  </r>
  <r>
    <n v="0"/>
    <s v="Movida4293144757"/>
    <n v="26"/>
    <s v="MOVIDA PARTICIPACOES S/A"/>
    <s v="Movida"/>
    <x v="0"/>
    <n v="0"/>
    <s v="MOVI21    "/>
    <n v="19"/>
    <x v="210"/>
    <d v="2022-07-15T00:00:00"/>
    <x v="4"/>
    <n v="1"/>
    <x v="2"/>
    <x v="1"/>
    <n v="250000"/>
    <n v="1000"/>
    <s v=""/>
    <n v="250000000"/>
    <x v="16"/>
    <s v="DI"/>
    <n v="100"/>
    <n v="2.7"/>
    <x v="235"/>
    <n v="252"/>
    <s v="Útil"/>
    <s v="N"/>
    <x v="1"/>
    <s v="S"/>
    <x v="1"/>
    <x v="1"/>
    <x v="0"/>
    <x v="103"/>
  </r>
  <r>
    <n v="0"/>
    <s v="Movida4325845084"/>
    <n v="26"/>
    <s v="MOVIDA PARTICIPACOES S/A"/>
    <s v="Movida"/>
    <x v="0"/>
    <n v="0"/>
    <s v="MOVI22    "/>
    <n v="20"/>
    <x v="211"/>
    <d v="2023-06-07T00:00:00"/>
    <x v="4"/>
    <n v="1"/>
    <x v="2"/>
    <x v="1"/>
    <n v="18150"/>
    <n v="10000"/>
    <s v=""/>
    <n v="181500000"/>
    <x v="210"/>
    <s v="DI"/>
    <n v="100"/>
    <n v="2.2000000000000002"/>
    <x v="196"/>
    <n v="252"/>
    <s v="Útil"/>
    <s v="N"/>
    <x v="1"/>
    <s v="S"/>
    <x v="1"/>
    <x v="1"/>
    <x v="0"/>
    <x v="127"/>
  </r>
  <r>
    <n v="0"/>
    <s v="Movida4344145450"/>
    <n v="26"/>
    <s v="MOVIDA PARTICIPACOES S/A"/>
    <s v="Movida"/>
    <x v="0"/>
    <n v="0"/>
    <s v="MOVI23    "/>
    <n v="21"/>
    <x v="212"/>
    <d v="2024-06-07T00:00:00"/>
    <x v="97"/>
    <n v="1"/>
    <x v="2"/>
    <x v="1"/>
    <n v="138112"/>
    <n v="1000"/>
    <s v=""/>
    <n v="138112000"/>
    <x v="211"/>
    <s v="DI"/>
    <n v="100"/>
    <n v="2.0499999999999998"/>
    <x v="229"/>
    <n v="252"/>
    <s v="Útil"/>
    <s v="N"/>
    <x v="1"/>
    <s v="S"/>
    <x v="1"/>
    <x v="1"/>
    <x v="0"/>
    <x v="128"/>
  </r>
  <r>
    <n v="0"/>
    <s v="Movida4364345500"/>
    <n v="26"/>
    <s v="MOVIDA PARTICIPACOES S/A"/>
    <s v="Movida"/>
    <x v="0"/>
    <n v="0"/>
    <s v="MOVI24    "/>
    <n v="22"/>
    <x v="213"/>
    <d v="2024-07-27T00:00:00"/>
    <x v="100"/>
    <n v="1"/>
    <x v="2"/>
    <x v="1"/>
    <n v="166450"/>
    <n v="1000"/>
    <s v=""/>
    <n v="166450000"/>
    <x v="212"/>
    <s v="DI"/>
    <n v="100"/>
    <n v="1.6"/>
    <x v="91"/>
    <n v="252"/>
    <s v="Útil"/>
    <s v="N"/>
    <x v="1"/>
    <s v="S"/>
    <x v="1"/>
    <x v="1"/>
    <x v="0"/>
    <x v="41"/>
  </r>
  <r>
    <n v="0"/>
    <s v="Movida4411945945"/>
    <n v="26"/>
    <s v="MOVIDA PARTICIPACOES S/A"/>
    <s v="Movida"/>
    <x v="0"/>
    <n v="0"/>
    <s v="MOVI25    "/>
    <n v="23"/>
    <x v="214"/>
    <d v="2025-10-15T00:00:00"/>
    <x v="4"/>
    <n v="1"/>
    <x v="2"/>
    <x v="1"/>
    <n v="350000"/>
    <n v="1000"/>
    <s v=""/>
    <n v="350000000"/>
    <x v="14"/>
    <s v="DI"/>
    <n v="100"/>
    <n v="2.95"/>
    <x v="236"/>
    <n v="252"/>
    <s v="Útil"/>
    <s v="N"/>
    <x v="1"/>
    <s v="S"/>
    <x v="1"/>
    <x v="1"/>
    <x v="0"/>
    <x v="129"/>
  </r>
  <r>
    <n v="0"/>
    <s v="Movida4445447376"/>
    <n v="26"/>
    <s v="MOVIDA PARTICIPACOES S/A"/>
    <s v="Movida"/>
    <x v="0"/>
    <n v="0"/>
    <s v="MOVI27    "/>
    <n v="24"/>
    <x v="215"/>
    <d v="2029-09-15T00:00:00"/>
    <x v="13"/>
    <n v="1"/>
    <x v="2"/>
    <x v="1"/>
    <n v="250000"/>
    <n v="1000"/>
    <s v=""/>
    <n v="250000000"/>
    <x v="16"/>
    <s v="DI"/>
    <n v="100"/>
    <n v="2.9"/>
    <x v="31"/>
    <n v="252"/>
    <s v="Útil"/>
    <s v="N"/>
    <x v="1"/>
    <s v="S"/>
    <x v="1"/>
    <x v="11"/>
    <x v="0"/>
    <x v="95"/>
  </r>
  <r>
    <n v="0"/>
    <s v="Movida4325845084"/>
    <n v="26"/>
    <s v="MOVIDA PARTICIPACOES S/A"/>
    <s v="Movida"/>
    <x v="0"/>
    <n v="0"/>
    <s v="MOVI32    "/>
    <n v="25"/>
    <x v="211"/>
    <d v="2023-06-07T00:00:00"/>
    <x v="4"/>
    <n v="1"/>
    <x v="2"/>
    <x v="1"/>
    <n v="13025"/>
    <n v="10000"/>
    <s v=""/>
    <n v="130250000"/>
    <x v="213"/>
    <s v="DI"/>
    <n v="100"/>
    <n v="2"/>
    <x v="108"/>
    <n v="252"/>
    <s v="Útil"/>
    <s v="N"/>
    <x v="1"/>
    <s v="S"/>
    <x v="1"/>
    <x v="1"/>
    <x v="0"/>
    <x v="127"/>
  </r>
  <r>
    <n v="0"/>
    <s v="Movida4344145450"/>
    <n v="26"/>
    <s v="MOVIDA PARTICIPACOES S/A"/>
    <s v="Movida"/>
    <x v="0"/>
    <n v="0"/>
    <s v="MOVI33    "/>
    <n v="26"/>
    <x v="212"/>
    <d v="2024-06-07T00:00:00"/>
    <x v="97"/>
    <n v="1"/>
    <x v="2"/>
    <x v="1"/>
    <n v="247410"/>
    <n v="1000"/>
    <s v=""/>
    <n v="247410000"/>
    <x v="214"/>
    <s v="DI"/>
    <n v="100"/>
    <n v="2.0499999999999998"/>
    <x v="229"/>
    <n v="252"/>
    <s v="Útil"/>
    <s v="N"/>
    <x v="1"/>
    <s v="S"/>
    <x v="1"/>
    <x v="1"/>
    <x v="0"/>
    <x v="128"/>
  </r>
  <r>
    <n v="0"/>
    <s v="Movida4364346595"/>
    <n v="26"/>
    <s v="MOVIDA PARTICIPACOES S/A"/>
    <s v="Movida"/>
    <x v="0"/>
    <n v="0"/>
    <s v="MOVI34    "/>
    <n v="27"/>
    <x v="213"/>
    <d v="2027-07-27T00:00:00"/>
    <x v="101"/>
    <n v="1"/>
    <x v="2"/>
    <x v="1"/>
    <n v="283550"/>
    <n v="1000"/>
    <s v=""/>
    <n v="283550000"/>
    <x v="215"/>
    <s v="DI"/>
    <n v="100"/>
    <n v="2.0499999999999998"/>
    <x v="229"/>
    <n v="252"/>
    <s v="Útil"/>
    <s v="N"/>
    <x v="1"/>
    <s v="S"/>
    <x v="1"/>
    <x v="1"/>
    <x v="0"/>
    <x v="41"/>
  </r>
  <r>
    <n v="0"/>
    <s v="Movida4445448106"/>
    <n v="26"/>
    <s v="MOVIDA PARTICIPACOES S/A"/>
    <s v="Movida"/>
    <x v="0"/>
    <n v="0"/>
    <s v="MOVI37    "/>
    <n v="28"/>
    <x v="215"/>
    <d v="2031-09-15T00:00:00"/>
    <x v="1"/>
    <n v="1"/>
    <x v="2"/>
    <x v="1"/>
    <n v="350000"/>
    <n v="1000"/>
    <s v=""/>
    <n v="350000000"/>
    <x v="14"/>
    <s v="IPCA"/>
    <s v="-"/>
    <n v="7.6365999999999996"/>
    <x v="237"/>
    <n v="252"/>
    <s v="Útil"/>
    <s v="N"/>
    <x v="1"/>
    <s v="S"/>
    <x v="1"/>
    <x v="11"/>
    <x v="0"/>
    <x v="95"/>
  </r>
  <r>
    <n v="96"/>
    <s v="Movida4423508/02/2031"/>
    <n v="26"/>
    <s v="Movida Europe SA"/>
    <s v="Movida"/>
    <x v="1"/>
    <n v="1"/>
    <m/>
    <n v="29"/>
    <x v="133"/>
    <s v="08/02/2031"/>
    <x v="1"/>
    <n v="1"/>
    <x v="1"/>
    <x v="0"/>
    <m/>
    <m/>
    <n v="5.3663999999999996"/>
    <n v="500000000"/>
    <x v="136"/>
    <s v="USD"/>
    <s v="-"/>
    <n v="5.25"/>
    <x v="238"/>
    <n v="360"/>
    <s v="Corrido"/>
    <s v="N"/>
    <x v="1"/>
    <s v="S"/>
    <x v="1"/>
    <x v="11"/>
    <x v="0"/>
    <x v="39"/>
  </r>
  <r>
    <n v="97"/>
    <s v="Movida4445408/02/2031"/>
    <n v="26"/>
    <s v="Movida Europe SA"/>
    <s v="Movida"/>
    <x v="1"/>
    <n v="1"/>
    <m/>
    <n v="30"/>
    <x v="215"/>
    <s v="08/02/2031"/>
    <x v="102"/>
    <n v="1"/>
    <x v="1"/>
    <x v="0"/>
    <m/>
    <m/>
    <n v="5.2569999999999997"/>
    <n v="300000000"/>
    <x v="216"/>
    <s v="USD"/>
    <s v="-"/>
    <n v="5.25"/>
    <x v="239"/>
    <n v="360"/>
    <s v="Corrido"/>
    <s v="N"/>
    <x v="1"/>
    <s v="S"/>
    <x v="1"/>
    <x v="11"/>
    <x v="0"/>
    <x v="95"/>
  </r>
  <r>
    <n v="0"/>
    <s v="Natura Cosméticos4169542791"/>
    <n v="27"/>
    <s v="NATURA COSMETICOS S/A"/>
    <s v="Natura Cosméticos"/>
    <x v="0"/>
    <n v="0"/>
    <s v="NATU15    "/>
    <n v="1"/>
    <x v="216"/>
    <d v="2017-02-25T00:00:00"/>
    <x v="16"/>
    <n v="0"/>
    <x v="2"/>
    <x v="1"/>
    <n v="20000"/>
    <n v="10000"/>
    <s v=""/>
    <n v="200000000"/>
    <x v="13"/>
    <s v="DI"/>
    <n v="107"/>
    <m/>
    <x v="240"/>
    <n v="252"/>
    <s v="Útil"/>
    <s v="N"/>
    <x v="1"/>
    <s v="N"/>
    <x v="0"/>
    <x v="7"/>
    <x v="1"/>
    <x v="60"/>
  </r>
  <r>
    <n v="0"/>
    <s v="Natura Cosméticos4207943175"/>
    <n v="27"/>
    <s v="NATURA COSMETICOS S/A"/>
    <s v="Natura Cosméticos"/>
    <x v="0"/>
    <n v="0"/>
    <s v="NATU16    "/>
    <n v="2"/>
    <x v="217"/>
    <d v="2018-03-16T00:00:00"/>
    <x v="16"/>
    <n v="0"/>
    <x v="2"/>
    <x v="1"/>
    <n v="40000"/>
    <n v="10000"/>
    <s v=""/>
    <n v="400000000"/>
    <x v="0"/>
    <s v="DI"/>
    <n v="107"/>
    <m/>
    <x v="241"/>
    <n v="252"/>
    <s v="Útil"/>
    <s v="N"/>
    <x v="1"/>
    <s v="N"/>
    <x v="0"/>
    <x v="7"/>
    <x v="1"/>
    <x v="130"/>
  </r>
  <r>
    <n v="0"/>
    <s v="Natura Cosméticos4300344099"/>
    <n v="27"/>
    <s v="NATURA COSMETICOS S/A"/>
    <s v="Natura Cosméticos"/>
    <x v="0"/>
    <n v="0"/>
    <s v="NATU17    "/>
    <n v="3"/>
    <x v="218"/>
    <d v="2020-09-25T00:00:00"/>
    <x v="16"/>
    <n v="0"/>
    <x v="2"/>
    <x v="1"/>
    <n v="77273"/>
    <n v="10000"/>
    <s v=""/>
    <n v="772730000"/>
    <x v="217"/>
    <s v="DI"/>
    <n v="100"/>
    <n v="1.4"/>
    <x v="4"/>
    <n v="252"/>
    <s v="Útil"/>
    <s v="N"/>
    <x v="1"/>
    <s v="N"/>
    <x v="0"/>
    <x v="1"/>
    <x v="0"/>
    <x v="131"/>
  </r>
  <r>
    <n v="0"/>
    <s v="Natura Cosméticos4314543691"/>
    <n v="27"/>
    <s v="NATURA COSMETICOS S/A"/>
    <s v="Natura Cosméticos"/>
    <x v="0"/>
    <n v="0"/>
    <s v="NATU18    "/>
    <n v="4"/>
    <x v="219"/>
    <d v="2019-08-14T00:00:00"/>
    <x v="103"/>
    <n v="0"/>
    <x v="2"/>
    <x v="1"/>
    <n v="140000"/>
    <n v="10000"/>
    <s v=""/>
    <n v="1400000000"/>
    <x v="73"/>
    <s v="DI"/>
    <n v="110"/>
    <m/>
    <x v="242"/>
    <n v="252"/>
    <s v="Útil"/>
    <s v="N"/>
    <x v="1"/>
    <s v="S"/>
    <x v="1"/>
    <x v="0"/>
    <x v="0"/>
    <x v="76"/>
  </r>
  <r>
    <n v="0"/>
    <s v="Natura Cosméticos4336444095"/>
    <n v="27"/>
    <s v="NATURA COSMETICOS S/A"/>
    <s v="Natura Cosméticos"/>
    <x v="0"/>
    <n v="0"/>
    <s v="NATU19    "/>
    <n v="5"/>
    <x v="220"/>
    <d v="2020-09-21T00:00:00"/>
    <x v="50"/>
    <n v="0"/>
    <x v="2"/>
    <x v="1"/>
    <n v="38904"/>
    <n v="10000"/>
    <s v=""/>
    <n v="389040000"/>
    <x v="218"/>
    <s v="DI"/>
    <n v="109.5"/>
    <m/>
    <x v="243"/>
    <n v="252"/>
    <s v="Útil"/>
    <s v="N"/>
    <x v="1"/>
    <s v="N"/>
    <x v="0"/>
    <x v="0"/>
    <x v="0"/>
    <x v="132"/>
  </r>
  <r>
    <n v="0"/>
    <s v="Natura Cosméticos4169543156"/>
    <n v="27"/>
    <s v="NATURA COSMETICOS S/A"/>
    <s v="Natura Cosméticos"/>
    <x v="0"/>
    <n v="0"/>
    <s v="NATU25    "/>
    <n v="6"/>
    <x v="216"/>
    <d v="2018-02-25T00:00:00"/>
    <x v="46"/>
    <n v="0"/>
    <x v="2"/>
    <x v="1"/>
    <n v="20000"/>
    <n v="10000"/>
    <s v=""/>
    <n v="200000000"/>
    <x v="13"/>
    <s v="DI"/>
    <n v="107.5"/>
    <m/>
    <x v="244"/>
    <n v="252"/>
    <s v="Útil"/>
    <s v="N"/>
    <x v="1"/>
    <s v="N"/>
    <x v="0"/>
    <x v="7"/>
    <x v="1"/>
    <x v="60"/>
  </r>
  <r>
    <n v="0"/>
    <s v="Natura Cosméticos4207943540"/>
    <n v="27"/>
    <s v="NATURA COSMETICOS S/A"/>
    <s v="Natura Cosméticos"/>
    <x v="0"/>
    <n v="0"/>
    <s v="NATU26    "/>
    <n v="7"/>
    <x v="217"/>
    <d v="2019-03-16T00:00:00"/>
    <x v="46"/>
    <n v="0"/>
    <x v="2"/>
    <x v="1"/>
    <n v="25000"/>
    <n v="10000"/>
    <s v=""/>
    <n v="250000000"/>
    <x v="16"/>
    <s v="DI"/>
    <n v="108.25"/>
    <m/>
    <x v="245"/>
    <n v="252"/>
    <s v="Útil"/>
    <s v="N"/>
    <x v="1"/>
    <s v="N"/>
    <x v="0"/>
    <x v="7"/>
    <x v="1"/>
    <x v="130"/>
  </r>
  <r>
    <n v="0"/>
    <s v="Natura Cosméticos4300344464"/>
    <n v="27"/>
    <s v="NATURA COSMETICOS S/A"/>
    <s v="Natura Cosméticos"/>
    <x v="0"/>
    <n v="0"/>
    <s v="NATU27    "/>
    <n v="8"/>
    <x v="218"/>
    <d v="2021-09-25T00:00:00"/>
    <x v="46"/>
    <n v="0"/>
    <x v="2"/>
    <x v="1"/>
    <n v="182727"/>
    <n v="10000"/>
    <s v=""/>
    <n v="1827270000"/>
    <x v="219"/>
    <s v="DI"/>
    <n v="100"/>
    <n v="1.75"/>
    <x v="85"/>
    <n v="252"/>
    <s v="Útil"/>
    <s v="N"/>
    <x v="1"/>
    <s v="N"/>
    <x v="0"/>
    <x v="1"/>
    <x v="0"/>
    <x v="131"/>
  </r>
  <r>
    <n v="0"/>
    <s v="Natura Cosméticos4336444460"/>
    <n v="27"/>
    <s v="NATURA COSMETICOS S/A"/>
    <s v="Natura Cosméticos"/>
    <x v="0"/>
    <n v="0"/>
    <s v="NATU29    "/>
    <n v="9"/>
    <x v="220"/>
    <d v="2021-09-21T00:00:00"/>
    <x v="16"/>
    <n v="0"/>
    <x v="2"/>
    <x v="1"/>
    <n v="30831"/>
    <n v="10000"/>
    <s v=""/>
    <n v="308310000"/>
    <x v="220"/>
    <s v="DI"/>
    <n v="110.5"/>
    <m/>
    <x v="246"/>
    <n v="252"/>
    <s v="Útil"/>
    <s v="N"/>
    <x v="1"/>
    <s v="N"/>
    <x v="0"/>
    <x v="0"/>
    <x v="0"/>
    <x v="132"/>
  </r>
  <r>
    <n v="0"/>
    <s v="Natura Cosméticos4169543521"/>
    <n v="27"/>
    <s v="NATURA COSMETICOS S/A"/>
    <s v="Natura Cosméticos"/>
    <x v="0"/>
    <n v="0"/>
    <s v="NATU35    "/>
    <n v="10"/>
    <x v="216"/>
    <d v="2019-02-25T00:00:00"/>
    <x v="4"/>
    <n v="1"/>
    <x v="2"/>
    <x v="1"/>
    <n v="20000"/>
    <n v="10000"/>
    <s v=""/>
    <n v="200000000"/>
    <x v="13"/>
    <s v="DI"/>
    <n v="108"/>
    <m/>
    <x v="247"/>
    <n v="252"/>
    <s v="Útil"/>
    <s v="N"/>
    <x v="1"/>
    <s v="N"/>
    <x v="0"/>
    <x v="7"/>
    <x v="1"/>
    <x v="60"/>
  </r>
  <r>
    <n v="0"/>
    <s v="Natura Cosméticos4207943906"/>
    <n v="27"/>
    <s v="NATURA COSMETICOS S/A"/>
    <s v="Natura Cosméticos"/>
    <x v="0"/>
    <n v="0"/>
    <s v="NATU36    "/>
    <n v="11"/>
    <x v="217"/>
    <d v="2020-03-16T00:00:00"/>
    <x v="5"/>
    <n v="1"/>
    <x v="2"/>
    <x v="1"/>
    <n v="15000"/>
    <n v="10000"/>
    <s v=""/>
    <n v="150000000"/>
    <x v="2"/>
    <s v="DI"/>
    <n v="109"/>
    <m/>
    <x v="248"/>
    <n v="252"/>
    <s v="Útil"/>
    <s v="N"/>
    <x v="1"/>
    <s v="N"/>
    <x v="0"/>
    <x v="7"/>
    <x v="1"/>
    <x v="130"/>
  </r>
  <r>
    <n v="0"/>
    <s v="Natura Cosméticos4336444825"/>
    <n v="27"/>
    <s v="NATURA COSMETICOS S/A"/>
    <s v="Natura Cosméticos"/>
    <x v="0"/>
    <n v="0"/>
    <s v="NATU39    "/>
    <n v="12"/>
    <x v="220"/>
    <d v="2022-09-21T00:00:00"/>
    <x v="46"/>
    <n v="0"/>
    <x v="2"/>
    <x v="1"/>
    <n v="30265"/>
    <n v="10000"/>
    <s v=""/>
    <n v="302650000"/>
    <x v="221"/>
    <s v="DI"/>
    <n v="112"/>
    <m/>
    <x v="249"/>
    <n v="252"/>
    <s v="Útil"/>
    <s v="N"/>
    <x v="1"/>
    <s v="N"/>
    <x v="0"/>
    <x v="0"/>
    <x v="0"/>
    <x v="132"/>
  </r>
  <r>
    <n v="0"/>
    <s v="Natura Cosméticos4370345530"/>
    <n v="27"/>
    <s v="NATURA COSMETICOS S/A"/>
    <s v="Natura Cosméticos"/>
    <x v="0"/>
    <n v="0"/>
    <s v="NATUA0    "/>
    <n v="13"/>
    <x v="221"/>
    <d v="2024-08-26T00:00:00"/>
    <x v="5"/>
    <n v="1"/>
    <x v="2"/>
    <x v="1"/>
    <n v="40000"/>
    <n v="10000"/>
    <s v=""/>
    <n v="400000000"/>
    <x v="0"/>
    <s v="DI"/>
    <n v="100"/>
    <n v="1"/>
    <x v="129"/>
    <n v="252"/>
    <s v="Útil"/>
    <s v="N"/>
    <x v="1"/>
    <s v="S"/>
    <x v="1"/>
    <x v="0"/>
    <x v="0"/>
    <x v="33"/>
  </r>
  <r>
    <n v="0"/>
    <s v="Natura Cosméticos4370345530"/>
    <n v="27"/>
    <s v="NATURA COSMETICOS S/A"/>
    <s v="Natura Cosméticos"/>
    <x v="0"/>
    <n v="0"/>
    <s v="NATUB0    "/>
    <n v="14"/>
    <x v="221"/>
    <d v="2024-08-26T00:00:00"/>
    <x v="5"/>
    <n v="1"/>
    <x v="2"/>
    <x v="1"/>
    <n v="9570"/>
    <n v="10000"/>
    <s v=""/>
    <n v="95700000"/>
    <x v="222"/>
    <s v="DI"/>
    <n v="100"/>
    <n v="1.1499999999999999"/>
    <x v="202"/>
    <n v="252"/>
    <s v="Útil"/>
    <s v="N"/>
    <x v="1"/>
    <s v="S"/>
    <x v="1"/>
    <x v="0"/>
    <x v="0"/>
    <x v="33"/>
  </r>
  <r>
    <n v="0"/>
    <s v="Natura Cosméticos4370345530"/>
    <n v="27"/>
    <s v="NATURA COSMETICOS S/A"/>
    <s v="Natura Cosméticos"/>
    <x v="0"/>
    <n v="0"/>
    <s v="NATUC0    "/>
    <n v="15"/>
    <x v="221"/>
    <d v="2024-08-26T00:00:00"/>
    <x v="5"/>
    <n v="1"/>
    <x v="2"/>
    <x v="1"/>
    <n v="68726"/>
    <n v="10000"/>
    <s v=""/>
    <n v="687260000"/>
    <x v="223"/>
    <s v="DI"/>
    <n v="100"/>
    <n v="1.1499999999999999"/>
    <x v="202"/>
    <n v="252"/>
    <s v="Útil"/>
    <s v="N"/>
    <x v="1"/>
    <s v="S"/>
    <x v="1"/>
    <x v="0"/>
    <x v="0"/>
    <x v="33"/>
  </r>
  <r>
    <n v="0"/>
    <s v="Natura Cosméticos4370345530"/>
    <n v="27"/>
    <s v="NATURA COSMETICOS S/A"/>
    <s v="Natura Cosméticos"/>
    <x v="0"/>
    <n v="0"/>
    <s v="NATUD0    "/>
    <n v="16"/>
    <x v="221"/>
    <d v="2024-08-26T00:00:00"/>
    <x v="5"/>
    <n v="1"/>
    <x v="2"/>
    <x v="1"/>
    <n v="39452"/>
    <n v="10000"/>
    <s v=""/>
    <n v="394520000"/>
    <x v="224"/>
    <s v="DI"/>
    <n v="100"/>
    <n v="1.1499999999999999"/>
    <x v="202"/>
    <n v="252"/>
    <s v="Útil"/>
    <s v="N"/>
    <x v="1"/>
    <s v="S"/>
    <x v="1"/>
    <x v="0"/>
    <x v="0"/>
    <x v="33"/>
  </r>
  <r>
    <n v="98"/>
    <s v="Natura Cosméticos4431903/05/2028"/>
    <n v="27"/>
    <s v="Natura Cosmeticos SA"/>
    <s v="Natura Cosméticos"/>
    <x v="1"/>
    <n v="1"/>
    <m/>
    <n v="17"/>
    <x v="222"/>
    <s v="03/05/2028"/>
    <x v="8"/>
    <n v="1"/>
    <x v="1"/>
    <x v="0"/>
    <m/>
    <m/>
    <n v="5.4081000000000001"/>
    <n v="1000000000"/>
    <x v="225"/>
    <s v="USD"/>
    <s v="-"/>
    <n v="4.125"/>
    <x v="250"/>
    <n v="360"/>
    <s v="Corrido"/>
    <s v="N"/>
    <x v="1"/>
    <s v="S"/>
    <x v="1"/>
    <x v="0"/>
    <x v="0"/>
    <x v="133"/>
  </r>
  <r>
    <n v="99"/>
    <s v="Natura Cosméticos4313201/02/2023"/>
    <n v="27"/>
    <s v="Natura Cosmeticos SA"/>
    <s v="Natura Cosméticos"/>
    <x v="1"/>
    <n v="1"/>
    <m/>
    <n v="18"/>
    <x v="223"/>
    <s v="01/02/2023"/>
    <x v="4"/>
    <n v="1"/>
    <x v="5"/>
    <x v="1"/>
    <m/>
    <m/>
    <n v="3.1724000000000001"/>
    <n v="750000000"/>
    <x v="226"/>
    <s v="USD"/>
    <s v="-"/>
    <n v="5.375"/>
    <x v="251"/>
    <n v="360"/>
    <s v="Corrido"/>
    <s v="N"/>
    <x v="1"/>
    <s v="S"/>
    <x v="1"/>
    <x v="0"/>
    <x v="0"/>
    <x v="75"/>
  </r>
  <r>
    <n v="0"/>
    <s v="Oi4136143552"/>
    <n v="28"/>
    <s v="OI S/A – EM RECUPERACAO JUDICIAL"/>
    <s v="Oi"/>
    <x v="0"/>
    <n v="0"/>
    <s v="BRTO10    "/>
    <n v="1"/>
    <x v="224"/>
    <d v="2019-03-28T00:00:00"/>
    <x v="7"/>
    <n v="1"/>
    <x v="2"/>
    <x v="1"/>
    <n v="150000"/>
    <n v="10000"/>
    <s v=""/>
    <n v="1500000000"/>
    <x v="71"/>
    <s v="DI"/>
    <n v="100"/>
    <n v="0.75"/>
    <x v="51"/>
    <n v="252"/>
    <s v="Útil"/>
    <s v="N"/>
    <x v="1"/>
    <s v="S"/>
    <x v="1"/>
    <x v="2"/>
    <x v="1"/>
    <x v="134"/>
  </r>
  <r>
    <n v="0"/>
    <s v="Oi4076342955"/>
    <n v="28"/>
    <s v="OI S/A – EM RECUPERACAO JUDICIAL"/>
    <s v="Oi"/>
    <x v="0"/>
    <n v="0"/>
    <s v="BRTO17    "/>
    <n v="2"/>
    <x v="225"/>
    <d v="2017-08-08T00:00:00"/>
    <x v="11"/>
    <n v="1"/>
    <x v="2"/>
    <x v="1"/>
    <n v="100"/>
    <n v="10000000"/>
    <s v=""/>
    <n v="1000000000"/>
    <x v="18"/>
    <s v="DI"/>
    <n v="100"/>
    <n v="1"/>
    <x v="129"/>
    <n v="252"/>
    <s v="Útil"/>
    <s v="N"/>
    <x v="1"/>
    <s v="S"/>
    <x v="1"/>
    <x v="7"/>
    <x v="1"/>
    <x v="34"/>
  </r>
  <r>
    <n v="0"/>
    <s v="Oi4090543462"/>
    <n v="28"/>
    <s v="OI S/A – EM RECUPERACAO JUDICIAL"/>
    <s v="Oi"/>
    <x v="0"/>
    <n v="0"/>
    <s v="BRTO18    "/>
    <n v="3"/>
    <x v="226"/>
    <d v="2018-12-28T00:00:00"/>
    <x v="8"/>
    <n v="1"/>
    <x v="2"/>
    <x v="1"/>
    <n v="2350"/>
    <n v="1000000"/>
    <s v=""/>
    <n v="2350000000"/>
    <x v="227"/>
    <s v="DI"/>
    <n v="100"/>
    <n v="1.1499999999999999"/>
    <x v="202"/>
    <n v="252"/>
    <s v="Útil"/>
    <s v="N"/>
    <x v="1"/>
    <s v="S"/>
    <x v="1"/>
    <x v="7"/>
    <x v="1"/>
    <x v="93"/>
  </r>
  <r>
    <n v="0"/>
    <s v="Oi4098342809"/>
    <n v="28"/>
    <s v="OI S/A – EM RECUPERACAO JUDICIAL"/>
    <s v="Oi"/>
    <x v="0"/>
    <n v="0"/>
    <s v="BRTO19    "/>
    <n v="4"/>
    <x v="227"/>
    <d v="2017-03-15T00:00:00"/>
    <x v="4"/>
    <n v="1"/>
    <x v="2"/>
    <x v="1"/>
    <n v="40000"/>
    <n v="10000"/>
    <s v=""/>
    <n v="400000000"/>
    <x v="0"/>
    <s v="DI"/>
    <n v="100"/>
    <n v="0.94"/>
    <x v="252"/>
    <n v="252"/>
    <s v="Útil"/>
    <s v="N"/>
    <x v="1"/>
    <s v="S"/>
    <x v="1"/>
    <x v="7"/>
    <x v="1"/>
    <x v="23"/>
  </r>
  <r>
    <n v="0"/>
    <s v="Oi4098343905"/>
    <n v="28"/>
    <s v="OI S/A – EM RECUPERACAO JUDICIAL"/>
    <s v="Oi"/>
    <x v="0"/>
    <n v="0"/>
    <s v="BRTO29    "/>
    <n v="5"/>
    <x v="227"/>
    <d v="2020-03-15T00:00:00"/>
    <x v="13"/>
    <n v="1"/>
    <x v="2"/>
    <x v="1"/>
    <n v="160000"/>
    <n v="10000"/>
    <s v=""/>
    <n v="1600000000"/>
    <x v="228"/>
    <s v="IPCA"/>
    <s v="-"/>
    <n v="6.2"/>
    <x v="253"/>
    <n v="252"/>
    <s v="Útil"/>
    <s v="N"/>
    <x v="1"/>
    <s v="S"/>
    <x v="1"/>
    <x v="7"/>
    <x v="1"/>
    <x v="23"/>
  </r>
  <r>
    <n v="0"/>
    <s v="Oi4313649365"/>
    <n v="28"/>
    <s v="OI S/A – EM RECUPERACAO JUDICIAL"/>
    <s v="Oi"/>
    <x v="0"/>
    <n v="0"/>
    <s v="OIBRA2    "/>
    <n v="6"/>
    <x v="228"/>
    <d v="2035-02-25T00:00:00"/>
    <x v="104"/>
    <n v="1"/>
    <x v="2"/>
    <x v="1"/>
    <n v="4168602"/>
    <n v="1000"/>
    <s v=""/>
    <n v="4168602000"/>
    <x v="229"/>
    <s v="DI"/>
    <n v="80"/>
    <s v=""/>
    <x v="254"/>
    <n v="252"/>
    <s v="Útil"/>
    <s v="N"/>
    <x v="1"/>
    <s v="S"/>
    <x v="1"/>
    <x v="14"/>
    <x v="0"/>
    <x v="16"/>
  </r>
  <r>
    <n v="100"/>
    <s v="Oi4094910/02/2022"/>
    <n v="28"/>
    <s v="Oi Brasil Holdings Cooperatief UA"/>
    <s v="Oi"/>
    <x v="1"/>
    <n v="1"/>
    <m/>
    <n v="7"/>
    <x v="201"/>
    <s v="10/02/2022"/>
    <x v="12"/>
    <n v="1"/>
    <x v="1"/>
    <x v="0"/>
    <m/>
    <m/>
    <n v="1.7254"/>
    <n v="1100000000"/>
    <x v="230"/>
    <s v="USD"/>
    <s v="-"/>
    <n v="5.75"/>
    <x v="255"/>
    <n v="360"/>
    <s v="Corrido"/>
    <s v="N"/>
    <x v="1"/>
    <s v="N"/>
    <x v="0"/>
    <x v="7"/>
    <x v="1"/>
    <x v="123"/>
  </r>
  <r>
    <n v="101"/>
    <s v="Oi4330827/07/2025"/>
    <n v="28"/>
    <s v="Oi SA"/>
    <s v="Oi"/>
    <x v="1"/>
    <n v="1"/>
    <m/>
    <n v="8"/>
    <x v="229"/>
    <s v="27/07/2025"/>
    <x v="8"/>
    <n v="1"/>
    <x v="1"/>
    <x v="0"/>
    <m/>
    <m/>
    <n v="3.7158000000000002"/>
    <n v="1655600000"/>
    <x v="231"/>
    <s v="USD"/>
    <s v="-"/>
    <n v="10"/>
    <x v="256"/>
    <n v="360"/>
    <s v="Corrido"/>
    <s v="N"/>
    <x v="1"/>
    <s v="N"/>
    <x v="0"/>
    <x v="14"/>
    <x v="0"/>
    <x v="24"/>
  </r>
  <r>
    <n v="0"/>
    <s v="Petrobras4177943971"/>
    <n v="29"/>
    <s v="PETROLEO BRASILEIRO S/A - PETROBRAS"/>
    <s v="Petrobras"/>
    <x v="0"/>
    <n v="0"/>
    <s v="PETR14    "/>
    <n v="1"/>
    <x v="230"/>
    <d v="2020-05-20T00:00:00"/>
    <x v="11"/>
    <n v="1"/>
    <x v="2"/>
    <x v="1"/>
    <n v="20"/>
    <n v="40000000"/>
    <s v=""/>
    <n v="800000000"/>
    <x v="6"/>
    <s v="DI"/>
    <n v="104.5"/>
    <m/>
    <x v="257"/>
    <n v="252"/>
    <s v="Útil"/>
    <s v="N"/>
    <x v="1"/>
    <s v="S"/>
    <x v="1"/>
    <x v="7"/>
    <x v="1"/>
    <x v="113"/>
  </r>
  <r>
    <n v="0"/>
    <s v="Petrobras4296244788"/>
    <n v="29"/>
    <s v="PETROLEO BRASILEIRO S/A - PETROBRAS"/>
    <s v="Petrobras"/>
    <x v="0"/>
    <n v="0"/>
    <s v="PETR15    "/>
    <n v="2"/>
    <x v="231"/>
    <d v="2022-08-15T00:00:00"/>
    <x v="4"/>
    <n v="1"/>
    <x v="2"/>
    <x v="1"/>
    <n v="301000"/>
    <n v="1000"/>
    <s v=""/>
    <n v="301000000"/>
    <x v="232"/>
    <s v="IPCA"/>
    <s v="-"/>
    <n v="4.7176"/>
    <x v="258"/>
    <n v="252"/>
    <s v="Útil"/>
    <s v="S"/>
    <x v="0"/>
    <s v="S"/>
    <x v="1"/>
    <x v="0"/>
    <x v="0"/>
    <x v="135"/>
  </r>
  <r>
    <n v="0"/>
    <s v="Petrobras4348046037"/>
    <n v="29"/>
    <s v="PETROLEO BRASILEIRO S/A - PETROBRAS"/>
    <s v="Petrobras"/>
    <x v="0"/>
    <n v="0"/>
    <s v="PETR16    "/>
    <n v="3"/>
    <x v="232"/>
    <d v="2026-01-15T00:00:00"/>
    <x v="8"/>
    <n v="1"/>
    <x v="2"/>
    <x v="1"/>
    <n v="898397"/>
    <n v="1000"/>
    <s v=""/>
    <n v="898397000"/>
    <x v="233"/>
    <s v="IPCA"/>
    <s v="-"/>
    <n v="4.0460000000000003"/>
    <x v="259"/>
    <n v="252"/>
    <s v="Útil"/>
    <s v="S"/>
    <x v="0"/>
    <s v="N"/>
    <x v="0"/>
    <x v="11"/>
    <x v="0"/>
    <x v="1"/>
  </r>
  <r>
    <n v="0"/>
    <s v="Petrobras4369247376"/>
    <n v="29"/>
    <s v="PETROLEO BRASILEIRO S/A - PETROBRAS"/>
    <s v="Petrobras"/>
    <x v="0"/>
    <n v="0"/>
    <s v="PETR17    "/>
    <n v="4"/>
    <x v="233"/>
    <d v="2029-09-15T00:00:00"/>
    <x v="105"/>
    <n v="1"/>
    <x v="2"/>
    <x v="1"/>
    <n v="1529339"/>
    <n v="1000"/>
    <s v=""/>
    <n v="1529339000"/>
    <x v="234"/>
    <s v="IPCA"/>
    <s v="-"/>
    <n v="3.6"/>
    <x v="260"/>
    <n v="252"/>
    <s v="Útil"/>
    <s v="S"/>
    <x v="0"/>
    <s v="N"/>
    <x v="0"/>
    <x v="11"/>
    <x v="0"/>
    <x v="136"/>
  </r>
  <r>
    <n v="0"/>
    <s v="Petrobras4296245519"/>
    <n v="29"/>
    <s v="PETROLEO BRASILEIRO S/A - PETROBRAS"/>
    <s v="Petrobras"/>
    <x v="0"/>
    <n v="0"/>
    <s v="PETR25    "/>
    <n v="5"/>
    <x v="231"/>
    <d v="2024-08-15T00:00:00"/>
    <x v="8"/>
    <n v="1"/>
    <x v="2"/>
    <x v="1"/>
    <n v="1089892"/>
    <n v="1000"/>
    <s v=""/>
    <n v="1089892000"/>
    <x v="235"/>
    <s v="IPCA"/>
    <s v="-"/>
    <n v="5.2092000000000001"/>
    <x v="261"/>
    <n v="252"/>
    <s v="Útil"/>
    <s v="S"/>
    <x v="0"/>
    <s v="S"/>
    <x v="1"/>
    <x v="0"/>
    <x v="0"/>
    <x v="135"/>
  </r>
  <r>
    <n v="0"/>
    <s v="Petrobras4348047133"/>
    <n v="29"/>
    <s v="PETROLEO BRASILEIRO S/A - PETROBRAS"/>
    <s v="Petrobras"/>
    <x v="0"/>
    <n v="0"/>
    <s v="PETR26    "/>
    <n v="6"/>
    <x v="232"/>
    <d v="2029-01-15T00:00:00"/>
    <x v="12"/>
    <n v="1"/>
    <x v="2"/>
    <x v="1"/>
    <n v="1694089"/>
    <n v="1000"/>
    <s v=""/>
    <n v="1694089000"/>
    <x v="236"/>
    <s v="IPCA"/>
    <s v="-"/>
    <n v="4.2186000000000003"/>
    <x v="262"/>
    <n v="252"/>
    <s v="Útil"/>
    <s v="S"/>
    <x v="0"/>
    <s v="N"/>
    <x v="0"/>
    <x v="11"/>
    <x v="0"/>
    <x v="1"/>
  </r>
  <r>
    <n v="0"/>
    <s v="Petrobras4369249202"/>
    <n v="29"/>
    <s v="PETROLEO BRASILEIRO S/A - PETROBRAS"/>
    <s v="Petrobras"/>
    <x v="0"/>
    <n v="0"/>
    <s v="PETR27    "/>
    <n v="7"/>
    <x v="233"/>
    <d v="2034-09-15T00:00:00"/>
    <x v="106"/>
    <n v="1"/>
    <x v="2"/>
    <x v="1"/>
    <n v="1478670"/>
    <n v="1000"/>
    <s v=""/>
    <n v="1478670000"/>
    <x v="237"/>
    <s v="IPCA"/>
    <s v="-"/>
    <n v="3.9"/>
    <x v="263"/>
    <n v="252"/>
    <s v="Útil"/>
    <s v="S"/>
    <x v="0"/>
    <s v="N"/>
    <x v="0"/>
    <x v="11"/>
    <x v="0"/>
    <x v="136"/>
  </r>
  <r>
    <n v="0"/>
    <s v="Petrobras4296244788"/>
    <n v="29"/>
    <s v="PETROLEO BRASILEIRO S/A - PETROBRAS"/>
    <s v="Petrobras"/>
    <x v="0"/>
    <n v="0"/>
    <s v="PETR35    "/>
    <n v="8"/>
    <x v="231"/>
    <d v="2022-08-15T00:00:00"/>
    <x v="4"/>
    <n v="1"/>
    <x v="2"/>
    <x v="1"/>
    <n v="3346237"/>
    <n v="1000"/>
    <s v=""/>
    <n v="3346237000"/>
    <x v="238"/>
    <s v="DI"/>
    <n v="106.75"/>
    <m/>
    <x v="264"/>
    <n v="252"/>
    <s v="Útil"/>
    <s v="N"/>
    <x v="1"/>
    <s v="S"/>
    <x v="1"/>
    <x v="0"/>
    <x v="0"/>
    <x v="135"/>
  </r>
  <r>
    <n v="0"/>
    <s v="Petrobras4348046037"/>
    <n v="29"/>
    <s v="PETROLEO BRASILEIRO S/A - PETROBRAS"/>
    <s v="Petrobras"/>
    <x v="0"/>
    <n v="0"/>
    <s v="PETR36    "/>
    <n v="9"/>
    <x v="232"/>
    <d v="2026-01-15T00:00:00"/>
    <x v="8"/>
    <n v="1"/>
    <x v="2"/>
    <x v="1"/>
    <n v="1007514"/>
    <n v="1000"/>
    <s v=""/>
    <n v="1007514000"/>
    <x v="239"/>
    <s v="DI"/>
    <n v="106.25"/>
    <m/>
    <x v="265"/>
    <n v="252"/>
    <s v="Útil"/>
    <s v="N"/>
    <x v="1"/>
    <s v="S"/>
    <x v="1"/>
    <x v="11"/>
    <x v="0"/>
    <x v="1"/>
  </r>
  <r>
    <n v="0"/>
    <s v="Petrobras4296245519"/>
    <n v="29"/>
    <s v="PETROLEO BRASILEIRO S/A - PETROBRAS"/>
    <s v="Petrobras"/>
    <x v="0"/>
    <n v="0"/>
    <s v="PETR45    "/>
    <n v="10"/>
    <x v="231"/>
    <d v="2024-08-15T00:00:00"/>
    <x v="8"/>
    <n v="1"/>
    <x v="2"/>
    <x v="1"/>
    <n v="251690"/>
    <n v="1000"/>
    <s v=""/>
    <n v="251690000"/>
    <x v="240"/>
    <s v="IPCA"/>
    <s v="-"/>
    <n v="5.8385999999999996"/>
    <x v="261"/>
    <n v="252"/>
    <s v="Útil"/>
    <s v="N"/>
    <x v="1"/>
    <s v="S"/>
    <x v="1"/>
    <x v="0"/>
    <x v="0"/>
    <x v="135"/>
  </r>
  <r>
    <n v="102"/>
    <s v="Petrobras4398503/01/2031"/>
    <n v="29"/>
    <s v="Petrobras Global Finance BV"/>
    <s v="Petrobras"/>
    <x v="1"/>
    <n v="1"/>
    <m/>
    <n v="11"/>
    <x v="234"/>
    <s v="03/01/2031"/>
    <x v="53"/>
    <n v="1"/>
    <x v="1"/>
    <x v="0"/>
    <m/>
    <m/>
    <n v="5.0510000000000002"/>
    <n v="1500000000"/>
    <x v="241"/>
    <s v="USD"/>
    <s v="-"/>
    <n v="5.6"/>
    <x v="266"/>
    <n v="360"/>
    <s v="Corrido"/>
    <s v="N"/>
    <x v="1"/>
    <s v="S"/>
    <x v="1"/>
    <x v="11"/>
    <x v="0"/>
    <x v="51"/>
  </r>
  <r>
    <n v="103"/>
    <s v="Petrobras4171517/03/2044"/>
    <n v="29"/>
    <s v="Petrobras Global Finance BV"/>
    <s v="Petrobras"/>
    <x v="1"/>
    <n v="1"/>
    <m/>
    <n v="12"/>
    <x v="235"/>
    <s v="17/03/2044"/>
    <x v="33"/>
    <n v="1"/>
    <x v="1"/>
    <x v="0"/>
    <m/>
    <m/>
    <n v="2.3513000000000002"/>
    <n v="1000000000"/>
    <x v="242"/>
    <s v="USD"/>
    <s v="-"/>
    <n v="7.25"/>
    <x v="267"/>
    <n v="360"/>
    <s v="Corrido"/>
    <s v="N"/>
    <x v="1"/>
    <s v="N"/>
    <x v="0"/>
    <x v="7"/>
    <x v="1"/>
    <x v="102"/>
  </r>
  <r>
    <n v="104"/>
    <s v="Petrobras4435710/06/2051"/>
    <n v="29"/>
    <s v="Petrobras Global Finance BV"/>
    <s v="Petrobras"/>
    <x v="1"/>
    <n v="1"/>
    <m/>
    <n v="13"/>
    <x v="100"/>
    <s v="10/06/2051"/>
    <x v="41"/>
    <n v="1"/>
    <x v="1"/>
    <x v="0"/>
    <m/>
    <m/>
    <n v="5.0635000000000003"/>
    <n v="1500000000"/>
    <x v="243"/>
    <s v="USD"/>
    <s v="-"/>
    <n v="5.5"/>
    <x v="268"/>
    <n v="360"/>
    <s v="Corrido"/>
    <s v="N"/>
    <x v="1"/>
    <s v="S"/>
    <x v="1"/>
    <x v="11"/>
    <x v="0"/>
    <x v="40"/>
  </r>
  <r>
    <n v="105"/>
    <s v="Petrobras4275217/01/2027"/>
    <n v="29"/>
    <s v="Petrobras Global Finance BV"/>
    <s v="Petrobras"/>
    <x v="1"/>
    <n v="1"/>
    <m/>
    <n v="14"/>
    <x v="236"/>
    <s v="17/01/2027"/>
    <x v="1"/>
    <n v="1"/>
    <x v="1"/>
    <x v="0"/>
    <m/>
    <m/>
    <n v="3.2094"/>
    <n v="2000000000"/>
    <x v="244"/>
    <s v="USD"/>
    <s v="-"/>
    <n v="7.375"/>
    <x v="269"/>
    <n v="360"/>
    <s v="Corrido"/>
    <s v="N"/>
    <x v="1"/>
    <s v="N"/>
    <x v="0"/>
    <x v="0"/>
    <x v="0"/>
    <x v="116"/>
  </r>
  <r>
    <n v="106"/>
    <s v="Petrobras4354319/03/2049"/>
    <n v="29"/>
    <s v="Petrobras Global Finance BV"/>
    <s v="Petrobras"/>
    <x v="1"/>
    <n v="1"/>
    <m/>
    <n v="15"/>
    <x v="154"/>
    <s v="19/03/2049"/>
    <x v="33"/>
    <n v="1"/>
    <x v="1"/>
    <x v="0"/>
    <m/>
    <m/>
    <n v="3.7755999999999998"/>
    <n v="2250000000"/>
    <x v="245"/>
    <s v="USD"/>
    <s v="-"/>
    <n v="6.9"/>
    <x v="270"/>
    <n v="360"/>
    <s v="Corrido"/>
    <s v="N"/>
    <x v="1"/>
    <s v="N"/>
    <x v="0"/>
    <x v="11"/>
    <x v="0"/>
    <x v="102"/>
  </r>
  <r>
    <n v="107"/>
    <s v="Petrobras4171517/03/2024"/>
    <n v="29"/>
    <s v="Petrobras Global Finance BV"/>
    <s v="Petrobras"/>
    <x v="1"/>
    <n v="1"/>
    <m/>
    <n v="16"/>
    <x v="235"/>
    <s v="17/03/2024"/>
    <x v="12"/>
    <n v="1"/>
    <x v="1"/>
    <x v="0"/>
    <m/>
    <m/>
    <n v="2.3513000000000002"/>
    <n v="2500000000"/>
    <x v="246"/>
    <s v="USD"/>
    <s v="-"/>
    <n v="6.25"/>
    <x v="271"/>
    <n v="360"/>
    <s v="Corrido"/>
    <s v="N"/>
    <x v="1"/>
    <s v="N"/>
    <x v="0"/>
    <x v="7"/>
    <x v="1"/>
    <x v="102"/>
  </r>
  <r>
    <n v="108"/>
    <s v="Petrobras4313201/02/2029"/>
    <n v="29"/>
    <s v="Petrobras Global Finance BV"/>
    <s v="Petrobras"/>
    <x v="1"/>
    <n v="1"/>
    <m/>
    <n v="17"/>
    <x v="223"/>
    <s v="01/02/2029"/>
    <x v="107"/>
    <n v="1"/>
    <x v="1"/>
    <x v="0"/>
    <m/>
    <m/>
    <n v="3.1724000000000001"/>
    <n v="2000000000"/>
    <x v="247"/>
    <s v="USD"/>
    <s v="-"/>
    <n v="5.75"/>
    <x v="272"/>
    <n v="360"/>
    <s v="Corrido"/>
    <s v="N"/>
    <x v="1"/>
    <s v="N"/>
    <x v="0"/>
    <x v="11"/>
    <x v="0"/>
    <x v="75"/>
  </r>
  <r>
    <n v="109"/>
    <s v="Petrobras4057027/01/2041"/>
    <n v="29"/>
    <s v="Petrobras Global Finance BV"/>
    <s v="Petrobras"/>
    <x v="1"/>
    <n v="1"/>
    <m/>
    <n v="18"/>
    <x v="237"/>
    <s v="27/01/2041"/>
    <x v="33"/>
    <n v="1"/>
    <x v="1"/>
    <x v="0"/>
    <m/>
    <m/>
    <n v="1.6712"/>
    <n v="1000000000"/>
    <x v="248"/>
    <s v="USD"/>
    <s v="-"/>
    <n v="6.75"/>
    <x v="273"/>
    <n v="360"/>
    <s v="Corrido"/>
    <s v="N"/>
    <x v="1"/>
    <s v="N"/>
    <x v="0"/>
    <x v="7"/>
    <x v="1"/>
    <x v="30"/>
  </r>
  <r>
    <n v="110"/>
    <s v="Petrobras4251323/05/2026"/>
    <n v="29"/>
    <s v="Petrobras Global Finance BV"/>
    <s v="Petrobras"/>
    <x v="1"/>
    <n v="1"/>
    <m/>
    <n v="19"/>
    <x v="238"/>
    <s v="23/05/2026"/>
    <x v="1"/>
    <n v="1"/>
    <x v="1"/>
    <x v="0"/>
    <m/>
    <m/>
    <n v="3.5653999999999999"/>
    <n v="1750000000"/>
    <x v="249"/>
    <s v="USD"/>
    <s v="-"/>
    <n v="8.75"/>
    <x v="274"/>
    <n v="360"/>
    <s v="Corrido"/>
    <s v="N"/>
    <x v="1"/>
    <s v="N"/>
    <x v="0"/>
    <x v="0"/>
    <x v="0"/>
    <x v="137"/>
  </r>
  <r>
    <n v="111"/>
    <s v="Petrobras4398503/06/2050"/>
    <n v="29"/>
    <s v="Petrobras Global Finance BV"/>
    <s v="Petrobras"/>
    <x v="1"/>
    <n v="1"/>
    <m/>
    <n v="20"/>
    <x v="234"/>
    <s v="03/06/2050"/>
    <x v="41"/>
    <n v="1"/>
    <x v="1"/>
    <x v="0"/>
    <m/>
    <m/>
    <n v="5.0510000000000002"/>
    <n v="1750000000"/>
    <x v="250"/>
    <s v="USD"/>
    <s v="-"/>
    <n v="6.75"/>
    <x v="275"/>
    <n v="360"/>
    <s v="Corrido"/>
    <s v="N"/>
    <x v="1"/>
    <s v="S"/>
    <x v="1"/>
    <x v="11"/>
    <x v="0"/>
    <x v="51"/>
  </r>
  <r>
    <n v="112"/>
    <s v="Petrobras4141420/05/2043"/>
    <n v="29"/>
    <s v="Petrobras Global Finance BV"/>
    <s v="Petrobras"/>
    <x v="1"/>
    <n v="1"/>
    <m/>
    <n v="21"/>
    <x v="239"/>
    <s v="20/05/2043"/>
    <x v="41"/>
    <n v="1"/>
    <x v="1"/>
    <x v="0"/>
    <m/>
    <m/>
    <n v="2.0327999999999999"/>
    <n v="1750000000"/>
    <x v="251"/>
    <s v="USD"/>
    <s v="-"/>
    <n v="5.625"/>
    <x v="276"/>
    <n v="360"/>
    <s v="Corrido"/>
    <s v="N"/>
    <x v="1"/>
    <s v="N"/>
    <x v="0"/>
    <x v="7"/>
    <x v="1"/>
    <x v="96"/>
  </r>
  <r>
    <n v="113"/>
    <s v="Petrobras4300527/01/2028"/>
    <n v="29"/>
    <s v="Petrobras Global Finance BV"/>
    <s v="Petrobras"/>
    <x v="1"/>
    <n v="1"/>
    <m/>
    <n v="22"/>
    <x v="240"/>
    <s v="27/01/2028"/>
    <x v="108"/>
    <n v="1"/>
    <x v="1"/>
    <x v="0"/>
    <m/>
    <m/>
    <n v="3.1926000000000001"/>
    <n v="5836134000"/>
    <x v="252"/>
    <s v="USD"/>
    <s v="-"/>
    <n v="5.9989999999999997"/>
    <x v="277"/>
    <n v="360"/>
    <s v="Corrido"/>
    <s v="N"/>
    <x v="1"/>
    <s v="N"/>
    <x v="0"/>
    <x v="0"/>
    <x v="0"/>
    <x v="77"/>
  </r>
  <r>
    <n v="114"/>
    <s v="Petrobras4372615/01/2030"/>
    <n v="29"/>
    <s v="Petrobras Global Finance BV"/>
    <s v="Petrobras"/>
    <x v="1"/>
    <n v="1"/>
    <m/>
    <n v="23"/>
    <x v="241"/>
    <s v="15/01/2030"/>
    <x v="109"/>
    <n v="1"/>
    <x v="1"/>
    <x v="0"/>
    <m/>
    <m/>
    <n v="4.0965999999999996"/>
    <n v="4115281000"/>
    <x v="253"/>
    <s v="USD"/>
    <s v="-"/>
    <n v="5.093"/>
    <x v="278"/>
    <n v="360"/>
    <s v="Corrido"/>
    <s v="N"/>
    <x v="1"/>
    <s v="N"/>
    <x v="0"/>
    <x v="11"/>
    <x v="0"/>
    <x v="138"/>
  </r>
  <r>
    <n v="115"/>
    <s v="Petrobras4300527/01/2025"/>
    <n v="29"/>
    <s v="Petrobras Global Finance BV"/>
    <s v="Petrobras"/>
    <x v="1"/>
    <n v="1"/>
    <m/>
    <n v="24"/>
    <x v="240"/>
    <s v="27/01/2025"/>
    <x v="71"/>
    <n v="1"/>
    <x v="1"/>
    <x v="0"/>
    <m/>
    <m/>
    <n v="3.1926000000000001"/>
    <n v="3759866000"/>
    <x v="254"/>
    <s v="USD"/>
    <s v="-"/>
    <n v="5.2990000000000004"/>
    <x v="279"/>
    <n v="360"/>
    <s v="Corrido"/>
    <s v="N"/>
    <x v="1"/>
    <s v="N"/>
    <x v="0"/>
    <x v="0"/>
    <x v="0"/>
    <x v="77"/>
  </r>
  <r>
    <n v="116"/>
    <s v="Petrobras4141420/05/2023"/>
    <n v="29"/>
    <s v="Petrobras Global Finance BV"/>
    <s v="Petrobras"/>
    <x v="1"/>
    <n v="1"/>
    <m/>
    <n v="25"/>
    <x v="239"/>
    <s v="20/05/2023"/>
    <x v="1"/>
    <n v="1"/>
    <x v="1"/>
    <x v="0"/>
    <m/>
    <m/>
    <n v="2.0327999999999999"/>
    <n v="3500000000"/>
    <x v="255"/>
    <s v="USD"/>
    <s v="-"/>
    <n v="4.375"/>
    <x v="280"/>
    <n v="360"/>
    <s v="Corrido"/>
    <s v="N"/>
    <x v="1"/>
    <s v="S"/>
    <x v="1"/>
    <x v="7"/>
    <x v="1"/>
    <x v="96"/>
  </r>
  <r>
    <n v="117"/>
    <s v="Petrobras4057027/01/2021"/>
    <n v="29"/>
    <s v="Petrobras Global Finance BV"/>
    <s v="Petrobras"/>
    <x v="1"/>
    <n v="1"/>
    <m/>
    <n v="26"/>
    <x v="237"/>
    <s v="27/01/2021"/>
    <x v="12"/>
    <n v="1"/>
    <x v="1"/>
    <x v="0"/>
    <m/>
    <m/>
    <n v="1.6712"/>
    <n v="2500000000"/>
    <x v="256"/>
    <s v="USD"/>
    <s v="-"/>
    <n v="5.375"/>
    <x v="281"/>
    <n v="360"/>
    <s v="Corrido"/>
    <s v="N"/>
    <x v="1"/>
    <s v="S"/>
    <x v="1"/>
    <x v="7"/>
    <x v="1"/>
    <x v="30"/>
  </r>
  <r>
    <n v="118"/>
    <s v="Petrobras4275217/01/2022"/>
    <n v="29"/>
    <s v="Petrobras Global Finance BV"/>
    <s v="Petrobras"/>
    <x v="1"/>
    <n v="1"/>
    <m/>
    <n v="27"/>
    <x v="236"/>
    <s v="17/01/2022"/>
    <x v="4"/>
    <n v="1"/>
    <x v="1"/>
    <x v="0"/>
    <m/>
    <m/>
    <n v="3.2094"/>
    <n v="2000000000"/>
    <x v="244"/>
    <s v="USD"/>
    <s v="-"/>
    <n v="6.125"/>
    <x v="282"/>
    <n v="360"/>
    <s v="Corrido"/>
    <s v="N"/>
    <x v="1"/>
    <s v="S"/>
    <x v="1"/>
    <x v="0"/>
    <x v="0"/>
    <x v="116"/>
  </r>
  <r>
    <n v="119"/>
    <s v="Petrobras4251323/05/2021"/>
    <n v="29"/>
    <s v="Petrobras Global Finance BV"/>
    <s v="Petrobras"/>
    <x v="1"/>
    <n v="1"/>
    <m/>
    <n v="28"/>
    <x v="238"/>
    <s v="23/05/2021"/>
    <x v="4"/>
    <n v="1"/>
    <x v="1"/>
    <x v="0"/>
    <m/>
    <m/>
    <n v="3.5653999999999999"/>
    <n v="5000000000"/>
    <x v="257"/>
    <s v="USD"/>
    <s v="-"/>
    <n v="8.375"/>
    <x v="283"/>
    <n v="360"/>
    <s v="Corrido"/>
    <s v="N"/>
    <x v="1"/>
    <s v="S"/>
    <x v="1"/>
    <x v="0"/>
    <x v="0"/>
    <x v="137"/>
  </r>
  <r>
    <n v="120"/>
    <s v="Petrobras4094506/02/2017"/>
    <n v="29"/>
    <s v="Petrobras Global Finance BV"/>
    <s v="Petrobras"/>
    <x v="1"/>
    <n v="1"/>
    <m/>
    <n v="29"/>
    <x v="242"/>
    <s v="06/02/2017"/>
    <x v="5"/>
    <n v="1"/>
    <x v="1"/>
    <x v="0"/>
    <m/>
    <m/>
    <n v="1.7242999999999999"/>
    <n v="1750000000"/>
    <x v="258"/>
    <s v="USD"/>
    <s v="-"/>
    <n v="3.5"/>
    <x v="284"/>
    <n v="360"/>
    <s v="Corrido"/>
    <s v="N"/>
    <x v="1"/>
    <s v="N"/>
    <x v="0"/>
    <x v="7"/>
    <x v="1"/>
    <x v="139"/>
  </r>
  <r>
    <n v="121"/>
    <s v="Petrobras4171517/03/2017"/>
    <n v="29"/>
    <s v="Petrobras Global Finance BV"/>
    <s v="Petrobras"/>
    <x v="1"/>
    <n v="1"/>
    <m/>
    <n v="30"/>
    <x v="235"/>
    <s v="17/03/2017"/>
    <x v="16"/>
    <n v="0"/>
    <x v="1"/>
    <x v="0"/>
    <m/>
    <m/>
    <n v="2.3513000000000002"/>
    <n v="1600000000"/>
    <x v="259"/>
    <s v="USD"/>
    <s v="-"/>
    <n v="3.25"/>
    <x v="285"/>
    <n v="360"/>
    <s v="Corrido"/>
    <s v="N"/>
    <x v="1"/>
    <s v="N"/>
    <x v="0"/>
    <x v="7"/>
    <x v="1"/>
    <x v="102"/>
  </r>
  <r>
    <n v="122"/>
    <s v="Petrobras4057027/01/2016"/>
    <n v="29"/>
    <s v="Petrobras Global Finance BV"/>
    <s v="Petrobras"/>
    <x v="1"/>
    <n v="1"/>
    <m/>
    <n v="31"/>
    <x v="237"/>
    <s v="27/01/2016"/>
    <x v="4"/>
    <n v="1"/>
    <x v="1"/>
    <x v="0"/>
    <m/>
    <m/>
    <n v="1.6712"/>
    <n v="2500000000"/>
    <x v="256"/>
    <s v="USD"/>
    <s v="-"/>
    <n v="3.875"/>
    <x v="286"/>
    <n v="360"/>
    <s v="Corrido"/>
    <s v="N"/>
    <x v="1"/>
    <s v="N"/>
    <x v="0"/>
    <x v="7"/>
    <x v="1"/>
    <x v="30"/>
  </r>
  <r>
    <n v="123"/>
    <s v="Petrobras4094506/02/2015"/>
    <n v="29"/>
    <s v="Petrobras Global Finance BV"/>
    <s v="Petrobras"/>
    <x v="1"/>
    <n v="1"/>
    <m/>
    <n v="32"/>
    <x v="242"/>
    <s v="06/02/2015"/>
    <x v="16"/>
    <n v="0"/>
    <x v="1"/>
    <x v="0"/>
    <m/>
    <m/>
    <n v="1.7242999999999999"/>
    <n v="1250000000"/>
    <x v="260"/>
    <s v="USD"/>
    <s v="-"/>
    <n v="2.875"/>
    <x v="287"/>
    <n v="360"/>
    <s v="Corrido"/>
    <s v="N"/>
    <x v="1"/>
    <s v="N"/>
    <x v="0"/>
    <x v="7"/>
    <x v="1"/>
    <x v="139"/>
  </r>
  <r>
    <n v="124"/>
    <s v="Petrobras4171517/03/2020"/>
    <n v="29"/>
    <s v="Petrobras Global Finance BV"/>
    <s v="Petrobras"/>
    <x v="1"/>
    <n v="1"/>
    <m/>
    <n v="33"/>
    <x v="235"/>
    <s v="17/03/2020"/>
    <x v="11"/>
    <n v="1"/>
    <x v="1"/>
    <x v="0"/>
    <m/>
    <m/>
    <n v="2.3513000000000002"/>
    <n v="1500000000"/>
    <x v="261"/>
    <s v="USD"/>
    <s v="-"/>
    <n v="4.875"/>
    <x v="288"/>
    <n v="360"/>
    <s v="Corrido"/>
    <s v="N"/>
    <x v="1"/>
    <s v="N"/>
    <x v="0"/>
    <x v="7"/>
    <x v="1"/>
    <x v="102"/>
  </r>
  <r>
    <n v="0"/>
    <s v="Queiroz Galvão4194346572"/>
    <n v="30"/>
    <s v="CONSTRUTORA QUEIROZ GALVAO S/A"/>
    <s v="Queiroz Galvão"/>
    <x v="0"/>
    <n v="0"/>
    <s v="GALV14    "/>
    <n v="1"/>
    <x v="243"/>
    <d v="2027-07-04T00:00:00"/>
    <x v="110"/>
    <n v="1"/>
    <x v="0"/>
    <x v="0"/>
    <n v="200"/>
    <n v="1000000"/>
    <s v=""/>
    <n v="200000000"/>
    <x v="13"/>
    <s v="DI"/>
    <n v="130"/>
    <m/>
    <x v="289"/>
    <n v="252"/>
    <s v="Útil"/>
    <s v="N"/>
    <x v="1"/>
    <s v="S"/>
    <x v="1"/>
    <x v="1"/>
    <x v="0"/>
    <x v="25"/>
  </r>
  <r>
    <n v="0"/>
    <s v="Queiroz Galvão4196443060"/>
    <n v="30"/>
    <s v="QUEIROZ GALVAO DESENVOLVIMENTO DE NEGOCIOS S.A."/>
    <s v="Queiroz Galvão"/>
    <x v="0"/>
    <n v="0"/>
    <s v="QRZG11    "/>
    <n v="2"/>
    <x v="244"/>
    <d v="2017-11-21T00:00:00"/>
    <x v="16"/>
    <n v="0"/>
    <x v="2"/>
    <x v="1"/>
    <n v="310000"/>
    <n v="1000"/>
    <s v=""/>
    <n v="310000000"/>
    <x v="262"/>
    <s v="DI"/>
    <n v="115.6"/>
    <m/>
    <x v="290"/>
    <n v="252"/>
    <s v="Útil"/>
    <s v="N"/>
    <x v="1"/>
    <s v="S"/>
    <x v="1"/>
    <x v="1"/>
    <x v="0"/>
    <x v="109"/>
  </r>
  <r>
    <n v="0"/>
    <s v="Queiroz Galvão4164645110"/>
    <n v="30"/>
    <s v="QUEIROZ GALVAO DESENVOLVIMENTO IMOBILIARIO S.A."/>
    <s v="Queiroz Galvão"/>
    <x v="0"/>
    <n v="0"/>
    <s v="QGDI13    "/>
    <n v="3"/>
    <x v="245"/>
    <d v="2023-07-03T00:00:00"/>
    <x v="111"/>
    <n v="1"/>
    <x v="0"/>
    <x v="0"/>
    <n v="9550"/>
    <n v="10000"/>
    <s v=""/>
    <n v="95500000"/>
    <x v="263"/>
    <s v="DI"/>
    <n v="110"/>
    <s v=""/>
    <x v="291"/>
    <n v="252"/>
    <s v="Útil"/>
    <s v="N"/>
    <x v="1"/>
    <s v="S"/>
    <x v="1"/>
    <x v="1"/>
    <x v="0"/>
    <x v="33"/>
  </r>
  <r>
    <n v="0"/>
    <s v="Queiroz Galvão4178943069"/>
    <n v="30"/>
    <s v="QUEIROZ GALVAO DESENVOLVIMENTO IMOBILIARIO S.A."/>
    <s v="Queiroz Galvão"/>
    <x v="0"/>
    <n v="0"/>
    <s v="QGDI14    "/>
    <n v="4"/>
    <x v="246"/>
    <d v="2017-11-30T00:00:00"/>
    <x v="112"/>
    <n v="0"/>
    <x v="2"/>
    <x v="1"/>
    <n v="10000"/>
    <n v="10000"/>
    <s v=""/>
    <n v="100000000"/>
    <x v="33"/>
    <s v="DI"/>
    <n v="114.5"/>
    <m/>
    <x v="292"/>
    <n v="252"/>
    <s v="Útil"/>
    <s v="N"/>
    <x v="1"/>
    <s v="S"/>
    <x v="1"/>
    <x v="1"/>
    <x v="0"/>
    <x v="140"/>
  </r>
  <r>
    <n v="0"/>
    <s v="Queiroz Galvão4109545110"/>
    <n v="30"/>
    <s v="QUEIROZ GALVAO DESENVOLVIMENTO IMOBILIARIO S.A."/>
    <s v="Queiroz Galvão"/>
    <x v="0"/>
    <n v="0"/>
    <s v="QGIM12    "/>
    <n v="5"/>
    <x v="247"/>
    <d v="2023-07-03T00:00:00"/>
    <x v="113"/>
    <n v="1"/>
    <x v="0"/>
    <x v="0"/>
    <n v="170"/>
    <n v="1000000"/>
    <s v=""/>
    <n v="170000000"/>
    <x v="167"/>
    <s v="DI"/>
    <n v="110"/>
    <s v=""/>
    <x v="293"/>
    <n v="252"/>
    <s v="Útil"/>
    <s v="N"/>
    <x v="1"/>
    <s v="S"/>
    <x v="1"/>
    <x v="1"/>
    <x v="0"/>
    <x v="47"/>
  </r>
  <r>
    <n v="0"/>
    <s v="Queiroz Galvão4164643472"/>
    <n v="30"/>
    <s v="QUEIROZ GALVAO DESENVOLVIMENTO IMOBILIARIO S.A."/>
    <s v="Queiroz Galvão"/>
    <x v="0"/>
    <n v="0"/>
    <s v="QGIM13    "/>
    <n v="6"/>
    <x v="245"/>
    <d v="2019-01-07T00:00:00"/>
    <x v="4"/>
    <n v="1"/>
    <x v="0"/>
    <x v="0"/>
    <n v="10000"/>
    <n v="10000"/>
    <s v=""/>
    <n v="100000000"/>
    <x v="33"/>
    <s v="DI"/>
    <n v="141"/>
    <s v=""/>
    <x v="294"/>
    <n v="252"/>
    <s v="Útil"/>
    <s v="N"/>
    <x v="1"/>
    <s v="S"/>
    <x v="1"/>
    <x v="1"/>
    <x v="0"/>
    <x v="33"/>
  </r>
  <r>
    <n v="0"/>
    <s v="Queiroz Galvão4364946572"/>
    <n v="30"/>
    <s v="QUEIROZ GALVAO S/A"/>
    <s v="Queiroz Galvão"/>
    <x v="0"/>
    <n v="0"/>
    <s v="QGSA16    "/>
    <n v="7"/>
    <x v="248"/>
    <d v="2027-07-04T00:00:00"/>
    <x v="114"/>
    <n v="1"/>
    <x v="2"/>
    <x v="1"/>
    <n v="1600000000"/>
    <n v="1"/>
    <s v=""/>
    <n v="1600000000"/>
    <x v="228"/>
    <s v="DI"/>
    <n v="130"/>
    <m/>
    <x v="295"/>
    <n v="252"/>
    <s v="Útil"/>
    <s v="N"/>
    <x v="1"/>
    <s v="S"/>
    <x v="1"/>
    <x v="1"/>
    <x v="0"/>
    <x v="28"/>
  </r>
  <r>
    <n v="0"/>
    <s v="Queiroz Galvão4364946572"/>
    <n v="30"/>
    <s v="QUEIROZ GALVAO S/A"/>
    <s v="Queiroz Galvão"/>
    <x v="0"/>
    <n v="0"/>
    <s v="QGSA26    "/>
    <n v="8"/>
    <x v="248"/>
    <d v="2027-07-04T00:00:00"/>
    <x v="114"/>
    <n v="1"/>
    <x v="2"/>
    <x v="1"/>
    <n v="450000000"/>
    <n v="1"/>
    <s v=""/>
    <n v="450000000"/>
    <x v="37"/>
    <s v="DI"/>
    <n v="130"/>
    <m/>
    <x v="295"/>
    <n v="252"/>
    <s v="Útil"/>
    <s v="N"/>
    <x v="1"/>
    <s v="S"/>
    <x v="1"/>
    <x v="1"/>
    <x v="0"/>
    <x v="28"/>
  </r>
  <r>
    <n v="0"/>
    <s v="Queiroz Galvão4324543335"/>
    <n v="30"/>
    <s v="QUEIROZ GALVAO S/A"/>
    <s v="Queiroz Galvão"/>
    <x v="0"/>
    <n v="0"/>
    <s v="QGSA35    "/>
    <n v="9"/>
    <x v="249"/>
    <d v="2018-08-23T00:00:00"/>
    <x v="115"/>
    <n v="0"/>
    <x v="2"/>
    <x v="1"/>
    <n v="11000"/>
    <n v="7724.4218570000003"/>
    <s v=""/>
    <n v="84968640.427000001"/>
    <x v="264"/>
    <s v="DI"/>
    <n v="100"/>
    <n v="2"/>
    <x v="108"/>
    <n v="252"/>
    <s v="Útil"/>
    <s v="N"/>
    <x v="1"/>
    <s v="S"/>
    <x v="1"/>
    <x v="1"/>
    <x v="0"/>
    <x v="82"/>
  </r>
  <r>
    <n v="0"/>
    <s v="Queiroz Galvão4364946572"/>
    <n v="30"/>
    <s v="QUEIROZ GALVAO S/A"/>
    <s v="Queiroz Galvão"/>
    <x v="0"/>
    <n v="0"/>
    <s v="QGSA36    "/>
    <n v="10"/>
    <x v="248"/>
    <d v="2027-07-04T00:00:00"/>
    <x v="114"/>
    <n v="1"/>
    <x v="2"/>
    <x v="1"/>
    <n v="50000000"/>
    <n v="1"/>
    <s v=""/>
    <n v="50000000"/>
    <x v="39"/>
    <s v="DI"/>
    <n v="130"/>
    <m/>
    <x v="295"/>
    <n v="252"/>
    <s v="Útil"/>
    <s v="N"/>
    <x v="1"/>
    <s v="S"/>
    <x v="1"/>
    <x v="1"/>
    <x v="0"/>
    <x v="28"/>
  </r>
  <r>
    <n v="125"/>
    <s v="Queiroz Galvão4075130/07/2018"/>
    <n v="30"/>
    <s v="QGOG Atlantic / Alaskan Rigs Ltd"/>
    <s v="Queiroz Galvão"/>
    <x v="1"/>
    <n v="1"/>
    <m/>
    <n v="11"/>
    <x v="250"/>
    <s v="30/07/2018"/>
    <x v="116"/>
    <n v="1"/>
    <x v="4"/>
    <x v="0"/>
    <m/>
    <m/>
    <n v="1.5630999999999999"/>
    <n v="700000000"/>
    <x v="265"/>
    <s v="USD"/>
    <s v="-"/>
    <n v="5.25"/>
    <x v="296"/>
    <n v="360"/>
    <s v="Corrido"/>
    <s v="N"/>
    <x v="1"/>
    <s v="S"/>
    <x v="1"/>
    <x v="1"/>
    <x v="0"/>
    <x v="141"/>
  </r>
  <r>
    <n v="0"/>
    <s v="Raizen4156243388"/>
    <n v="31"/>
    <s v="RAIZEN ENERGIA S/A"/>
    <s v="Raizen"/>
    <x v="0"/>
    <n v="0"/>
    <s v="RESA11    "/>
    <n v="1"/>
    <x v="251"/>
    <d v="2018-10-15T00:00:00"/>
    <x v="4"/>
    <n v="1"/>
    <x v="2"/>
    <x v="1"/>
    <n v="105975"/>
    <n v="1000"/>
    <s v=""/>
    <n v="105975000"/>
    <x v="266"/>
    <s v="DI"/>
    <n v="100"/>
    <n v="0.89"/>
    <x v="297"/>
    <n v="252"/>
    <s v="Útil"/>
    <s v="N"/>
    <x v="1"/>
    <s v="S"/>
    <x v="1"/>
    <x v="7"/>
    <x v="1"/>
    <x v="68"/>
  </r>
  <r>
    <n v="0"/>
    <s v="Raizen4378447437"/>
    <n v="31"/>
    <s v="RAIZEN ENERGIA S/A"/>
    <s v="Raizen"/>
    <x v="0"/>
    <n v="0"/>
    <s v="RESA14    "/>
    <n v="2"/>
    <x v="252"/>
    <d v="2029-11-15T00:00:00"/>
    <x v="12"/>
    <n v="1"/>
    <x v="2"/>
    <x v="1"/>
    <n v="900000"/>
    <n v="1000"/>
    <s v=""/>
    <n v="900000000"/>
    <x v="90"/>
    <s v="IPCA"/>
    <s v="-"/>
    <n v="3.5390000000000001"/>
    <x v="298"/>
    <n v="252"/>
    <s v="Útil"/>
    <s v="S"/>
    <x v="0"/>
    <s v="N"/>
    <x v="0"/>
    <x v="7"/>
    <x v="1"/>
    <x v="28"/>
  </r>
  <r>
    <n v="0"/>
    <s v="Raizen4399747649"/>
    <n v="31"/>
    <s v="RAIZEN ENERGIA S/A"/>
    <s v="Raizen"/>
    <x v="0"/>
    <n v="0"/>
    <s v="RESA15    "/>
    <n v="3"/>
    <x v="253"/>
    <d v="2030-06-15T00:00:00"/>
    <x v="1"/>
    <n v="1"/>
    <x v="2"/>
    <x v="1"/>
    <n v="169518"/>
    <n v="1000"/>
    <s v=""/>
    <n v="169518000"/>
    <x v="267"/>
    <s v="IPCA"/>
    <s v="-"/>
    <n v="5.8"/>
    <x v="299"/>
    <n v="252"/>
    <s v="Útil"/>
    <s v="S"/>
    <x v="0"/>
    <s v="N"/>
    <x v="0"/>
    <x v="7"/>
    <x v="1"/>
    <x v="142"/>
  </r>
  <r>
    <n v="0"/>
    <s v="Raizen4156243388"/>
    <n v="31"/>
    <s v="RAIZEN ENERGIA S/A"/>
    <s v="Raizen"/>
    <x v="0"/>
    <n v="0"/>
    <s v="RESA21    "/>
    <n v="4"/>
    <x v="251"/>
    <d v="2018-10-15T00:00:00"/>
    <x v="4"/>
    <n v="1"/>
    <x v="2"/>
    <x v="1"/>
    <n v="340000"/>
    <n v="1000"/>
    <s v=""/>
    <n v="340000000"/>
    <x v="268"/>
    <s v="DI"/>
    <n v="100"/>
    <n v="0.94"/>
    <x v="252"/>
    <n v="252"/>
    <s v="Útil"/>
    <s v="N"/>
    <x v="1"/>
    <s v="S"/>
    <x v="1"/>
    <x v="7"/>
    <x v="1"/>
    <x v="68"/>
  </r>
  <r>
    <n v="0"/>
    <s v="Raizen4156244119"/>
    <n v="31"/>
    <s v="RAIZEN ENERGIA S/A"/>
    <s v="Raizen"/>
    <x v="0"/>
    <n v="0"/>
    <s v="RESA31    "/>
    <n v="5"/>
    <x v="251"/>
    <d v="2020-10-15T00:00:00"/>
    <x v="8"/>
    <n v="1"/>
    <x v="2"/>
    <x v="1"/>
    <n v="304025"/>
    <n v="1000"/>
    <s v=""/>
    <n v="304025000"/>
    <x v="269"/>
    <s v="IPCA"/>
    <s v="-"/>
    <n v="6.38"/>
    <x v="300"/>
    <n v="252"/>
    <s v="Útil"/>
    <s v="S"/>
    <x v="0"/>
    <s v="N"/>
    <x v="0"/>
    <x v="7"/>
    <x v="1"/>
    <x v="68"/>
  </r>
  <r>
    <n v="126"/>
    <s v="Raizen4275520/01/2027"/>
    <n v="31"/>
    <s v="Raizen Fuels Finance SA"/>
    <s v="Raizen"/>
    <x v="1"/>
    <n v="1"/>
    <m/>
    <n v="6"/>
    <x v="254"/>
    <s v="20/01/2027"/>
    <x v="1"/>
    <n v="1"/>
    <x v="1"/>
    <x v="0"/>
    <m/>
    <m/>
    <n v="3.1911999999999998"/>
    <n v="500000000"/>
    <x v="270"/>
    <s v="USD"/>
    <s v="-"/>
    <n v="5.3"/>
    <x v="301"/>
    <n v="360"/>
    <s v="Corrido"/>
    <s v="N"/>
    <x v="1"/>
    <s v="N"/>
    <x v="0"/>
    <x v="7"/>
    <x v="1"/>
    <x v="143"/>
  </r>
  <r>
    <n v="127"/>
    <s v="Raizen4401920/01/2027"/>
    <n v="31"/>
    <s v="Raizen Fuels Finance SA"/>
    <s v="Raizen"/>
    <x v="1"/>
    <n v="1"/>
    <m/>
    <n v="7"/>
    <x v="255"/>
    <s v="20/01/2027"/>
    <x v="117"/>
    <n v="1"/>
    <x v="1"/>
    <x v="0"/>
    <m/>
    <m/>
    <n v="5.3311999999999999"/>
    <n v="225000000"/>
    <x v="271"/>
    <s v="USD"/>
    <s v="-"/>
    <n v="5.3"/>
    <x v="302"/>
    <n v="360"/>
    <s v="Corrido"/>
    <s v="N"/>
    <x v="1"/>
    <s v="N"/>
    <x v="0"/>
    <x v="7"/>
    <x v="1"/>
    <x v="19"/>
  </r>
  <r>
    <n v="0"/>
    <s v="Rede D'or4065343941"/>
    <n v="32"/>
    <s v="REDE DOR SAO LUIZ S/A"/>
    <s v="Rede D'or"/>
    <x v="0"/>
    <n v="0"/>
    <s v="HMSL11    "/>
    <n v="1"/>
    <x v="143"/>
    <d v="2020-04-20T00:00:00"/>
    <x v="118"/>
    <n v="1"/>
    <x v="0"/>
    <x v="0"/>
    <n v="100"/>
    <n v="10000000"/>
    <s v=""/>
    <n v="1000000000"/>
    <x v="18"/>
    <s v="DI"/>
    <n v="100"/>
    <n v="2.2999999999999998"/>
    <x v="3"/>
    <n v="252"/>
    <s v="Útil"/>
    <s v="N"/>
    <x v="1"/>
    <s v="S"/>
    <x v="1"/>
    <x v="1"/>
    <x v="0"/>
    <x v="96"/>
  </r>
  <r>
    <n v="0"/>
    <s v="Rede D'or4084442750"/>
    <n v="32"/>
    <s v="REDE DOR SAO LUIZ S/A"/>
    <s v="Rede D'or"/>
    <x v="0"/>
    <n v="0"/>
    <s v="HMSL12    "/>
    <n v="2"/>
    <x v="256"/>
    <d v="2017-01-15T00:00:00"/>
    <x v="119"/>
    <n v="1"/>
    <x v="2"/>
    <x v="1"/>
    <n v="100"/>
    <n v="1000000"/>
    <s v=""/>
    <n v="100000000"/>
    <x v="33"/>
    <s v="DI"/>
    <n v="100"/>
    <n v="2"/>
    <x v="108"/>
    <n v="252"/>
    <s v="Útil"/>
    <s v="N"/>
    <x v="1"/>
    <s v="S"/>
    <x v="1"/>
    <x v="1"/>
    <x v="0"/>
    <x v="34"/>
  </r>
  <r>
    <n v="0"/>
    <s v="Rede D'or4161843444"/>
    <n v="32"/>
    <s v="REDE DOR SAO LUIZ S/A"/>
    <s v="Rede D'or"/>
    <x v="0"/>
    <n v="0"/>
    <s v="HMSL15    "/>
    <n v="3"/>
    <x v="257"/>
    <d v="2018-12-10T00:00:00"/>
    <x v="4"/>
    <n v="1"/>
    <x v="2"/>
    <x v="1"/>
    <n v="20000"/>
    <n v="10000"/>
    <s v=""/>
    <n v="200000000"/>
    <x v="13"/>
    <s v="DI"/>
    <n v="100"/>
    <n v="2"/>
    <x v="108"/>
    <n v="252"/>
    <s v="Útil"/>
    <s v="N"/>
    <x v="1"/>
    <s v="N"/>
    <x v="0"/>
    <x v="1"/>
    <x v="0"/>
    <x v="70"/>
  </r>
  <r>
    <n v="0"/>
    <s v="Rede D'or4198843814"/>
    <n v="32"/>
    <s v="REDE DOR SAO LUIZ S/A"/>
    <s v="Rede D'or"/>
    <x v="0"/>
    <n v="0"/>
    <s v="HMSL16    "/>
    <n v="4"/>
    <x v="258"/>
    <d v="2019-12-15T00:00:00"/>
    <x v="4"/>
    <n v="1"/>
    <x v="2"/>
    <x v="1"/>
    <n v="20000"/>
    <n v="10000"/>
    <s v=""/>
    <n v="200000000"/>
    <x v="13"/>
    <s v="DI"/>
    <n v="100"/>
    <n v="2"/>
    <x v="108"/>
    <n v="252"/>
    <s v="Útil"/>
    <s v="N"/>
    <x v="1"/>
    <s v="S"/>
    <x v="1"/>
    <x v="1"/>
    <x v="0"/>
    <x v="144"/>
  </r>
  <r>
    <n v="0"/>
    <s v="Rede D'or4256343658"/>
    <n v="32"/>
    <s v="REDE DOR SAO LUIZ S/A"/>
    <s v="Rede D'or"/>
    <x v="0"/>
    <n v="0"/>
    <s v="HSLZ17    "/>
    <n v="5"/>
    <x v="259"/>
    <d v="2019-07-12T00:00:00"/>
    <x v="6"/>
    <n v="0"/>
    <x v="0"/>
    <x v="0"/>
    <n v="600000"/>
    <n v="1000"/>
    <s v=""/>
    <n v="600000000"/>
    <x v="30"/>
    <s v="DI"/>
    <n v="100"/>
    <n v="1.9"/>
    <x v="7"/>
    <n v="252"/>
    <s v="Útil"/>
    <s v="N"/>
    <x v="1"/>
    <s v="S"/>
    <x v="1"/>
    <x v="6"/>
    <x v="0"/>
    <x v="145"/>
  </r>
  <r>
    <n v="0"/>
    <s v="Rede D'or4257244398"/>
    <n v="32"/>
    <s v="REDE DOR SAO LUIZ S/A"/>
    <s v="Rede D'or"/>
    <x v="0"/>
    <n v="0"/>
    <s v="HSLZ18    "/>
    <n v="6"/>
    <x v="260"/>
    <d v="2021-07-21T00:00:00"/>
    <x v="4"/>
    <n v="1"/>
    <x v="2"/>
    <x v="1"/>
    <n v="15000"/>
    <n v="10000"/>
    <s v=""/>
    <n v="150000000"/>
    <x v="2"/>
    <s v="DI"/>
    <n v="100"/>
    <n v="2.6"/>
    <x v="189"/>
    <n v="252"/>
    <s v="Útil"/>
    <s v="N"/>
    <x v="1"/>
    <s v="S"/>
    <x v="1"/>
    <x v="6"/>
    <x v="0"/>
    <x v="146"/>
  </r>
  <r>
    <n v="0"/>
    <s v="Rede D'or4295444050"/>
    <n v="32"/>
    <s v="REDE DOR SAO LUIZ S/A"/>
    <s v="Rede D'or"/>
    <x v="0"/>
    <n v="0"/>
    <s v="HSLZ19    "/>
    <n v="7"/>
    <x v="261"/>
    <d v="2020-08-07T00:00:00"/>
    <x v="16"/>
    <n v="0"/>
    <x v="2"/>
    <x v="1"/>
    <n v="80000"/>
    <n v="10000"/>
    <s v=""/>
    <n v="800000000"/>
    <x v="6"/>
    <s v="DI"/>
    <n v="110"/>
    <m/>
    <x v="303"/>
    <n v="252"/>
    <s v="Útil"/>
    <s v="N"/>
    <x v="1"/>
    <s v="S"/>
    <x v="1"/>
    <x v="6"/>
    <x v="0"/>
    <x v="65"/>
  </r>
  <r>
    <n v="0"/>
    <s v="Rede D'or4256344024"/>
    <n v="32"/>
    <s v="REDE DOR SAO LUIZ S/A"/>
    <s v="Rede D'or"/>
    <x v="0"/>
    <n v="0"/>
    <s v="HSLZ27    "/>
    <n v="8"/>
    <x v="259"/>
    <d v="2020-07-12T00:00:00"/>
    <x v="46"/>
    <n v="0"/>
    <x v="0"/>
    <x v="0"/>
    <n v="300000"/>
    <n v="1000"/>
    <s v=""/>
    <n v="300000000"/>
    <x v="5"/>
    <s v="DI"/>
    <n v="100"/>
    <n v="2"/>
    <x v="108"/>
    <n v="252"/>
    <s v="Útil"/>
    <s v="N"/>
    <x v="1"/>
    <s v="S"/>
    <x v="1"/>
    <x v="6"/>
    <x v="0"/>
    <x v="145"/>
  </r>
  <r>
    <n v="0"/>
    <s v="Rede D'or4295445511"/>
    <n v="32"/>
    <s v="REDE DOR SAO LUIZ S/A"/>
    <s v="Rede D'or"/>
    <x v="0"/>
    <n v="0"/>
    <s v="HSLZ29    "/>
    <n v="9"/>
    <x v="261"/>
    <d v="2024-08-07T00:00:00"/>
    <x v="8"/>
    <n v="1"/>
    <x v="2"/>
    <x v="1"/>
    <n v="60000"/>
    <n v="10000"/>
    <s v=""/>
    <n v="600000000"/>
    <x v="30"/>
    <s v="DI"/>
    <n v="100"/>
    <n v="1.75"/>
    <x v="85"/>
    <n v="252"/>
    <s v="Útil"/>
    <s v="N"/>
    <x v="1"/>
    <s v="S"/>
    <x v="1"/>
    <x v="6"/>
    <x v="0"/>
    <x v="65"/>
  </r>
  <r>
    <n v="0"/>
    <s v="Rede D'or4256344389"/>
    <n v="32"/>
    <s v="REDE DOR SAO LUIZ S/A"/>
    <s v="Rede D'or"/>
    <x v="0"/>
    <n v="0"/>
    <s v="HSLZ37    "/>
    <n v="10"/>
    <x v="259"/>
    <d v="2021-07-12T00:00:00"/>
    <x v="4"/>
    <n v="1"/>
    <x v="0"/>
    <x v="0"/>
    <n v="300000"/>
    <n v="1000"/>
    <s v=""/>
    <n v="300000000"/>
    <x v="5"/>
    <s v="DI"/>
    <n v="100"/>
    <n v="2.1"/>
    <x v="304"/>
    <n v="252"/>
    <s v="Útil"/>
    <s v="N"/>
    <x v="1"/>
    <s v="S"/>
    <x v="1"/>
    <x v="6"/>
    <x v="0"/>
    <x v="145"/>
  </r>
  <r>
    <n v="0"/>
    <s v="Rede D'or4335345545"/>
    <n v="32"/>
    <s v="REDE DOR SAO LUIZ S/A"/>
    <s v="Rede D'or"/>
    <x v="0"/>
    <n v="0"/>
    <s v="HSLZA3    "/>
    <n v="11"/>
    <x v="262"/>
    <d v="2024-09-10T00:00:00"/>
    <x v="11"/>
    <n v="1"/>
    <x v="2"/>
    <x v="1"/>
    <n v="1400000000"/>
    <n v="1"/>
    <s v=""/>
    <n v="1400000000"/>
    <x v="73"/>
    <s v="DI"/>
    <n v="100"/>
    <n v="1.02"/>
    <x v="305"/>
    <n v="252"/>
    <s v="Útil"/>
    <s v="N"/>
    <x v="1"/>
    <s v="S"/>
    <x v="1"/>
    <x v="2"/>
    <x v="1"/>
    <x v="104"/>
  </r>
  <r>
    <n v="0"/>
    <s v="Rede D'or4339746319"/>
    <n v="32"/>
    <s v="REDE DOR SAO LUIZ S/A"/>
    <s v="Rede D'or"/>
    <x v="0"/>
    <n v="0"/>
    <s v="HSLZA4    "/>
    <n v="12"/>
    <x v="263"/>
    <d v="2026-10-24T00:00:00"/>
    <x v="13"/>
    <n v="1"/>
    <x v="0"/>
    <x v="0"/>
    <n v="500000"/>
    <n v="1000"/>
    <s v=""/>
    <n v="500000000"/>
    <x v="10"/>
    <s v="DI"/>
    <n v="106"/>
    <m/>
    <x v="306"/>
    <n v="252"/>
    <s v="Útil"/>
    <s v="N"/>
    <x v="1"/>
    <s v="S"/>
    <x v="1"/>
    <x v="2"/>
    <x v="1"/>
    <x v="135"/>
  </r>
  <r>
    <n v="0"/>
    <s v="Rede D'or4088943444"/>
    <n v="32"/>
    <s v="REDE DOR SAO LUIZ S/A"/>
    <s v="Rede D'or"/>
    <x v="0"/>
    <n v="0"/>
    <s v="MEDS11    "/>
    <n v="13"/>
    <x v="264"/>
    <d v="2018-12-10T00:00:00"/>
    <x v="66"/>
    <n v="1"/>
    <x v="0"/>
    <x v="0"/>
    <n v="100"/>
    <n v="1000000"/>
    <s v=""/>
    <n v="100000000"/>
    <x v="33"/>
    <s v="DI"/>
    <n v="100"/>
    <n v="2.2000000000000002"/>
    <x v="196"/>
    <n v="252"/>
    <s v="Útil"/>
    <s v="N"/>
    <x v="1"/>
    <s v="S"/>
    <x v="1"/>
    <x v="1"/>
    <x v="0"/>
    <x v="147"/>
  </r>
  <r>
    <n v="0"/>
    <s v="Rede D'or4088744175"/>
    <n v="32"/>
    <s v="REDE DOR SAO LUIZ S/A"/>
    <s v="Rede D'or"/>
    <x v="0"/>
    <n v="0"/>
    <s v="RDOR13    "/>
    <n v="14"/>
    <x v="265"/>
    <d v="2020-12-10T00:00:00"/>
    <x v="118"/>
    <n v="1"/>
    <x v="3"/>
    <x v="0"/>
    <n v="65000"/>
    <n v="10000"/>
    <s v=""/>
    <n v="650000000"/>
    <x v="184"/>
    <s v="DI"/>
    <n v="100"/>
    <n v="2.2999999999999998"/>
    <x v="3"/>
    <n v="252"/>
    <s v="Útil"/>
    <s v="N"/>
    <x v="1"/>
    <s v="S"/>
    <x v="1"/>
    <x v="1"/>
    <x v="0"/>
    <x v="147"/>
  </r>
  <r>
    <n v="0"/>
    <s v="Rede D'or4113144418"/>
    <n v="32"/>
    <s v="REDE DOR SAO LUIZ S/A"/>
    <s v="Rede D'or"/>
    <x v="0"/>
    <n v="0"/>
    <s v="RDOR14    "/>
    <n v="15"/>
    <x v="266"/>
    <d v="2021-08-10T00:00:00"/>
    <x v="26"/>
    <n v="1"/>
    <x v="0"/>
    <x v="0"/>
    <n v="80000"/>
    <n v="10000"/>
    <s v=""/>
    <n v="800000000"/>
    <x v="6"/>
    <s v="DI"/>
    <n v="100"/>
    <n v="2.4"/>
    <x v="307"/>
    <n v="252"/>
    <s v="Útil"/>
    <s v="N"/>
    <x v="1"/>
    <s v="S"/>
    <x v="1"/>
    <x v="1"/>
    <x v="0"/>
    <x v="23"/>
  </r>
  <r>
    <n v="0"/>
    <s v="Rede D'or4363646376"/>
    <n v="32"/>
    <s v="REDE DOR SAO LUIZ S/A"/>
    <s v="Rede D'or"/>
    <x v="0"/>
    <n v="0"/>
    <s v="RDORB7    "/>
    <n v="16"/>
    <x v="267"/>
    <d v="2026-12-20T00:00:00"/>
    <x v="120"/>
    <n v="1"/>
    <x v="2"/>
    <x v="1"/>
    <n v="2500000"/>
    <n v="1000"/>
    <s v=""/>
    <n v="2500000000"/>
    <x v="272"/>
    <s v="DI"/>
    <n v="100"/>
    <n v="1.25"/>
    <x v="167"/>
    <n v="252"/>
    <s v="Útil"/>
    <s v="N"/>
    <x v="1"/>
    <s v="S"/>
    <x v="1"/>
    <x v="2"/>
    <x v="1"/>
    <x v="109"/>
  </r>
  <r>
    <n v="0"/>
    <s v="Rede D'or4399948080"/>
    <n v="32"/>
    <s v="REDE DOR SAO LUIZ S/A"/>
    <s v="Rede D'or"/>
    <x v="0"/>
    <n v="0"/>
    <s v="RDORB9    "/>
    <n v="17"/>
    <x v="268"/>
    <d v="2031-08-20T00:00:00"/>
    <x v="121"/>
    <n v="1"/>
    <x v="2"/>
    <x v="1"/>
    <n v="2500000"/>
    <n v="1000"/>
    <s v=""/>
    <n v="2500000000"/>
    <x v="272"/>
    <s v="DI"/>
    <n v="100"/>
    <n v="1.9"/>
    <x v="7"/>
    <n v="252"/>
    <s v="Útil"/>
    <s v="N"/>
    <x v="1"/>
    <s v="S"/>
    <x v="1"/>
    <x v="2"/>
    <x v="1"/>
    <x v="148"/>
  </r>
  <r>
    <n v="0"/>
    <s v="Rede D'or4363647289"/>
    <n v="32"/>
    <s v="REDE DOR SAO LUIZ S/A"/>
    <s v="Rede D'or"/>
    <x v="0"/>
    <n v="0"/>
    <s v="RDORC7    "/>
    <n v="18"/>
    <x v="267"/>
    <d v="2029-06-20T00:00:00"/>
    <x v="12"/>
    <n v="1"/>
    <x v="2"/>
    <x v="1"/>
    <n v="1000000"/>
    <n v="1000"/>
    <s v=""/>
    <n v="1000000000"/>
    <x v="18"/>
    <s v="DI"/>
    <n v="100"/>
    <n v="0.79"/>
    <x v="308"/>
    <n v="252"/>
    <s v="Útil"/>
    <s v="N"/>
    <x v="1"/>
    <s v="S"/>
    <x v="1"/>
    <x v="2"/>
    <x v="1"/>
    <x v="109"/>
  </r>
  <r>
    <n v="0"/>
    <s v="Rede D'or4399948080"/>
    <n v="32"/>
    <s v="REDE DOR SAO LUIZ S/A"/>
    <s v="Rede D'or"/>
    <x v="0"/>
    <n v="0"/>
    <s v="RDORC9    "/>
    <n v="19"/>
    <x v="268"/>
    <d v="2031-08-20T00:00:00"/>
    <x v="121"/>
    <n v="1"/>
    <x v="2"/>
    <x v="1"/>
    <n v="1500000"/>
    <n v="1000"/>
    <s v=""/>
    <n v="1500000000"/>
    <x v="71"/>
    <s v="DI"/>
    <n v="100"/>
    <n v="1.9"/>
    <x v="7"/>
    <n v="252"/>
    <s v="Útil"/>
    <s v="N"/>
    <x v="1"/>
    <s v="S"/>
    <x v="1"/>
    <x v="2"/>
    <x v="1"/>
    <x v="148"/>
  </r>
  <r>
    <n v="128"/>
    <s v="Rede D'or4385222/01/2030"/>
    <n v="32"/>
    <s v="Rede D'or Finance Sarl"/>
    <s v="Rede D'or"/>
    <x v="1"/>
    <n v="1"/>
    <m/>
    <n v="20"/>
    <x v="269"/>
    <s v="22/01/2030"/>
    <x v="12"/>
    <n v="1"/>
    <x v="1"/>
    <x v="0"/>
    <m/>
    <m/>
    <n v="4.1882999999999999"/>
    <n v="850000000"/>
    <x v="273"/>
    <s v="USD"/>
    <s v="-"/>
    <n v="4.5"/>
    <x v="309"/>
    <n v="360"/>
    <s v="Corrido"/>
    <s v="N"/>
    <x v="1"/>
    <s v="S"/>
    <x v="1"/>
    <x v="2"/>
    <x v="1"/>
    <x v="113"/>
  </r>
  <r>
    <n v="129"/>
    <s v="Rede D'or4311717/01/2028"/>
    <n v="32"/>
    <s v="Rede D'or Finance Sarl"/>
    <s v="Rede D'or"/>
    <x v="1"/>
    <n v="1"/>
    <m/>
    <n v="21"/>
    <x v="270"/>
    <s v="17/01/2028"/>
    <x v="1"/>
    <n v="1"/>
    <x v="1"/>
    <x v="0"/>
    <m/>
    <m/>
    <n v="3.2317999999999998"/>
    <n v="500000000"/>
    <x v="274"/>
    <s v="USD"/>
    <s v="-"/>
    <n v="4.95"/>
    <x v="310"/>
    <n v="360"/>
    <s v="Corrido"/>
    <s v="N"/>
    <x v="1"/>
    <s v="S"/>
    <x v="1"/>
    <x v="2"/>
    <x v="1"/>
    <x v="149"/>
  </r>
  <r>
    <n v="130"/>
    <s v="Rede D'or4387422/01/2030"/>
    <n v="32"/>
    <s v="Rede D'or Finance Sarl"/>
    <s v="Rede D'or"/>
    <x v="1"/>
    <n v="1"/>
    <m/>
    <n v="22"/>
    <x v="271"/>
    <s v="22/01/2030"/>
    <x v="122"/>
    <n v="1"/>
    <x v="1"/>
    <x v="0"/>
    <m/>
    <m/>
    <n v="4.3383000000000003"/>
    <n v="350000000"/>
    <x v="275"/>
    <s v="USD"/>
    <s v="-"/>
    <n v="4.5"/>
    <x v="311"/>
    <n v="360"/>
    <s v="Corrido"/>
    <s v="N"/>
    <x v="1"/>
    <s v="S"/>
    <x v="1"/>
    <x v="2"/>
    <x v="1"/>
    <x v="14"/>
  </r>
  <r>
    <n v="0"/>
    <s v="Rumo4118343009"/>
    <n v="33"/>
    <s v="RUMO S.A."/>
    <s v="Rumo"/>
    <x v="0"/>
    <n v="0"/>
    <s v="ALLG10    "/>
    <n v="1"/>
    <x v="89"/>
    <d v="2017-10-01T00:00:00"/>
    <x v="4"/>
    <n v="1"/>
    <x v="2"/>
    <x v="1"/>
    <n v="75000"/>
    <n v="10000"/>
    <s v=""/>
    <n v="750000000"/>
    <x v="89"/>
    <s v="DI"/>
    <n v="100"/>
    <n v="1.3"/>
    <x v="312"/>
    <n v="252"/>
    <s v="Útil"/>
    <s v="N"/>
    <x v="1"/>
    <s v="N"/>
    <x v="0"/>
    <x v="11"/>
    <x v="0"/>
    <x v="72"/>
  </r>
  <r>
    <n v="0"/>
    <s v="Rumo4064842475"/>
    <n v="33"/>
    <s v="RUMO S.A."/>
    <s v="Rumo"/>
    <x v="0"/>
    <n v="0"/>
    <s v="ALLG18    "/>
    <n v="2"/>
    <x v="57"/>
    <d v="2016-04-15T00:00:00"/>
    <x v="5"/>
    <n v="1"/>
    <x v="2"/>
    <x v="1"/>
    <n v="53916"/>
    <n v="10000"/>
    <s v=""/>
    <n v="539160000"/>
    <x v="276"/>
    <s v="DI"/>
    <n v="100"/>
    <n v="1.65"/>
    <x v="107"/>
    <n v="252"/>
    <s v="Útil"/>
    <s v="N"/>
    <x v="1"/>
    <s v="S"/>
    <x v="1"/>
    <x v="11"/>
    <x v="0"/>
    <x v="50"/>
  </r>
  <r>
    <n v="0"/>
    <s v="Rumo4073942566"/>
    <n v="33"/>
    <s v="RUMO S.A."/>
    <s v="Rumo"/>
    <x v="0"/>
    <n v="0"/>
    <s v="ALLG19    "/>
    <n v="3"/>
    <x v="272"/>
    <d v="2016-07-15T00:00:00"/>
    <x v="5"/>
    <n v="1"/>
    <x v="2"/>
    <x v="1"/>
    <n v="13376"/>
    <n v="10741.24"/>
    <s v=""/>
    <n v="143674826.24000001"/>
    <x v="277"/>
    <s v="DI"/>
    <n v="100"/>
    <n v="1.65"/>
    <x v="107"/>
    <n v="252"/>
    <s v="Útil"/>
    <s v="N"/>
    <x v="1"/>
    <s v="S"/>
    <x v="1"/>
    <x v="11"/>
    <x v="0"/>
    <x v="150"/>
  </r>
  <r>
    <n v="0"/>
    <s v="Rumo4064843205"/>
    <n v="33"/>
    <s v="RUMO S.A."/>
    <s v="Rumo"/>
    <x v="0"/>
    <n v="0"/>
    <s v="ALLG28    "/>
    <n v="4"/>
    <x v="57"/>
    <d v="2018-04-15T00:00:00"/>
    <x v="8"/>
    <n v="1"/>
    <x v="2"/>
    <x v="1"/>
    <n v="27084"/>
    <n v="10000"/>
    <s v=""/>
    <n v="270840000"/>
    <x v="278"/>
    <s v="IPCA"/>
    <s v="-"/>
    <n v="8.4"/>
    <x v="313"/>
    <n v="252"/>
    <s v="Útil"/>
    <s v="N"/>
    <x v="1"/>
    <s v="S"/>
    <x v="1"/>
    <x v="11"/>
    <x v="0"/>
    <x v="50"/>
  </r>
  <r>
    <n v="0"/>
    <s v="Rumo4073942566"/>
    <n v="33"/>
    <s v="RUMO S.A."/>
    <s v="Rumo"/>
    <x v="0"/>
    <n v="0"/>
    <s v="ALLG29    "/>
    <n v="5"/>
    <x v="272"/>
    <d v="2016-07-15T00:00:00"/>
    <x v="5"/>
    <n v="1"/>
    <x v="2"/>
    <x v="1"/>
    <n v="28056"/>
    <n v="7698.94"/>
    <s v=""/>
    <n v="216001460.63999999"/>
    <x v="279"/>
    <s v="DI"/>
    <n v="100"/>
    <n v="1.65"/>
    <x v="107"/>
    <n v="252"/>
    <s v="Útil"/>
    <s v="N"/>
    <x v="1"/>
    <s v="S"/>
    <x v="1"/>
    <x v="11"/>
    <x v="0"/>
    <x v="150"/>
  </r>
  <r>
    <n v="0"/>
    <s v="Rumo4211843214"/>
    <n v="33"/>
    <s v="RUMO S.A."/>
    <s v="Rumo"/>
    <x v="0"/>
    <n v="0"/>
    <s v="RUMO11    "/>
    <n v="6"/>
    <x v="273"/>
    <d v="2018-04-24T00:00:00"/>
    <x v="16"/>
    <n v="0"/>
    <x v="2"/>
    <x v="1"/>
    <n v="140000"/>
    <n v="10000"/>
    <s v=""/>
    <n v="1400000000"/>
    <x v="73"/>
    <s v="DI"/>
    <n v="100"/>
    <n v="2.5499999999999998"/>
    <x v="314"/>
    <n v="252"/>
    <s v="Útil"/>
    <s v="N"/>
    <x v="1"/>
    <s v="S"/>
    <x v="1"/>
    <x v="11"/>
    <x v="0"/>
    <x v="63"/>
  </r>
  <r>
    <n v="0"/>
    <s v="Rumo4351147164"/>
    <n v="33"/>
    <s v="RUMO S.A."/>
    <s v="Rumo"/>
    <x v="0"/>
    <n v="0"/>
    <s v="RUMOA2    "/>
    <n v="7"/>
    <x v="274"/>
    <d v="2029-02-15T00:00:00"/>
    <x v="12"/>
    <n v="1"/>
    <x v="2"/>
    <x v="1"/>
    <n v="600000"/>
    <n v="1000"/>
    <s v=""/>
    <n v="600000000"/>
    <x v="30"/>
    <s v="IPCA"/>
    <s v="-"/>
    <n v="4.5"/>
    <x v="315"/>
    <n v="252"/>
    <s v="Útil"/>
    <s v="S"/>
    <x v="0"/>
    <s v="N"/>
    <x v="0"/>
    <x v="6"/>
    <x v="0"/>
    <x v="151"/>
  </r>
  <r>
    <n v="0"/>
    <s v="Rumo4375347406"/>
    <n v="33"/>
    <s v="RUMO S.A."/>
    <s v="Rumo"/>
    <x v="0"/>
    <n v="0"/>
    <s v="RUMOA3    "/>
    <n v="8"/>
    <x v="173"/>
    <d v="2029-10-15T00:00:00"/>
    <x v="12"/>
    <n v="1"/>
    <x v="2"/>
    <x v="1"/>
    <n v="906856"/>
    <n v="1000"/>
    <s v=""/>
    <n v="906856000"/>
    <x v="280"/>
    <s v="IPCA"/>
    <s v="-"/>
    <n v="3.9"/>
    <x v="316"/>
    <n v="252"/>
    <s v="Útil"/>
    <s v="S"/>
    <x v="0"/>
    <s v="N"/>
    <x v="0"/>
    <x v="6"/>
    <x v="0"/>
    <x v="109"/>
  </r>
  <r>
    <n v="0"/>
    <s v="Rumo4393647588"/>
    <n v="33"/>
    <s v="RUMO S.A."/>
    <s v="Rumo"/>
    <x v="0"/>
    <n v="0"/>
    <s v="RUMOA4    "/>
    <n v="9"/>
    <x v="174"/>
    <d v="2030-04-15T00:00:00"/>
    <x v="1"/>
    <n v="1"/>
    <x v="2"/>
    <x v="1"/>
    <n v="800000"/>
    <n v="1000"/>
    <s v=""/>
    <n v="800000000"/>
    <x v="6"/>
    <s v="IPCA"/>
    <s v="-"/>
    <n v="6.7961"/>
    <x v="317"/>
    <n v="252"/>
    <s v="Útil"/>
    <s v="S"/>
    <x v="0"/>
    <s v="N"/>
    <x v="0"/>
    <x v="6"/>
    <x v="0"/>
    <x v="110"/>
  </r>
  <r>
    <n v="0"/>
    <s v="Rumo4418047832"/>
    <n v="33"/>
    <s v="RUMO S.A."/>
    <s v="Rumo"/>
    <x v="0"/>
    <n v="0"/>
    <s v="RUMOA5    "/>
    <n v="10"/>
    <x v="204"/>
    <d v="2030-12-15T00:00:00"/>
    <x v="1"/>
    <n v="1"/>
    <x v="2"/>
    <x v="1"/>
    <n v="376523"/>
    <n v="1000"/>
    <s v=""/>
    <n v="376523000"/>
    <x v="281"/>
    <s v="IPCA"/>
    <s v="-"/>
    <n v="3.6"/>
    <x v="318"/>
    <n v="252"/>
    <s v="Útil"/>
    <s v="S"/>
    <x v="0"/>
    <s v="N"/>
    <x v="0"/>
    <x v="6"/>
    <x v="0"/>
    <x v="65"/>
  </r>
  <r>
    <n v="0"/>
    <s v="Rumo4436248014"/>
    <n v="33"/>
    <s v="RUMO S.A."/>
    <s v="Rumo"/>
    <x v="0"/>
    <n v="0"/>
    <s v="RUMOA6    "/>
    <n v="11"/>
    <x v="44"/>
    <d v="2031-06-15T00:00:00"/>
    <x v="1"/>
    <n v="1"/>
    <x v="2"/>
    <x v="1"/>
    <n v="784619"/>
    <n v="1000"/>
    <s v=""/>
    <n v="784619000"/>
    <x v="282"/>
    <s v="IPCA"/>
    <s v="-"/>
    <n v="4.4997999999999996"/>
    <x v="319"/>
    <n v="252"/>
    <s v="Útil"/>
    <s v="S"/>
    <x v="0"/>
    <s v="N"/>
    <x v="0"/>
    <x v="6"/>
    <x v="0"/>
    <x v="40"/>
  </r>
  <r>
    <n v="0"/>
    <s v="Rumo4375347406"/>
    <n v="33"/>
    <s v="RUMO S.A."/>
    <s v="Rumo"/>
    <x v="0"/>
    <n v="0"/>
    <s v="RUMOB3    "/>
    <n v="12"/>
    <x v="173"/>
    <d v="2029-10-15T00:00:00"/>
    <x v="12"/>
    <n v="1"/>
    <x v="2"/>
    <x v="1"/>
    <n v="222280"/>
    <n v="1000"/>
    <s v=""/>
    <n v="222280000"/>
    <x v="283"/>
    <s v="IPCA"/>
    <s v="-"/>
    <n v="4"/>
    <x v="316"/>
    <n v="252"/>
    <s v="Útil"/>
    <s v="S"/>
    <x v="0"/>
    <s v="N"/>
    <x v="0"/>
    <x v="6"/>
    <x v="0"/>
    <x v="109"/>
  </r>
  <r>
    <n v="0"/>
    <s v="Rumo4418049658"/>
    <n v="33"/>
    <s v="RUMO S.A."/>
    <s v="Rumo"/>
    <x v="0"/>
    <n v="0"/>
    <s v="RUMOB5    "/>
    <n v="13"/>
    <x v="204"/>
    <d v="2035-12-15T00:00:00"/>
    <x v="62"/>
    <n v="1"/>
    <x v="2"/>
    <x v="1"/>
    <n v="823477"/>
    <n v="1000"/>
    <s v=""/>
    <n v="823477000"/>
    <x v="284"/>
    <s v="IPCA"/>
    <s v="-"/>
    <n v="4"/>
    <x v="320"/>
    <n v="252"/>
    <s v="Útil"/>
    <s v="S"/>
    <x v="0"/>
    <s v="N"/>
    <x v="0"/>
    <x v="6"/>
    <x v="0"/>
    <x v="65"/>
  </r>
  <r>
    <n v="0"/>
    <s v="Rumo4436249841"/>
    <n v="33"/>
    <s v="RUMO S.A."/>
    <s v="Rumo"/>
    <x v="0"/>
    <n v="0"/>
    <s v="RUMOB6    "/>
    <n v="14"/>
    <x v="44"/>
    <d v="2036-06-15T00:00:00"/>
    <x v="56"/>
    <n v="1"/>
    <x v="2"/>
    <x v="1"/>
    <n v="258815"/>
    <n v="1000"/>
    <s v=""/>
    <n v="258815000"/>
    <x v="285"/>
    <s v="IPCA"/>
    <s v="-"/>
    <n v="4.5404"/>
    <x v="321"/>
    <n v="252"/>
    <s v="Útil"/>
    <s v="S"/>
    <x v="0"/>
    <s v="N"/>
    <x v="0"/>
    <x v="6"/>
    <x v="0"/>
    <x v="40"/>
  </r>
  <r>
    <n v="131"/>
    <s v="Rumo4402210/01/2028"/>
    <n v="33"/>
    <s v="Rumo Luxembourg Sarl"/>
    <s v="Rumo"/>
    <x v="1"/>
    <n v="1"/>
    <m/>
    <n v="15"/>
    <x v="275"/>
    <s v="10/01/2028"/>
    <x v="120"/>
    <n v="1"/>
    <x v="1"/>
    <x v="0"/>
    <m/>
    <m/>
    <n v="5.3433999999999999"/>
    <n v="500000000"/>
    <x v="286"/>
    <s v="USD"/>
    <s v="-"/>
    <n v="5.25"/>
    <x v="322"/>
    <n v="360"/>
    <s v="Corrido"/>
    <s v="N"/>
    <x v="1"/>
    <s v="S"/>
    <x v="1"/>
    <x v="6"/>
    <x v="0"/>
    <x v="152"/>
  </r>
  <r>
    <n v="132"/>
    <s v="Rumo4446118/01/2032"/>
    <n v="33"/>
    <s v="Rumo Luxembourg Sarl"/>
    <s v="Rumo"/>
    <x v="1"/>
    <n v="1"/>
    <m/>
    <n v="16"/>
    <x v="276"/>
    <s v="18/01/2032"/>
    <x v="123"/>
    <n v="1"/>
    <x v="1"/>
    <x v="0"/>
    <m/>
    <m/>
    <n v="5.2777000000000003"/>
    <n v="500000000"/>
    <x v="287"/>
    <s v="USD"/>
    <s v="-"/>
    <n v="4.2"/>
    <x v="323"/>
    <n v="360"/>
    <s v="Corrido"/>
    <s v="N"/>
    <x v="1"/>
    <s v="S"/>
    <x v="1"/>
    <x v="6"/>
    <x v="0"/>
    <x v="35"/>
  </r>
  <r>
    <n v="0"/>
    <s v="Simpar4448947046"/>
    <n v="34"/>
    <s v="JSL S.A"/>
    <s v="Simpar"/>
    <x v="0"/>
    <n v="0"/>
    <s v="JSLGA5    "/>
    <n v="1"/>
    <x v="277"/>
    <d v="2028-10-20T00:00:00"/>
    <x v="8"/>
    <n v="1"/>
    <x v="2"/>
    <x v="1"/>
    <n v="700000"/>
    <n v="1000"/>
    <s v=""/>
    <n v="700000000"/>
    <x v="12"/>
    <s v="DI"/>
    <n v="100"/>
    <n v="2.7"/>
    <x v="235"/>
    <n v="252"/>
    <s v="Útil"/>
    <s v="N"/>
    <x v="1"/>
    <s v="S"/>
    <x v="1"/>
    <x v="11"/>
    <x v="0"/>
    <x v="153"/>
  </r>
  <r>
    <n v="0"/>
    <s v="Simpar4071842910"/>
    <n v="34"/>
    <s v="JSL S.A"/>
    <s v="Simpar"/>
    <x v="0"/>
    <n v="0"/>
    <s v="JSML14    "/>
    <n v="2"/>
    <x v="278"/>
    <d v="2017-06-24T00:00:00"/>
    <x v="11"/>
    <n v="1"/>
    <x v="2"/>
    <x v="1"/>
    <n v="113"/>
    <n v="1000000"/>
    <s v=""/>
    <n v="113000000"/>
    <x v="288"/>
    <s v="DI"/>
    <n v="118"/>
    <m/>
    <x v="324"/>
    <n v="252"/>
    <s v="Útil"/>
    <s v="N"/>
    <x v="1"/>
    <s v="S"/>
    <x v="1"/>
    <x v="11"/>
    <x v="0"/>
    <x v="50"/>
  </r>
  <r>
    <n v="0"/>
    <s v="Simpar4105342514"/>
    <n v="34"/>
    <s v="JSL S.A"/>
    <s v="Simpar"/>
    <x v="0"/>
    <n v="0"/>
    <s v="JSML15    "/>
    <n v="3"/>
    <x v="279"/>
    <d v="2016-05-24T00:00:00"/>
    <x v="46"/>
    <n v="0"/>
    <x v="2"/>
    <x v="1"/>
    <n v="20000"/>
    <n v="10000"/>
    <s v=""/>
    <n v="200000000"/>
    <x v="13"/>
    <s v="DI"/>
    <n v="100"/>
    <n v="1.85"/>
    <x v="57"/>
    <n v="252"/>
    <s v="Útil"/>
    <s v="N"/>
    <x v="1"/>
    <s v="S"/>
    <x v="1"/>
    <x v="0"/>
    <x v="0"/>
    <x v="62"/>
  </r>
  <r>
    <n v="0"/>
    <s v="Simpar4147043296"/>
    <n v="34"/>
    <s v="JSL S.A"/>
    <s v="Simpar"/>
    <x v="0"/>
    <n v="0"/>
    <s v="JSML16    "/>
    <n v="4"/>
    <x v="15"/>
    <d v="2018-07-15T00:00:00"/>
    <x v="4"/>
    <n v="1"/>
    <x v="2"/>
    <x v="1"/>
    <n v="152429"/>
    <n v="1000"/>
    <s v=""/>
    <n v="152429000"/>
    <x v="289"/>
    <s v="DI"/>
    <n v="100"/>
    <n v="1.8"/>
    <x v="5"/>
    <n v="252"/>
    <s v="Útil"/>
    <s v="N"/>
    <x v="1"/>
    <s v="N"/>
    <x v="0"/>
    <x v="0"/>
    <x v="0"/>
    <x v="13"/>
  </r>
  <r>
    <n v="0"/>
    <s v="Simpar4157143762"/>
    <n v="34"/>
    <s v="JSL S.A"/>
    <s v="Simpar"/>
    <x v="0"/>
    <n v="0"/>
    <s v="JSML17    "/>
    <n v="5"/>
    <x v="280"/>
    <d v="2019-10-24T00:00:00"/>
    <x v="7"/>
    <n v="1"/>
    <x v="2"/>
    <x v="1"/>
    <n v="17000"/>
    <n v="10000"/>
    <s v=""/>
    <n v="170000000"/>
    <x v="167"/>
    <s v="DI"/>
    <n v="117.5"/>
    <m/>
    <x v="325"/>
    <n v="252"/>
    <s v="Útil"/>
    <s v="N"/>
    <x v="1"/>
    <s v="S"/>
    <x v="1"/>
    <x v="0"/>
    <x v="0"/>
    <x v="53"/>
  </r>
  <r>
    <n v="0"/>
    <s v="Simpar4180543631"/>
    <n v="34"/>
    <s v="JSL S.A"/>
    <s v="Simpar"/>
    <x v="0"/>
    <n v="0"/>
    <s v="JSML18    "/>
    <n v="6"/>
    <x v="281"/>
    <d v="2019-06-15T00:00:00"/>
    <x v="4"/>
    <n v="1"/>
    <x v="2"/>
    <x v="1"/>
    <n v="165175"/>
    <n v="1000"/>
    <s v=""/>
    <n v="165175000"/>
    <x v="290"/>
    <s v="DI"/>
    <n v="116"/>
    <m/>
    <x v="326"/>
    <n v="252"/>
    <s v="Útil"/>
    <s v="N"/>
    <x v="1"/>
    <s v="N"/>
    <x v="0"/>
    <x v="0"/>
    <x v="0"/>
    <x v="140"/>
  </r>
  <r>
    <n v="0"/>
    <s v="Simpar4198843814"/>
    <n v="34"/>
    <s v="JSL S.A"/>
    <s v="Simpar"/>
    <x v="0"/>
    <n v="0"/>
    <s v="JSML19    "/>
    <n v="7"/>
    <x v="258"/>
    <d v="2019-12-15T00:00:00"/>
    <x v="4"/>
    <n v="1"/>
    <x v="2"/>
    <x v="1"/>
    <n v="10000"/>
    <n v="10000"/>
    <s v=""/>
    <n v="100000000"/>
    <x v="33"/>
    <s v="DI"/>
    <n v="116"/>
    <m/>
    <x v="327"/>
    <n v="252"/>
    <s v="Útil"/>
    <s v="N"/>
    <x v="1"/>
    <s v="S"/>
    <x v="1"/>
    <x v="0"/>
    <x v="0"/>
    <x v="144"/>
  </r>
  <r>
    <n v="0"/>
    <s v="Simpar4147044027"/>
    <n v="34"/>
    <s v="JSL S.A"/>
    <s v="Simpar"/>
    <x v="0"/>
    <n v="0"/>
    <s v="JSML26    "/>
    <n v="8"/>
    <x v="15"/>
    <d v="2020-07-15T00:00:00"/>
    <x v="8"/>
    <n v="1"/>
    <x v="2"/>
    <x v="1"/>
    <n v="62472"/>
    <n v="1000"/>
    <s v=""/>
    <n v="62472000"/>
    <x v="291"/>
    <s v="DI"/>
    <n v="100"/>
    <n v="2.2000000000000002"/>
    <x v="196"/>
    <n v="252"/>
    <s v="Útil"/>
    <s v="N"/>
    <x v="1"/>
    <s v="N"/>
    <x v="0"/>
    <x v="0"/>
    <x v="0"/>
    <x v="13"/>
  </r>
  <r>
    <n v="0"/>
    <s v="Simpar4180544362"/>
    <n v="34"/>
    <s v="JSL S.A"/>
    <s v="Simpar"/>
    <x v="0"/>
    <n v="0"/>
    <s v="JSML28    "/>
    <n v="9"/>
    <x v="281"/>
    <d v="2021-06-15T00:00:00"/>
    <x v="8"/>
    <n v="1"/>
    <x v="2"/>
    <x v="1"/>
    <n v="71751"/>
    <n v="1000"/>
    <s v=""/>
    <n v="71751000"/>
    <x v="292"/>
    <s v="IPCA"/>
    <s v="-"/>
    <n v="8"/>
    <x v="328"/>
    <n v="252"/>
    <s v="Útil"/>
    <s v="N"/>
    <x v="1"/>
    <s v="N"/>
    <x v="0"/>
    <x v="0"/>
    <x v="0"/>
    <x v="140"/>
  </r>
  <r>
    <n v="0"/>
    <s v="Simpar4198844545"/>
    <n v="34"/>
    <s v="JSL S.A"/>
    <s v="Simpar"/>
    <x v="0"/>
    <n v="0"/>
    <s v="JSML29    "/>
    <n v="10"/>
    <x v="258"/>
    <d v="2021-12-15T00:00:00"/>
    <x v="8"/>
    <n v="1"/>
    <x v="2"/>
    <x v="1"/>
    <n v="15000"/>
    <n v="10000"/>
    <s v=""/>
    <n v="150000000"/>
    <x v="2"/>
    <s v="DI"/>
    <n v="118.5"/>
    <m/>
    <x v="329"/>
    <n v="252"/>
    <s v="Útil"/>
    <s v="N"/>
    <x v="1"/>
    <s v="S"/>
    <x v="1"/>
    <x v="0"/>
    <x v="0"/>
    <x v="144"/>
  </r>
  <r>
    <n v="0"/>
    <s v="Simpar4147044027"/>
    <n v="34"/>
    <s v="JSL S.A"/>
    <s v="Simpar"/>
    <x v="0"/>
    <n v="0"/>
    <s v="JSML36    "/>
    <n v="11"/>
    <x v="15"/>
    <d v="2020-07-15T00:00:00"/>
    <x v="8"/>
    <n v="1"/>
    <x v="2"/>
    <x v="1"/>
    <n v="185099"/>
    <n v="1000"/>
    <s v=""/>
    <n v="185099000"/>
    <x v="293"/>
    <s v="IPCA"/>
    <s v="-"/>
    <n v="7.5"/>
    <x v="330"/>
    <n v="252"/>
    <s v="Útil"/>
    <s v="N"/>
    <x v="1"/>
    <s v="N"/>
    <x v="0"/>
    <x v="0"/>
    <x v="0"/>
    <x v="13"/>
  </r>
  <r>
    <n v="0"/>
    <s v="Simpar4180544362"/>
    <n v="34"/>
    <s v="JSL S.A"/>
    <s v="Simpar"/>
    <x v="0"/>
    <n v="0"/>
    <s v="JSML38    "/>
    <n v="12"/>
    <x v="281"/>
    <d v="2021-06-15T00:00:00"/>
    <x v="8"/>
    <n v="1"/>
    <x v="2"/>
    <x v="1"/>
    <n v="163074"/>
    <n v="1000"/>
    <s v=""/>
    <n v="163074000"/>
    <x v="294"/>
    <s v="DI"/>
    <n v="118.5"/>
    <m/>
    <x v="331"/>
    <n v="252"/>
    <s v="Útil"/>
    <s v="N"/>
    <x v="1"/>
    <s v="N"/>
    <x v="0"/>
    <x v="0"/>
    <x v="0"/>
    <x v="140"/>
  </r>
  <r>
    <n v="0"/>
    <s v="Simpar4290647016"/>
    <n v="34"/>
    <s v="JSL S.A"/>
    <s v="Simpar"/>
    <x v="0"/>
    <n v="0"/>
    <s v="JSMLA1    "/>
    <n v="13"/>
    <x v="41"/>
    <d v="2028-09-20T00:00:00"/>
    <x v="124"/>
    <n v="1"/>
    <x v="3"/>
    <x v="0"/>
    <n v="400000"/>
    <n v="1000"/>
    <s v=""/>
    <n v="400000000"/>
    <x v="0"/>
    <s v="DI"/>
    <n v="100"/>
    <n v="2.7"/>
    <x v="235"/>
    <n v="252"/>
    <s v="Útil"/>
    <s v="N"/>
    <x v="1"/>
    <s v="S"/>
    <x v="1"/>
    <x v="0"/>
    <x v="0"/>
    <x v="37"/>
  </r>
  <r>
    <n v="0"/>
    <s v="Simpar4345447016"/>
    <n v="34"/>
    <s v="JSL S.A"/>
    <s v="Simpar"/>
    <x v="0"/>
    <n v="0"/>
    <s v="JSMLA2    "/>
    <n v="14"/>
    <x v="43"/>
    <d v="2028-09-20T00:00:00"/>
    <x v="125"/>
    <n v="1"/>
    <x v="3"/>
    <x v="0"/>
    <n v="60000"/>
    <n v="10000"/>
    <s v=""/>
    <n v="600000000"/>
    <x v="30"/>
    <s v="DI"/>
    <n v="100"/>
    <n v="2.7"/>
    <x v="235"/>
    <n v="252"/>
    <s v="Útil"/>
    <s v="N"/>
    <x v="1"/>
    <s v="S"/>
    <x v="1"/>
    <x v="0"/>
    <x v="0"/>
    <x v="39"/>
  </r>
  <r>
    <n v="0"/>
    <s v="Simpar4360545432"/>
    <n v="34"/>
    <s v="JSL S.A"/>
    <s v="Simpar"/>
    <x v="0"/>
    <n v="0"/>
    <s v="JSMLA3    "/>
    <n v="15"/>
    <x v="282"/>
    <d v="2024-05-20T00:00:00"/>
    <x v="5"/>
    <n v="1"/>
    <x v="2"/>
    <x v="1"/>
    <n v="344940"/>
    <n v="1000"/>
    <s v=""/>
    <n v="344940000"/>
    <x v="295"/>
    <s v="DI"/>
    <n v="100"/>
    <n v="1.9"/>
    <x v="7"/>
    <n v="252"/>
    <s v="Útil"/>
    <s v="N"/>
    <x v="1"/>
    <s v="S"/>
    <x v="1"/>
    <x v="0"/>
    <x v="0"/>
    <x v="120"/>
  </r>
  <r>
    <n v="0"/>
    <s v="Simpar4378945250"/>
    <n v="34"/>
    <s v="JSL S.A"/>
    <s v="Simpar"/>
    <x v="0"/>
    <n v="0"/>
    <s v="JSMLA4    "/>
    <n v="16"/>
    <x v="283"/>
    <d v="2023-11-20T00:00:00"/>
    <x v="46"/>
    <n v="0"/>
    <x v="2"/>
    <x v="1"/>
    <n v="200000"/>
    <n v="1000"/>
    <s v=""/>
    <n v="200000000"/>
    <x v="13"/>
    <s v="DI"/>
    <n v="115.2"/>
    <m/>
    <x v="332"/>
    <n v="252"/>
    <s v="Útil"/>
    <s v="N"/>
    <x v="1"/>
    <s v="S"/>
    <x v="1"/>
    <x v="0"/>
    <x v="0"/>
    <x v="76"/>
  </r>
  <r>
    <n v="0"/>
    <s v="Simpar4445447863"/>
    <n v="34"/>
    <s v="JSL S.A"/>
    <s v="Simpar"/>
    <x v="0"/>
    <n v="0"/>
    <s v="JSMLA5    "/>
    <n v="17"/>
    <x v="215"/>
    <d v="2031-01-15T00:00:00"/>
    <x v="126"/>
    <n v="1"/>
    <x v="2"/>
    <x v="1"/>
    <n v="1245000"/>
    <n v="1000"/>
    <s v=""/>
    <n v="1245000000"/>
    <x v="296"/>
    <s v="DI"/>
    <n v="100"/>
    <n v="3.5"/>
    <x v="58"/>
    <n v="252"/>
    <s v="Útil"/>
    <s v="N"/>
    <x v="1"/>
    <s v="S"/>
    <x v="1"/>
    <x v="11"/>
    <x v="0"/>
    <x v="95"/>
  </r>
  <r>
    <n v="0"/>
    <s v="Simpar4360546162"/>
    <n v="34"/>
    <s v="JSL S.A"/>
    <s v="Simpar"/>
    <x v="0"/>
    <n v="0"/>
    <s v="JSMLB3    "/>
    <n v="18"/>
    <x v="282"/>
    <d v="2026-05-20T00:00:00"/>
    <x v="8"/>
    <n v="1"/>
    <x v="2"/>
    <x v="1"/>
    <n v="105060"/>
    <n v="1000"/>
    <s v=""/>
    <n v="105060000"/>
    <x v="297"/>
    <s v="DI"/>
    <n v="100"/>
    <n v="2.2000000000000002"/>
    <x v="196"/>
    <n v="252"/>
    <s v="Útil"/>
    <s v="N"/>
    <x v="1"/>
    <s v="S"/>
    <x v="1"/>
    <x v="0"/>
    <x v="0"/>
    <x v="120"/>
  </r>
  <r>
    <n v="0"/>
    <s v="Simpar4445448106"/>
    <n v="34"/>
    <s v="JSL S.A"/>
    <s v="Simpar"/>
    <x v="0"/>
    <n v="0"/>
    <s v="JSMLB5    "/>
    <n v="19"/>
    <x v="215"/>
    <d v="2031-09-15T00:00:00"/>
    <x v="1"/>
    <n v="1"/>
    <x v="2"/>
    <x v="1"/>
    <n v="255000"/>
    <n v="1000"/>
    <s v=""/>
    <n v="255000000"/>
    <x v="298"/>
    <s v="IPCA"/>
    <s v="-"/>
    <n v="7.9676999999999998"/>
    <x v="333"/>
    <n v="252"/>
    <s v="Útil"/>
    <s v="N"/>
    <x v="1"/>
    <s v="S"/>
    <x v="1"/>
    <x v="11"/>
    <x v="0"/>
    <x v="95"/>
  </r>
  <r>
    <n v="133"/>
    <s v="Simpar4421626/01/2031"/>
    <n v="34"/>
    <s v="Simpar Europe SA"/>
    <s v="Simpar"/>
    <x v="1"/>
    <n v="1"/>
    <m/>
    <n v="20"/>
    <x v="284"/>
    <s v="26/01/2031"/>
    <x v="127"/>
    <n v="1"/>
    <x v="1"/>
    <x v="0"/>
    <m/>
    <m/>
    <n v="5.3026999999999997"/>
    <n v="625000000"/>
    <x v="299"/>
    <s v="USD"/>
    <s v="-"/>
    <n v="5.2"/>
    <x v="334"/>
    <n v="360"/>
    <s v="Corrido"/>
    <s v="N"/>
    <x v="1"/>
    <s v="S"/>
    <x v="1"/>
    <x v="11"/>
    <x v="0"/>
    <x v="154"/>
  </r>
  <r>
    <n v="134"/>
    <s v="Simpar4294226/07/2024"/>
    <n v="34"/>
    <s v="Simpar Europe SA"/>
    <s v="Simpar"/>
    <x v="1"/>
    <n v="1"/>
    <m/>
    <n v="21"/>
    <x v="285"/>
    <s v="26/07/2024"/>
    <x v="8"/>
    <n v="1"/>
    <x v="1"/>
    <x v="0"/>
    <m/>
    <m/>
    <n v="3.1650999999999998"/>
    <n v="325000000"/>
    <x v="300"/>
    <s v="USD"/>
    <s v="-"/>
    <n v="7.75"/>
    <x v="335"/>
    <n v="360"/>
    <s v="Corrido"/>
    <s v="N"/>
    <x v="1"/>
    <s v="S"/>
    <x v="1"/>
    <x v="0"/>
    <x v="0"/>
    <x v="135"/>
  </r>
  <r>
    <n v="135"/>
    <s v="Simpar4311626/07/2024"/>
    <n v="34"/>
    <s v="Simpar Europe SA"/>
    <s v="Simpar"/>
    <x v="1"/>
    <n v="1"/>
    <m/>
    <n v="22"/>
    <x v="286"/>
    <s v="26/07/2024"/>
    <x v="128"/>
    <n v="1"/>
    <x v="1"/>
    <x v="0"/>
    <m/>
    <m/>
    <n v="3.2212999999999998"/>
    <n v="325000000"/>
    <x v="301"/>
    <s v="USD"/>
    <s v="-"/>
    <n v="7.75"/>
    <x v="336"/>
    <n v="360"/>
    <s v="Corrido"/>
    <s v="N"/>
    <x v="1"/>
    <s v="S"/>
    <x v="1"/>
    <x v="0"/>
    <x v="0"/>
    <x v="91"/>
  </r>
  <r>
    <n v="0"/>
    <s v="Suzano4328046202"/>
    <n v="35"/>
    <s v="SUZANO S.A."/>
    <s v="Suzano"/>
    <x v="0"/>
    <n v="0"/>
    <s v="SUZB16    "/>
    <n v="1"/>
    <x v="287"/>
    <d v="2026-06-29T00:00:00"/>
    <x v="13"/>
    <n v="1"/>
    <x v="2"/>
    <x v="1"/>
    <n v="4681100"/>
    <n v="1000"/>
    <s v=""/>
    <n v="4681100000"/>
    <x v="302"/>
    <s v="DI"/>
    <n v="112.5"/>
    <m/>
    <x v="337"/>
    <n v="252"/>
    <s v="Útil"/>
    <s v="N"/>
    <x v="1"/>
    <s v="S"/>
    <x v="1"/>
    <x v="2"/>
    <x v="1"/>
    <x v="45"/>
  </r>
  <r>
    <n v="0"/>
    <s v="Suzano4347243832"/>
    <n v="35"/>
    <s v="SUZANO S.A."/>
    <s v="Suzano"/>
    <x v="0"/>
    <n v="0"/>
    <s v="SUZB17    "/>
    <n v="2"/>
    <x v="288"/>
    <d v="2020-01-02T00:00:00"/>
    <x v="2"/>
    <n v="0"/>
    <x v="2"/>
    <x v="1"/>
    <n v="400000"/>
    <n v="10000"/>
    <s v=""/>
    <n v="4000000000"/>
    <x v="303"/>
    <s v="DI"/>
    <n v="103"/>
    <m/>
    <x v="338"/>
    <n v="252"/>
    <s v="Útil"/>
    <s v="N"/>
    <x v="1"/>
    <s v="S"/>
    <x v="1"/>
    <x v="2"/>
    <x v="1"/>
    <x v="77"/>
  </r>
  <r>
    <n v="0"/>
    <s v="Suzano4372347011"/>
    <n v="35"/>
    <s v="SUZANO S.A."/>
    <s v="Suzano"/>
    <x v="0"/>
    <n v="0"/>
    <s v="SUZB18    "/>
    <n v="3"/>
    <x v="289"/>
    <d v="2028-09-15T00:00:00"/>
    <x v="118"/>
    <n v="1"/>
    <x v="2"/>
    <x v="1"/>
    <n v="75000"/>
    <n v="10000"/>
    <s v=""/>
    <n v="750000000"/>
    <x v="89"/>
    <s v="DI"/>
    <n v="100"/>
    <n v="1.2"/>
    <x v="131"/>
    <n v="252"/>
    <s v="Útil"/>
    <s v="N"/>
    <x v="1"/>
    <s v="S"/>
    <x v="1"/>
    <x v="2"/>
    <x v="1"/>
    <x v="13"/>
  </r>
  <r>
    <n v="136"/>
    <s v="Suzano4281016/03/2047"/>
    <n v="35"/>
    <s v="Suzano Austria GmbH"/>
    <s v="Suzano"/>
    <x v="1"/>
    <n v="1"/>
    <m/>
    <n v="4"/>
    <x v="290"/>
    <s v="16/03/2047"/>
    <x v="41"/>
    <n v="1"/>
    <x v="1"/>
    <x v="0"/>
    <m/>
    <m/>
    <n v="3.1074000000000002"/>
    <n v="300000000"/>
    <x v="304"/>
    <s v="USD"/>
    <s v="-"/>
    <n v="7"/>
    <x v="339"/>
    <n v="360"/>
    <s v="Corrido"/>
    <s v="N"/>
    <x v="1"/>
    <s v="S"/>
    <x v="1"/>
    <x v="6"/>
    <x v="0"/>
    <x v="128"/>
  </r>
  <r>
    <n v="137"/>
    <s v="Suzano4369115/01/2029"/>
    <n v="35"/>
    <s v="Suzano Austria GmbH"/>
    <s v="Suzano"/>
    <x v="1"/>
    <n v="1"/>
    <m/>
    <n v="5"/>
    <x v="291"/>
    <s v="15/01/2029"/>
    <x v="129"/>
    <n v="1"/>
    <x v="1"/>
    <x v="0"/>
    <m/>
    <m/>
    <n v="4.0068000000000001"/>
    <n v="750000000"/>
    <x v="305"/>
    <s v="USD"/>
    <s v="-"/>
    <n v="6"/>
    <x v="340"/>
    <n v="360"/>
    <s v="Corrido"/>
    <s v="N"/>
    <x v="1"/>
    <s v="S"/>
    <x v="1"/>
    <x v="2"/>
    <x v="1"/>
    <x v="60"/>
  </r>
  <r>
    <n v="138"/>
    <s v="Suzano4437815/01/2032"/>
    <n v="35"/>
    <s v="Suzano Austria GmbH"/>
    <s v="Suzano"/>
    <x v="1"/>
    <n v="1"/>
    <m/>
    <n v="6"/>
    <x v="50"/>
    <s v="15/01/2032"/>
    <x v="130"/>
    <n v="1"/>
    <x v="1"/>
    <x v="0"/>
    <m/>
    <m/>
    <n v="5.0049000000000001"/>
    <n v="1000000000"/>
    <x v="306"/>
    <s v="USD"/>
    <s v="-"/>
    <n v="3.125"/>
    <x v="341"/>
    <n v="360"/>
    <s v="Corrido"/>
    <s v="N"/>
    <x v="1"/>
    <s v="S"/>
    <x v="1"/>
    <x v="2"/>
    <x v="1"/>
    <x v="0"/>
  </r>
  <r>
    <n v="139"/>
    <s v="Suzano4408815/01/2031"/>
    <n v="35"/>
    <s v="Suzano Austria GmbH"/>
    <s v="Suzano"/>
    <x v="1"/>
    <n v="1"/>
    <m/>
    <n v="7"/>
    <x v="292"/>
    <s v="15/01/2031"/>
    <x v="40"/>
    <n v="1"/>
    <x v="1"/>
    <x v="0"/>
    <m/>
    <m/>
    <n v="5.2977999999999996"/>
    <n v="750000000"/>
    <x v="307"/>
    <s v="USD"/>
    <s v="-"/>
    <n v="3.75"/>
    <x v="342"/>
    <n v="360"/>
    <s v="Corrido"/>
    <s v="N"/>
    <x v="1"/>
    <s v="S"/>
    <x v="1"/>
    <x v="2"/>
    <x v="1"/>
    <x v="129"/>
  </r>
  <r>
    <n v="140"/>
    <s v="Suzano4445215/09/2028"/>
    <n v="35"/>
    <s v="Suzano Austria GmbH"/>
    <s v="Suzano"/>
    <x v="1"/>
    <n v="1"/>
    <m/>
    <n v="8"/>
    <x v="293"/>
    <s v="15/09/2028"/>
    <x v="131"/>
    <n v="1"/>
    <x v="1"/>
    <x v="0"/>
    <m/>
    <m/>
    <n v="5.2183999999999999"/>
    <n v="500000000"/>
    <x v="308"/>
    <s v="USD"/>
    <s v="-"/>
    <n v="2.5"/>
    <x v="343"/>
    <n v="360"/>
    <s v="Corrido"/>
    <s v="N"/>
    <x v="1"/>
    <s v="S"/>
    <x v="1"/>
    <x v="2"/>
    <x v="1"/>
    <x v="95"/>
  </r>
  <r>
    <n v="141"/>
    <s v="Suzano4256514/07/2026"/>
    <n v="35"/>
    <s v="Suzano Austria GmbH"/>
    <s v="Suzano"/>
    <x v="1"/>
    <n v="1"/>
    <m/>
    <n v="9"/>
    <x v="294"/>
    <s v="14/07/2026"/>
    <x v="1"/>
    <n v="1"/>
    <x v="1"/>
    <x v="0"/>
    <m/>
    <m/>
    <n v="3.2305000000000001"/>
    <n v="500000000"/>
    <x v="309"/>
    <s v="USD"/>
    <s v="-"/>
    <n v="5.75"/>
    <x v="344"/>
    <n v="360"/>
    <s v="Corrido"/>
    <s v="N"/>
    <x v="1"/>
    <s v="N"/>
    <x v="0"/>
    <x v="6"/>
    <x v="0"/>
    <x v="145"/>
  </r>
  <r>
    <n v="142"/>
    <s v="Suzano4336315/01/2029"/>
    <n v="35"/>
    <s v="Suzano Austria GmbH"/>
    <s v="Suzano"/>
    <x v="1"/>
    <n v="1"/>
    <m/>
    <n v="10"/>
    <x v="295"/>
    <s v="15/01/2029"/>
    <x v="123"/>
    <n v="1"/>
    <x v="1"/>
    <x v="0"/>
    <m/>
    <m/>
    <n v="4.0991"/>
    <n v="1000000000"/>
    <x v="310"/>
    <s v="USD"/>
    <s v="-"/>
    <n v="6"/>
    <x v="345"/>
    <n v="360"/>
    <s v="Corrido"/>
    <s v="N"/>
    <x v="1"/>
    <s v="S"/>
    <x v="1"/>
    <x v="2"/>
    <x v="1"/>
    <x v="155"/>
  </r>
  <r>
    <n v="143"/>
    <s v="Suzano4361415/01/2030"/>
    <n v="35"/>
    <s v="Suzano Austria GmbH"/>
    <s v="Suzano"/>
    <x v="1"/>
    <n v="1"/>
    <m/>
    <n v="11"/>
    <x v="296"/>
    <s v="15/01/2030"/>
    <x v="132"/>
    <n v="1"/>
    <x v="1"/>
    <x v="0"/>
    <m/>
    <m/>
    <n v="3.9958999999999998"/>
    <n v="1000000000"/>
    <x v="311"/>
    <s v="USD"/>
    <s v="-"/>
    <n v="5"/>
    <x v="346"/>
    <n v="360"/>
    <s v="Corrido"/>
    <s v="N"/>
    <x v="1"/>
    <s v="S"/>
    <x v="1"/>
    <x v="2"/>
    <x v="1"/>
    <x v="135"/>
  </r>
  <r>
    <n v="144"/>
    <s v="Suzano4361416/03/2047"/>
    <n v="35"/>
    <s v="Suzano Austria GmbH"/>
    <s v="Suzano"/>
    <x v="1"/>
    <n v="1"/>
    <m/>
    <n v="12"/>
    <x v="296"/>
    <s v="16/03/2047"/>
    <x v="133"/>
    <n v="1"/>
    <x v="1"/>
    <x v="0"/>
    <m/>
    <m/>
    <n v="3.9958999999999998"/>
    <n v="250000000"/>
    <x v="312"/>
    <s v="USD"/>
    <s v="-"/>
    <n v="7"/>
    <x v="347"/>
    <n v="360"/>
    <s v="Corrido"/>
    <s v="N"/>
    <x v="1"/>
    <s v="S"/>
    <x v="1"/>
    <x v="2"/>
    <x v="1"/>
    <x v="135"/>
  </r>
  <r>
    <n v="145"/>
    <s v="Suzano4299014/07/2026"/>
    <n v="35"/>
    <s v="Suzano Austria GmbH"/>
    <s v="Suzano"/>
    <x v="1"/>
    <n v="1"/>
    <m/>
    <n v="13"/>
    <x v="297"/>
    <s v="14/07/2026"/>
    <x v="134"/>
    <n v="1"/>
    <x v="1"/>
    <x v="0"/>
    <m/>
    <m/>
    <n v="3.1137999999999999"/>
    <n v="200000000"/>
    <x v="313"/>
    <s v="USD"/>
    <s v="-"/>
    <n v="5.75"/>
    <x v="348"/>
    <n v="360"/>
    <s v="Corrido"/>
    <s v="N"/>
    <x v="1"/>
    <s v="N"/>
    <x v="0"/>
    <x v="6"/>
    <x v="0"/>
    <x v="120"/>
  </r>
  <r>
    <n v="146"/>
    <s v="Suzano4341316/03/2047"/>
    <n v="35"/>
    <s v="Suzano Austria GmbH"/>
    <s v="Suzano"/>
    <x v="1"/>
    <n v="1"/>
    <m/>
    <n v="14"/>
    <x v="298"/>
    <s v="16/03/2047"/>
    <x v="135"/>
    <n v="1"/>
    <x v="1"/>
    <x v="0"/>
    <m/>
    <m/>
    <n v="3.75"/>
    <n v="500000000"/>
    <x v="314"/>
    <s v="USD"/>
    <s v="-"/>
    <n v="7"/>
    <x v="349"/>
    <n v="360"/>
    <s v="Corrido"/>
    <s v="N"/>
    <x v="1"/>
    <s v="S"/>
    <x v="1"/>
    <x v="2"/>
    <x v="1"/>
    <x v="17"/>
  </r>
  <r>
    <n v="147"/>
    <s v="Suzano4299016/03/2047"/>
    <n v="35"/>
    <s v="Suzano Austria GmbH"/>
    <s v="Suzano"/>
    <x v="1"/>
    <n v="1"/>
    <m/>
    <n v="15"/>
    <x v="297"/>
    <s v="16/03/2047"/>
    <x v="136"/>
    <n v="1"/>
    <x v="1"/>
    <x v="0"/>
    <m/>
    <m/>
    <n v="3.1137999999999999"/>
    <n v="200000000"/>
    <x v="313"/>
    <s v="USD"/>
    <s v="-"/>
    <n v="7"/>
    <x v="350"/>
    <n v="360"/>
    <s v="Corrido"/>
    <s v="N"/>
    <x v="1"/>
    <s v="N"/>
    <x v="0"/>
    <x v="6"/>
    <x v="0"/>
    <x v="120"/>
  </r>
  <r>
    <n v="148"/>
    <s v="Suzano4336315/01/2029"/>
    <n v="35"/>
    <s v="Suzano Austria GmbH"/>
    <s v="Suzano"/>
    <x v="1"/>
    <n v="1"/>
    <m/>
    <n v="16"/>
    <x v="295"/>
    <s v="15/01/2029"/>
    <x v="123"/>
    <n v="1"/>
    <x v="1"/>
    <x v="0"/>
    <m/>
    <m/>
    <n v="4.0991"/>
    <n v="1000000000"/>
    <x v="310"/>
    <s v="USD"/>
    <s v="-"/>
    <n v="6"/>
    <x v="345"/>
    <n v="360"/>
    <s v="Corrido"/>
    <s v="N"/>
    <x v="1"/>
    <s v="S"/>
    <x v="1"/>
    <x v="2"/>
    <x v="1"/>
    <x v="155"/>
  </r>
  <r>
    <n v="149"/>
    <s v="Suzano4350115/01/2029"/>
    <n v="35"/>
    <s v="Suzano Austria GmbH"/>
    <s v="Suzano"/>
    <x v="1"/>
    <n v="1"/>
    <m/>
    <n v="17"/>
    <x v="299"/>
    <s v="15/01/2029"/>
    <x v="43"/>
    <n v="1"/>
    <x v="1"/>
    <x v="0"/>
    <m/>
    <m/>
    <n v="3.6735000000000002"/>
    <n v="750000000"/>
    <x v="315"/>
    <s v="USD"/>
    <s v="-"/>
    <n v="6"/>
    <x v="351"/>
    <n v="360"/>
    <s v="Corrido"/>
    <s v="N"/>
    <x v="1"/>
    <s v="S"/>
    <x v="1"/>
    <x v="2"/>
    <x v="1"/>
    <x v="156"/>
  </r>
  <r>
    <n v="0"/>
    <s v="Ultrapar4098442079"/>
    <n v="36"/>
    <s v="ULTRAPAR PARTICIPACOES S/A"/>
    <s v="Ultrapar"/>
    <x v="0"/>
    <n v="0"/>
    <s v="UGPA14    "/>
    <n v="1"/>
    <x v="300"/>
    <d v="2015-03-16T00:00:00"/>
    <x v="6"/>
    <n v="0"/>
    <x v="2"/>
    <x v="1"/>
    <n v="800"/>
    <n v="1000000"/>
    <s v=""/>
    <n v="800000000"/>
    <x v="6"/>
    <s v="DI"/>
    <n v="108.25"/>
    <m/>
    <x v="352"/>
    <n v="252"/>
    <s v="Útil"/>
    <s v="N"/>
    <x v="1"/>
    <s v="S"/>
    <x v="1"/>
    <x v="2"/>
    <x v="1"/>
    <x v="157"/>
  </r>
  <r>
    <n v="0"/>
    <s v="Ultrapar4207943175"/>
    <n v="36"/>
    <s v="ULTRAPAR PARTICIPACOES S/A"/>
    <s v="Ultrapar"/>
    <x v="0"/>
    <n v="0"/>
    <s v="UGPA15    "/>
    <n v="2"/>
    <x v="217"/>
    <d v="2018-03-16T00:00:00"/>
    <x v="16"/>
    <n v="0"/>
    <x v="2"/>
    <x v="1"/>
    <n v="80000"/>
    <n v="10000"/>
    <s v=""/>
    <n v="800000000"/>
    <x v="6"/>
    <s v="DI"/>
    <n v="108.25"/>
    <m/>
    <x v="353"/>
    <n v="252"/>
    <s v="Útil"/>
    <s v="N"/>
    <x v="1"/>
    <s v="S"/>
    <x v="1"/>
    <x v="7"/>
    <x v="1"/>
    <x v="130"/>
  </r>
  <r>
    <n v="0"/>
    <s v="Ultrapar4316444990"/>
    <n v="36"/>
    <s v="ULTRAPAR PARTICIPACOES S/A"/>
    <s v="Ultrapar"/>
    <x v="0"/>
    <n v="0"/>
    <s v="UGPA16    "/>
    <n v="3"/>
    <x v="301"/>
    <d v="2023-03-05T00:00:00"/>
    <x v="4"/>
    <n v="1"/>
    <x v="2"/>
    <x v="1"/>
    <n v="1725000"/>
    <n v="1000"/>
    <s v=""/>
    <n v="1725000000"/>
    <x v="316"/>
    <s v="DI"/>
    <n v="105.25"/>
    <m/>
    <x v="354"/>
    <n v="252"/>
    <s v="Útil"/>
    <s v="N"/>
    <x v="1"/>
    <s v="S"/>
    <x v="1"/>
    <x v="6"/>
    <x v="0"/>
    <x v="109"/>
  </r>
  <r>
    <n v="150"/>
    <s v="Ultrapar4362206/06/2029"/>
    <n v="36"/>
    <s v="Ultrapar International SA"/>
    <s v="Ultrapar"/>
    <x v="1"/>
    <n v="1"/>
    <m/>
    <n v="4"/>
    <x v="302"/>
    <s v="06/06/2029"/>
    <x v="12"/>
    <n v="1"/>
    <x v="1"/>
    <x v="0"/>
    <m/>
    <m/>
    <n v="3.8719999999999999"/>
    <n v="500000000"/>
    <x v="317"/>
    <s v="USD"/>
    <s v="-"/>
    <n v="5.25"/>
    <x v="355"/>
    <n v="360"/>
    <s v="Corrido"/>
    <s v="N"/>
    <x v="1"/>
    <s v="N"/>
    <x v="0"/>
    <x v="6"/>
    <x v="0"/>
    <x v="1"/>
  </r>
  <r>
    <n v="151"/>
    <s v="Ultrapar4264906/10/2026"/>
    <n v="36"/>
    <s v="Ultrapar International SA"/>
    <s v="Ultrapar"/>
    <x v="1"/>
    <n v="1"/>
    <m/>
    <n v="5"/>
    <x v="303"/>
    <s v="06/10/2026"/>
    <x v="1"/>
    <n v="1"/>
    <x v="1"/>
    <x v="0"/>
    <m/>
    <m/>
    <n v="3.2303999999999999"/>
    <n v="750000000"/>
    <x v="318"/>
    <s v="USD"/>
    <s v="-"/>
    <n v="5.25"/>
    <x v="356"/>
    <n v="360"/>
    <s v="Corrido"/>
    <s v="N"/>
    <x v="1"/>
    <s v="N"/>
    <x v="0"/>
    <x v="6"/>
    <x v="0"/>
    <x v="56"/>
  </r>
  <r>
    <n v="152"/>
    <s v="Ultrapar4403206/06/2029"/>
    <n v="36"/>
    <s v="Ultrapar International SA"/>
    <s v="Ultrapar"/>
    <x v="1"/>
    <n v="1"/>
    <m/>
    <n v="6"/>
    <x v="304"/>
    <s v="06/06/2029"/>
    <x v="137"/>
    <n v="1"/>
    <x v="1"/>
    <x v="0"/>
    <m/>
    <m/>
    <n v="5.3628999999999998"/>
    <n v="350000000"/>
    <x v="319"/>
    <s v="USD"/>
    <s v="-"/>
    <n v="5.25"/>
    <x v="357"/>
    <n v="360"/>
    <s v="Corrido"/>
    <s v="N"/>
    <x v="1"/>
    <s v="N"/>
    <x v="0"/>
    <x v="6"/>
    <x v="0"/>
    <x v="158"/>
  </r>
  <r>
    <n v="0"/>
    <s v="Usiminas4130446006"/>
    <n v="37"/>
    <s v="USINAS SIDERURGICAS DE MG S/A - USIMINAS"/>
    <s v="Usiminas"/>
    <x v="0"/>
    <n v="0"/>
    <s v="USIM16    "/>
    <n v="1"/>
    <x v="305"/>
    <d v="2025-12-15T00:00:00"/>
    <x v="138"/>
    <n v="1"/>
    <x v="2"/>
    <x v="1"/>
    <n v="100000"/>
    <n v="10000"/>
    <s v=""/>
    <n v="1000000000"/>
    <x v="18"/>
    <s v="DI"/>
    <n v="100"/>
    <n v="3"/>
    <x v="2"/>
    <n v="252"/>
    <s v="Útil"/>
    <s v="N"/>
    <x v="1"/>
    <s v="S"/>
    <x v="1"/>
    <x v="6"/>
    <x v="0"/>
    <x v="159"/>
  </r>
  <r>
    <n v="0"/>
    <s v="Usiminas4373845199"/>
    <n v="37"/>
    <s v="USINAS SIDERURGICAS DE MG S/A - USIMINAS"/>
    <s v="Usiminas"/>
    <x v="0"/>
    <n v="0"/>
    <s v="USIM17    "/>
    <n v="2"/>
    <x v="306"/>
    <d v="2023-09-30T00:00:00"/>
    <x v="46"/>
    <n v="0"/>
    <x v="2"/>
    <x v="1"/>
    <n v="700000"/>
    <n v="1000"/>
    <s v=""/>
    <n v="700000000"/>
    <x v="12"/>
    <s v="DI"/>
    <n v="100"/>
    <n v="1.7"/>
    <x v="90"/>
    <n v="252"/>
    <s v="Útil"/>
    <s v="N"/>
    <x v="1"/>
    <s v="S"/>
    <x v="1"/>
    <x v="11"/>
    <x v="0"/>
    <x v="70"/>
  </r>
  <r>
    <n v="0"/>
    <s v="Usiminas4373845930"/>
    <n v="37"/>
    <s v="USINAS SIDERURGICAS DE MG S/A - USIMINAS"/>
    <s v="Usiminas"/>
    <x v="0"/>
    <n v="0"/>
    <s v="USIM27    "/>
    <n v="3"/>
    <x v="306"/>
    <d v="2025-09-30T00:00:00"/>
    <x v="11"/>
    <n v="1"/>
    <x v="2"/>
    <x v="1"/>
    <n v="1300000"/>
    <n v="1000"/>
    <s v=""/>
    <n v="1300000000"/>
    <x v="320"/>
    <s v="DI"/>
    <n v="100"/>
    <n v="2.1"/>
    <x v="304"/>
    <n v="252"/>
    <s v="Útil"/>
    <s v="N"/>
    <x v="1"/>
    <s v="S"/>
    <x v="1"/>
    <x v="11"/>
    <x v="0"/>
    <x v="70"/>
  </r>
  <r>
    <n v="153"/>
    <s v="Usiminas4366418/07/2026"/>
    <n v="37"/>
    <s v="Usiminas International Sarl"/>
    <s v="Usiminas"/>
    <x v="1"/>
    <n v="1"/>
    <m/>
    <n v="4"/>
    <x v="307"/>
    <s v="18/07/2026"/>
    <x v="8"/>
    <n v="1"/>
    <x v="1"/>
    <x v="0"/>
    <m/>
    <m/>
    <n v="3.7483"/>
    <n v="750000000"/>
    <x v="321"/>
    <s v="USD"/>
    <s v="-"/>
    <n v="5.875"/>
    <x v="358"/>
    <n v="360"/>
    <s v="Corrido"/>
    <s v="N"/>
    <x v="1"/>
    <s v="S"/>
    <x v="1"/>
    <x v="11"/>
    <x v="0"/>
    <x v="100"/>
  </r>
  <r>
    <n v="0"/>
    <s v="Vale4165444211"/>
    <n v="38"/>
    <s v="VALE S/A"/>
    <s v="Vale"/>
    <x v="0"/>
    <n v="0"/>
    <s v="VALE18    "/>
    <n v="1"/>
    <x v="308"/>
    <d v="2021-01-15T00:00:00"/>
    <x v="8"/>
    <n v="1"/>
    <x v="2"/>
    <x v="1"/>
    <n v="600000"/>
    <n v="1000"/>
    <s v=""/>
    <n v="600000000"/>
    <x v="30"/>
    <s v="IPCA"/>
    <s v="-"/>
    <n v="6.46"/>
    <x v="359"/>
    <n v="252"/>
    <s v="Útil"/>
    <s v="S"/>
    <x v="0"/>
    <s v="N"/>
    <x v="0"/>
    <x v="10"/>
    <x v="1"/>
    <x v="16"/>
  </r>
  <r>
    <n v="0"/>
    <s v="Vale4223144058"/>
    <n v="38"/>
    <s v="VALE S/A"/>
    <s v="Vale"/>
    <x v="0"/>
    <n v="0"/>
    <s v="VALE19    "/>
    <n v="2"/>
    <x v="309"/>
    <d v="2020-08-15T00:00:00"/>
    <x v="5"/>
    <n v="1"/>
    <x v="2"/>
    <x v="1"/>
    <n v="800000"/>
    <n v="1000"/>
    <s v=""/>
    <n v="800000000"/>
    <x v="6"/>
    <s v="IPCA"/>
    <s v="-"/>
    <n v="6.6231999999999998"/>
    <x v="360"/>
    <n v="252"/>
    <s v="Útil"/>
    <s v="S"/>
    <x v="0"/>
    <s v="N"/>
    <x v="0"/>
    <x v="10"/>
    <x v="1"/>
    <x v="160"/>
  </r>
  <r>
    <n v="0"/>
    <s v="Vale4165445306"/>
    <n v="38"/>
    <s v="VALE S/A"/>
    <s v="Vale"/>
    <x v="0"/>
    <n v="0"/>
    <s v="VALE28    "/>
    <n v="3"/>
    <x v="308"/>
    <d v="2024-01-15T00:00:00"/>
    <x v="1"/>
    <n v="1"/>
    <x v="2"/>
    <x v="1"/>
    <n v="150000"/>
    <n v="1000"/>
    <s v=""/>
    <n v="150000000"/>
    <x v="2"/>
    <s v="IPCA"/>
    <s v="-"/>
    <n v="6.57"/>
    <x v="361"/>
    <n v="252"/>
    <s v="Útil"/>
    <s v="S"/>
    <x v="0"/>
    <s v="N"/>
    <x v="0"/>
    <x v="10"/>
    <x v="1"/>
    <x v="16"/>
  </r>
  <r>
    <n v="0"/>
    <s v="Vale4223144788"/>
    <n v="38"/>
    <s v="VALE S/A"/>
    <s v="Vale"/>
    <x v="0"/>
    <n v="0"/>
    <s v="VALE29    "/>
    <n v="4"/>
    <x v="309"/>
    <d v="2022-08-15T00:00:00"/>
    <x v="8"/>
    <n v="1"/>
    <x v="2"/>
    <x v="1"/>
    <n v="550000"/>
    <n v="1000"/>
    <s v=""/>
    <n v="550000000"/>
    <x v="26"/>
    <s v="IPCA"/>
    <s v="-"/>
    <n v="6.6252000000000004"/>
    <x v="362"/>
    <n v="252"/>
    <s v="Útil"/>
    <s v="S"/>
    <x v="0"/>
    <s v="N"/>
    <x v="0"/>
    <x v="10"/>
    <x v="1"/>
    <x v="160"/>
  </r>
  <r>
    <n v="0"/>
    <s v="Vale4165446037"/>
    <n v="38"/>
    <s v="VALE S/A"/>
    <s v="Vale"/>
    <x v="0"/>
    <n v="0"/>
    <s v="VALE38    "/>
    <n v="5"/>
    <x v="308"/>
    <d v="2026-01-15T00:00:00"/>
    <x v="44"/>
    <n v="1"/>
    <x v="2"/>
    <x v="1"/>
    <n v="100000"/>
    <n v="1000"/>
    <s v=""/>
    <n v="100000000"/>
    <x v="33"/>
    <s v="IPCA"/>
    <s v="-"/>
    <n v="6.71"/>
    <x v="363"/>
    <n v="252"/>
    <s v="Útil"/>
    <s v="S"/>
    <x v="0"/>
    <s v="N"/>
    <x v="0"/>
    <x v="10"/>
    <x v="1"/>
    <x v="16"/>
  </r>
  <r>
    <n v="0"/>
    <s v="Vale4165447133"/>
    <n v="38"/>
    <s v="VALE S/A"/>
    <s v="Vale"/>
    <x v="0"/>
    <n v="0"/>
    <s v="VALE48    "/>
    <n v="6"/>
    <x v="308"/>
    <d v="2029-01-15T00:00:00"/>
    <x v="56"/>
    <n v="1"/>
    <x v="2"/>
    <x v="1"/>
    <n v="150000"/>
    <n v="1000"/>
    <s v=""/>
    <n v="150000000"/>
    <x v="2"/>
    <s v="IPCA"/>
    <s v="-"/>
    <n v="6.78"/>
    <x v="364"/>
    <n v="252"/>
    <s v="Útil"/>
    <s v="S"/>
    <x v="0"/>
    <s v="N"/>
    <x v="0"/>
    <x v="10"/>
    <x v="1"/>
    <x v="16"/>
  </r>
  <r>
    <n v="154"/>
    <s v="Vale4402008/07/2030"/>
    <n v="38"/>
    <s v="Vale Overseas Ltd"/>
    <s v="Vale"/>
    <x v="1"/>
    <n v="1"/>
    <m/>
    <n v="7"/>
    <x v="310"/>
    <s v="08/07/2030"/>
    <x v="1"/>
    <n v="1"/>
    <x v="1"/>
    <x v="0"/>
    <m/>
    <m/>
    <n v="5.3475999999999999"/>
    <n v="1500000000"/>
    <x v="322"/>
    <s v="USD"/>
    <s v="-"/>
    <n v="3.75"/>
    <x v="365"/>
    <n v="360"/>
    <s v="Corrido"/>
    <s v="N"/>
    <x v="1"/>
    <s v="S"/>
    <x v="1"/>
    <x v="7"/>
    <x v="1"/>
    <x v="148"/>
  </r>
  <r>
    <n v="155"/>
    <s v="Vale4259210/08/2026"/>
    <n v="38"/>
    <s v="Vale Overseas Ltd"/>
    <s v="Vale"/>
    <x v="1"/>
    <n v="1"/>
    <m/>
    <n v="8"/>
    <x v="311"/>
    <s v="10/08/2026"/>
    <x v="1"/>
    <n v="1"/>
    <x v="1"/>
    <x v="0"/>
    <m/>
    <m/>
    <n v="3.1295999999999999"/>
    <n v="1000000000"/>
    <x v="323"/>
    <s v="USD"/>
    <s v="-"/>
    <n v="6.25"/>
    <x v="366"/>
    <n v="360"/>
    <s v="Corrido"/>
    <s v="N"/>
    <x v="1"/>
    <s v="N"/>
    <x v="0"/>
    <x v="7"/>
    <x v="1"/>
    <x v="160"/>
  </r>
  <r>
    <n v="156"/>
    <s v="Vale4253110/06/2021"/>
    <n v="38"/>
    <s v="Vale Overseas Ltd"/>
    <s v="Vale"/>
    <x v="1"/>
    <n v="1"/>
    <m/>
    <n v="9"/>
    <x v="312"/>
    <s v="10/06/2021"/>
    <x v="4"/>
    <n v="1"/>
    <x v="1"/>
    <x v="0"/>
    <m/>
    <m/>
    <n v="3.4255"/>
    <n v="1250000000"/>
    <x v="324"/>
    <s v="USD"/>
    <s v="-"/>
    <n v="5.875"/>
    <x v="367"/>
    <n v="360"/>
    <s v="Corrido"/>
    <s v="N"/>
    <x v="1"/>
    <s v="N"/>
    <x v="0"/>
    <x v="7"/>
    <x v="1"/>
    <x v="161"/>
  </r>
  <r>
    <n v="157"/>
    <s v="Vale4091911/01/2022"/>
    <n v="38"/>
    <s v="Vale Overseas Ltd"/>
    <s v="Vale"/>
    <x v="1"/>
    <n v="1"/>
    <m/>
    <n v="10"/>
    <x v="313"/>
    <s v="11/01/2022"/>
    <x v="12"/>
    <n v="1"/>
    <x v="1"/>
    <x v="0"/>
    <m/>
    <m/>
    <n v="1.8041"/>
    <n v="2250000000"/>
    <x v="325"/>
    <s v="USD"/>
    <s v="-"/>
    <n v="4.375"/>
    <x v="368"/>
    <n v="360"/>
    <s v="Corrido"/>
    <s v="N"/>
    <x v="1"/>
    <s v="N"/>
    <x v="0"/>
    <x v="10"/>
    <x v="1"/>
    <x v="25"/>
  </r>
  <r>
    <n v="158"/>
    <s v="Vale4116311/09/2042"/>
    <n v="38"/>
    <s v="Vale SA"/>
    <s v="Vale"/>
    <x v="1"/>
    <n v="1"/>
    <m/>
    <n v="11"/>
    <x v="314"/>
    <s v="11/09/2042"/>
    <x v="41"/>
    <n v="1"/>
    <x v="5"/>
    <x v="1"/>
    <m/>
    <m/>
    <n v="2.0192000000000001"/>
    <n v="1500000000"/>
    <x v="326"/>
    <s v="USD"/>
    <s v="-"/>
    <n v="5.625"/>
    <x v="369"/>
    <n v="360"/>
    <s v="Corrido"/>
    <s v="N"/>
    <x v="1"/>
    <s v="N"/>
    <x v="0"/>
    <x v="10"/>
    <x v="1"/>
    <x v="46"/>
  </r>
  <r>
    <n v="0"/>
    <s v="Votorantim Cimentos4188343344"/>
    <n v="39"/>
    <s v="VOTORANTIM CIMENTOS S/A"/>
    <s v="Votorantim Cimentos"/>
    <x v="0"/>
    <n v="0"/>
    <s v="VEBM17    "/>
    <n v="1"/>
    <x v="315"/>
    <d v="2018-09-01T00:00:00"/>
    <x v="46"/>
    <n v="0"/>
    <x v="2"/>
    <x v="1"/>
    <n v="15000"/>
    <n v="10000"/>
    <s v=""/>
    <n v="150000000"/>
    <x v="2"/>
    <s v="DI"/>
    <n v="108.8"/>
    <m/>
    <x v="370"/>
    <n v="252"/>
    <s v="Útil"/>
    <s v="N"/>
    <x v="1"/>
    <s v="S"/>
    <x v="1"/>
    <x v="7"/>
    <x v="1"/>
    <x v="47"/>
  </r>
  <r>
    <n v="0"/>
    <s v="Votorantim Cimentos4231345721"/>
    <n v="39"/>
    <s v="VOTORANTIM CIMENTOS S/A"/>
    <s v="Votorantim Cimentos"/>
    <x v="0"/>
    <n v="0"/>
    <s v="VEBM18    "/>
    <n v="2"/>
    <x v="316"/>
    <d v="2025-03-05T00:00:00"/>
    <x v="139"/>
    <n v="1"/>
    <x v="2"/>
    <x v="1"/>
    <n v="75000"/>
    <n v="10000"/>
    <s v=""/>
    <n v="750000000"/>
    <x v="89"/>
    <s v="DI"/>
    <n v="112"/>
    <m/>
    <x v="371"/>
    <n v="252"/>
    <s v="Útil"/>
    <s v="N"/>
    <x v="1"/>
    <s v="S"/>
    <x v="1"/>
    <x v="7"/>
    <x v="1"/>
    <x v="142"/>
  </r>
  <r>
    <n v="0"/>
    <s v="Votorantim Cimentos4274544571"/>
    <n v="39"/>
    <s v="VOTORANTIM CIMENTOS S/A"/>
    <s v="Votorantim Cimentos"/>
    <x v="0"/>
    <n v="0"/>
    <s v="VEBM19    "/>
    <n v="3"/>
    <x v="317"/>
    <d v="2022-01-10T00:00:00"/>
    <x v="4"/>
    <n v="1"/>
    <x v="2"/>
    <x v="1"/>
    <n v="500000000"/>
    <n v="1"/>
    <s v=""/>
    <n v="500000000"/>
    <x v="10"/>
    <s v="DI"/>
    <n v="119.9"/>
    <m/>
    <x v="372"/>
    <n v="252"/>
    <s v="Útil"/>
    <s v="N"/>
    <x v="1"/>
    <s v="S"/>
    <x v="1"/>
    <x v="2"/>
    <x v="1"/>
    <x v="162"/>
  </r>
  <r>
    <n v="0"/>
    <s v="Votorantim Cimentos4188343709"/>
    <n v="39"/>
    <s v="VOTORANTIM CIMENTOS S/A"/>
    <s v="Votorantim Cimentos"/>
    <x v="0"/>
    <n v="0"/>
    <s v="VEBM27    "/>
    <n v="4"/>
    <x v="315"/>
    <d v="2019-09-01T00:00:00"/>
    <x v="4"/>
    <n v="1"/>
    <x v="2"/>
    <x v="1"/>
    <n v="30000"/>
    <n v="10000"/>
    <s v=""/>
    <n v="300000000"/>
    <x v="5"/>
    <s v="DI"/>
    <n v="107.91"/>
    <m/>
    <x v="373"/>
    <n v="252"/>
    <s v="Útil"/>
    <s v="N"/>
    <x v="1"/>
    <s v="S"/>
    <x v="1"/>
    <x v="7"/>
    <x v="1"/>
    <x v="47"/>
  </r>
  <r>
    <n v="0"/>
    <s v="Votorantim Cimentos4188343709"/>
    <n v="39"/>
    <s v="VOTORANTIM CIMENTOS S/A"/>
    <s v="Votorantim Cimentos"/>
    <x v="0"/>
    <n v="0"/>
    <s v="VEBM37    "/>
    <n v="5"/>
    <x v="315"/>
    <d v="2019-09-01T00:00:00"/>
    <x v="4"/>
    <n v="1"/>
    <x v="2"/>
    <x v="1"/>
    <n v="15000"/>
    <n v="10000"/>
    <s v=""/>
    <n v="150000000"/>
    <x v="2"/>
    <s v="DI"/>
    <n v="109.4"/>
    <m/>
    <x v="373"/>
    <n v="252"/>
    <s v="Útil"/>
    <s v="N"/>
    <x v="1"/>
    <s v="S"/>
    <x v="1"/>
    <x v="7"/>
    <x v="1"/>
    <x v="47"/>
  </r>
  <r>
    <n v="0"/>
    <s v="Votorantim Cimentos4424746073"/>
    <n v="39"/>
    <s v="VOTORANTIM CIMENTOS S/A"/>
    <s v="Votorantim Cimentos"/>
    <x v="0"/>
    <n v="0"/>
    <s v="VEBMA2    "/>
    <n v="6"/>
    <x v="318"/>
    <d v="2026-02-20T00:00:00"/>
    <x v="4"/>
    <n v="1"/>
    <x v="2"/>
    <x v="1"/>
    <n v="450000"/>
    <n v="1000"/>
    <s v=""/>
    <n v="450000000"/>
    <x v="37"/>
    <s v="DI"/>
    <n v="100"/>
    <n v="1.45"/>
    <x v="72"/>
    <n v="252"/>
    <s v="Útil"/>
    <s v="N"/>
    <x v="1"/>
    <s v="S"/>
    <x v="1"/>
    <x v="2"/>
    <x v="1"/>
    <x v="7"/>
  </r>
  <r>
    <n v="0"/>
    <s v="Votorantim Cimentos4447447031"/>
    <n v="39"/>
    <s v="VOTORANTIM CIMENTOS S/A"/>
    <s v="Votorantim Cimentos"/>
    <x v="0"/>
    <n v="0"/>
    <s v="VEBMA3    "/>
    <n v="7"/>
    <x v="319"/>
    <d v="2028-10-05T00:00:00"/>
    <x v="8"/>
    <n v="1"/>
    <x v="2"/>
    <x v="1"/>
    <n v="500000"/>
    <n v="1000"/>
    <s v=""/>
    <n v="500000000"/>
    <x v="10"/>
    <s v="DI"/>
    <n v="100"/>
    <n v="1.55"/>
    <x v="99"/>
    <n v="252"/>
    <s v="Útil"/>
    <s v="N"/>
    <x v="1"/>
    <s v="S"/>
    <x v="1"/>
    <x v="2"/>
    <x v="1"/>
    <x v="45"/>
  </r>
  <r>
    <n v="0"/>
    <s v="Votorantim Cimentos4058844241"/>
    <n v="39"/>
    <s v="VOTORANTIM CIMENTOS S/A"/>
    <s v="Votorantim Cimentos"/>
    <x v="0"/>
    <n v="0"/>
    <s v="VTCM13    "/>
    <n v="8"/>
    <x v="320"/>
    <d v="2021-02-14T00:00:00"/>
    <x v="12"/>
    <n v="1"/>
    <x v="2"/>
    <x v="1"/>
    <n v="60"/>
    <n v="10000000"/>
    <s v=""/>
    <n v="600000000"/>
    <x v="30"/>
    <s v="DI"/>
    <n v="113.9"/>
    <m/>
    <x v="374"/>
    <n v="252"/>
    <s v="Útil"/>
    <s v="N"/>
    <x v="1"/>
    <s v="S"/>
    <x v="1"/>
    <x v="2"/>
    <x v="1"/>
    <x v="97"/>
  </r>
  <r>
    <n v="0"/>
    <s v="Votorantim Cimentos4092843251"/>
    <n v="39"/>
    <s v="VOTORANTIM CIMENTOS S/A"/>
    <s v="Votorantim Cimentos"/>
    <x v="0"/>
    <n v="0"/>
    <s v="VTCM14    "/>
    <n v="9"/>
    <x v="321"/>
    <d v="2018-05-31T00:00:00"/>
    <x v="140"/>
    <n v="1"/>
    <x v="2"/>
    <x v="1"/>
    <n v="500"/>
    <n v="1000000"/>
    <s v=""/>
    <n v="500000000"/>
    <x v="10"/>
    <s v="DI"/>
    <n v="100"/>
    <n v="1.0900000000000001"/>
    <x v="375"/>
    <n v="252"/>
    <s v="Útil"/>
    <s v="N"/>
    <x v="1"/>
    <s v="S"/>
    <x v="1"/>
    <x v="7"/>
    <x v="1"/>
    <x v="57"/>
  </r>
  <r>
    <n v="0"/>
    <s v="Votorantim Cimentos4124845356"/>
    <n v="39"/>
    <s v="VOTORANTIM CIMENTOS S/A"/>
    <s v="Votorantim Cimentos"/>
    <x v="0"/>
    <n v="0"/>
    <s v="VTCM15    "/>
    <n v="10"/>
    <x v="322"/>
    <d v="2024-03-05T00:00:00"/>
    <x v="141"/>
    <n v="1"/>
    <x v="2"/>
    <x v="1"/>
    <n v="120000"/>
    <n v="10000"/>
    <s v=""/>
    <n v="1200000000"/>
    <x v="110"/>
    <s v="DI"/>
    <n v="118.9"/>
    <s v=""/>
    <x v="376"/>
    <n v="252"/>
    <s v="Útil"/>
    <s v="N"/>
    <x v="1"/>
    <s v="S"/>
    <x v="1"/>
    <x v="7"/>
    <x v="1"/>
    <x v="141"/>
  </r>
  <r>
    <n v="0"/>
    <s v="Votorantim Cimentos4161345721"/>
    <n v="39"/>
    <s v="VOTORANTIM CIMENTOS S/A"/>
    <s v="Votorantim Cimentos"/>
    <x v="0"/>
    <n v="0"/>
    <s v="VTCM16    "/>
    <n v="11"/>
    <x v="323"/>
    <d v="2025-03-05T00:00:00"/>
    <x v="141"/>
    <n v="1"/>
    <x v="2"/>
    <x v="1"/>
    <n v="50000"/>
    <n v="10000"/>
    <s v=""/>
    <n v="500000000"/>
    <x v="10"/>
    <s v="DI"/>
    <n v="112"/>
    <m/>
    <x v="377"/>
    <n v="252"/>
    <s v="Útil"/>
    <s v="N"/>
    <x v="1"/>
    <s v="S"/>
    <x v="1"/>
    <x v="7"/>
    <x v="1"/>
    <x v="1"/>
  </r>
  <r>
    <n v="0"/>
    <s v="Votorantim Cimentos4092843251"/>
    <n v="39"/>
    <s v="VOTORANTIM CIMENTOS S/A"/>
    <s v="Votorantim Cimentos"/>
    <x v="0"/>
    <n v="0"/>
    <s v="VTCM24    "/>
    <n v="12"/>
    <x v="321"/>
    <d v="2018-05-31T00:00:00"/>
    <x v="140"/>
    <n v="1"/>
    <x v="2"/>
    <x v="1"/>
    <n v="500"/>
    <n v="1000000"/>
    <s v=""/>
    <n v="500000000"/>
    <x v="10"/>
    <s v="DI"/>
    <n v="111"/>
    <m/>
    <x v="378"/>
    <n v="252"/>
    <s v="Útil"/>
    <s v="N"/>
    <x v="1"/>
    <s v="S"/>
    <x v="1"/>
    <x v="7"/>
    <x v="1"/>
    <x v="57"/>
  </r>
  <r>
    <n v="0"/>
    <s v="Votorantim Cimentos4172342819"/>
    <n v="39"/>
    <s v="VOTORANTIM SIDERURGIA S.A."/>
    <s v="Votorantim Cimentos"/>
    <x v="0"/>
    <n v="0"/>
    <s v="SDBM11    "/>
    <n v="13"/>
    <x v="324"/>
    <d v="2017-03-25T00:00:00"/>
    <x v="16"/>
    <n v="0"/>
    <x v="2"/>
    <x v="1"/>
    <n v="45000"/>
    <n v="10000"/>
    <s v=""/>
    <n v="450000000"/>
    <x v="37"/>
    <s v="DI"/>
    <n v="107"/>
    <m/>
    <x v="379"/>
    <n v="252"/>
    <s v="Útil"/>
    <s v="N"/>
    <x v="1"/>
    <s v="S"/>
    <x v="1"/>
    <x v="7"/>
    <x v="1"/>
    <x v="163"/>
  </r>
  <r>
    <n v="159"/>
    <s v="Votorantim Cimentos4063805/04/2041"/>
    <n v="39"/>
    <s v="Votorantim Cimentos International SA"/>
    <s v="Votorantim Cimentos"/>
    <x v="1"/>
    <n v="1"/>
    <m/>
    <n v="14"/>
    <x v="325"/>
    <s v="05/04/2041"/>
    <x v="33"/>
    <n v="1"/>
    <x v="1"/>
    <x v="0"/>
    <m/>
    <m/>
    <n v="1.6079000000000001"/>
    <n v="750000000"/>
    <x v="327"/>
    <s v="USD"/>
    <s v="-"/>
    <n v="7.25"/>
    <x v="380"/>
    <n v="360"/>
    <s v="Corrido"/>
    <s v="N"/>
    <x v="1"/>
    <s v="N"/>
    <x v="0"/>
    <x v="2"/>
    <x v="1"/>
    <x v="118"/>
  </r>
  <r>
    <n v="160"/>
    <s v="Votorantim Cimentos4094805/04/2041"/>
    <n v="39"/>
    <s v="Votorantim Cimentos SA"/>
    <s v="Votorantim Cimentos"/>
    <x v="1"/>
    <n v="1"/>
    <m/>
    <n v="15"/>
    <x v="326"/>
    <s v="05/04/2041"/>
    <x v="142"/>
    <n v="1"/>
    <x v="1"/>
    <x v="0"/>
    <m/>
    <m/>
    <n v="1.7219"/>
    <n v="500000000"/>
    <x v="328"/>
    <s v="USD"/>
    <s v="-"/>
    <n v="7.25"/>
    <x v="381"/>
    <n v="360"/>
    <s v="Corrido"/>
    <s v="N"/>
    <x v="1"/>
    <s v="S"/>
    <x v="1"/>
    <x v="7"/>
    <x v="1"/>
    <x v="16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3FDD242-8D44-42AE-81C1-541F11957126}" name="Tabela dinâmica1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O10:Q195" firstHeaderRow="0" firstDataRow="1" firstDataCol="1" rowPageCount="1" colPageCount="1"/>
  <pivotFields count="35"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numFmtId="4" showAll="0"/>
    <pivotField numFmtId="3" showAll="0"/>
    <pivotField showAll="0"/>
    <pivotField showAll="0"/>
    <pivotField showAll="0"/>
    <pivotField showAll="0"/>
    <pivotField showAll="0"/>
    <pivotField numFmtId="3" showAll="0"/>
    <pivotField numFmtId="4" showAll="0"/>
    <pivotField showAll="0"/>
    <pivotField showAll="0"/>
    <pivotField showAll="0"/>
    <pivotField dataField="1" numFmtId="10" showAll="0">
      <items count="383">
        <item x="254"/>
        <item x="262"/>
        <item x="259"/>
        <item x="287"/>
        <item x="174"/>
        <item x="258"/>
        <item x="284"/>
        <item x="73"/>
        <item x="359"/>
        <item x="361"/>
        <item x="77"/>
        <item x="260"/>
        <item x="263"/>
        <item x="69"/>
        <item x="315"/>
        <item x="368"/>
        <item x="363"/>
        <item x="261"/>
        <item x="338"/>
        <item x="364"/>
        <item x="102"/>
        <item x="301"/>
        <item x="100"/>
        <item x="320"/>
        <item x="76"/>
        <item x="286"/>
        <item x="203"/>
        <item x="298"/>
        <item x="136"/>
        <item x="87"/>
        <item x="318"/>
        <item x="106"/>
        <item x="86"/>
        <item x="141"/>
        <item x="66"/>
        <item x="354"/>
        <item x="35"/>
        <item x="257"/>
        <item x="265"/>
        <item x="140"/>
        <item x="138"/>
        <item x="306"/>
        <item x="280"/>
        <item x="142"/>
        <item x="63"/>
        <item x="344"/>
        <item x="264"/>
        <item x="316"/>
        <item x="321"/>
        <item x="81"/>
        <item x="128"/>
        <item x="300"/>
        <item x="242"/>
        <item x="101"/>
        <item x="51"/>
        <item x="319"/>
        <item x="360"/>
        <item x="32"/>
        <item x="362"/>
        <item x="343"/>
        <item x="308"/>
        <item x="181"/>
        <item x="70"/>
        <item x="82"/>
        <item x="356"/>
        <item x="199"/>
        <item x="240"/>
        <item x="89"/>
        <item x="352"/>
        <item x="281"/>
        <item x="373"/>
        <item x="285"/>
        <item x="379"/>
        <item x="243"/>
        <item x="93"/>
        <item x="297"/>
        <item x="88"/>
        <item x="303"/>
        <item x="296"/>
        <item x="244"/>
        <item x="252"/>
        <item x="143"/>
        <item x="332"/>
        <item x="175"/>
        <item x="241"/>
        <item x="95"/>
        <item x="135"/>
        <item x="370"/>
        <item x="36"/>
        <item x="247"/>
        <item x="130"/>
        <item x="129"/>
        <item x="29"/>
        <item x="293"/>
        <item x="116"/>
        <item x="305"/>
        <item x="15"/>
        <item x="117"/>
        <item x="246"/>
        <item x="83"/>
        <item x="375"/>
        <item x="164"/>
        <item x="245"/>
        <item x="353"/>
        <item x="187"/>
        <item x="202"/>
        <item x="169"/>
        <item x="182"/>
        <item x="188"/>
        <item x="21"/>
        <item x="8"/>
        <item x="0"/>
        <item x="131"/>
        <item x="248"/>
        <item x="132"/>
        <item x="148"/>
        <item x="366"/>
        <item x="378"/>
        <item x="253"/>
        <item x="147"/>
        <item x="341"/>
        <item x="167"/>
        <item x="160"/>
        <item x="166"/>
        <item x="159"/>
        <item x="288"/>
        <item x="52"/>
        <item x="312"/>
        <item x="16"/>
        <item x="249"/>
        <item x="177"/>
        <item x="291"/>
        <item x="165"/>
        <item x="345"/>
        <item x="14"/>
        <item x="134"/>
        <item x="198"/>
        <item x="113"/>
        <item x="18"/>
        <item x="19"/>
        <item x="310"/>
        <item x="62"/>
        <item x="4"/>
        <item x="103"/>
        <item x="12"/>
        <item x="168"/>
        <item x="163"/>
        <item x="172"/>
        <item x="146"/>
        <item x="144"/>
        <item x="94"/>
        <item x="72"/>
        <item x="23"/>
        <item x="337"/>
        <item x="114"/>
        <item x="47"/>
        <item x="22"/>
        <item x="24"/>
        <item x="65"/>
        <item x="191"/>
        <item x="20"/>
        <item x="99"/>
        <item x="61"/>
        <item x="377"/>
        <item x="237"/>
        <item x="279"/>
        <item x="91"/>
        <item x="56"/>
        <item x="180"/>
        <item x="170"/>
        <item x="173"/>
        <item x="271"/>
        <item x="348"/>
        <item x="107"/>
        <item x="64"/>
        <item x="90"/>
        <item x="292"/>
        <item x="346"/>
        <item x="26"/>
        <item x="85"/>
        <item x="309"/>
        <item x="311"/>
        <item x="374"/>
        <item x="376"/>
        <item x="220"/>
        <item x="5"/>
        <item x="272"/>
        <item x="365"/>
        <item x="251"/>
        <item x="1"/>
        <item x="255"/>
        <item x="367"/>
        <item x="112"/>
        <item x="57"/>
        <item x="201"/>
        <item x="109"/>
        <item x="137"/>
        <item x="223"/>
        <item x="371"/>
        <item x="326"/>
        <item x="80"/>
        <item x="7"/>
        <item x="290"/>
        <item x="219"/>
        <item x="313"/>
        <item x="227"/>
        <item x="78"/>
        <item x="55"/>
        <item x="10"/>
        <item x="342"/>
        <item x="13"/>
        <item x="328"/>
        <item x="108"/>
        <item x="327"/>
        <item x="133"/>
        <item x="179"/>
        <item x="325"/>
        <item x="229"/>
        <item x="9"/>
        <item x="355"/>
        <item x="304"/>
        <item x="74"/>
        <item x="17"/>
        <item x="323"/>
        <item x="299"/>
        <item x="218"/>
        <item x="6"/>
        <item x="104"/>
        <item x="282"/>
        <item x="250"/>
        <item x="324"/>
        <item x="196"/>
        <item x="331"/>
        <item x="295"/>
        <item x="351"/>
        <item x="105"/>
        <item x="372"/>
        <item x="111"/>
        <item x="330"/>
        <item x="3"/>
        <item x="329"/>
        <item x="162"/>
        <item x="41"/>
        <item x="200"/>
        <item x="278"/>
        <item x="269"/>
        <item x="124"/>
        <item x="307"/>
        <item x="45"/>
        <item x="208"/>
        <item x="42"/>
        <item x="233"/>
        <item x="192"/>
        <item x="221"/>
        <item x="314"/>
        <item x="276"/>
        <item x="30"/>
        <item x="369"/>
        <item x="189"/>
        <item x="120"/>
        <item x="210"/>
        <item x="71"/>
        <item x="110"/>
        <item x="96"/>
        <item x="235"/>
        <item x="230"/>
        <item x="115"/>
        <item x="27"/>
        <item x="184"/>
        <item x="190"/>
        <item x="46"/>
        <item x="317"/>
        <item x="194"/>
        <item x="31"/>
        <item x="236"/>
        <item x="273"/>
        <item x="40"/>
        <item x="207"/>
        <item x="2"/>
        <item x="205"/>
        <item x="28"/>
        <item x="37"/>
        <item x="204"/>
        <item x="380"/>
        <item x="11"/>
        <item x="176"/>
        <item x="339"/>
        <item x="152"/>
        <item x="44"/>
        <item x="59"/>
        <item x="161"/>
        <item x="234"/>
        <item x="358"/>
        <item x="266"/>
        <item x="211"/>
        <item x="239"/>
        <item x="277"/>
        <item x="209"/>
        <item x="231"/>
        <item x="43"/>
        <item x="216"/>
        <item x="153"/>
        <item x="149"/>
        <item x="67"/>
        <item x="333"/>
        <item x="274"/>
        <item x="238"/>
        <item x="350"/>
        <item x="206"/>
        <item x="322"/>
        <item x="58"/>
        <item x="335"/>
        <item x="357"/>
        <item x="267"/>
        <item x="145"/>
        <item x="126"/>
        <item x="349"/>
        <item x="289"/>
        <item x="302"/>
        <item x="340"/>
        <item x="268"/>
        <item x="197"/>
        <item x="334"/>
        <item x="228"/>
        <item x="212"/>
        <item x="225"/>
        <item x="25"/>
        <item x="171"/>
        <item x="232"/>
        <item x="381"/>
        <item x="122"/>
        <item x="54"/>
        <item x="213"/>
        <item x="270"/>
        <item x="193"/>
        <item x="125"/>
        <item x="121"/>
        <item x="127"/>
        <item x="79"/>
        <item x="185"/>
        <item x="60"/>
        <item x="75"/>
        <item x="178"/>
        <item x="38"/>
        <item x="53"/>
        <item x="186"/>
        <item x="217"/>
        <item x="222"/>
        <item x="118"/>
        <item x="283"/>
        <item x="195"/>
        <item x="347"/>
        <item x="336"/>
        <item x="151"/>
        <item x="98"/>
        <item x="183"/>
        <item x="275"/>
        <item x="92"/>
        <item x="84"/>
        <item x="50"/>
        <item x="157"/>
        <item x="34"/>
        <item x="119"/>
        <item x="48"/>
        <item x="123"/>
        <item x="150"/>
        <item x="294"/>
        <item x="256"/>
        <item x="33"/>
        <item x="97"/>
        <item x="49"/>
        <item x="155"/>
        <item x="156"/>
        <item x="139"/>
        <item x="39"/>
        <item x="154"/>
        <item x="214"/>
        <item x="158"/>
        <item x="68"/>
        <item x="215"/>
        <item x="224"/>
        <item x="226"/>
        <item t="default"/>
      </items>
    </pivotField>
    <pivotField showAll="0"/>
    <pivotField showAll="0"/>
    <pivotField showAll="0"/>
    <pivotField showAll="0"/>
    <pivotField showAll="0"/>
    <pivotField showAll="0"/>
    <pivotField showAll="0">
      <items count="16">
        <item x="9"/>
        <item x="3"/>
        <item x="8"/>
        <item x="0"/>
        <item x="11"/>
        <item x="6"/>
        <item x="7"/>
        <item x="2"/>
        <item x="10"/>
        <item x="13"/>
        <item x="12"/>
        <item x="4"/>
        <item x="5"/>
        <item x="14"/>
        <item x="1"/>
        <item t="default"/>
      </items>
    </pivotField>
    <pivotField showAll="0">
      <items count="3">
        <item x="0"/>
        <item x="1"/>
        <item t="default"/>
      </items>
    </pivotField>
    <pivotField axis="axisRow" dataField="1" showAll="0">
      <items count="166">
        <item x="12"/>
        <item x="119"/>
        <item x="159"/>
        <item x="27"/>
        <item x="141"/>
        <item x="2"/>
        <item x="58"/>
        <item x="72"/>
        <item x="46"/>
        <item x="31"/>
        <item x="71"/>
        <item x="114"/>
        <item x="118"/>
        <item x="23"/>
        <item x="92"/>
        <item x="157"/>
        <item x="150"/>
        <item x="30"/>
        <item x="50"/>
        <item x="96"/>
        <item x="85"/>
        <item x="54"/>
        <item x="99"/>
        <item x="97"/>
        <item x="49"/>
        <item x="134"/>
        <item x="32"/>
        <item x="164"/>
        <item x="81"/>
        <item x="123"/>
        <item x="14"/>
        <item x="47"/>
        <item x="68"/>
        <item x="140"/>
        <item x="139"/>
        <item x="147"/>
        <item x="34"/>
        <item x="57"/>
        <item x="5"/>
        <item x="53"/>
        <item x="113"/>
        <item x="11"/>
        <item x="3"/>
        <item x="93"/>
        <item x="55"/>
        <item x="100"/>
        <item x="106"/>
        <item x="13"/>
        <item x="138"/>
        <item x="91"/>
        <item x="75"/>
        <item x="149"/>
        <item x="62"/>
        <item x="163"/>
        <item x="26"/>
        <item x="156"/>
        <item x="25"/>
        <item x="84"/>
        <item x="73"/>
        <item x="66"/>
        <item x="109"/>
        <item x="28"/>
        <item x="88"/>
        <item x="102"/>
        <item x="151"/>
        <item x="41"/>
        <item x="16"/>
        <item x="60"/>
        <item x="33"/>
        <item x="70"/>
        <item x="9"/>
        <item x="76"/>
        <item x="83"/>
        <item x="136"/>
        <item x="52"/>
        <item x="17"/>
        <item x="1"/>
        <item x="77"/>
        <item x="131"/>
        <item x="89"/>
        <item x="120"/>
        <item x="101"/>
        <item x="65"/>
        <item x="24"/>
        <item x="40"/>
        <item x="61"/>
        <item x="39"/>
        <item x="135"/>
        <item x="15"/>
        <item x="82"/>
        <item x="21"/>
        <item x="103"/>
        <item x="128"/>
        <item x="105"/>
        <item x="0"/>
        <item x="133"/>
        <item x="48"/>
        <item x="63"/>
        <item x="116"/>
        <item x="154"/>
        <item x="122"/>
        <item x="44"/>
        <item x="132"/>
        <item x="115"/>
        <item x="121"/>
        <item x="80"/>
        <item x="69"/>
        <item x="7"/>
        <item x="108"/>
        <item x="143"/>
        <item x="4"/>
        <item x="37"/>
        <item x="162"/>
        <item x="29"/>
        <item x="20"/>
        <item x="155"/>
        <item x="129"/>
        <item x="6"/>
        <item x="144"/>
        <item x="95"/>
        <item x="160"/>
        <item x="56"/>
        <item x="35"/>
        <item x="98"/>
        <item x="112"/>
        <item x="78"/>
        <item x="90"/>
        <item x="64"/>
        <item x="36"/>
        <item x="22"/>
        <item x="104"/>
        <item x="127"/>
        <item x="145"/>
        <item x="45"/>
        <item x="10"/>
        <item x="8"/>
        <item x="153"/>
        <item x="146"/>
        <item x="67"/>
        <item x="38"/>
        <item x="130"/>
        <item x="87"/>
        <item x="111"/>
        <item x="51"/>
        <item x="158"/>
        <item x="126"/>
        <item x="117"/>
        <item x="148"/>
        <item x="19"/>
        <item x="74"/>
        <item x="152"/>
        <item x="161"/>
        <item x="142"/>
        <item x="107"/>
        <item x="43"/>
        <item x="110"/>
        <item x="137"/>
        <item x="79"/>
        <item x="125"/>
        <item x="18"/>
        <item x="94"/>
        <item x="124"/>
        <item x="59"/>
        <item x="42"/>
        <item x="86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14">
        <item sd="0" x="0"/>
        <item x="1"/>
        <item x="2"/>
        <item x="3"/>
        <item x="4"/>
        <item x="5"/>
        <item x="6"/>
        <item x="7"/>
        <item x="8"/>
        <item x="9"/>
        <item x="10"/>
        <item x="11"/>
        <item sd="0" x="12"/>
        <item t="default"/>
      </items>
    </pivotField>
  </pivotFields>
  <rowFields count="2">
    <field x="34"/>
    <field x="32"/>
  </rowFields>
  <rowItems count="185">
    <i>
      <x v="1"/>
    </i>
    <i r="1">
      <x v="9"/>
    </i>
    <i r="1">
      <x v="10"/>
    </i>
    <i r="1">
      <x v="11"/>
    </i>
    <i r="1">
      <x v="14"/>
    </i>
    <i r="1">
      <x v="16"/>
    </i>
    <i r="1">
      <x v="17"/>
    </i>
    <i r="1">
      <x v="18"/>
    </i>
    <i r="1">
      <x v="19"/>
    </i>
    <i r="1">
      <x v="20"/>
    </i>
    <i r="1">
      <x v="23"/>
    </i>
    <i r="1">
      <x v="35"/>
    </i>
    <i r="1">
      <x v="36"/>
    </i>
    <i r="1">
      <x v="38"/>
    </i>
    <i r="1">
      <x v="43"/>
    </i>
    <i r="1">
      <x v="46"/>
    </i>
    <i>
      <x v="2"/>
    </i>
    <i r="1">
      <x/>
    </i>
    <i r="1">
      <x v="3"/>
    </i>
    <i r="1">
      <x v="4"/>
    </i>
    <i r="1">
      <x v="5"/>
    </i>
    <i r="1">
      <x v="7"/>
    </i>
    <i r="1">
      <x v="9"/>
    </i>
    <i r="1">
      <x v="13"/>
    </i>
    <i r="1">
      <x v="15"/>
    </i>
    <i r="1">
      <x v="23"/>
    </i>
    <i r="1">
      <x v="30"/>
    </i>
    <i r="1">
      <x v="31"/>
    </i>
    <i r="1">
      <x v="37"/>
    </i>
    <i r="1">
      <x v="38"/>
    </i>
    <i r="1">
      <x v="41"/>
    </i>
    <i r="1">
      <x v="52"/>
    </i>
    <i>
      <x v="3"/>
    </i>
    <i r="1">
      <x v="2"/>
    </i>
    <i r="1">
      <x v="6"/>
    </i>
    <i r="1">
      <x v="13"/>
    </i>
    <i r="1">
      <x v="22"/>
    </i>
    <i r="1">
      <x v="25"/>
    </i>
    <i r="1">
      <x v="26"/>
    </i>
    <i r="1">
      <x v="32"/>
    </i>
    <i r="1">
      <x v="39"/>
    </i>
    <i r="1">
      <x v="40"/>
    </i>
    <i r="1">
      <x v="42"/>
    </i>
    <i r="1">
      <x v="47"/>
    </i>
    <i r="1">
      <x v="52"/>
    </i>
    <i r="1">
      <x v="56"/>
    </i>
    <i r="1">
      <x v="59"/>
    </i>
    <i r="1">
      <x v="61"/>
    </i>
    <i r="1">
      <x v="65"/>
    </i>
    <i r="1">
      <x v="69"/>
    </i>
    <i r="1">
      <x v="76"/>
    </i>
    <i>
      <x v="4"/>
    </i>
    <i r="1">
      <x v="30"/>
    </i>
    <i r="1">
      <x v="31"/>
    </i>
    <i r="1">
      <x v="33"/>
    </i>
    <i r="1">
      <x v="36"/>
    </i>
    <i r="1">
      <x v="40"/>
    </i>
    <i r="1">
      <x v="43"/>
    </i>
    <i r="1">
      <x v="45"/>
    </i>
    <i r="1">
      <x v="53"/>
    </i>
    <i r="1">
      <x v="56"/>
    </i>
    <i r="1">
      <x v="60"/>
    </i>
    <i r="1">
      <x v="66"/>
    </i>
    <i r="1">
      <x v="67"/>
    </i>
    <i r="1">
      <x v="68"/>
    </i>
    <i r="1">
      <x v="76"/>
    </i>
    <i r="1">
      <x v="97"/>
    </i>
    <i r="1">
      <x v="118"/>
    </i>
    <i>
      <x v="5"/>
    </i>
    <i r="1">
      <x v="97"/>
    </i>
    <i r="1">
      <x v="101"/>
    </i>
    <i r="1">
      <x v="106"/>
    </i>
    <i r="1">
      <x v="113"/>
    </i>
    <i r="1">
      <x v="120"/>
    </i>
    <i r="1">
      <x v="122"/>
    </i>
    <i r="1">
      <x v="140"/>
    </i>
    <i r="1">
      <x v="152"/>
    </i>
    <i r="1">
      <x v="161"/>
    </i>
    <i r="1">
      <x v="162"/>
    </i>
    <i r="1">
      <x v="164"/>
    </i>
    <i>
      <x v="6"/>
    </i>
    <i r="1">
      <x v="127"/>
    </i>
    <i r="1">
      <x v="128"/>
    </i>
    <i r="1">
      <x v="130"/>
    </i>
    <i r="1">
      <x v="132"/>
    </i>
    <i r="1">
      <x v="133"/>
    </i>
    <i r="1">
      <x v="134"/>
    </i>
    <i r="1">
      <x v="137"/>
    </i>
    <i r="1">
      <x v="153"/>
    </i>
    <i>
      <x v="7"/>
    </i>
    <i r="1">
      <x v="65"/>
    </i>
    <i r="1">
      <x v="66"/>
    </i>
    <i r="1">
      <x v="67"/>
    </i>
    <i r="1">
      <x v="78"/>
    </i>
    <i r="1">
      <x v="82"/>
    </i>
    <i r="1">
      <x v="83"/>
    </i>
    <i r="1">
      <x v="87"/>
    </i>
    <i r="1">
      <x v="88"/>
    </i>
    <i r="1">
      <x v="91"/>
    </i>
    <i r="1">
      <x v="93"/>
    </i>
    <i r="1">
      <x v="108"/>
    </i>
    <i r="1">
      <x v="111"/>
    </i>
    <i r="1">
      <x v="112"/>
    </i>
    <i>
      <x v="8"/>
    </i>
    <i r="1">
      <x v="60"/>
    </i>
    <i r="1">
      <x v="66"/>
    </i>
    <i r="1">
      <x v="70"/>
    </i>
    <i r="1">
      <x v="71"/>
    </i>
    <i r="1">
      <x v="81"/>
    </i>
    <i r="1">
      <x v="85"/>
    </i>
    <i r="1">
      <x v="86"/>
    </i>
    <i r="1">
      <x v="87"/>
    </i>
    <i r="1">
      <x v="89"/>
    </i>
    <i r="1">
      <x v="92"/>
    </i>
    <i r="1">
      <x v="102"/>
    </i>
    <i r="1">
      <x v="110"/>
    </i>
    <i r="1">
      <x v="113"/>
    </i>
    <i r="1">
      <x v="130"/>
    </i>
    <i r="1">
      <x v="131"/>
    </i>
    <i r="1">
      <x v="133"/>
    </i>
    <i r="1">
      <x v="139"/>
    </i>
    <i>
      <x v="9"/>
    </i>
    <i r="1">
      <x v="36"/>
    </i>
    <i r="1">
      <x v="47"/>
    </i>
    <i r="1">
      <x v="54"/>
    </i>
    <i r="1">
      <x v="58"/>
    </i>
    <i r="1">
      <x v="60"/>
    </i>
    <i r="1">
      <x v="61"/>
    </i>
    <i r="1">
      <x v="62"/>
    </i>
    <i r="1">
      <x v="63"/>
    </i>
    <i r="1">
      <x v="64"/>
    </i>
    <i r="1">
      <x v="65"/>
    </i>
    <i r="1">
      <x v="67"/>
    </i>
    <i r="1">
      <x v="68"/>
    </i>
    <i r="1">
      <x v="69"/>
    </i>
    <i r="1">
      <x v="71"/>
    </i>
    <i r="1">
      <x v="72"/>
    </i>
    <i r="1">
      <x v="73"/>
    </i>
    <i r="1">
      <x v="74"/>
    </i>
    <i r="1">
      <x v="75"/>
    </i>
    <i r="1">
      <x v="76"/>
    </i>
    <i r="1">
      <x v="77"/>
    </i>
    <i r="1">
      <x v="80"/>
    </i>
    <i r="1">
      <x v="94"/>
    </i>
    <i>
      <x v="10"/>
    </i>
    <i r="1">
      <x v="38"/>
    </i>
    <i r="1">
      <x v="82"/>
    </i>
    <i r="1">
      <x v="86"/>
    </i>
    <i r="1">
      <x v="93"/>
    </i>
    <i r="1">
      <x v="94"/>
    </i>
    <i r="1">
      <x v="114"/>
    </i>
    <i r="1">
      <x v="116"/>
    </i>
    <i r="1">
      <x v="117"/>
    </i>
    <i r="1">
      <x v="119"/>
    </i>
    <i r="1">
      <x v="124"/>
    </i>
    <i r="1">
      <x v="133"/>
    </i>
    <i r="1">
      <x v="135"/>
    </i>
    <i r="1">
      <x v="142"/>
    </i>
    <i r="1">
      <x v="147"/>
    </i>
    <i r="1">
      <x v="148"/>
    </i>
    <i r="1">
      <x v="152"/>
    </i>
    <i r="1">
      <x v="154"/>
    </i>
    <i r="1">
      <x v="155"/>
    </i>
    <i r="1">
      <x v="158"/>
    </i>
    <i r="1">
      <x v="159"/>
    </i>
    <i r="1">
      <x v="160"/>
    </i>
    <i r="1">
      <x v="163"/>
    </i>
    <i>
      <x v="11"/>
    </i>
    <i r="1">
      <x v="84"/>
    </i>
    <i r="1">
      <x v="94"/>
    </i>
    <i r="1">
      <x v="97"/>
    </i>
    <i r="1">
      <x v="105"/>
    </i>
    <i r="1">
      <x v="107"/>
    </i>
    <i r="1">
      <x v="119"/>
    </i>
    <i r="1">
      <x v="121"/>
    </i>
    <i r="1">
      <x v="123"/>
    </i>
    <i r="1">
      <x v="125"/>
    </i>
    <i r="1">
      <x v="126"/>
    </i>
    <i r="1">
      <x v="133"/>
    </i>
    <i r="1">
      <x v="135"/>
    </i>
    <i r="1">
      <x v="136"/>
    </i>
    <i r="1">
      <x v="138"/>
    </i>
    <i r="1">
      <x v="141"/>
    </i>
    <i r="1">
      <x v="145"/>
    </i>
    <i t="grand">
      <x/>
    </i>
  </rowItems>
  <colFields count="1">
    <field x="-2"/>
  </colFields>
  <colItems count="2">
    <i>
      <x/>
    </i>
    <i i="1">
      <x v="1"/>
    </i>
  </colItems>
  <pageFields count="1">
    <pageField fld="5" item="1" hier="-1"/>
  </pageFields>
  <dataFields count="2">
    <dataField name="Média de Spread DI+" fld="23" subtotal="average" baseField="32" baseItem="9" numFmtId="10"/>
    <dataField name="Contagem de RiscoPaís (%)" fld="32" subtotal="count" baseField="34" baseItem="1" numFmtId="3"/>
  </dataFields>
  <formats count="2">
    <format dxfId="1">
      <pivotArea outline="0" collapsedLevelsAreSubtotals="1" fieldPosition="0"/>
    </format>
    <format dxfId="0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42D1F59-A013-4E5A-9BA7-C420CC66B8FE}" name="Tabela dinâmica3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S10:U140" firstHeaderRow="0" firstDataRow="1" firstDataCol="1" rowPageCount="1" colPageCount="1"/>
  <pivotFields count="35">
    <pivotField showAll="0"/>
    <pivotField showAll="0"/>
    <pivotField showAll="0"/>
    <pivotField showAll="0"/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numFmtId="4" showAll="0"/>
    <pivotField numFmtId="3" showAll="0"/>
    <pivotField showAll="0"/>
    <pivotField showAll="0"/>
    <pivotField showAll="0"/>
    <pivotField showAll="0"/>
    <pivotField showAll="0"/>
    <pivotField numFmtId="3" showAll="0"/>
    <pivotField numFmtId="4" showAll="0"/>
    <pivotField showAll="0"/>
    <pivotField showAll="0"/>
    <pivotField showAll="0"/>
    <pivotField dataField="1" numFmtId="10" showAll="0">
      <items count="383">
        <item x="254"/>
        <item x="262"/>
        <item x="259"/>
        <item x="287"/>
        <item x="174"/>
        <item x="258"/>
        <item x="284"/>
        <item x="73"/>
        <item x="359"/>
        <item x="361"/>
        <item x="77"/>
        <item x="260"/>
        <item x="263"/>
        <item x="69"/>
        <item x="315"/>
        <item x="368"/>
        <item x="363"/>
        <item x="261"/>
        <item x="338"/>
        <item x="364"/>
        <item x="102"/>
        <item x="301"/>
        <item x="100"/>
        <item x="320"/>
        <item x="76"/>
        <item x="286"/>
        <item x="203"/>
        <item x="298"/>
        <item x="136"/>
        <item x="87"/>
        <item x="318"/>
        <item x="106"/>
        <item x="86"/>
        <item x="141"/>
        <item x="66"/>
        <item x="354"/>
        <item x="35"/>
        <item x="257"/>
        <item x="265"/>
        <item x="140"/>
        <item x="138"/>
        <item x="306"/>
        <item x="280"/>
        <item x="142"/>
        <item x="63"/>
        <item x="344"/>
        <item x="264"/>
        <item x="316"/>
        <item x="321"/>
        <item x="81"/>
        <item x="128"/>
        <item x="300"/>
        <item x="242"/>
        <item x="101"/>
        <item x="51"/>
        <item x="319"/>
        <item x="360"/>
        <item x="32"/>
        <item x="362"/>
        <item x="343"/>
        <item x="308"/>
        <item x="181"/>
        <item x="70"/>
        <item x="82"/>
        <item x="356"/>
        <item x="199"/>
        <item x="240"/>
        <item x="89"/>
        <item x="352"/>
        <item x="281"/>
        <item x="373"/>
        <item x="285"/>
        <item x="379"/>
        <item x="243"/>
        <item x="93"/>
        <item x="297"/>
        <item x="88"/>
        <item x="303"/>
        <item x="296"/>
        <item x="244"/>
        <item x="252"/>
        <item x="143"/>
        <item x="332"/>
        <item x="175"/>
        <item x="241"/>
        <item x="95"/>
        <item x="135"/>
        <item x="370"/>
        <item x="36"/>
        <item x="247"/>
        <item x="130"/>
        <item x="129"/>
        <item x="29"/>
        <item x="293"/>
        <item x="116"/>
        <item x="305"/>
        <item x="15"/>
        <item x="117"/>
        <item x="246"/>
        <item x="83"/>
        <item x="375"/>
        <item x="164"/>
        <item x="245"/>
        <item x="353"/>
        <item x="187"/>
        <item x="202"/>
        <item x="169"/>
        <item x="182"/>
        <item x="188"/>
        <item x="21"/>
        <item x="8"/>
        <item x="0"/>
        <item x="131"/>
        <item x="248"/>
        <item x="132"/>
        <item x="148"/>
        <item x="366"/>
        <item x="378"/>
        <item x="253"/>
        <item x="147"/>
        <item x="341"/>
        <item x="167"/>
        <item x="160"/>
        <item x="166"/>
        <item x="159"/>
        <item x="288"/>
        <item x="52"/>
        <item x="312"/>
        <item x="16"/>
        <item x="249"/>
        <item x="177"/>
        <item x="291"/>
        <item x="165"/>
        <item x="345"/>
        <item x="14"/>
        <item x="134"/>
        <item x="198"/>
        <item x="113"/>
        <item x="18"/>
        <item x="19"/>
        <item x="310"/>
        <item x="62"/>
        <item x="4"/>
        <item x="103"/>
        <item x="12"/>
        <item x="168"/>
        <item x="163"/>
        <item x="172"/>
        <item x="146"/>
        <item x="144"/>
        <item x="94"/>
        <item x="72"/>
        <item x="23"/>
        <item x="337"/>
        <item x="114"/>
        <item x="47"/>
        <item x="22"/>
        <item x="24"/>
        <item x="65"/>
        <item x="191"/>
        <item x="20"/>
        <item x="99"/>
        <item x="61"/>
        <item x="377"/>
        <item x="237"/>
        <item x="279"/>
        <item x="91"/>
        <item x="56"/>
        <item x="180"/>
        <item x="170"/>
        <item x="173"/>
        <item x="271"/>
        <item x="348"/>
        <item x="107"/>
        <item x="64"/>
        <item x="90"/>
        <item x="292"/>
        <item x="346"/>
        <item x="26"/>
        <item x="85"/>
        <item x="309"/>
        <item x="311"/>
        <item x="374"/>
        <item x="376"/>
        <item x="220"/>
        <item x="5"/>
        <item x="272"/>
        <item x="365"/>
        <item x="251"/>
        <item x="1"/>
        <item x="255"/>
        <item x="367"/>
        <item x="112"/>
        <item x="57"/>
        <item x="201"/>
        <item x="109"/>
        <item x="137"/>
        <item x="223"/>
        <item x="371"/>
        <item x="326"/>
        <item x="80"/>
        <item x="7"/>
        <item x="290"/>
        <item x="219"/>
        <item x="313"/>
        <item x="227"/>
        <item x="78"/>
        <item x="55"/>
        <item x="10"/>
        <item x="342"/>
        <item x="13"/>
        <item x="328"/>
        <item x="108"/>
        <item x="327"/>
        <item x="133"/>
        <item x="179"/>
        <item x="325"/>
        <item x="229"/>
        <item x="9"/>
        <item x="355"/>
        <item x="304"/>
        <item x="74"/>
        <item x="17"/>
        <item x="323"/>
        <item x="299"/>
        <item x="218"/>
        <item x="6"/>
        <item x="104"/>
        <item x="282"/>
        <item x="250"/>
        <item x="324"/>
        <item x="196"/>
        <item x="331"/>
        <item x="295"/>
        <item x="351"/>
        <item x="105"/>
        <item x="372"/>
        <item x="111"/>
        <item x="330"/>
        <item x="3"/>
        <item x="329"/>
        <item x="162"/>
        <item x="41"/>
        <item x="200"/>
        <item x="278"/>
        <item x="269"/>
        <item x="124"/>
        <item x="307"/>
        <item x="45"/>
        <item x="208"/>
        <item x="42"/>
        <item x="233"/>
        <item x="192"/>
        <item x="221"/>
        <item x="314"/>
        <item x="276"/>
        <item x="30"/>
        <item x="369"/>
        <item x="189"/>
        <item x="120"/>
        <item x="210"/>
        <item x="71"/>
        <item x="110"/>
        <item x="96"/>
        <item x="235"/>
        <item x="230"/>
        <item x="115"/>
        <item x="27"/>
        <item x="184"/>
        <item x="190"/>
        <item x="46"/>
        <item x="317"/>
        <item x="194"/>
        <item x="31"/>
        <item x="236"/>
        <item x="273"/>
        <item x="40"/>
        <item x="207"/>
        <item x="2"/>
        <item x="205"/>
        <item x="28"/>
        <item x="37"/>
        <item x="204"/>
        <item x="380"/>
        <item x="11"/>
        <item x="176"/>
        <item x="339"/>
        <item x="152"/>
        <item x="44"/>
        <item x="59"/>
        <item x="161"/>
        <item x="234"/>
        <item x="358"/>
        <item x="266"/>
        <item x="211"/>
        <item x="239"/>
        <item x="277"/>
        <item x="209"/>
        <item x="231"/>
        <item x="43"/>
        <item x="216"/>
        <item x="153"/>
        <item x="149"/>
        <item x="67"/>
        <item x="333"/>
        <item x="274"/>
        <item x="238"/>
        <item x="350"/>
        <item x="206"/>
        <item x="322"/>
        <item x="58"/>
        <item x="335"/>
        <item x="357"/>
        <item x="267"/>
        <item x="145"/>
        <item x="126"/>
        <item x="349"/>
        <item x="289"/>
        <item x="302"/>
        <item x="340"/>
        <item x="268"/>
        <item x="197"/>
        <item x="334"/>
        <item x="228"/>
        <item x="212"/>
        <item x="225"/>
        <item x="25"/>
        <item x="171"/>
        <item x="232"/>
        <item x="381"/>
        <item x="122"/>
        <item x="54"/>
        <item x="213"/>
        <item x="270"/>
        <item x="193"/>
        <item x="125"/>
        <item x="121"/>
        <item x="127"/>
        <item x="79"/>
        <item x="185"/>
        <item x="60"/>
        <item x="75"/>
        <item x="178"/>
        <item x="38"/>
        <item x="53"/>
        <item x="186"/>
        <item x="217"/>
        <item x="222"/>
        <item x="118"/>
        <item x="283"/>
        <item x="195"/>
        <item x="347"/>
        <item x="336"/>
        <item x="151"/>
        <item x="98"/>
        <item x="183"/>
        <item x="275"/>
        <item x="92"/>
        <item x="84"/>
        <item x="50"/>
        <item x="157"/>
        <item x="34"/>
        <item x="119"/>
        <item x="48"/>
        <item x="123"/>
        <item x="150"/>
        <item x="294"/>
        <item x="256"/>
        <item x="33"/>
        <item x="97"/>
        <item x="49"/>
        <item x="155"/>
        <item x="156"/>
        <item x="139"/>
        <item x="39"/>
        <item x="154"/>
        <item x="214"/>
        <item x="158"/>
        <item x="68"/>
        <item x="215"/>
        <item x="224"/>
        <item x="226"/>
        <item t="default"/>
      </items>
    </pivotField>
    <pivotField showAll="0"/>
    <pivotField showAll="0"/>
    <pivotField showAll="0"/>
    <pivotField showAll="0"/>
    <pivotField showAll="0"/>
    <pivotField showAll="0"/>
    <pivotField showAll="0">
      <items count="16">
        <item x="9"/>
        <item x="3"/>
        <item x="8"/>
        <item x="0"/>
        <item x="11"/>
        <item x="6"/>
        <item x="7"/>
        <item x="2"/>
        <item x="10"/>
        <item x="13"/>
        <item x="12"/>
        <item x="4"/>
        <item x="5"/>
        <item x="14"/>
        <item x="1"/>
        <item t="default"/>
      </items>
    </pivotField>
    <pivotField showAll="0">
      <items count="3">
        <item x="0"/>
        <item x="1"/>
        <item t="default"/>
      </items>
    </pivotField>
    <pivotField axis="axisRow" dataField="1" showAll="0">
      <items count="166">
        <item x="12"/>
        <item x="119"/>
        <item x="159"/>
        <item x="27"/>
        <item x="141"/>
        <item x="2"/>
        <item x="58"/>
        <item x="72"/>
        <item x="46"/>
        <item x="31"/>
        <item x="71"/>
        <item x="114"/>
        <item x="118"/>
        <item x="23"/>
        <item x="92"/>
        <item x="157"/>
        <item x="150"/>
        <item x="30"/>
        <item x="50"/>
        <item x="96"/>
        <item x="85"/>
        <item x="54"/>
        <item x="99"/>
        <item x="97"/>
        <item x="49"/>
        <item x="134"/>
        <item x="32"/>
        <item x="164"/>
        <item x="81"/>
        <item x="123"/>
        <item x="14"/>
        <item x="47"/>
        <item x="68"/>
        <item x="140"/>
        <item x="139"/>
        <item x="147"/>
        <item x="34"/>
        <item x="57"/>
        <item x="5"/>
        <item x="53"/>
        <item x="113"/>
        <item x="11"/>
        <item x="3"/>
        <item x="93"/>
        <item x="55"/>
        <item x="100"/>
        <item x="106"/>
        <item x="13"/>
        <item x="138"/>
        <item x="91"/>
        <item x="75"/>
        <item x="149"/>
        <item x="62"/>
        <item x="163"/>
        <item x="26"/>
        <item x="156"/>
        <item x="25"/>
        <item x="84"/>
        <item x="73"/>
        <item x="66"/>
        <item x="109"/>
        <item x="28"/>
        <item x="88"/>
        <item x="102"/>
        <item x="151"/>
        <item x="41"/>
        <item x="16"/>
        <item x="60"/>
        <item x="33"/>
        <item x="70"/>
        <item x="9"/>
        <item x="76"/>
        <item x="83"/>
        <item x="136"/>
        <item x="52"/>
        <item x="17"/>
        <item x="1"/>
        <item x="77"/>
        <item x="131"/>
        <item x="89"/>
        <item x="120"/>
        <item x="101"/>
        <item x="65"/>
        <item x="24"/>
        <item x="40"/>
        <item x="61"/>
        <item x="39"/>
        <item x="135"/>
        <item x="15"/>
        <item x="82"/>
        <item x="21"/>
        <item x="103"/>
        <item x="128"/>
        <item x="105"/>
        <item x="0"/>
        <item x="133"/>
        <item x="48"/>
        <item x="63"/>
        <item x="116"/>
        <item x="154"/>
        <item x="122"/>
        <item x="44"/>
        <item x="132"/>
        <item x="115"/>
        <item x="121"/>
        <item x="80"/>
        <item x="69"/>
        <item x="7"/>
        <item x="108"/>
        <item x="143"/>
        <item x="4"/>
        <item x="37"/>
        <item x="162"/>
        <item x="29"/>
        <item x="20"/>
        <item x="155"/>
        <item x="129"/>
        <item x="6"/>
        <item x="144"/>
        <item x="95"/>
        <item x="160"/>
        <item x="56"/>
        <item x="35"/>
        <item x="98"/>
        <item x="112"/>
        <item x="78"/>
        <item x="90"/>
        <item x="64"/>
        <item x="36"/>
        <item x="22"/>
        <item x="104"/>
        <item x="127"/>
        <item x="145"/>
        <item x="45"/>
        <item x="10"/>
        <item x="8"/>
        <item x="153"/>
        <item x="146"/>
        <item x="67"/>
        <item x="38"/>
        <item x="130"/>
        <item x="87"/>
        <item x="111"/>
        <item x="51"/>
        <item x="158"/>
        <item x="126"/>
        <item x="117"/>
        <item x="148"/>
        <item x="19"/>
        <item x="74"/>
        <item x="152"/>
        <item x="161"/>
        <item x="142"/>
        <item x="107"/>
        <item x="43"/>
        <item x="110"/>
        <item x="137"/>
        <item x="79"/>
        <item x="125"/>
        <item x="18"/>
        <item x="94"/>
        <item x="124"/>
        <item x="59"/>
        <item x="42"/>
        <item x="86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14">
        <item sd="0" x="0"/>
        <item x="1"/>
        <item x="2"/>
        <item x="3"/>
        <item x="4"/>
        <item x="5"/>
        <item x="6"/>
        <item x="7"/>
        <item x="8"/>
        <item x="9"/>
        <item x="10"/>
        <item x="11"/>
        <item sd="0" x="12"/>
        <item t="default"/>
      </items>
    </pivotField>
  </pivotFields>
  <rowFields count="2">
    <field x="34"/>
    <field x="32"/>
  </rowFields>
  <rowItems count="130">
    <i>
      <x v="1"/>
    </i>
    <i r="1">
      <x v="4"/>
    </i>
    <i r="1">
      <x v="8"/>
    </i>
    <i r="1">
      <x v="12"/>
    </i>
    <i r="1">
      <x v="17"/>
    </i>
    <i r="1">
      <x v="18"/>
    </i>
    <i r="1">
      <x v="19"/>
    </i>
    <i r="1">
      <x v="28"/>
    </i>
    <i>
      <x v="2"/>
    </i>
    <i r="1">
      <x v="8"/>
    </i>
    <i r="1">
      <x v="10"/>
    </i>
    <i r="1">
      <x v="24"/>
    </i>
    <i r="1">
      <x v="27"/>
    </i>
    <i r="1">
      <x v="29"/>
    </i>
    <i r="1">
      <x v="31"/>
    </i>
    <i r="1">
      <x v="32"/>
    </i>
    <i r="1">
      <x v="34"/>
    </i>
    <i r="1">
      <x v="37"/>
    </i>
    <i r="1">
      <x v="41"/>
    </i>
    <i r="1">
      <x v="44"/>
    </i>
    <i r="1">
      <x v="56"/>
    </i>
    <i>
      <x v="3"/>
    </i>
    <i r="1">
      <x v="1"/>
    </i>
    <i r="1">
      <x v="3"/>
    </i>
    <i r="1">
      <x v="17"/>
    </i>
    <i r="1">
      <x v="19"/>
    </i>
    <i r="1">
      <x v="21"/>
    </i>
    <i r="1">
      <x v="37"/>
    </i>
    <i>
      <x v="4"/>
    </i>
    <i r="1">
      <x v="31"/>
    </i>
    <i r="1">
      <x v="32"/>
    </i>
    <i r="1">
      <x v="37"/>
    </i>
    <i r="1">
      <x v="38"/>
    </i>
    <i r="1">
      <x v="39"/>
    </i>
    <i r="1">
      <x v="41"/>
    </i>
    <i r="1">
      <x v="42"/>
    </i>
    <i r="1">
      <x v="44"/>
    </i>
    <i r="1">
      <x v="63"/>
    </i>
    <i r="1">
      <x v="96"/>
    </i>
    <i>
      <x v="6"/>
    </i>
    <i r="1">
      <x v="120"/>
    </i>
    <i r="1">
      <x v="121"/>
    </i>
    <i r="1">
      <x v="122"/>
    </i>
    <i r="1">
      <x v="129"/>
    </i>
    <i r="1">
      <x v="132"/>
    </i>
    <i r="1">
      <x v="133"/>
    </i>
    <i r="1">
      <x v="146"/>
    </i>
    <i r="1">
      <x v="149"/>
    </i>
    <i r="1">
      <x v="151"/>
    </i>
    <i r="1">
      <x v="156"/>
    </i>
    <i r="1">
      <x v="157"/>
    </i>
    <i>
      <x v="7"/>
    </i>
    <i r="1">
      <x v="57"/>
    </i>
    <i r="1">
      <x v="59"/>
    </i>
    <i r="1">
      <x v="62"/>
    </i>
    <i r="1">
      <x v="65"/>
    </i>
    <i r="1">
      <x v="70"/>
    </i>
    <i r="1">
      <x v="74"/>
    </i>
    <i r="1">
      <x v="75"/>
    </i>
    <i r="1">
      <x v="76"/>
    </i>
    <i r="1">
      <x v="77"/>
    </i>
    <i r="1">
      <x v="80"/>
    </i>
    <i r="1">
      <x v="87"/>
    </i>
    <i r="1">
      <x v="92"/>
    </i>
    <i r="1">
      <x v="98"/>
    </i>
    <i r="1">
      <x v="101"/>
    </i>
    <i r="1">
      <x v="109"/>
    </i>
    <i>
      <x v="8"/>
    </i>
    <i r="1">
      <x v="49"/>
    </i>
    <i r="1">
      <x v="50"/>
    </i>
    <i r="1">
      <x v="51"/>
    </i>
    <i r="1">
      <x v="52"/>
    </i>
    <i r="1">
      <x v="54"/>
    </i>
    <i r="1">
      <x v="75"/>
    </i>
    <i r="1">
      <x v="77"/>
    </i>
    <i r="1">
      <x v="83"/>
    </i>
    <i r="1">
      <x v="107"/>
    </i>
    <i r="1">
      <x v="115"/>
    </i>
    <i>
      <x v="9"/>
    </i>
    <i r="1">
      <x v="36"/>
    </i>
    <i r="1">
      <x v="41"/>
    </i>
    <i r="1">
      <x v="45"/>
    </i>
    <i r="1">
      <x v="48"/>
    </i>
    <i r="1">
      <x v="54"/>
    </i>
    <i r="1">
      <x v="55"/>
    </i>
    <i r="1">
      <x v="56"/>
    </i>
    <i r="1">
      <x v="61"/>
    </i>
    <i r="1">
      <x v="63"/>
    </i>
    <i r="1">
      <x v="66"/>
    </i>
    <i r="1">
      <x v="67"/>
    </i>
    <i r="1">
      <x v="68"/>
    </i>
    <i r="1">
      <x v="71"/>
    </i>
    <i r="1">
      <x v="76"/>
    </i>
    <i r="1">
      <x v="77"/>
    </i>
    <i r="1">
      <x v="87"/>
    </i>
    <i>
      <x v="10"/>
    </i>
    <i r="1">
      <x v="30"/>
    </i>
    <i r="1">
      <x v="38"/>
    </i>
    <i r="1">
      <x v="40"/>
    </i>
    <i r="1">
      <x v="42"/>
    </i>
    <i r="1">
      <x v="50"/>
    </i>
    <i r="1">
      <x v="79"/>
    </i>
    <i r="1">
      <x v="90"/>
    </i>
    <i r="1">
      <x v="94"/>
    </i>
    <i r="1">
      <x v="116"/>
    </i>
    <i r="1">
      <x v="121"/>
    </i>
    <i r="1">
      <x v="128"/>
    </i>
    <i r="1">
      <x v="129"/>
    </i>
    <i r="1">
      <x v="143"/>
    </i>
    <i r="1">
      <x v="144"/>
    </i>
    <i r="1">
      <x v="147"/>
    </i>
    <i r="1">
      <x v="148"/>
    </i>
    <i r="1">
      <x v="150"/>
    </i>
    <i>
      <x v="11"/>
    </i>
    <i r="1">
      <x v="77"/>
    </i>
    <i r="1">
      <x v="81"/>
    </i>
    <i r="1">
      <x v="84"/>
    </i>
    <i r="1">
      <x v="85"/>
    </i>
    <i r="1">
      <x v="86"/>
    </i>
    <i r="1">
      <x v="91"/>
    </i>
    <i r="1">
      <x v="94"/>
    </i>
    <i r="1">
      <x v="95"/>
    </i>
    <i r="1">
      <x v="99"/>
    </i>
    <i r="1">
      <x v="100"/>
    </i>
    <i r="1">
      <x v="103"/>
    </i>
    <i r="1">
      <x v="104"/>
    </i>
    <i r="1">
      <x v="119"/>
    </i>
    <i r="1">
      <x v="122"/>
    </i>
    <i r="1">
      <x v="127"/>
    </i>
    <i t="grand">
      <x/>
    </i>
  </rowItems>
  <colFields count="1">
    <field x="-2"/>
  </colFields>
  <colItems count="2">
    <i>
      <x/>
    </i>
    <i i="1">
      <x v="1"/>
    </i>
  </colItems>
  <pageFields count="1">
    <pageField fld="5" item="0" hier="-1"/>
  </pageFields>
  <dataFields count="2">
    <dataField name="Média de Spread DI+" fld="23" subtotal="average" baseField="34" baseItem="1" numFmtId="10"/>
    <dataField name="Contagem de RiscoPaís (%)" fld="32" subtotal="count" baseField="34" baseItem="1" numFmtId="3"/>
  </dataFields>
  <formats count="2">
    <format dxfId="3">
      <pivotArea outline="0" collapsedLevelsAreSubtotals="1" fieldPosition="0"/>
    </format>
    <format dxfId="2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532BB82-00AE-4068-86C0-CBC6C036C588}" name="Tabela dinâmica4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W10:Y286" firstHeaderRow="0" firstDataRow="1" firstDataCol="1"/>
  <pivotFields count="35">
    <pivotField showAll="0"/>
    <pivotField showAll="0"/>
    <pivotField showAll="0"/>
    <pivotField showAll="0"/>
    <pivotField showAll="0"/>
    <pivotField showAll="0">
      <items count="3">
        <item x="1"/>
        <item x="0"/>
        <item t="default"/>
      </items>
    </pivotField>
    <pivotField showAll="0"/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numFmtId="4" showAll="0"/>
    <pivotField numFmtId="3" showAll="0"/>
    <pivotField showAll="0"/>
    <pivotField showAll="0"/>
    <pivotField showAll="0"/>
    <pivotField showAll="0"/>
    <pivotField showAll="0"/>
    <pivotField numFmtId="3" showAll="0"/>
    <pivotField numFmtId="4" showAll="0"/>
    <pivotField showAll="0"/>
    <pivotField showAll="0"/>
    <pivotField showAll="0"/>
    <pivotField dataField="1" numFmtId="10" showAll="0">
      <items count="383">
        <item x="254"/>
        <item x="262"/>
        <item x="259"/>
        <item x="287"/>
        <item x="174"/>
        <item x="258"/>
        <item x="284"/>
        <item x="73"/>
        <item x="359"/>
        <item x="361"/>
        <item x="77"/>
        <item x="260"/>
        <item x="263"/>
        <item x="69"/>
        <item x="315"/>
        <item x="368"/>
        <item x="363"/>
        <item x="261"/>
        <item x="338"/>
        <item x="364"/>
        <item x="102"/>
        <item x="301"/>
        <item x="100"/>
        <item x="320"/>
        <item x="76"/>
        <item x="286"/>
        <item x="203"/>
        <item x="298"/>
        <item x="136"/>
        <item x="87"/>
        <item x="318"/>
        <item x="106"/>
        <item x="86"/>
        <item x="141"/>
        <item x="66"/>
        <item x="354"/>
        <item x="35"/>
        <item x="257"/>
        <item x="265"/>
        <item x="140"/>
        <item x="138"/>
        <item x="306"/>
        <item x="280"/>
        <item x="142"/>
        <item x="63"/>
        <item x="344"/>
        <item x="264"/>
        <item x="316"/>
        <item x="321"/>
        <item x="81"/>
        <item x="128"/>
        <item x="300"/>
        <item x="242"/>
        <item x="101"/>
        <item x="51"/>
        <item x="319"/>
        <item x="360"/>
        <item x="32"/>
        <item x="362"/>
        <item x="343"/>
        <item x="308"/>
        <item x="181"/>
        <item x="70"/>
        <item x="82"/>
        <item x="356"/>
        <item x="199"/>
        <item x="240"/>
        <item x="89"/>
        <item x="352"/>
        <item x="281"/>
        <item x="373"/>
        <item x="285"/>
        <item x="379"/>
        <item x="243"/>
        <item x="93"/>
        <item x="297"/>
        <item x="88"/>
        <item x="303"/>
        <item x="296"/>
        <item x="244"/>
        <item x="252"/>
        <item x="143"/>
        <item x="332"/>
        <item x="175"/>
        <item x="241"/>
        <item x="95"/>
        <item x="135"/>
        <item x="370"/>
        <item x="36"/>
        <item x="247"/>
        <item x="130"/>
        <item x="129"/>
        <item x="29"/>
        <item x="293"/>
        <item x="116"/>
        <item x="305"/>
        <item x="15"/>
        <item x="117"/>
        <item x="246"/>
        <item x="83"/>
        <item x="375"/>
        <item x="164"/>
        <item x="245"/>
        <item x="353"/>
        <item x="187"/>
        <item x="202"/>
        <item x="169"/>
        <item x="182"/>
        <item x="188"/>
        <item x="21"/>
        <item x="8"/>
        <item x="0"/>
        <item x="131"/>
        <item x="248"/>
        <item x="132"/>
        <item x="148"/>
        <item x="366"/>
        <item x="378"/>
        <item x="253"/>
        <item x="147"/>
        <item x="341"/>
        <item x="167"/>
        <item x="160"/>
        <item x="166"/>
        <item x="159"/>
        <item x="288"/>
        <item x="52"/>
        <item x="312"/>
        <item x="16"/>
        <item x="249"/>
        <item x="177"/>
        <item x="291"/>
        <item x="165"/>
        <item x="345"/>
        <item x="14"/>
        <item x="134"/>
        <item x="198"/>
        <item x="113"/>
        <item x="18"/>
        <item x="19"/>
        <item x="310"/>
        <item x="62"/>
        <item x="4"/>
        <item x="103"/>
        <item x="12"/>
        <item x="168"/>
        <item x="163"/>
        <item x="172"/>
        <item x="146"/>
        <item x="144"/>
        <item x="94"/>
        <item x="72"/>
        <item x="23"/>
        <item x="337"/>
        <item x="114"/>
        <item x="47"/>
        <item x="22"/>
        <item x="24"/>
        <item x="65"/>
        <item x="191"/>
        <item x="20"/>
        <item x="99"/>
        <item x="61"/>
        <item x="377"/>
        <item x="237"/>
        <item x="279"/>
        <item x="91"/>
        <item x="56"/>
        <item x="180"/>
        <item x="170"/>
        <item x="173"/>
        <item x="271"/>
        <item x="348"/>
        <item x="107"/>
        <item x="64"/>
        <item x="90"/>
        <item x="292"/>
        <item x="346"/>
        <item x="26"/>
        <item x="85"/>
        <item x="309"/>
        <item x="311"/>
        <item x="374"/>
        <item x="376"/>
        <item x="220"/>
        <item x="5"/>
        <item x="272"/>
        <item x="365"/>
        <item x="251"/>
        <item x="1"/>
        <item x="255"/>
        <item x="367"/>
        <item x="112"/>
        <item x="57"/>
        <item x="201"/>
        <item x="109"/>
        <item x="137"/>
        <item x="223"/>
        <item x="371"/>
        <item x="326"/>
        <item x="80"/>
        <item x="7"/>
        <item x="290"/>
        <item x="219"/>
        <item x="313"/>
        <item x="227"/>
        <item x="78"/>
        <item x="55"/>
        <item x="10"/>
        <item x="342"/>
        <item x="13"/>
        <item x="328"/>
        <item x="108"/>
        <item x="327"/>
        <item x="133"/>
        <item x="179"/>
        <item x="325"/>
        <item x="229"/>
        <item x="9"/>
        <item x="355"/>
        <item x="304"/>
        <item x="74"/>
        <item x="17"/>
        <item x="323"/>
        <item x="299"/>
        <item x="218"/>
        <item x="6"/>
        <item x="104"/>
        <item x="282"/>
        <item x="250"/>
        <item x="324"/>
        <item x="196"/>
        <item x="331"/>
        <item x="295"/>
        <item x="351"/>
        <item x="105"/>
        <item x="372"/>
        <item x="111"/>
        <item x="330"/>
        <item x="3"/>
        <item x="329"/>
        <item x="162"/>
        <item x="41"/>
        <item x="200"/>
        <item x="278"/>
        <item x="269"/>
        <item x="124"/>
        <item x="307"/>
        <item x="45"/>
        <item x="208"/>
        <item x="42"/>
        <item x="233"/>
        <item x="192"/>
        <item x="221"/>
        <item x="314"/>
        <item x="276"/>
        <item x="30"/>
        <item x="369"/>
        <item x="189"/>
        <item x="120"/>
        <item x="210"/>
        <item x="71"/>
        <item x="110"/>
        <item x="96"/>
        <item x="235"/>
        <item x="230"/>
        <item x="115"/>
        <item x="27"/>
        <item x="184"/>
        <item x="190"/>
        <item x="46"/>
        <item x="317"/>
        <item x="194"/>
        <item x="31"/>
        <item x="236"/>
        <item x="273"/>
        <item x="40"/>
        <item x="207"/>
        <item x="2"/>
        <item x="205"/>
        <item x="28"/>
        <item x="37"/>
        <item x="204"/>
        <item x="380"/>
        <item x="11"/>
        <item x="176"/>
        <item x="339"/>
        <item x="152"/>
        <item x="44"/>
        <item x="59"/>
        <item x="161"/>
        <item x="234"/>
        <item x="358"/>
        <item x="266"/>
        <item x="211"/>
        <item x="239"/>
        <item x="277"/>
        <item x="209"/>
        <item x="231"/>
        <item x="43"/>
        <item x="216"/>
        <item x="153"/>
        <item x="149"/>
        <item x="67"/>
        <item x="333"/>
        <item x="274"/>
        <item x="238"/>
        <item x="350"/>
        <item x="206"/>
        <item x="322"/>
        <item x="58"/>
        <item x="335"/>
        <item x="357"/>
        <item x="267"/>
        <item x="145"/>
        <item x="126"/>
        <item x="349"/>
        <item x="289"/>
        <item x="302"/>
        <item x="340"/>
        <item x="268"/>
        <item x="197"/>
        <item x="334"/>
        <item x="228"/>
        <item x="212"/>
        <item x="225"/>
        <item x="25"/>
        <item x="171"/>
        <item x="232"/>
        <item x="381"/>
        <item x="122"/>
        <item x="54"/>
        <item x="213"/>
        <item x="270"/>
        <item x="193"/>
        <item x="125"/>
        <item x="121"/>
        <item x="127"/>
        <item x="79"/>
        <item x="185"/>
        <item x="60"/>
        <item x="75"/>
        <item x="178"/>
        <item x="38"/>
        <item x="53"/>
        <item x="186"/>
        <item x="217"/>
        <item x="222"/>
        <item x="118"/>
        <item x="283"/>
        <item x="195"/>
        <item x="347"/>
        <item x="336"/>
        <item x="151"/>
        <item x="98"/>
        <item x="183"/>
        <item x="275"/>
        <item x="92"/>
        <item x="84"/>
        <item x="50"/>
        <item x="157"/>
        <item x="34"/>
        <item x="119"/>
        <item x="48"/>
        <item x="123"/>
        <item x="150"/>
        <item x="294"/>
        <item x="256"/>
        <item x="33"/>
        <item x="97"/>
        <item x="49"/>
        <item x="155"/>
        <item x="156"/>
        <item x="139"/>
        <item x="39"/>
        <item x="154"/>
        <item x="214"/>
        <item x="158"/>
        <item x="68"/>
        <item x="215"/>
        <item x="224"/>
        <item x="226"/>
        <item t="default"/>
      </items>
    </pivotField>
    <pivotField showAll="0"/>
    <pivotField showAll="0"/>
    <pivotField showAll="0"/>
    <pivotField showAll="0"/>
    <pivotField showAll="0"/>
    <pivotField showAll="0"/>
    <pivotField showAll="0">
      <items count="16">
        <item x="9"/>
        <item x="3"/>
        <item x="8"/>
        <item x="0"/>
        <item x="11"/>
        <item x="6"/>
        <item x="7"/>
        <item x="2"/>
        <item x="10"/>
        <item x="13"/>
        <item x="12"/>
        <item x="4"/>
        <item x="5"/>
        <item x="14"/>
        <item x="1"/>
        <item t="default"/>
      </items>
    </pivotField>
    <pivotField showAll="0">
      <items count="3">
        <item x="0"/>
        <item x="1"/>
        <item t="default"/>
      </items>
    </pivotField>
    <pivotField axis="axisRow" dataField="1" showAll="0">
      <items count="166">
        <item x="12"/>
        <item x="119"/>
        <item x="159"/>
        <item x="27"/>
        <item x="141"/>
        <item x="2"/>
        <item x="58"/>
        <item x="72"/>
        <item x="46"/>
        <item x="31"/>
        <item x="71"/>
        <item x="114"/>
        <item x="118"/>
        <item x="23"/>
        <item x="92"/>
        <item x="157"/>
        <item x="150"/>
        <item x="30"/>
        <item x="50"/>
        <item x="96"/>
        <item x="85"/>
        <item x="54"/>
        <item x="99"/>
        <item x="97"/>
        <item x="49"/>
        <item x="134"/>
        <item x="32"/>
        <item x="164"/>
        <item x="81"/>
        <item x="123"/>
        <item x="14"/>
        <item x="47"/>
        <item x="68"/>
        <item x="140"/>
        <item x="139"/>
        <item x="147"/>
        <item x="34"/>
        <item x="57"/>
        <item x="5"/>
        <item x="53"/>
        <item x="113"/>
        <item x="11"/>
        <item x="3"/>
        <item x="93"/>
        <item x="55"/>
        <item x="100"/>
        <item x="106"/>
        <item x="13"/>
        <item x="138"/>
        <item x="91"/>
        <item x="75"/>
        <item x="149"/>
        <item x="62"/>
        <item x="163"/>
        <item x="26"/>
        <item x="156"/>
        <item x="25"/>
        <item x="84"/>
        <item x="73"/>
        <item x="66"/>
        <item x="109"/>
        <item x="28"/>
        <item x="88"/>
        <item x="102"/>
        <item x="151"/>
        <item x="41"/>
        <item x="16"/>
        <item x="60"/>
        <item x="33"/>
        <item x="70"/>
        <item x="9"/>
        <item x="76"/>
        <item x="83"/>
        <item x="136"/>
        <item x="52"/>
        <item x="17"/>
        <item x="1"/>
        <item x="77"/>
        <item x="131"/>
        <item x="89"/>
        <item x="120"/>
        <item x="101"/>
        <item x="65"/>
        <item x="24"/>
        <item x="40"/>
        <item x="61"/>
        <item x="39"/>
        <item x="135"/>
        <item x="15"/>
        <item x="82"/>
        <item x="21"/>
        <item x="103"/>
        <item x="128"/>
        <item x="105"/>
        <item x="0"/>
        <item x="133"/>
        <item x="48"/>
        <item x="63"/>
        <item x="116"/>
        <item x="154"/>
        <item x="122"/>
        <item x="44"/>
        <item x="132"/>
        <item x="115"/>
        <item x="121"/>
        <item x="80"/>
        <item x="69"/>
        <item x="7"/>
        <item x="108"/>
        <item x="143"/>
        <item x="4"/>
        <item x="37"/>
        <item x="162"/>
        <item x="29"/>
        <item x="20"/>
        <item x="155"/>
        <item x="129"/>
        <item x="6"/>
        <item x="144"/>
        <item x="95"/>
        <item x="160"/>
        <item x="56"/>
        <item x="35"/>
        <item x="98"/>
        <item x="112"/>
        <item x="78"/>
        <item x="90"/>
        <item x="64"/>
        <item x="36"/>
        <item x="22"/>
        <item x="104"/>
        <item x="127"/>
        <item x="145"/>
        <item x="45"/>
        <item x="10"/>
        <item x="8"/>
        <item x="153"/>
        <item x="146"/>
        <item x="67"/>
        <item x="38"/>
        <item x="130"/>
        <item x="87"/>
        <item x="111"/>
        <item x="51"/>
        <item x="158"/>
        <item x="126"/>
        <item x="117"/>
        <item x="148"/>
        <item x="19"/>
        <item x="74"/>
        <item x="152"/>
        <item x="161"/>
        <item x="142"/>
        <item x="107"/>
        <item x="43"/>
        <item x="110"/>
        <item x="137"/>
        <item x="79"/>
        <item x="125"/>
        <item x="18"/>
        <item x="94"/>
        <item x="124"/>
        <item x="59"/>
        <item x="42"/>
        <item x="86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14">
        <item sd="0" x="0"/>
        <item x="1"/>
        <item x="2"/>
        <item x="3"/>
        <item x="4"/>
        <item x="5"/>
        <item x="6"/>
        <item x="7"/>
        <item x="8"/>
        <item x="9"/>
        <item x="10"/>
        <item x="11"/>
        <item sd="0" x="12"/>
        <item t="default"/>
      </items>
    </pivotField>
  </pivotFields>
  <rowFields count="2">
    <field x="34"/>
    <field x="32"/>
  </rowFields>
  <rowItems count="276">
    <i>
      <x v="1"/>
    </i>
    <i r="1">
      <x v="4"/>
    </i>
    <i r="1">
      <x v="8"/>
    </i>
    <i r="1">
      <x v="9"/>
    </i>
    <i r="1">
      <x v="10"/>
    </i>
    <i r="1">
      <x v="11"/>
    </i>
    <i r="1">
      <x v="12"/>
    </i>
    <i r="1">
      <x v="14"/>
    </i>
    <i r="1">
      <x v="16"/>
    </i>
    <i r="1">
      <x v="17"/>
    </i>
    <i r="1">
      <x v="18"/>
    </i>
    <i r="1">
      <x v="19"/>
    </i>
    <i r="1">
      <x v="20"/>
    </i>
    <i r="1">
      <x v="23"/>
    </i>
    <i r="1">
      <x v="28"/>
    </i>
    <i r="1">
      <x v="35"/>
    </i>
    <i r="1">
      <x v="36"/>
    </i>
    <i r="1">
      <x v="38"/>
    </i>
    <i r="1">
      <x v="43"/>
    </i>
    <i r="1">
      <x v="46"/>
    </i>
    <i>
      <x v="2"/>
    </i>
    <i r="1">
      <x/>
    </i>
    <i r="1">
      <x v="3"/>
    </i>
    <i r="1">
      <x v="4"/>
    </i>
    <i r="1">
      <x v="5"/>
    </i>
    <i r="1">
      <x v="7"/>
    </i>
    <i r="1">
      <x v="8"/>
    </i>
    <i r="1">
      <x v="9"/>
    </i>
    <i r="1">
      <x v="10"/>
    </i>
    <i r="1">
      <x v="13"/>
    </i>
    <i r="1">
      <x v="15"/>
    </i>
    <i r="1">
      <x v="23"/>
    </i>
    <i r="1">
      <x v="24"/>
    </i>
    <i r="1">
      <x v="27"/>
    </i>
    <i r="1">
      <x v="29"/>
    </i>
    <i r="1">
      <x v="30"/>
    </i>
    <i r="1">
      <x v="31"/>
    </i>
    <i r="1">
      <x v="32"/>
    </i>
    <i r="1">
      <x v="34"/>
    </i>
    <i r="1">
      <x v="37"/>
    </i>
    <i r="1">
      <x v="38"/>
    </i>
    <i r="1">
      <x v="41"/>
    </i>
    <i r="1">
      <x v="44"/>
    </i>
    <i r="1">
      <x v="52"/>
    </i>
    <i r="1">
      <x v="56"/>
    </i>
    <i>
      <x v="3"/>
    </i>
    <i r="1">
      <x v="1"/>
    </i>
    <i r="1">
      <x v="2"/>
    </i>
    <i r="1">
      <x v="3"/>
    </i>
    <i r="1">
      <x v="6"/>
    </i>
    <i r="1">
      <x v="13"/>
    </i>
    <i r="1">
      <x v="17"/>
    </i>
    <i r="1">
      <x v="19"/>
    </i>
    <i r="1">
      <x v="21"/>
    </i>
    <i r="1">
      <x v="22"/>
    </i>
    <i r="1">
      <x v="25"/>
    </i>
    <i r="1">
      <x v="26"/>
    </i>
    <i r="1">
      <x v="32"/>
    </i>
    <i r="1">
      <x v="37"/>
    </i>
    <i r="1">
      <x v="39"/>
    </i>
    <i r="1">
      <x v="40"/>
    </i>
    <i r="1">
      <x v="42"/>
    </i>
    <i r="1">
      <x v="47"/>
    </i>
    <i r="1">
      <x v="52"/>
    </i>
    <i r="1">
      <x v="56"/>
    </i>
    <i r="1">
      <x v="59"/>
    </i>
    <i r="1">
      <x v="61"/>
    </i>
    <i r="1">
      <x v="65"/>
    </i>
    <i r="1">
      <x v="69"/>
    </i>
    <i r="1">
      <x v="76"/>
    </i>
    <i>
      <x v="4"/>
    </i>
    <i r="1">
      <x v="30"/>
    </i>
    <i r="1">
      <x v="31"/>
    </i>
    <i r="1">
      <x v="32"/>
    </i>
    <i r="1">
      <x v="33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53"/>
    </i>
    <i r="1">
      <x v="56"/>
    </i>
    <i r="1">
      <x v="60"/>
    </i>
    <i r="1">
      <x v="63"/>
    </i>
    <i r="1">
      <x v="66"/>
    </i>
    <i r="1">
      <x v="67"/>
    </i>
    <i r="1">
      <x v="68"/>
    </i>
    <i r="1">
      <x v="76"/>
    </i>
    <i r="1">
      <x v="96"/>
    </i>
    <i r="1">
      <x v="97"/>
    </i>
    <i r="1">
      <x v="118"/>
    </i>
    <i>
      <x v="5"/>
    </i>
    <i r="1">
      <x v="97"/>
    </i>
    <i r="1">
      <x v="101"/>
    </i>
    <i r="1">
      <x v="106"/>
    </i>
    <i r="1">
      <x v="113"/>
    </i>
    <i r="1">
      <x v="120"/>
    </i>
    <i r="1">
      <x v="122"/>
    </i>
    <i r="1">
      <x v="140"/>
    </i>
    <i r="1">
      <x v="152"/>
    </i>
    <i r="1">
      <x v="161"/>
    </i>
    <i r="1">
      <x v="162"/>
    </i>
    <i r="1">
      <x v="164"/>
    </i>
    <i>
      <x v="6"/>
    </i>
    <i r="1">
      <x v="120"/>
    </i>
    <i r="1">
      <x v="121"/>
    </i>
    <i r="1">
      <x v="122"/>
    </i>
    <i r="1">
      <x v="127"/>
    </i>
    <i r="1">
      <x v="128"/>
    </i>
    <i r="1">
      <x v="129"/>
    </i>
    <i r="1">
      <x v="130"/>
    </i>
    <i r="1">
      <x v="132"/>
    </i>
    <i r="1">
      <x v="133"/>
    </i>
    <i r="1">
      <x v="134"/>
    </i>
    <i r="1">
      <x v="137"/>
    </i>
    <i r="1">
      <x v="146"/>
    </i>
    <i r="1">
      <x v="149"/>
    </i>
    <i r="1">
      <x v="151"/>
    </i>
    <i r="1">
      <x v="153"/>
    </i>
    <i r="1">
      <x v="156"/>
    </i>
    <i r="1">
      <x v="157"/>
    </i>
    <i>
      <x v="7"/>
    </i>
    <i r="1">
      <x v="57"/>
    </i>
    <i r="1">
      <x v="59"/>
    </i>
    <i r="1">
      <x v="62"/>
    </i>
    <i r="1">
      <x v="65"/>
    </i>
    <i r="1">
      <x v="66"/>
    </i>
    <i r="1">
      <x v="67"/>
    </i>
    <i r="1">
      <x v="70"/>
    </i>
    <i r="1">
      <x v="74"/>
    </i>
    <i r="1">
      <x v="75"/>
    </i>
    <i r="1">
      <x v="76"/>
    </i>
    <i r="1">
      <x v="77"/>
    </i>
    <i r="1">
      <x v="78"/>
    </i>
    <i r="1">
      <x v="80"/>
    </i>
    <i r="1">
      <x v="82"/>
    </i>
    <i r="1">
      <x v="83"/>
    </i>
    <i r="1">
      <x v="87"/>
    </i>
    <i r="1">
      <x v="88"/>
    </i>
    <i r="1">
      <x v="91"/>
    </i>
    <i r="1">
      <x v="92"/>
    </i>
    <i r="1">
      <x v="93"/>
    </i>
    <i r="1">
      <x v="98"/>
    </i>
    <i r="1">
      <x v="101"/>
    </i>
    <i r="1">
      <x v="108"/>
    </i>
    <i r="1">
      <x v="109"/>
    </i>
    <i r="1">
      <x v="111"/>
    </i>
    <i r="1">
      <x v="112"/>
    </i>
    <i>
      <x v="8"/>
    </i>
    <i r="1">
      <x v="49"/>
    </i>
    <i r="1">
      <x v="50"/>
    </i>
    <i r="1">
      <x v="51"/>
    </i>
    <i r="1">
      <x v="52"/>
    </i>
    <i r="1">
      <x v="54"/>
    </i>
    <i r="1">
      <x v="60"/>
    </i>
    <i r="1">
      <x v="66"/>
    </i>
    <i r="1">
      <x v="70"/>
    </i>
    <i r="1">
      <x v="71"/>
    </i>
    <i r="1">
      <x v="75"/>
    </i>
    <i r="1">
      <x v="77"/>
    </i>
    <i r="1">
      <x v="81"/>
    </i>
    <i r="1">
      <x v="83"/>
    </i>
    <i r="1">
      <x v="85"/>
    </i>
    <i r="1">
      <x v="86"/>
    </i>
    <i r="1">
      <x v="87"/>
    </i>
    <i r="1">
      <x v="89"/>
    </i>
    <i r="1">
      <x v="92"/>
    </i>
    <i r="1">
      <x v="102"/>
    </i>
    <i r="1">
      <x v="107"/>
    </i>
    <i r="1">
      <x v="110"/>
    </i>
    <i r="1">
      <x v="113"/>
    </i>
    <i r="1">
      <x v="115"/>
    </i>
    <i r="1">
      <x v="130"/>
    </i>
    <i r="1">
      <x v="131"/>
    </i>
    <i r="1">
      <x v="133"/>
    </i>
    <i r="1">
      <x v="139"/>
    </i>
    <i>
      <x v="9"/>
    </i>
    <i r="1">
      <x v="36"/>
    </i>
    <i r="1">
      <x v="41"/>
    </i>
    <i r="1">
      <x v="45"/>
    </i>
    <i r="1">
      <x v="47"/>
    </i>
    <i r="1">
      <x v="48"/>
    </i>
    <i r="1">
      <x v="54"/>
    </i>
    <i r="1">
      <x v="55"/>
    </i>
    <i r="1">
      <x v="56"/>
    </i>
    <i r="1">
      <x v="58"/>
    </i>
    <i r="1">
      <x v="60"/>
    </i>
    <i r="1">
      <x v="61"/>
    </i>
    <i r="1">
      <x v="62"/>
    </i>
    <i r="1">
      <x v="63"/>
    </i>
    <i r="1">
      <x v="64"/>
    </i>
    <i r="1">
      <x v="65"/>
    </i>
    <i r="1">
      <x v="66"/>
    </i>
    <i r="1">
      <x v="67"/>
    </i>
    <i r="1">
      <x v="68"/>
    </i>
    <i r="1">
      <x v="69"/>
    </i>
    <i r="1">
      <x v="71"/>
    </i>
    <i r="1">
      <x v="72"/>
    </i>
    <i r="1">
      <x v="73"/>
    </i>
    <i r="1">
      <x v="74"/>
    </i>
    <i r="1">
      <x v="75"/>
    </i>
    <i r="1">
      <x v="76"/>
    </i>
    <i r="1">
      <x v="77"/>
    </i>
    <i r="1">
      <x v="80"/>
    </i>
    <i r="1">
      <x v="87"/>
    </i>
    <i r="1">
      <x v="94"/>
    </i>
    <i>
      <x v="10"/>
    </i>
    <i r="1">
      <x v="30"/>
    </i>
    <i r="1">
      <x v="38"/>
    </i>
    <i r="1">
      <x v="40"/>
    </i>
    <i r="1">
      <x v="42"/>
    </i>
    <i r="1">
      <x v="50"/>
    </i>
    <i r="1">
      <x v="79"/>
    </i>
    <i r="1">
      <x v="82"/>
    </i>
    <i r="1">
      <x v="86"/>
    </i>
    <i r="1">
      <x v="90"/>
    </i>
    <i r="1">
      <x v="93"/>
    </i>
    <i r="1">
      <x v="94"/>
    </i>
    <i r="1">
      <x v="114"/>
    </i>
    <i r="1">
      <x v="116"/>
    </i>
    <i r="1">
      <x v="117"/>
    </i>
    <i r="1">
      <x v="119"/>
    </i>
    <i r="1">
      <x v="121"/>
    </i>
    <i r="1">
      <x v="124"/>
    </i>
    <i r="1">
      <x v="128"/>
    </i>
    <i r="1">
      <x v="129"/>
    </i>
    <i r="1">
      <x v="133"/>
    </i>
    <i r="1">
      <x v="135"/>
    </i>
    <i r="1">
      <x v="142"/>
    </i>
    <i r="1">
      <x v="143"/>
    </i>
    <i r="1">
      <x v="144"/>
    </i>
    <i r="1">
      <x v="147"/>
    </i>
    <i r="1">
      <x v="148"/>
    </i>
    <i r="1">
      <x v="150"/>
    </i>
    <i r="1">
      <x v="152"/>
    </i>
    <i r="1">
      <x v="154"/>
    </i>
    <i r="1">
      <x v="155"/>
    </i>
    <i r="1">
      <x v="158"/>
    </i>
    <i r="1">
      <x v="159"/>
    </i>
    <i r="1">
      <x v="160"/>
    </i>
    <i r="1">
      <x v="163"/>
    </i>
    <i>
      <x v="11"/>
    </i>
    <i r="1">
      <x v="77"/>
    </i>
    <i r="1">
      <x v="81"/>
    </i>
    <i r="1">
      <x v="84"/>
    </i>
    <i r="1">
      <x v="85"/>
    </i>
    <i r="1">
      <x v="86"/>
    </i>
    <i r="1">
      <x v="91"/>
    </i>
    <i r="1">
      <x v="94"/>
    </i>
    <i r="1">
      <x v="95"/>
    </i>
    <i r="1">
      <x v="97"/>
    </i>
    <i r="1">
      <x v="99"/>
    </i>
    <i r="1">
      <x v="100"/>
    </i>
    <i r="1">
      <x v="103"/>
    </i>
    <i r="1">
      <x v="104"/>
    </i>
    <i r="1">
      <x v="105"/>
    </i>
    <i r="1">
      <x v="107"/>
    </i>
    <i r="1">
      <x v="119"/>
    </i>
    <i r="1">
      <x v="121"/>
    </i>
    <i r="1">
      <x v="122"/>
    </i>
    <i r="1">
      <x v="123"/>
    </i>
    <i r="1">
      <x v="125"/>
    </i>
    <i r="1">
      <x v="126"/>
    </i>
    <i r="1">
      <x v="127"/>
    </i>
    <i r="1">
      <x v="133"/>
    </i>
    <i r="1">
      <x v="135"/>
    </i>
    <i r="1">
      <x v="136"/>
    </i>
    <i r="1">
      <x v="138"/>
    </i>
    <i r="1">
      <x v="141"/>
    </i>
    <i r="1">
      <x v="145"/>
    </i>
    <i t="grand">
      <x/>
    </i>
  </rowItems>
  <colFields count="1">
    <field x="-2"/>
  </colFields>
  <colItems count="2">
    <i>
      <x/>
    </i>
    <i i="1">
      <x v="1"/>
    </i>
  </colItems>
  <dataFields count="2">
    <dataField name="Média de Spread DI+" fld="23" subtotal="average" baseField="34" baseItem="1" numFmtId="10"/>
    <dataField name="Contagem de RiscoPaís (%)" fld="32" subtotal="count" baseField="34" baseItem="1" numFmtId="3"/>
  </dataFields>
  <formats count="2">
    <format dxfId="5">
      <pivotArea outline="0" collapsedLevelsAreSubtotals="1" fieldPosition="0"/>
    </format>
    <format dxfId="4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://www.ipeadata.gov.br/doc/Metodologia%20Embi.do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8CBCA-680C-4B49-92AD-8A1C9A6D84F1}">
  <dimension ref="A1:AG599"/>
  <sheetViews>
    <sheetView tabSelected="1" topLeftCell="O1" workbookViewId="0">
      <selection activeCell="AC2" sqref="AC2"/>
    </sheetView>
  </sheetViews>
  <sheetFormatPr defaultRowHeight="14.5" x14ac:dyDescent="0.35"/>
  <cols>
    <col min="2" max="2" width="8.26953125" bestFit="1" customWidth="1"/>
    <col min="3" max="3" width="37.453125" bestFit="1" customWidth="1"/>
    <col min="4" max="4" width="10.6328125" bestFit="1" customWidth="1"/>
    <col min="5" max="5" width="61.6328125" bestFit="1" customWidth="1"/>
    <col min="6" max="6" width="22.90625" customWidth="1"/>
    <col min="7" max="8" width="13.7265625" customWidth="1"/>
    <col min="9" max="9" width="16.26953125" customWidth="1"/>
    <col min="10" max="10" width="7.6328125" style="1" customWidth="1"/>
    <col min="11" max="11" width="14.6328125" style="2" bestFit="1" customWidth="1"/>
    <col min="12" max="12" width="18.26953125" bestFit="1" customWidth="1"/>
    <col min="13" max="14" width="18.26953125" customWidth="1"/>
    <col min="15" max="16" width="15.08984375" customWidth="1"/>
    <col min="17" max="17" width="17.54296875" customWidth="1"/>
    <col min="18" max="19" width="22.7265625" customWidth="1"/>
    <col min="20" max="20" width="17.08984375" customWidth="1"/>
    <col min="21" max="21" width="16.453125" customWidth="1"/>
    <col min="22" max="22" width="14.453125" style="9" customWidth="1"/>
    <col min="23" max="23" width="17.36328125" customWidth="1"/>
    <col min="24" max="24" width="8.7265625" customWidth="1"/>
    <col min="25" max="25" width="11.7265625" customWidth="1"/>
    <col min="26" max="26" width="8.7265625" customWidth="1"/>
    <col min="27" max="27" width="14.453125" customWidth="1"/>
    <col min="28" max="28" width="21.81640625" style="9" customWidth="1"/>
    <col min="29" max="29" width="20.90625" style="9" customWidth="1"/>
    <col min="32" max="33" width="10.453125" bestFit="1" customWidth="1"/>
    <col min="36" max="36" width="11.81640625" bestFit="1" customWidth="1"/>
  </cols>
  <sheetData>
    <row r="1" spans="1:33" x14ac:dyDescent="0.35">
      <c r="V1"/>
      <c r="AB1"/>
      <c r="AC1"/>
    </row>
    <row r="2" spans="1:33" x14ac:dyDescent="0.35">
      <c r="A2" t="s">
        <v>0</v>
      </c>
      <c r="B2" t="s">
        <v>1</v>
      </c>
      <c r="C2" t="s">
        <v>2</v>
      </c>
      <c r="D2" s="4" t="s">
        <v>3</v>
      </c>
      <c r="E2" t="s">
        <v>4</v>
      </c>
      <c r="F2" t="s">
        <v>5</v>
      </c>
      <c r="G2" t="s">
        <v>6</v>
      </c>
      <c r="H2" s="5" t="s">
        <v>7</v>
      </c>
      <c r="I2" t="s">
        <v>8</v>
      </c>
      <c r="J2" s="6" t="s">
        <v>9</v>
      </c>
      <c r="K2" t="s">
        <v>10</v>
      </c>
      <c r="L2" t="s">
        <v>11</v>
      </c>
      <c r="M2" t="s">
        <v>12</v>
      </c>
      <c r="N2" s="5" t="s">
        <v>13</v>
      </c>
      <c r="O2" t="s">
        <v>14</v>
      </c>
      <c r="P2" s="5" t="s">
        <v>15</v>
      </c>
      <c r="Q2" t="s">
        <v>16</v>
      </c>
      <c r="R2" t="s">
        <v>17</v>
      </c>
      <c r="S2" t="s">
        <v>18</v>
      </c>
      <c r="T2" s="7" t="s">
        <v>19</v>
      </c>
      <c r="U2" s="8" t="s">
        <v>20</v>
      </c>
      <c r="V2" t="s">
        <v>21</v>
      </c>
      <c r="W2" t="s">
        <v>22</v>
      </c>
      <c r="X2" s="4" t="s">
        <v>23</v>
      </c>
      <c r="Y2" t="s">
        <v>24</v>
      </c>
      <c r="Z2" s="4" t="s">
        <v>25</v>
      </c>
      <c r="AA2" s="8" t="s">
        <v>26</v>
      </c>
      <c r="AB2" s="8" t="s">
        <v>717</v>
      </c>
      <c r="AC2" s="8" t="s">
        <v>716</v>
      </c>
    </row>
    <row r="3" spans="1:33" x14ac:dyDescent="0.35">
      <c r="A3">
        <v>1</v>
      </c>
      <c r="B3">
        <f>IF(G3="Bonds",COUNTIF($G$3:G3,"Bonds"),0)</f>
        <v>0</v>
      </c>
      <c r="C3" t="str">
        <f t="shared" ref="C3:C66" si="0">F3&amp;K3&amp;L3</f>
        <v>Adecoagro4415046371</v>
      </c>
      <c r="D3">
        <f>IF(F3&lt;&gt;F2,D1+1,D1)</f>
        <v>1</v>
      </c>
      <c r="E3" s="9" t="s">
        <v>27</v>
      </c>
      <c r="F3" s="9" t="s">
        <v>28</v>
      </c>
      <c r="G3" s="9" t="s">
        <v>29</v>
      </c>
      <c r="H3">
        <f t="shared" ref="H3:H66" si="1">IF(G3="Bonds",1,0)</f>
        <v>0</v>
      </c>
      <c r="I3" s="9" t="s">
        <v>30</v>
      </c>
      <c r="J3" s="1">
        <f t="shared" ref="J3:J66" si="2">IF(F3=F2,J2+1,1)</f>
        <v>1</v>
      </c>
      <c r="K3" s="2">
        <v>44150</v>
      </c>
      <c r="L3" s="2">
        <v>46371</v>
      </c>
      <c r="M3" s="10">
        <f t="shared" ref="M3:M66" si="3">(L3-K3)/365</f>
        <v>6.0849315068493155</v>
      </c>
      <c r="N3" s="11">
        <f t="shared" ref="N3:N66" si="4">IF(M3&gt;5,1,0)</f>
        <v>1</v>
      </c>
      <c r="O3" s="9" t="s">
        <v>31</v>
      </c>
      <c r="P3" t="str">
        <f>IF(OR(O3="Real",O3="Flutuante",O3="SR SECURED"),"1","0")</f>
        <v>1</v>
      </c>
      <c r="Q3" s="12">
        <v>400000</v>
      </c>
      <c r="R3" s="9">
        <v>1000</v>
      </c>
      <c r="S3" s="1" t="str">
        <f>IF($V3="USD",INDEX('Dólar Spot'!$B:$B,MATCH(Base!$K3,'Dólar Spot'!$A:$A,0)),"")</f>
        <v/>
      </c>
      <c r="T3" s="11">
        <f>Q3*R3</f>
        <v>400000000</v>
      </c>
      <c r="U3" s="13">
        <f t="shared" ref="U3:U66" si="5">IF(V3="USD",T3*S3/100000000,Q3*R3/100000000)</f>
        <v>4</v>
      </c>
      <c r="V3" s="9" t="s">
        <v>32</v>
      </c>
      <c r="W3" s="9" t="s">
        <v>35</v>
      </c>
      <c r="X3">
        <f t="shared" ref="X3:X63" si="6">IF(OR(W3="N",W3="AT MATURITY"),0,1)</f>
        <v>0</v>
      </c>
      <c r="Y3" s="1" t="str" cm="1">
        <f t="array" ref="Y3">INDEX(Ratings!$B$2:$M$42,_xlfn.XMATCH(Base!F3,Ratings!$A$2:$A$42),_xlfn.XMATCH(YEAR(Base!K3),Ratings!$B$1:$M$1))</f>
        <v>BB</v>
      </c>
      <c r="Z3">
        <f t="shared" ref="Z3:Z63" si="7">IF(AND(Y3&lt;&gt;"BBB-",Y3&lt;&gt;"BBB",Y3&lt;&gt;"BBB+"),0,1)</f>
        <v>0</v>
      </c>
      <c r="AA3">
        <f>IFERROR(IFERROR(IFERROR(INDEX('EMBI+'!$B:$B,MATCH(Base!$K3,'EMBI+'!$A:$A,0)),INDEX('EMBI+'!$B:$B,MATCH(Base!$K3+1,'EMBI+'!$A:$A,0))),INDEX('EMBI+'!$B:$B,MATCH(Base!$K3+2,'EMBI+'!$A:$A,0))),INDEX('EMBI+'!$B:$B,MATCH(Base!$K3+3,'EMBI+'!$A:$A,0)))/100</f>
        <v>2.76</v>
      </c>
      <c r="AB3" s="9">
        <f>9.63724*5.6401</f>
        <v>54.354997324000003</v>
      </c>
      <c r="AC3" s="9">
        <f>(8.13464+1.57626)*5.6401</f>
        <v>54.770447089999998</v>
      </c>
      <c r="AD3" s="9"/>
      <c r="AE3" s="9"/>
      <c r="AF3" s="2"/>
      <c r="AG3" s="2"/>
    </row>
    <row r="4" spans="1:33" x14ac:dyDescent="0.35">
      <c r="A4">
        <f t="shared" ref="A4:A67" si="8">+A3+1</f>
        <v>2</v>
      </c>
      <c r="B4">
        <f>IF(G4="Bonds",COUNTIF($G$3:G4,"Bonds"),0)</f>
        <v>1</v>
      </c>
      <c r="C4" t="str">
        <f t="shared" si="0"/>
        <v>Adecoagro4299921/09/2027</v>
      </c>
      <c r="D4">
        <f t="shared" ref="D4:D12" si="9">IF(F4&lt;&gt;F3,D3+1,D3)</f>
        <v>1</v>
      </c>
      <c r="E4" s="9" t="s">
        <v>36</v>
      </c>
      <c r="F4" s="9" t="s">
        <v>28</v>
      </c>
      <c r="G4" s="9" t="s">
        <v>37</v>
      </c>
      <c r="H4">
        <f t="shared" si="1"/>
        <v>1</v>
      </c>
      <c r="I4" s="9"/>
      <c r="J4" s="1">
        <f t="shared" si="2"/>
        <v>2</v>
      </c>
      <c r="K4" s="2">
        <v>42999</v>
      </c>
      <c r="L4" s="2" t="s">
        <v>38</v>
      </c>
      <c r="M4" s="10">
        <f t="shared" si="3"/>
        <v>10.005479452054795</v>
      </c>
      <c r="N4" s="11">
        <f t="shared" si="4"/>
        <v>1</v>
      </c>
      <c r="O4" s="9" t="s">
        <v>39</v>
      </c>
      <c r="P4" t="str">
        <f t="shared" ref="P4:P67" si="10">IF(OR(O4="Real",O4="Flutuante",O4="SR SECURED"),"1","0")</f>
        <v>0</v>
      </c>
      <c r="Q4" s="9"/>
      <c r="R4" s="9"/>
      <c r="S4" s="1">
        <f>IF($V4="USD",INDEX('Dólar Spot'!$B:$B,MATCH(Base!$K4,'Dólar Spot'!$A:$A,0)),"")</f>
        <v>3.1341000000000001</v>
      </c>
      <c r="T4" s="12">
        <v>500000000</v>
      </c>
      <c r="U4" s="13">
        <f t="shared" si="5"/>
        <v>15.670500000000001</v>
      </c>
      <c r="V4" s="9" t="s">
        <v>40</v>
      </c>
      <c r="W4" s="9" t="s">
        <v>34</v>
      </c>
      <c r="X4">
        <f t="shared" ref="X4:X67" si="11">IF(OR(W4="N",W4="AT MATURITY"),0,1)</f>
        <v>1</v>
      </c>
      <c r="Y4" s="1" t="str" cm="1">
        <f t="array" ref="Y4">INDEX(Ratings!$B$2:$M$42,_xlfn.XMATCH(Base!F4,Ratings!$A$2:$A$42),_xlfn.XMATCH(YEAR(Base!K4),Ratings!$B$1:$M$1))</f>
        <v>BB</v>
      </c>
      <c r="Z4">
        <f t="shared" ref="Z4:Z67" si="12">IF(AND(Y4&lt;&gt;"BBB-",Y4&lt;&gt;"BBB",Y4&lt;&gt;"BBB+"),0,1)</f>
        <v>0</v>
      </c>
      <c r="AA4">
        <f>IFERROR(IFERROR(IFERROR(INDEX('EMBI+'!$B:$B,MATCH(Base!$K4,'EMBI+'!$A:$A,0)),INDEX('EMBI+'!$B:$B,MATCH(Base!$K4+1,'EMBI+'!$A:$A,0))),INDEX('EMBI+'!$B:$B,MATCH(Base!$K4+2,'EMBI+'!$A:$A,0))),INDEX('EMBI+'!$B:$B,MATCH(Base!$K4+3,'EMBI+'!$A:$A,0)))/100</f>
        <v>2.5499999999999998</v>
      </c>
      <c r="AB4" s="9">
        <f>6.89852*3.1674</f>
        <v>21.850372248000003</v>
      </c>
      <c r="AC4" s="9">
        <f>(9.25589+1.83288)*3.1674</f>
        <v>35.122570098000004</v>
      </c>
      <c r="AD4" s="9"/>
      <c r="AE4" s="9"/>
      <c r="AF4" s="2"/>
      <c r="AG4" s="2"/>
    </row>
    <row r="5" spans="1:33" x14ac:dyDescent="0.35">
      <c r="A5">
        <f t="shared" si="8"/>
        <v>3</v>
      </c>
      <c r="B5">
        <f>IF(G5="Bonds",COUNTIF($G$3:G5,"Bonds"),0)</f>
        <v>0</v>
      </c>
      <c r="C5" t="str">
        <f t="shared" ref="C5:C68" si="13">F5&amp;K5&amp;L5</f>
        <v>Aegea4121241572</v>
      </c>
      <c r="D5">
        <f t="shared" ref="D5:D68" si="14">IF(F5&lt;&gt;F4,D4+1,D4)</f>
        <v>2</v>
      </c>
      <c r="E5" s="9" t="s">
        <v>41</v>
      </c>
      <c r="F5" s="9" t="s">
        <v>42</v>
      </c>
      <c r="G5" s="9" t="s">
        <v>29</v>
      </c>
      <c r="H5">
        <f t="shared" si="1"/>
        <v>0</v>
      </c>
      <c r="I5" s="9" t="s">
        <v>43</v>
      </c>
      <c r="J5" s="1">
        <f t="shared" si="2"/>
        <v>1</v>
      </c>
      <c r="K5" s="2">
        <v>41212</v>
      </c>
      <c r="L5" s="2">
        <v>41572</v>
      </c>
      <c r="M5" s="10">
        <f t="shared" si="3"/>
        <v>0.98630136986301364</v>
      </c>
      <c r="N5" s="11">
        <f t="shared" si="4"/>
        <v>0</v>
      </c>
      <c r="O5" s="9" t="s">
        <v>31</v>
      </c>
      <c r="P5" t="str">
        <f t="shared" si="10"/>
        <v>1</v>
      </c>
      <c r="Q5" s="12">
        <v>300</v>
      </c>
      <c r="R5" s="9">
        <v>500000</v>
      </c>
      <c r="S5" s="1" t="str">
        <f>IF($V5="USD",INDEX('Dólar Spot'!$B:$B,MATCH(Base!$K5,'Dólar Spot'!$A:$A,0)),"")</f>
        <v/>
      </c>
      <c r="T5" s="11">
        <f t="shared" ref="T5:T13" si="15">Q5*R5</f>
        <v>150000000</v>
      </c>
      <c r="U5" s="13">
        <f t="shared" si="5"/>
        <v>1.5</v>
      </c>
      <c r="V5" s="9" t="s">
        <v>44</v>
      </c>
      <c r="W5" s="9" t="s">
        <v>34</v>
      </c>
      <c r="X5">
        <f t="shared" si="11"/>
        <v>1</v>
      </c>
      <c r="Y5" s="1" t="str" cm="1">
        <f t="array" ref="Y5">INDEX(Ratings!$B$2:$M$42,_xlfn.XMATCH(Base!F5,Ratings!$A$2:$A$42),_xlfn.XMATCH(YEAR(Base!K5),Ratings!$B$1:$M$1))</f>
        <v>NR</v>
      </c>
      <c r="Z5">
        <f t="shared" si="12"/>
        <v>0</v>
      </c>
      <c r="AA5">
        <f>IFERROR(IFERROR(IFERROR(INDEX('EMBI+'!$B:$B,MATCH(Base!$K5,'EMBI+'!$A:$A,0)),INDEX('EMBI+'!$B:$B,MATCH(Base!$K5+1,'EMBI+'!$A:$A,0))),INDEX('EMBI+'!$B:$B,MATCH(Base!$K5+2,'EMBI+'!$A:$A,0))),INDEX('EMBI+'!$B:$B,MATCH(Base!$K5+3,'EMBI+'!$A:$A,0)))/100</f>
        <v>1.57</v>
      </c>
      <c r="AB5" s="9">
        <v>6.25915</v>
      </c>
      <c r="AC5" s="9">
        <f>4.11738+0.47815</f>
        <v>4.5955300000000001</v>
      </c>
      <c r="AD5" s="9"/>
      <c r="AE5" s="9"/>
      <c r="AF5" s="2"/>
      <c r="AG5" s="2"/>
    </row>
    <row r="6" spans="1:33" x14ac:dyDescent="0.35">
      <c r="A6">
        <f t="shared" si="8"/>
        <v>4</v>
      </c>
      <c r="B6">
        <f>IF(G6="Bonds",COUNTIF($G$3:G6,"Bonds"),0)</f>
        <v>0</v>
      </c>
      <c r="C6" t="str">
        <f t="shared" si="13"/>
        <v>Aegea4157242119</v>
      </c>
      <c r="D6">
        <f t="shared" si="14"/>
        <v>2</v>
      </c>
      <c r="E6" s="9" t="s">
        <v>41</v>
      </c>
      <c r="F6" s="9" t="s">
        <v>42</v>
      </c>
      <c r="G6" s="9" t="s">
        <v>29</v>
      </c>
      <c r="H6">
        <f t="shared" si="1"/>
        <v>0</v>
      </c>
      <c r="I6" s="9" t="s">
        <v>45</v>
      </c>
      <c r="J6" s="1">
        <f t="shared" si="2"/>
        <v>2</v>
      </c>
      <c r="K6" s="2">
        <v>41572</v>
      </c>
      <c r="L6" s="2">
        <v>42119</v>
      </c>
      <c r="M6" s="10">
        <f t="shared" si="3"/>
        <v>1.4986301369863013</v>
      </c>
      <c r="N6" s="11">
        <f t="shared" si="4"/>
        <v>0</v>
      </c>
      <c r="O6" s="9" t="s">
        <v>31</v>
      </c>
      <c r="P6" t="str">
        <f t="shared" si="10"/>
        <v>1</v>
      </c>
      <c r="Q6" s="12">
        <v>150000</v>
      </c>
      <c r="R6" s="9">
        <v>1000</v>
      </c>
      <c r="S6" s="1" t="str">
        <f>IF($V6="USD",INDEX('Dólar Spot'!$B:$B,MATCH(Base!$K6,'Dólar Spot'!$A:$A,0)),"")</f>
        <v/>
      </c>
      <c r="T6" s="11">
        <f t="shared" si="15"/>
        <v>150000000</v>
      </c>
      <c r="U6" s="13">
        <f t="shared" si="5"/>
        <v>1.5</v>
      </c>
      <c r="V6" s="9" t="s">
        <v>44</v>
      </c>
      <c r="W6" s="9" t="s">
        <v>34</v>
      </c>
      <c r="X6">
        <f t="shared" si="11"/>
        <v>1</v>
      </c>
      <c r="Y6" s="1" t="str" cm="1">
        <f t="array" ref="Y6">INDEX(Ratings!$B$2:$M$42,_xlfn.XMATCH(Base!F6,Ratings!$A$2:$A$42),_xlfn.XMATCH(YEAR(Base!K6),Ratings!$B$1:$M$1))</f>
        <v>NR</v>
      </c>
      <c r="Z6">
        <f t="shared" si="12"/>
        <v>0</v>
      </c>
      <c r="AA6">
        <f>IFERROR(IFERROR(IFERROR(INDEX('EMBI+'!$B:$B,MATCH(Base!$K6,'EMBI+'!$A:$A,0)),INDEX('EMBI+'!$B:$B,MATCH(Base!$K6+1,'EMBI+'!$A:$A,0))),INDEX('EMBI+'!$B:$B,MATCH(Base!$K6+2,'EMBI+'!$A:$A,0))),INDEX('EMBI+'!$B:$B,MATCH(Base!$K6+3,'EMBI+'!$A:$A,0)))/100</f>
        <v>2.19</v>
      </c>
      <c r="AB6" s="9">
        <f>8.93629+0.39597</f>
        <v>9.3322599999999998</v>
      </c>
      <c r="AC6" s="9">
        <f>1.54959+6.7125</f>
        <v>8.2620900000000006</v>
      </c>
      <c r="AD6" s="9"/>
      <c r="AE6" s="9"/>
      <c r="AF6" s="2"/>
      <c r="AG6" s="2"/>
    </row>
    <row r="7" spans="1:33" x14ac:dyDescent="0.35">
      <c r="A7">
        <f t="shared" si="8"/>
        <v>5</v>
      </c>
      <c r="B7">
        <f>IF(G7="Bonds",COUNTIF($G$3:G7,"Bonds"),0)</f>
        <v>0</v>
      </c>
      <c r="C7" t="str">
        <f t="shared" si="13"/>
        <v>Aegea4329645122</v>
      </c>
      <c r="D7">
        <f t="shared" si="14"/>
        <v>2</v>
      </c>
      <c r="E7" s="9" t="s">
        <v>41</v>
      </c>
      <c r="F7" s="9" t="s">
        <v>42</v>
      </c>
      <c r="G7" s="9" t="s">
        <v>29</v>
      </c>
      <c r="H7">
        <f t="shared" si="1"/>
        <v>0</v>
      </c>
      <c r="I7" s="9" t="s">
        <v>46</v>
      </c>
      <c r="J7" s="1">
        <f t="shared" si="2"/>
        <v>3</v>
      </c>
      <c r="K7" s="2">
        <v>43296</v>
      </c>
      <c r="L7" s="2">
        <v>45122</v>
      </c>
      <c r="M7" s="10">
        <f t="shared" si="3"/>
        <v>5.0027397260273974</v>
      </c>
      <c r="N7" s="11">
        <f t="shared" si="4"/>
        <v>1</v>
      </c>
      <c r="O7" s="9" t="s">
        <v>47</v>
      </c>
      <c r="P7" t="str">
        <f t="shared" si="10"/>
        <v>0</v>
      </c>
      <c r="Q7" s="12">
        <v>53350</v>
      </c>
      <c r="R7" s="9">
        <v>10000</v>
      </c>
      <c r="S7" s="1" t="str">
        <f>IF($V7="USD",INDEX('Dólar Spot'!$B:$B,MATCH(Base!$K7,'Dólar Spot'!$A:$A,0)),"")</f>
        <v/>
      </c>
      <c r="T7" s="11">
        <f t="shared" si="15"/>
        <v>533500000</v>
      </c>
      <c r="U7" s="13">
        <f t="shared" si="5"/>
        <v>5.335</v>
      </c>
      <c r="V7" s="9" t="s">
        <v>44</v>
      </c>
      <c r="W7" s="9" t="s">
        <v>34</v>
      </c>
      <c r="X7">
        <f t="shared" si="11"/>
        <v>1</v>
      </c>
      <c r="Y7" s="1" t="str" cm="1">
        <f t="array" ref="Y7">INDEX(Ratings!$B$2:$M$42,_xlfn.XMATCH(Base!F7,Ratings!$A$2:$A$42),_xlfn.XMATCH(YEAR(Base!K7),Ratings!$B$1:$M$1))</f>
        <v>BB</v>
      </c>
      <c r="Z7">
        <f t="shared" si="12"/>
        <v>0</v>
      </c>
      <c r="AA7">
        <f>IFERROR(IFERROR(IFERROR(INDEX('EMBI+'!$B:$B,MATCH(Base!$K7,'EMBI+'!$A:$A,0)),INDEX('EMBI+'!$B:$B,MATCH(Base!$K7+1,'EMBI+'!$A:$A,0))),INDEX('EMBI+'!$B:$B,MATCH(Base!$K7+2,'EMBI+'!$A:$A,0))),INDEX('EMBI+'!$B:$B,MATCH(Base!$K7+3,'EMBI+'!$A:$A,0)))/100</f>
        <v>2.95</v>
      </c>
      <c r="AB7" s="9">
        <v>11.302300000000001</v>
      </c>
      <c r="AC7" s="9">
        <v>35.709629999999997</v>
      </c>
      <c r="AD7" s="9"/>
      <c r="AE7" s="9"/>
      <c r="AF7" s="2"/>
      <c r="AG7" s="2"/>
    </row>
    <row r="8" spans="1:33" x14ac:dyDescent="0.35">
      <c r="A8">
        <f t="shared" si="8"/>
        <v>6</v>
      </c>
      <c r="B8">
        <f>IF(G8="Bonds",COUNTIF($G$3:G8,"Bonds"),0)</f>
        <v>0</v>
      </c>
      <c r="C8" t="str">
        <f t="shared" si="13"/>
        <v>Aegea4386645693</v>
      </c>
      <c r="D8">
        <f t="shared" si="14"/>
        <v>2</v>
      </c>
      <c r="E8" s="9" t="s">
        <v>41</v>
      </c>
      <c r="F8" s="9" t="s">
        <v>42</v>
      </c>
      <c r="G8" s="9" t="s">
        <v>29</v>
      </c>
      <c r="H8">
        <f t="shared" si="1"/>
        <v>0</v>
      </c>
      <c r="I8" s="9" t="s">
        <v>48</v>
      </c>
      <c r="J8" s="1">
        <f t="shared" si="2"/>
        <v>4</v>
      </c>
      <c r="K8" s="2">
        <v>43866</v>
      </c>
      <c r="L8" s="2">
        <v>45693</v>
      </c>
      <c r="M8" s="10">
        <f t="shared" si="3"/>
        <v>5.0054794520547947</v>
      </c>
      <c r="N8" s="11">
        <f t="shared" si="4"/>
        <v>1</v>
      </c>
      <c r="O8" s="9" t="s">
        <v>47</v>
      </c>
      <c r="P8" t="str">
        <f t="shared" si="10"/>
        <v>0</v>
      </c>
      <c r="Q8" s="12">
        <v>305000</v>
      </c>
      <c r="R8" s="9">
        <v>1000</v>
      </c>
      <c r="S8" s="1" t="str">
        <f>IF($V8="USD",INDEX('Dólar Spot'!$B:$B,MATCH(Base!$K8,'Dólar Spot'!$A:$A,0)),"")</f>
        <v/>
      </c>
      <c r="T8" s="11">
        <f t="shared" si="15"/>
        <v>305000000</v>
      </c>
      <c r="U8" s="13">
        <f t="shared" si="5"/>
        <v>3.05</v>
      </c>
      <c r="V8" s="9" t="s">
        <v>44</v>
      </c>
      <c r="W8" s="9" t="s">
        <v>34</v>
      </c>
      <c r="X8">
        <f t="shared" si="11"/>
        <v>1</v>
      </c>
      <c r="Y8" s="1" t="str" cm="1">
        <f t="array" ref="Y8">INDEX(Ratings!$B$2:$M$42,_xlfn.XMATCH(Base!F8,Ratings!$A$2:$A$42),_xlfn.XMATCH(YEAR(Base!K8),Ratings!$B$1:$M$1))</f>
        <v>BB</v>
      </c>
      <c r="Z8">
        <f t="shared" si="12"/>
        <v>0</v>
      </c>
      <c r="AA8">
        <f>IFERROR(IFERROR(IFERROR(INDEX('EMBI+'!$B:$B,MATCH(Base!$K8,'EMBI+'!$A:$A,0)),INDEX('EMBI+'!$B:$B,MATCH(Base!$K8+1,'EMBI+'!$A:$A,0))),INDEX('EMBI+'!$B:$B,MATCH(Base!$K8+2,'EMBI+'!$A:$A,0))),INDEX('EMBI+'!$B:$B,MATCH(Base!$K8+3,'EMBI+'!$A:$A,0)))/100</f>
        <v>2.14</v>
      </c>
      <c r="AB8" s="9">
        <v>17.63045</v>
      </c>
      <c r="AC8" s="9">
        <v>50.203749999999999</v>
      </c>
      <c r="AD8" s="9"/>
      <c r="AE8" s="9"/>
      <c r="AF8" s="2"/>
      <c r="AG8" s="2"/>
    </row>
    <row r="9" spans="1:33" x14ac:dyDescent="0.35">
      <c r="A9">
        <f t="shared" si="8"/>
        <v>7</v>
      </c>
      <c r="B9">
        <f>IF(G9="Bonds",COUNTIF($G$3:G9,"Bonds"),0)</f>
        <v>0</v>
      </c>
      <c r="C9" t="str">
        <f t="shared" si="13"/>
        <v>Aegea4408545180</v>
      </c>
      <c r="D9">
        <f t="shared" si="14"/>
        <v>2</v>
      </c>
      <c r="E9" s="9" t="s">
        <v>41</v>
      </c>
      <c r="F9" s="9" t="s">
        <v>42</v>
      </c>
      <c r="G9" s="9" t="s">
        <v>29</v>
      </c>
      <c r="H9">
        <f t="shared" si="1"/>
        <v>0</v>
      </c>
      <c r="I9" s="9" t="s">
        <v>49</v>
      </c>
      <c r="J9" s="1">
        <f t="shared" si="2"/>
        <v>5</v>
      </c>
      <c r="K9" s="2">
        <v>44085</v>
      </c>
      <c r="L9" s="2">
        <v>45180</v>
      </c>
      <c r="M9" s="10">
        <f t="shared" si="3"/>
        <v>3</v>
      </c>
      <c r="N9" s="11">
        <f t="shared" si="4"/>
        <v>0</v>
      </c>
      <c r="O9" s="9" t="s">
        <v>47</v>
      </c>
      <c r="P9" t="str">
        <f t="shared" si="10"/>
        <v>0</v>
      </c>
      <c r="Q9" s="12">
        <v>300000</v>
      </c>
      <c r="R9" s="9">
        <v>1000</v>
      </c>
      <c r="S9" s="1" t="str">
        <f>IF($V9="USD",INDEX('Dólar Spot'!$B:$B,MATCH(Base!$K9,'Dólar Spot'!$A:$A,0)),"")</f>
        <v/>
      </c>
      <c r="T9" s="11">
        <f t="shared" si="15"/>
        <v>300000000</v>
      </c>
      <c r="U9" s="13">
        <f t="shared" si="5"/>
        <v>3</v>
      </c>
      <c r="V9" s="9" t="s">
        <v>44</v>
      </c>
      <c r="W9" s="9" t="s">
        <v>34</v>
      </c>
      <c r="X9">
        <f t="shared" si="11"/>
        <v>1</v>
      </c>
      <c r="Y9" s="1" t="str" cm="1">
        <f t="array" ref="Y9">INDEX(Ratings!$B$2:$M$42,_xlfn.XMATCH(Base!F9,Ratings!$A$2:$A$42),_xlfn.XMATCH(YEAR(Base!K9),Ratings!$B$1:$M$1))</f>
        <v>BB</v>
      </c>
      <c r="Z9">
        <f t="shared" si="12"/>
        <v>0</v>
      </c>
      <c r="AA9">
        <f>IFERROR(IFERROR(IFERROR(INDEX('EMBI+'!$B:$B,MATCH(Base!$K9,'EMBI+'!$A:$A,0)),INDEX('EMBI+'!$B:$B,MATCH(Base!$K9+1,'EMBI+'!$A:$A,0))),INDEX('EMBI+'!$B:$B,MATCH(Base!$K9+2,'EMBI+'!$A:$A,0))),INDEX('EMBI+'!$B:$B,MATCH(Base!$K9+3,'EMBI+'!$A:$A,0)))/100</f>
        <v>3.11</v>
      </c>
      <c r="AB9" s="9">
        <v>21.499870000000001</v>
      </c>
      <c r="AC9" s="9">
        <v>72.913449999999997</v>
      </c>
      <c r="AD9" s="9"/>
      <c r="AE9" s="9"/>
      <c r="AF9" s="2"/>
      <c r="AG9" s="2"/>
    </row>
    <row r="10" spans="1:33" x14ac:dyDescent="0.35">
      <c r="A10">
        <f t="shared" si="8"/>
        <v>8</v>
      </c>
      <c r="B10">
        <f>IF(G10="Bonds",COUNTIF($G$3:G10,"Bonds"),0)</f>
        <v>0</v>
      </c>
      <c r="C10" t="str">
        <f t="shared" si="13"/>
        <v>Aegea4429846489</v>
      </c>
      <c r="D10">
        <f t="shared" si="14"/>
        <v>2</v>
      </c>
      <c r="E10" s="9" t="s">
        <v>41</v>
      </c>
      <c r="F10" s="9" t="s">
        <v>42</v>
      </c>
      <c r="G10" s="9" t="s">
        <v>29</v>
      </c>
      <c r="H10">
        <f t="shared" si="1"/>
        <v>0</v>
      </c>
      <c r="I10" s="9" t="s">
        <v>50</v>
      </c>
      <c r="J10" s="1">
        <f t="shared" si="2"/>
        <v>6</v>
      </c>
      <c r="K10" s="2">
        <v>44298</v>
      </c>
      <c r="L10" s="2">
        <v>46489</v>
      </c>
      <c r="M10" s="10">
        <f t="shared" si="3"/>
        <v>6.0027397260273974</v>
      </c>
      <c r="N10" s="11">
        <f t="shared" si="4"/>
        <v>1</v>
      </c>
      <c r="O10" s="9" t="s">
        <v>47</v>
      </c>
      <c r="P10" t="str">
        <f t="shared" si="10"/>
        <v>0</v>
      </c>
      <c r="Q10" s="12">
        <v>400000</v>
      </c>
      <c r="R10" s="9">
        <v>1000</v>
      </c>
      <c r="S10" s="1" t="str">
        <f>IF($V10="USD",INDEX('Dólar Spot'!$B:$B,MATCH(Base!$K10,'Dólar Spot'!$A:$A,0)),"")</f>
        <v/>
      </c>
      <c r="T10" s="11">
        <f t="shared" si="15"/>
        <v>400000000</v>
      </c>
      <c r="U10" s="13">
        <f t="shared" si="5"/>
        <v>4</v>
      </c>
      <c r="V10" s="9" t="s">
        <v>44</v>
      </c>
      <c r="W10" s="9" t="s">
        <v>34</v>
      </c>
      <c r="X10">
        <f t="shared" si="11"/>
        <v>1</v>
      </c>
      <c r="Y10" s="1" t="str" cm="1">
        <f t="array" ref="Y10">INDEX(Ratings!$B$2:$M$42,_xlfn.XMATCH(Base!F10,Ratings!$A$2:$A$42),_xlfn.XMATCH(YEAR(Base!K10),Ratings!$B$1:$M$1))</f>
        <v>BB</v>
      </c>
      <c r="Z10">
        <f t="shared" si="12"/>
        <v>0</v>
      </c>
      <c r="AA10">
        <f>IFERROR(IFERROR(IFERROR(INDEX('EMBI+'!$B:$B,MATCH(Base!$K10,'EMBI+'!$A:$A,0)),INDEX('EMBI+'!$B:$B,MATCH(Base!$K10+1,'EMBI+'!$A:$A,0))),INDEX('EMBI+'!$B:$B,MATCH(Base!$K10+2,'EMBI+'!$A:$A,0))),INDEX('EMBI+'!$B:$B,MATCH(Base!$K10+3,'EMBI+'!$A:$A,0)))/100</f>
        <v>2.92</v>
      </c>
      <c r="AB10" s="9">
        <v>22.788180000000001</v>
      </c>
      <c r="AC10" s="9">
        <v>75.96611</v>
      </c>
      <c r="AD10" s="9"/>
      <c r="AE10" s="9"/>
      <c r="AF10" s="2"/>
      <c r="AG10" s="2"/>
    </row>
    <row r="11" spans="1:33" x14ac:dyDescent="0.35">
      <c r="A11">
        <f t="shared" si="8"/>
        <v>9</v>
      </c>
      <c r="B11">
        <f>IF(G11="Bonds",COUNTIF($G$3:G11,"Bonds"),0)</f>
        <v>0</v>
      </c>
      <c r="C11" t="str">
        <f t="shared" si="13"/>
        <v>Aegea4447347030</v>
      </c>
      <c r="D11">
        <f t="shared" si="14"/>
        <v>2</v>
      </c>
      <c r="E11" s="9" t="s">
        <v>41</v>
      </c>
      <c r="F11" s="9" t="s">
        <v>42</v>
      </c>
      <c r="G11" s="9" t="s">
        <v>29</v>
      </c>
      <c r="H11">
        <f t="shared" si="1"/>
        <v>0</v>
      </c>
      <c r="I11" s="9" t="s">
        <v>51</v>
      </c>
      <c r="J11" s="1">
        <f t="shared" si="2"/>
        <v>7</v>
      </c>
      <c r="K11" s="2">
        <v>44473</v>
      </c>
      <c r="L11" s="2">
        <v>47030</v>
      </c>
      <c r="M11" s="10">
        <f t="shared" si="3"/>
        <v>7.0054794520547947</v>
      </c>
      <c r="N11" s="11">
        <f t="shared" si="4"/>
        <v>1</v>
      </c>
      <c r="O11" s="9" t="s">
        <v>47</v>
      </c>
      <c r="P11" t="str">
        <f t="shared" si="10"/>
        <v>0</v>
      </c>
      <c r="Q11" s="12">
        <v>800000</v>
      </c>
      <c r="R11" s="9">
        <v>1000</v>
      </c>
      <c r="S11" s="1" t="str">
        <f>IF($V11="USD",INDEX('Dólar Spot'!$B:$B,MATCH(Base!$K11,'Dólar Spot'!$A:$A,0)),"")</f>
        <v/>
      </c>
      <c r="T11" s="11">
        <f t="shared" si="15"/>
        <v>800000000</v>
      </c>
      <c r="U11" s="13">
        <f t="shared" si="5"/>
        <v>8</v>
      </c>
      <c r="V11" s="9" t="s">
        <v>44</v>
      </c>
      <c r="W11" s="9" t="s">
        <v>34</v>
      </c>
      <c r="X11">
        <f t="shared" si="11"/>
        <v>1</v>
      </c>
      <c r="Y11" s="1" t="str" cm="1">
        <f t="array" ref="Y11">INDEX(Ratings!$B$2:$M$42,_xlfn.XMATCH(Base!F11,Ratings!$A$2:$A$42),_xlfn.XMATCH(YEAR(Base!K11),Ratings!$B$1:$M$1))</f>
        <v>BB</v>
      </c>
      <c r="Z11">
        <f t="shared" si="12"/>
        <v>0</v>
      </c>
      <c r="AA11">
        <f>IFERROR(IFERROR(IFERROR(INDEX('EMBI+'!$B:$B,MATCH(Base!$K11,'EMBI+'!$A:$A,0)),INDEX('EMBI+'!$B:$B,MATCH(Base!$K11+1,'EMBI+'!$A:$A,0))),INDEX('EMBI+'!$B:$B,MATCH(Base!$K11+2,'EMBI+'!$A:$A,0))),INDEX('EMBI+'!$B:$B,MATCH(Base!$K11+3,'EMBI+'!$A:$A,0)))/100</f>
        <v>3.34</v>
      </c>
      <c r="AB11" s="9">
        <v>61.162730000000003</v>
      </c>
      <c r="AC11" s="9">
        <v>78.565070000000006</v>
      </c>
      <c r="AD11" s="9"/>
      <c r="AE11" s="9"/>
      <c r="AF11" s="2"/>
      <c r="AG11" s="2"/>
    </row>
    <row r="12" spans="1:33" x14ac:dyDescent="0.35">
      <c r="A12">
        <f t="shared" si="8"/>
        <v>10</v>
      </c>
      <c r="B12">
        <f>IF(G12="Bonds",COUNTIF($G$3:G12,"Bonds"),0)</f>
        <v>0</v>
      </c>
      <c r="C12" t="str">
        <f t="shared" si="13"/>
        <v>Aegea4329645853</v>
      </c>
      <c r="D12">
        <f t="shared" si="14"/>
        <v>2</v>
      </c>
      <c r="E12" s="9" t="s">
        <v>41</v>
      </c>
      <c r="F12" s="9" t="s">
        <v>42</v>
      </c>
      <c r="G12" s="9" t="s">
        <v>29</v>
      </c>
      <c r="H12">
        <f t="shared" si="1"/>
        <v>0</v>
      </c>
      <c r="I12" s="9" t="s">
        <v>52</v>
      </c>
      <c r="J12" s="1">
        <f t="shared" si="2"/>
        <v>8</v>
      </c>
      <c r="K12" s="2">
        <v>43296</v>
      </c>
      <c r="L12" s="2">
        <v>45853</v>
      </c>
      <c r="M12" s="10">
        <f t="shared" si="3"/>
        <v>7.0054794520547947</v>
      </c>
      <c r="N12" s="11">
        <f t="shared" si="4"/>
        <v>1</v>
      </c>
      <c r="O12" s="9" t="s">
        <v>47</v>
      </c>
      <c r="P12" t="str">
        <f t="shared" si="10"/>
        <v>0</v>
      </c>
      <c r="Q12" s="12">
        <v>6650</v>
      </c>
      <c r="R12" s="9">
        <v>10000</v>
      </c>
      <c r="S12" s="1" t="str">
        <f>IF($V12="USD",INDEX('Dólar Spot'!$B:$B,MATCH(Base!$K12,'Dólar Spot'!$A:$A,0)),"")</f>
        <v/>
      </c>
      <c r="T12" s="11">
        <f t="shared" si="15"/>
        <v>66500000</v>
      </c>
      <c r="U12" s="13">
        <f t="shared" si="5"/>
        <v>0.66500000000000004</v>
      </c>
      <c r="V12" s="9" t="s">
        <v>32</v>
      </c>
      <c r="W12" s="9" t="s">
        <v>34</v>
      </c>
      <c r="X12">
        <f t="shared" si="11"/>
        <v>1</v>
      </c>
      <c r="Y12" s="1" t="str" cm="1">
        <f t="array" ref="Y12">INDEX(Ratings!$B$2:$M$42,_xlfn.XMATCH(Base!F12,Ratings!$A$2:$A$42),_xlfn.XMATCH(YEAR(Base!K12),Ratings!$B$1:$M$1))</f>
        <v>BB</v>
      </c>
      <c r="Z12">
        <f t="shared" si="12"/>
        <v>0</v>
      </c>
      <c r="AA12">
        <f>IFERROR(IFERROR(IFERROR(INDEX('EMBI+'!$B:$B,MATCH(Base!$K12,'EMBI+'!$A:$A,0)),INDEX('EMBI+'!$B:$B,MATCH(Base!$K12+1,'EMBI+'!$A:$A,0))),INDEX('EMBI+'!$B:$B,MATCH(Base!$K12+2,'EMBI+'!$A:$A,0))),INDEX('EMBI+'!$B:$B,MATCH(Base!$K12+3,'EMBI+'!$A:$A,0)))/100</f>
        <v>2.95</v>
      </c>
      <c r="AB12" s="9">
        <v>11.302300000000001</v>
      </c>
      <c r="AC12" s="9">
        <v>35.709629999999997</v>
      </c>
      <c r="AD12" s="9"/>
      <c r="AE12" s="9"/>
      <c r="AF12" s="2"/>
      <c r="AG12" s="2"/>
    </row>
    <row r="13" spans="1:33" x14ac:dyDescent="0.35">
      <c r="A13">
        <f t="shared" si="8"/>
        <v>11</v>
      </c>
      <c r="B13">
        <f>IF(G13="Bonds",COUNTIF($G$3:G13,"Bonds"),0)</f>
        <v>0</v>
      </c>
      <c r="C13" t="str">
        <f t="shared" si="13"/>
        <v>Aegea4480647363</v>
      </c>
      <c r="D13">
        <f t="shared" si="14"/>
        <v>2</v>
      </c>
      <c r="E13" s="9" t="s">
        <v>41</v>
      </c>
      <c r="F13" s="9" t="s">
        <v>42</v>
      </c>
      <c r="G13" s="9" t="s">
        <v>29</v>
      </c>
      <c r="H13">
        <f t="shared" si="1"/>
        <v>0</v>
      </c>
      <c r="I13" s="9"/>
      <c r="J13" s="1">
        <f t="shared" si="2"/>
        <v>9</v>
      </c>
      <c r="K13" s="2">
        <v>44806</v>
      </c>
      <c r="L13" s="2">
        <v>47363</v>
      </c>
      <c r="M13" s="10">
        <f t="shared" si="3"/>
        <v>7.0054794520547947</v>
      </c>
      <c r="N13" s="11">
        <f t="shared" si="4"/>
        <v>1</v>
      </c>
      <c r="O13" s="9" t="s">
        <v>61</v>
      </c>
      <c r="P13" t="str">
        <f t="shared" si="10"/>
        <v>1</v>
      </c>
      <c r="Q13" s="12">
        <v>800000</v>
      </c>
      <c r="R13" s="9">
        <v>1000</v>
      </c>
      <c r="S13" s="1" t="str">
        <f>IF($V13="USD",INDEX('Dólar Spot'!$B:$B,MATCH(Base!$K13,'Dólar Spot'!$A:$A,0)),"")</f>
        <v/>
      </c>
      <c r="T13" s="11">
        <f t="shared" si="15"/>
        <v>800000000</v>
      </c>
      <c r="U13" s="13">
        <f t="shared" si="5"/>
        <v>8</v>
      </c>
      <c r="V13" s="9" t="s">
        <v>44</v>
      </c>
      <c r="W13" s="9" t="s">
        <v>34</v>
      </c>
      <c r="X13">
        <f t="shared" si="11"/>
        <v>1</v>
      </c>
      <c r="Y13" s="1" t="str" cm="1">
        <f t="array" ref="Y13">INDEX(Ratings!$B$2:$M$42,_xlfn.XMATCH(Base!F13,Ratings!$A$2:$A$42),_xlfn.XMATCH(YEAR(Base!K13),Ratings!$B$1:$M$1))</f>
        <v>BB</v>
      </c>
      <c r="Z13">
        <f t="shared" si="12"/>
        <v>0</v>
      </c>
      <c r="AA13">
        <f>IFERROR(IFERROR(IFERROR(INDEX('EMBI+'!$B:$B,MATCH(Base!$K13,'EMBI+'!$A:$A,0)),INDEX('EMBI+'!$B:$B,MATCH(Base!$K13+1,'EMBI+'!$A:$A,0))),INDEX('EMBI+'!$B:$B,MATCH(Base!$K13+2,'EMBI+'!$A:$A,0))),INDEX('EMBI+'!$B:$B,MATCH(Base!$K13+3,'EMBI+'!$A:$A,0)))/100</f>
        <v>2.81</v>
      </c>
      <c r="AB13" s="9">
        <v>54.302259999999997</v>
      </c>
      <c r="AC13" s="9">
        <v>99.692179999999993</v>
      </c>
      <c r="AD13" s="9"/>
      <c r="AE13" s="9"/>
      <c r="AF13" s="2"/>
      <c r="AG13" s="2"/>
    </row>
    <row r="14" spans="1:33" x14ac:dyDescent="0.35">
      <c r="A14">
        <f t="shared" si="8"/>
        <v>12</v>
      </c>
      <c r="B14">
        <f>IF(G14="Bonds",COUNTIF($G$3:G14,"Bonds"),0)</f>
        <v>2</v>
      </c>
      <c r="C14" t="str">
        <f t="shared" si="13"/>
        <v>Aegea4301810/10/2024</v>
      </c>
      <c r="D14">
        <f t="shared" si="14"/>
        <v>2</v>
      </c>
      <c r="E14" s="9" t="s">
        <v>53</v>
      </c>
      <c r="F14" s="9" t="s">
        <v>42</v>
      </c>
      <c r="G14" s="9" t="s">
        <v>37</v>
      </c>
      <c r="H14">
        <f t="shared" si="1"/>
        <v>1</v>
      </c>
      <c r="I14" s="9"/>
      <c r="J14" s="1">
        <f t="shared" si="2"/>
        <v>10</v>
      </c>
      <c r="K14" s="2">
        <v>43018</v>
      </c>
      <c r="L14" s="2" t="s">
        <v>54</v>
      </c>
      <c r="M14" s="10">
        <f t="shared" si="3"/>
        <v>7.0054794520547947</v>
      </c>
      <c r="N14" s="11">
        <f t="shared" si="4"/>
        <v>1</v>
      </c>
      <c r="O14" s="9" t="s">
        <v>39</v>
      </c>
      <c r="P14" t="str">
        <f t="shared" si="10"/>
        <v>0</v>
      </c>
      <c r="Q14" s="9"/>
      <c r="R14" s="9"/>
      <c r="S14" s="1">
        <f>IF($V14="USD",INDEX('Dólar Spot'!$B:$B,MATCH(Base!$K14,'Dólar Spot'!$A:$A,0)),"")</f>
        <v>3.1682000000000001</v>
      </c>
      <c r="T14" s="12">
        <v>400000000</v>
      </c>
      <c r="U14" s="13">
        <f t="shared" si="5"/>
        <v>12.672800000000001</v>
      </c>
      <c r="V14" s="9" t="s">
        <v>40</v>
      </c>
      <c r="W14" s="9" t="s">
        <v>34</v>
      </c>
      <c r="X14">
        <f t="shared" si="11"/>
        <v>1</v>
      </c>
      <c r="Y14" s="1" t="str" cm="1">
        <f t="array" ref="Y14">INDEX(Ratings!$B$2:$M$42,_xlfn.XMATCH(Base!F14,Ratings!$A$2:$A$42),_xlfn.XMATCH(YEAR(Base!K14),Ratings!$B$1:$M$1))</f>
        <v>BB</v>
      </c>
      <c r="Z14">
        <f t="shared" si="12"/>
        <v>0</v>
      </c>
      <c r="AA14">
        <f>IFERROR(IFERROR(IFERROR(INDEX('EMBI+'!$B:$B,MATCH(Base!$K14,'EMBI+'!$A:$A,0)),INDEX('EMBI+'!$B:$B,MATCH(Base!$K14+1,'EMBI+'!$A:$A,0))),INDEX('EMBI+'!$B:$B,MATCH(Base!$K14+2,'EMBI+'!$A:$A,0))),INDEX('EMBI+'!$B:$B,MATCH(Base!$K14+3,'EMBI+'!$A:$A,0)))/100</f>
        <v>2.48</v>
      </c>
      <c r="AB14" s="9">
        <v>11.15357</v>
      </c>
      <c r="AC14" s="9">
        <v>20.851579999999998</v>
      </c>
      <c r="AD14" s="9"/>
      <c r="AE14" s="9"/>
      <c r="AF14" s="2"/>
      <c r="AG14" s="2"/>
    </row>
    <row r="15" spans="1:33" x14ac:dyDescent="0.35">
      <c r="A15">
        <f t="shared" si="8"/>
        <v>13</v>
      </c>
      <c r="B15">
        <f>IF(G15="Bonds",COUNTIF($G$3:G15,"Bonds"),0)</f>
        <v>3</v>
      </c>
      <c r="C15" t="str">
        <f t="shared" si="13"/>
        <v>Aegea4467847258</v>
      </c>
      <c r="D15">
        <f t="shared" si="14"/>
        <v>2</v>
      </c>
      <c r="E15" s="9" t="s">
        <v>53</v>
      </c>
      <c r="F15" s="9" t="s">
        <v>42</v>
      </c>
      <c r="G15" s="9" t="s">
        <v>37</v>
      </c>
      <c r="H15">
        <f t="shared" si="1"/>
        <v>1</v>
      </c>
      <c r="I15" s="9"/>
      <c r="J15" s="1">
        <f t="shared" si="2"/>
        <v>11</v>
      </c>
      <c r="K15" s="2">
        <v>44678</v>
      </c>
      <c r="L15" s="2">
        <v>47258</v>
      </c>
      <c r="M15" s="10">
        <f t="shared" si="3"/>
        <v>7.0684931506849313</v>
      </c>
      <c r="N15" s="11">
        <f t="shared" si="4"/>
        <v>1</v>
      </c>
      <c r="O15" s="9" t="s">
        <v>39</v>
      </c>
      <c r="P15" t="str">
        <f t="shared" si="10"/>
        <v>0</v>
      </c>
      <c r="Q15" s="9"/>
      <c r="R15" s="9"/>
      <c r="S15" s="1">
        <f>IF($V15="USD",INDEX('Dólar Spot'!$B:$B,MATCH(Base!$K15,'Dólar Spot'!$A:$A,0)),"")</f>
        <v>4.9650999999999996</v>
      </c>
      <c r="T15" s="12">
        <v>500000000</v>
      </c>
      <c r="U15" s="13">
        <f t="shared" si="5"/>
        <v>24.825500000000002</v>
      </c>
      <c r="V15" s="9" t="s">
        <v>40</v>
      </c>
      <c r="W15" s="9" t="s">
        <v>34</v>
      </c>
      <c r="X15">
        <f t="shared" si="11"/>
        <v>1</v>
      </c>
      <c r="Y15" s="1" t="str" cm="1">
        <f t="array" ref="Y15">INDEX(Ratings!$B$2:$M$42,_xlfn.XMATCH(Base!F15,Ratings!$A$2:$A$42),_xlfn.XMATCH(YEAR(Base!K15),Ratings!$B$1:$M$1))</f>
        <v>BB</v>
      </c>
      <c r="Z15">
        <f t="shared" si="12"/>
        <v>0</v>
      </c>
      <c r="AA15">
        <f>IFERROR(IFERROR(IFERROR(INDEX('EMBI+'!$B:$B,MATCH(Base!$K15,'EMBI+'!$A:$A,0)),INDEX('EMBI+'!$B:$B,MATCH(Base!$K15+1,'EMBI+'!$A:$A,0))),INDEX('EMBI+'!$B:$B,MATCH(Base!$K15+2,'EMBI+'!$A:$A,0))),INDEX('EMBI+'!$B:$B,MATCH(Base!$K15+3,'EMBI+'!$A:$A,0)))/100</f>
        <v>2.97</v>
      </c>
      <c r="AB15" s="9">
        <v>60.90795</v>
      </c>
      <c r="AC15" s="9">
        <v>82.978530000000006</v>
      </c>
      <c r="AD15" s="9"/>
      <c r="AE15" s="9"/>
      <c r="AF15" s="2"/>
      <c r="AG15" s="2"/>
    </row>
    <row r="16" spans="1:33" x14ac:dyDescent="0.35">
      <c r="A16">
        <f t="shared" si="8"/>
        <v>14</v>
      </c>
      <c r="B16">
        <f>IF(G16="Bonds",COUNTIF($G$3:G16,"Bonds"),0)</f>
        <v>0</v>
      </c>
      <c r="C16" t="str">
        <f t="shared" si="13"/>
        <v>Americanas4107342899</v>
      </c>
      <c r="D16">
        <f t="shared" si="14"/>
        <v>3</v>
      </c>
      <c r="E16" s="9" t="s">
        <v>55</v>
      </c>
      <c r="F16" s="9" t="s">
        <v>56</v>
      </c>
      <c r="G16" s="9" t="s">
        <v>29</v>
      </c>
      <c r="H16">
        <f t="shared" si="1"/>
        <v>0</v>
      </c>
      <c r="I16" s="9" t="s">
        <v>57</v>
      </c>
      <c r="J16" s="1">
        <f t="shared" si="2"/>
        <v>1</v>
      </c>
      <c r="K16" s="2">
        <v>41073</v>
      </c>
      <c r="L16" s="2">
        <v>42899</v>
      </c>
      <c r="M16" s="10">
        <f t="shared" si="3"/>
        <v>5.0027397260273974</v>
      </c>
      <c r="N16" s="11">
        <f t="shared" si="4"/>
        <v>1</v>
      </c>
      <c r="O16" s="9" t="s">
        <v>47</v>
      </c>
      <c r="P16" t="str">
        <f t="shared" si="10"/>
        <v>0</v>
      </c>
      <c r="Q16" s="12">
        <v>30000</v>
      </c>
      <c r="R16" s="9">
        <v>10000</v>
      </c>
      <c r="S16" s="1" t="str">
        <f>IF($V16="USD",INDEX('Dólar Spot'!$B:$B,MATCH(Base!$K16,'Dólar Spot'!$A:$A,0)),"")</f>
        <v/>
      </c>
      <c r="T16" s="11">
        <f t="shared" ref="T16:T37" si="16">Q16*R16</f>
        <v>300000000</v>
      </c>
      <c r="U16" s="13">
        <f t="shared" si="5"/>
        <v>3</v>
      </c>
      <c r="V16" s="9" t="s">
        <v>44</v>
      </c>
      <c r="W16" s="9" t="s">
        <v>34</v>
      </c>
      <c r="X16">
        <f t="shared" si="11"/>
        <v>1</v>
      </c>
      <c r="Y16" s="1" t="str" cm="1">
        <f t="array" ref="Y16">INDEX(Ratings!$B$2:$M$42,_xlfn.XMATCH(Base!F16,Ratings!$A$2:$A$42),_xlfn.XMATCH(YEAR(Base!K16),Ratings!$B$1:$M$1))</f>
        <v>NR</v>
      </c>
      <c r="Z16">
        <f t="shared" si="12"/>
        <v>0</v>
      </c>
      <c r="AA16">
        <f>IFERROR(IFERROR(IFERROR(INDEX('EMBI+'!$B:$B,MATCH(Base!$K16,'EMBI+'!$A:$A,0)),INDEX('EMBI+'!$B:$B,MATCH(Base!$K16+1,'EMBI+'!$A:$A,0))),INDEX('EMBI+'!$B:$B,MATCH(Base!$K16+2,'EMBI+'!$A:$A,0))),INDEX('EMBI+'!$B:$B,MATCH(Base!$K16+3,'EMBI+'!$A:$A,0)))/100</f>
        <v>2.14</v>
      </c>
      <c r="AB16" s="9">
        <v>10.57025</v>
      </c>
      <c r="AC16" s="9">
        <v>25.850480000000001</v>
      </c>
      <c r="AD16" s="9"/>
      <c r="AE16" s="9"/>
      <c r="AF16" s="2"/>
      <c r="AG16" s="2"/>
    </row>
    <row r="17" spans="1:33" x14ac:dyDescent="0.35">
      <c r="A17">
        <f t="shared" si="8"/>
        <v>15</v>
      </c>
      <c r="B17">
        <f>IF(G17="Bonds",COUNTIF($G$3:G17,"Bonds"),0)</f>
        <v>0</v>
      </c>
      <c r="C17" t="str">
        <f t="shared" si="13"/>
        <v>Americanas4415047832</v>
      </c>
      <c r="D17">
        <f t="shared" si="14"/>
        <v>3</v>
      </c>
      <c r="E17" s="9" t="s">
        <v>55</v>
      </c>
      <c r="F17" s="9" t="s">
        <v>56</v>
      </c>
      <c r="G17" s="9" t="s">
        <v>29</v>
      </c>
      <c r="H17">
        <f t="shared" si="1"/>
        <v>0</v>
      </c>
      <c r="I17" s="9" t="s">
        <v>58</v>
      </c>
      <c r="J17" s="1">
        <f t="shared" si="2"/>
        <v>2</v>
      </c>
      <c r="K17" s="2">
        <v>44150</v>
      </c>
      <c r="L17" s="2">
        <v>47832</v>
      </c>
      <c r="M17" s="10">
        <f t="shared" si="3"/>
        <v>10.087671232876712</v>
      </c>
      <c r="N17" s="11">
        <f t="shared" si="4"/>
        <v>1</v>
      </c>
      <c r="O17" s="9" t="s">
        <v>47</v>
      </c>
      <c r="P17" t="str">
        <f t="shared" si="10"/>
        <v>0</v>
      </c>
      <c r="Q17" s="12">
        <v>3100000</v>
      </c>
      <c r="R17" s="9">
        <v>1000</v>
      </c>
      <c r="S17" s="1" t="str">
        <f>IF($V17="USD",INDEX('Dólar Spot'!$B:$B,MATCH(Base!$K17,'Dólar Spot'!$A:$A,0)),"")</f>
        <v/>
      </c>
      <c r="T17" s="11">
        <f t="shared" si="16"/>
        <v>3100000000</v>
      </c>
      <c r="U17" s="13">
        <f t="shared" si="5"/>
        <v>31</v>
      </c>
      <c r="V17" s="9" t="s">
        <v>32</v>
      </c>
      <c r="W17" s="9" t="s">
        <v>35</v>
      </c>
      <c r="X17">
        <f t="shared" si="11"/>
        <v>0</v>
      </c>
      <c r="Y17" s="1" t="str" cm="1">
        <f t="array" ref="Y17">INDEX(Ratings!$B$2:$M$42,_xlfn.XMATCH(Base!F17,Ratings!$A$2:$A$42),_xlfn.XMATCH(YEAR(Base!K17),Ratings!$B$1:$M$1))</f>
        <v>BB</v>
      </c>
      <c r="Z17">
        <f t="shared" si="12"/>
        <v>0</v>
      </c>
      <c r="AA17">
        <f>IFERROR(IFERROR(IFERROR(INDEX('EMBI+'!$B:$B,MATCH(Base!$K17,'EMBI+'!$A:$A,0)),INDEX('EMBI+'!$B:$B,MATCH(Base!$K17+1,'EMBI+'!$A:$A,0))),INDEX('EMBI+'!$B:$B,MATCH(Base!$K17+2,'EMBI+'!$A:$A,0))),INDEX('EMBI+'!$B:$B,MATCH(Base!$K17+3,'EMBI+'!$A:$A,0)))/100</f>
        <v>2.76</v>
      </c>
      <c r="AB17" s="9">
        <v>95.352680000000007</v>
      </c>
      <c r="AC17" s="9">
        <v>50.154739999999997</v>
      </c>
      <c r="AD17" s="9"/>
      <c r="AE17" s="9"/>
      <c r="AF17" s="2"/>
      <c r="AG17" s="2"/>
    </row>
    <row r="18" spans="1:33" x14ac:dyDescent="0.35">
      <c r="A18">
        <f t="shared" si="8"/>
        <v>16</v>
      </c>
      <c r="B18">
        <f>IF(G18="Bonds",COUNTIF($G$3:G18,"Bonds"),0)</f>
        <v>0</v>
      </c>
      <c r="C18" t="str">
        <f t="shared" si="13"/>
        <v>Americanas4269543790</v>
      </c>
      <c r="D18">
        <f t="shared" si="14"/>
        <v>3</v>
      </c>
      <c r="E18" s="9" t="s">
        <v>55</v>
      </c>
      <c r="F18" s="9" t="s">
        <v>56</v>
      </c>
      <c r="G18" s="9" t="s">
        <v>29</v>
      </c>
      <c r="H18">
        <f t="shared" si="1"/>
        <v>0</v>
      </c>
      <c r="I18" s="9" t="s">
        <v>59</v>
      </c>
      <c r="J18" s="1">
        <f t="shared" si="2"/>
        <v>3</v>
      </c>
      <c r="K18" s="2">
        <v>42695</v>
      </c>
      <c r="L18" s="2">
        <v>43790</v>
      </c>
      <c r="M18" s="10">
        <f t="shared" si="3"/>
        <v>3</v>
      </c>
      <c r="N18" s="11">
        <f t="shared" si="4"/>
        <v>0</v>
      </c>
      <c r="O18" s="9" t="s">
        <v>47</v>
      </c>
      <c r="P18" t="str">
        <f t="shared" si="10"/>
        <v>0</v>
      </c>
      <c r="Q18" s="12">
        <v>30000</v>
      </c>
      <c r="R18" s="9">
        <v>10000</v>
      </c>
      <c r="S18" s="1" t="str">
        <f>IF($V18="USD",INDEX('Dólar Spot'!$B:$B,MATCH(Base!$K18,'Dólar Spot'!$A:$A,0)),"")</f>
        <v/>
      </c>
      <c r="T18" s="11">
        <f t="shared" si="16"/>
        <v>300000000</v>
      </c>
      <c r="U18" s="13">
        <f t="shared" si="5"/>
        <v>3</v>
      </c>
      <c r="V18" s="9" t="s">
        <v>44</v>
      </c>
      <c r="W18" s="9" t="s">
        <v>34</v>
      </c>
      <c r="X18">
        <f t="shared" si="11"/>
        <v>1</v>
      </c>
      <c r="Y18" s="1" t="str" cm="1">
        <f t="array" ref="Y18">INDEX(Ratings!$B$2:$M$42,_xlfn.XMATCH(Base!F18,Ratings!$A$2:$A$42),_xlfn.XMATCH(YEAR(Base!K18),Ratings!$B$1:$M$1))</f>
        <v>NR</v>
      </c>
      <c r="Z18">
        <f t="shared" si="12"/>
        <v>0</v>
      </c>
      <c r="AA18">
        <f>IFERROR(IFERROR(IFERROR(INDEX('EMBI+'!$B:$B,MATCH(Base!$K18,'EMBI+'!$A:$A,0)),INDEX('EMBI+'!$B:$B,MATCH(Base!$K18+1,'EMBI+'!$A:$A,0))),INDEX('EMBI+'!$B:$B,MATCH(Base!$K18+2,'EMBI+'!$A:$A,0))),INDEX('EMBI+'!$B:$B,MATCH(Base!$K18+3,'EMBI+'!$A:$A,0)))/100</f>
        <v>3.33</v>
      </c>
      <c r="AB18" s="9">
        <v>30.779520000000002</v>
      </c>
      <c r="AC18" s="9">
        <v>42.661790000000003</v>
      </c>
      <c r="AD18" s="9"/>
      <c r="AE18" s="9"/>
      <c r="AF18" s="2"/>
      <c r="AG18" s="2"/>
    </row>
    <row r="19" spans="1:33" x14ac:dyDescent="0.35">
      <c r="A19">
        <f t="shared" si="8"/>
        <v>17</v>
      </c>
      <c r="B19">
        <f>IF(G19="Bonds",COUNTIF($G$3:G19,"Bonds"),0)</f>
        <v>0</v>
      </c>
      <c r="C19" t="str">
        <f t="shared" si="13"/>
        <v>Americanas4079145468</v>
      </c>
      <c r="D19">
        <f t="shared" si="14"/>
        <v>3</v>
      </c>
      <c r="E19" s="9" t="s">
        <v>55</v>
      </c>
      <c r="F19" s="9" t="s">
        <v>56</v>
      </c>
      <c r="G19" s="9" t="s">
        <v>29</v>
      </c>
      <c r="H19">
        <f t="shared" si="1"/>
        <v>0</v>
      </c>
      <c r="I19" s="9" t="s">
        <v>60</v>
      </c>
      <c r="J19" s="1">
        <f t="shared" si="2"/>
        <v>4</v>
      </c>
      <c r="K19" s="2">
        <v>40791</v>
      </c>
      <c r="L19" s="2">
        <v>45468</v>
      </c>
      <c r="M19" s="10">
        <f t="shared" si="3"/>
        <v>12.813698630136987</v>
      </c>
      <c r="N19" s="11">
        <f t="shared" si="4"/>
        <v>1</v>
      </c>
      <c r="O19" s="9" t="s">
        <v>61</v>
      </c>
      <c r="P19" t="str">
        <f t="shared" si="10"/>
        <v>1</v>
      </c>
      <c r="Q19" s="12">
        <v>50000</v>
      </c>
      <c r="R19" s="9">
        <v>10000</v>
      </c>
      <c r="S19" s="1" t="str">
        <f>IF($V19="USD",INDEX('Dólar Spot'!$B:$B,MATCH(Base!$K19,'Dólar Spot'!$A:$A,0)),"")</f>
        <v/>
      </c>
      <c r="T19" s="11">
        <f t="shared" si="16"/>
        <v>500000000</v>
      </c>
      <c r="U19" s="13">
        <f t="shared" si="5"/>
        <v>5</v>
      </c>
      <c r="V19" s="9" t="s">
        <v>44</v>
      </c>
      <c r="W19" s="9" t="s">
        <v>34</v>
      </c>
      <c r="X19">
        <f t="shared" si="11"/>
        <v>1</v>
      </c>
      <c r="Y19" s="1" t="str" cm="1">
        <f t="array" ref="Y19">INDEX(Ratings!$B$2:$M$42,_xlfn.XMATCH(Base!F19,Ratings!$A$2:$A$42),_xlfn.XMATCH(YEAR(Base!K19),Ratings!$B$1:$M$1))</f>
        <v>NR</v>
      </c>
      <c r="Z19">
        <f t="shared" si="12"/>
        <v>0</v>
      </c>
      <c r="AA19">
        <f>IFERROR(IFERROR(IFERROR(INDEX('EMBI+'!$B:$B,MATCH(Base!$K19,'EMBI+'!$A:$A,0)),INDEX('EMBI+'!$B:$B,MATCH(Base!$K19+1,'EMBI+'!$A:$A,0))),INDEX('EMBI+'!$B:$B,MATCH(Base!$K19+2,'EMBI+'!$A:$A,0))),INDEX('EMBI+'!$B:$B,MATCH(Base!$K19+3,'EMBI+'!$A:$A,0)))/100</f>
        <v>2.14</v>
      </c>
      <c r="AB19" s="9">
        <v>11.6663</v>
      </c>
      <c r="AC19" s="9">
        <v>19.389500000000002</v>
      </c>
      <c r="AD19" s="9"/>
      <c r="AE19" s="9"/>
      <c r="AF19" s="2"/>
      <c r="AG19" s="2"/>
    </row>
    <row r="20" spans="1:33" x14ac:dyDescent="0.35">
      <c r="A20">
        <f t="shared" si="8"/>
        <v>18</v>
      </c>
      <c r="B20">
        <f>IF(G20="Bonds",COUNTIF($G$3:G20,"Bonds"),0)</f>
        <v>0</v>
      </c>
      <c r="C20" t="str">
        <f t="shared" si="13"/>
        <v>Americanas4093443126</v>
      </c>
      <c r="D20">
        <f t="shared" si="14"/>
        <v>3</v>
      </c>
      <c r="E20" s="9" t="s">
        <v>55</v>
      </c>
      <c r="F20" s="9" t="s">
        <v>56</v>
      </c>
      <c r="G20" s="9" t="s">
        <v>29</v>
      </c>
      <c r="H20">
        <f t="shared" si="1"/>
        <v>0</v>
      </c>
      <c r="I20" s="9" t="s">
        <v>62</v>
      </c>
      <c r="J20" s="1">
        <f t="shared" si="2"/>
        <v>5</v>
      </c>
      <c r="K20" s="2">
        <v>40934</v>
      </c>
      <c r="L20" s="2">
        <v>43126</v>
      </c>
      <c r="M20" s="10">
        <f t="shared" si="3"/>
        <v>6.0054794520547947</v>
      </c>
      <c r="N20" s="11">
        <f t="shared" si="4"/>
        <v>1</v>
      </c>
      <c r="O20" s="9" t="s">
        <v>47</v>
      </c>
      <c r="P20" t="str">
        <f t="shared" si="10"/>
        <v>0</v>
      </c>
      <c r="Q20" s="12">
        <v>30000</v>
      </c>
      <c r="R20" s="9">
        <v>10000</v>
      </c>
      <c r="S20" s="1" t="str">
        <f>IF($V20="USD",INDEX('Dólar Spot'!$B:$B,MATCH(Base!$K20,'Dólar Spot'!$A:$A,0)),"")</f>
        <v/>
      </c>
      <c r="T20" s="11">
        <f t="shared" si="16"/>
        <v>300000000</v>
      </c>
      <c r="U20" s="13">
        <f t="shared" si="5"/>
        <v>3</v>
      </c>
      <c r="V20" s="9" t="s">
        <v>44</v>
      </c>
      <c r="W20" s="9" t="s">
        <v>34</v>
      </c>
      <c r="X20">
        <f t="shared" si="11"/>
        <v>1</v>
      </c>
      <c r="Y20" s="1" t="str" cm="1">
        <f t="array" ref="Y20">INDEX(Ratings!$B$2:$M$42,_xlfn.XMATCH(Base!F20,Ratings!$A$2:$A$42),_xlfn.XMATCH(YEAR(Base!K20),Ratings!$B$1:$M$1))</f>
        <v>NR</v>
      </c>
      <c r="Z20">
        <f t="shared" si="12"/>
        <v>0</v>
      </c>
      <c r="AA20">
        <f>IFERROR(IFERROR(IFERROR(INDEX('EMBI+'!$B:$B,MATCH(Base!$K20,'EMBI+'!$A:$A,0)),INDEX('EMBI+'!$B:$B,MATCH(Base!$K20+1,'EMBI+'!$A:$A,0))),INDEX('EMBI+'!$B:$B,MATCH(Base!$K20+2,'EMBI+'!$A:$A,0))),INDEX('EMBI+'!$B:$B,MATCH(Base!$K20+3,'EMBI+'!$A:$A,0)))/100</f>
        <v>2.1800000000000002</v>
      </c>
      <c r="AB20" s="9">
        <v>11.388479999999999</v>
      </c>
      <c r="AC20" s="9">
        <v>21.108920000000001</v>
      </c>
      <c r="AD20" s="9"/>
      <c r="AE20" s="9"/>
      <c r="AF20" s="2"/>
      <c r="AG20" s="2"/>
    </row>
    <row r="21" spans="1:33" x14ac:dyDescent="0.35">
      <c r="A21">
        <f t="shared" si="8"/>
        <v>19</v>
      </c>
      <c r="B21">
        <f>IF(G21="Bonds",COUNTIF($G$3:G21,"Bonds"),0)</f>
        <v>0</v>
      </c>
      <c r="C21" t="str">
        <f t="shared" si="13"/>
        <v>Americanas4126443090</v>
      </c>
      <c r="D21">
        <f t="shared" si="14"/>
        <v>3</v>
      </c>
      <c r="E21" s="9" t="s">
        <v>55</v>
      </c>
      <c r="F21" s="9" t="s">
        <v>56</v>
      </c>
      <c r="G21" s="9" t="s">
        <v>29</v>
      </c>
      <c r="H21">
        <f t="shared" si="1"/>
        <v>0</v>
      </c>
      <c r="I21" s="9" t="s">
        <v>63</v>
      </c>
      <c r="J21" s="1">
        <f t="shared" si="2"/>
        <v>6</v>
      </c>
      <c r="K21" s="2">
        <v>41264</v>
      </c>
      <c r="L21" s="2">
        <v>43090</v>
      </c>
      <c r="M21" s="10">
        <f t="shared" si="3"/>
        <v>5.0027397260273974</v>
      </c>
      <c r="N21" s="11">
        <f t="shared" si="4"/>
        <v>1</v>
      </c>
      <c r="O21" s="9" t="s">
        <v>47</v>
      </c>
      <c r="P21" t="str">
        <f t="shared" si="10"/>
        <v>0</v>
      </c>
      <c r="Q21" s="12">
        <v>30000</v>
      </c>
      <c r="R21" s="9">
        <v>10000</v>
      </c>
      <c r="S21" s="1" t="str">
        <f>IF($V21="USD",INDEX('Dólar Spot'!$B:$B,MATCH(Base!$K21,'Dólar Spot'!$A:$A,0)),"")</f>
        <v/>
      </c>
      <c r="T21" s="11">
        <f t="shared" si="16"/>
        <v>300000000</v>
      </c>
      <c r="U21" s="13">
        <f t="shared" si="5"/>
        <v>3</v>
      </c>
      <c r="V21" s="9" t="s">
        <v>44</v>
      </c>
      <c r="W21" s="9" t="s">
        <v>34</v>
      </c>
      <c r="X21">
        <f t="shared" si="11"/>
        <v>1</v>
      </c>
      <c r="Y21" s="1" t="str" cm="1">
        <f t="array" ref="Y21">INDEX(Ratings!$B$2:$M$42,_xlfn.XMATCH(Base!F21,Ratings!$A$2:$A$42),_xlfn.XMATCH(YEAR(Base!K21),Ratings!$B$1:$M$1))</f>
        <v>NR</v>
      </c>
      <c r="Z21">
        <f t="shared" si="12"/>
        <v>0</v>
      </c>
      <c r="AA21">
        <f>IFERROR(IFERROR(IFERROR(INDEX('EMBI+'!$B:$B,MATCH(Base!$K21,'EMBI+'!$A:$A,0)),INDEX('EMBI+'!$B:$B,MATCH(Base!$K21+1,'EMBI+'!$A:$A,0))),INDEX('EMBI+'!$B:$B,MATCH(Base!$K21+2,'EMBI+'!$A:$A,0))),INDEX('EMBI+'!$B:$B,MATCH(Base!$K21+3,'EMBI+'!$A:$A,0)))/100</f>
        <v>1.43</v>
      </c>
      <c r="AB21" s="9">
        <v>9.6901299999999999</v>
      </c>
      <c r="AC21" s="9">
        <v>27.588519999999999</v>
      </c>
      <c r="AD21" s="9"/>
      <c r="AE21" s="9"/>
      <c r="AF21" s="2"/>
      <c r="AG21" s="2"/>
    </row>
    <row r="22" spans="1:33" x14ac:dyDescent="0.35">
      <c r="A22">
        <f t="shared" si="8"/>
        <v>20</v>
      </c>
      <c r="B22">
        <f>IF(G22="Bonds",COUNTIF($G$3:G22,"Bonds"),0)</f>
        <v>0</v>
      </c>
      <c r="C22" t="str">
        <f t="shared" si="13"/>
        <v>Americanas4147043296</v>
      </c>
      <c r="D22">
        <f t="shared" si="14"/>
        <v>3</v>
      </c>
      <c r="E22" s="9" t="s">
        <v>55</v>
      </c>
      <c r="F22" s="9" t="s">
        <v>56</v>
      </c>
      <c r="G22" s="9" t="s">
        <v>29</v>
      </c>
      <c r="H22">
        <f t="shared" si="1"/>
        <v>0</v>
      </c>
      <c r="I22" s="9" t="s">
        <v>64</v>
      </c>
      <c r="J22" s="1">
        <f t="shared" si="2"/>
        <v>7</v>
      </c>
      <c r="K22" s="2">
        <v>41470</v>
      </c>
      <c r="L22" s="2">
        <v>43296</v>
      </c>
      <c r="M22" s="10">
        <f t="shared" si="3"/>
        <v>5.0027397260273974</v>
      </c>
      <c r="N22" s="11">
        <f t="shared" si="4"/>
        <v>1</v>
      </c>
      <c r="O22" s="9" t="s">
        <v>47</v>
      </c>
      <c r="P22" t="str">
        <f t="shared" si="10"/>
        <v>0</v>
      </c>
      <c r="Q22" s="12">
        <v>15460</v>
      </c>
      <c r="R22" s="9">
        <v>10000</v>
      </c>
      <c r="S22" s="1" t="str">
        <f>IF($V22="USD",INDEX('Dólar Spot'!$B:$B,MATCH(Base!$K22,'Dólar Spot'!$A:$A,0)),"")</f>
        <v/>
      </c>
      <c r="T22" s="11">
        <f t="shared" si="16"/>
        <v>154600000</v>
      </c>
      <c r="U22" s="13">
        <f t="shared" si="5"/>
        <v>1.546</v>
      </c>
      <c r="V22" s="9" t="s">
        <v>44</v>
      </c>
      <c r="W22" s="9" t="s">
        <v>34</v>
      </c>
      <c r="X22">
        <f t="shared" si="11"/>
        <v>1</v>
      </c>
      <c r="Y22" s="1" t="str" cm="1">
        <f t="array" ref="Y22">INDEX(Ratings!$B$2:$M$42,_xlfn.XMATCH(Base!F22,Ratings!$A$2:$A$42),_xlfn.XMATCH(YEAR(Base!K22),Ratings!$B$1:$M$1))</f>
        <v>NR</v>
      </c>
      <c r="Z22">
        <f t="shared" si="12"/>
        <v>0</v>
      </c>
      <c r="AA22">
        <f>IFERROR(IFERROR(IFERROR(INDEX('EMBI+'!$B:$B,MATCH(Base!$K22,'EMBI+'!$A:$A,0)),INDEX('EMBI+'!$B:$B,MATCH(Base!$K22+1,'EMBI+'!$A:$A,0))),INDEX('EMBI+'!$B:$B,MATCH(Base!$K22+2,'EMBI+'!$A:$A,0))),INDEX('EMBI+'!$B:$B,MATCH(Base!$K22+3,'EMBI+'!$A:$A,0)))/100</f>
        <v>2.2400000000000002</v>
      </c>
      <c r="AB22" s="9">
        <v>8.5967500000000001</v>
      </c>
      <c r="AC22" s="9">
        <v>35.936599999999999</v>
      </c>
      <c r="AD22" s="9"/>
      <c r="AE22" s="9"/>
      <c r="AF22" s="2"/>
      <c r="AG22" s="2"/>
    </row>
    <row r="23" spans="1:33" x14ac:dyDescent="0.35">
      <c r="A23">
        <f t="shared" si="8"/>
        <v>21</v>
      </c>
      <c r="B23">
        <f>IF(G23="Bonds",COUNTIF($G$3:G23,"Bonds"),0)</f>
        <v>0</v>
      </c>
      <c r="C23" t="str">
        <f t="shared" si="13"/>
        <v>Americanas4181545468</v>
      </c>
      <c r="D23">
        <f t="shared" si="14"/>
        <v>3</v>
      </c>
      <c r="E23" s="9" t="s">
        <v>55</v>
      </c>
      <c r="F23" s="9" t="s">
        <v>56</v>
      </c>
      <c r="G23" s="9" t="s">
        <v>29</v>
      </c>
      <c r="H23">
        <f t="shared" si="1"/>
        <v>0</v>
      </c>
      <c r="I23" s="9" t="s">
        <v>65</v>
      </c>
      <c r="J23" s="1">
        <f t="shared" si="2"/>
        <v>8</v>
      </c>
      <c r="K23" s="2">
        <v>41815</v>
      </c>
      <c r="L23" s="2">
        <v>45468</v>
      </c>
      <c r="M23" s="10">
        <f t="shared" si="3"/>
        <v>10.008219178082191</v>
      </c>
      <c r="N23" s="11">
        <f t="shared" si="4"/>
        <v>1</v>
      </c>
      <c r="O23" s="9" t="s">
        <v>47</v>
      </c>
      <c r="P23" t="str">
        <f t="shared" si="10"/>
        <v>0</v>
      </c>
      <c r="Q23" s="12">
        <v>70000</v>
      </c>
      <c r="R23" s="9">
        <v>10000</v>
      </c>
      <c r="S23" s="1" t="str">
        <f>IF($V23="USD",INDEX('Dólar Spot'!$B:$B,MATCH(Base!$K23,'Dólar Spot'!$A:$A,0)),"")</f>
        <v/>
      </c>
      <c r="T23" s="11">
        <f t="shared" si="16"/>
        <v>700000000</v>
      </c>
      <c r="U23" s="13">
        <f t="shared" si="5"/>
        <v>7</v>
      </c>
      <c r="V23" s="9" t="s">
        <v>44</v>
      </c>
      <c r="W23" s="9" t="s">
        <v>34</v>
      </c>
      <c r="X23">
        <f t="shared" si="11"/>
        <v>1</v>
      </c>
      <c r="Y23" s="1" t="str" cm="1">
        <f t="array" ref="Y23">INDEX(Ratings!$B$2:$M$42,_xlfn.XMATCH(Base!F23,Ratings!$A$2:$A$42),_xlfn.XMATCH(YEAR(Base!K23),Ratings!$B$1:$M$1))</f>
        <v>NR</v>
      </c>
      <c r="Z23">
        <f t="shared" si="12"/>
        <v>0</v>
      </c>
      <c r="AA23">
        <f>IFERROR(IFERROR(IFERROR(INDEX('EMBI+'!$B:$B,MATCH(Base!$K23,'EMBI+'!$A:$A,0)),INDEX('EMBI+'!$B:$B,MATCH(Base!$K23+1,'EMBI+'!$A:$A,0))),INDEX('EMBI+'!$B:$B,MATCH(Base!$K23+2,'EMBI+'!$A:$A,0))),INDEX('EMBI+'!$B:$B,MATCH(Base!$K23+3,'EMBI+'!$A:$A,0)))/100</f>
        <v>2.0299999999999998</v>
      </c>
      <c r="AB23" s="9">
        <v>21.911390000000001</v>
      </c>
      <c r="AC23" s="9">
        <v>29.862580000000001</v>
      </c>
      <c r="AD23" s="9"/>
      <c r="AE23" s="9"/>
      <c r="AF23" s="2"/>
      <c r="AG23" s="2"/>
    </row>
    <row r="24" spans="1:33" x14ac:dyDescent="0.35">
      <c r="A24">
        <f t="shared" si="8"/>
        <v>22</v>
      </c>
      <c r="B24">
        <f>IF(G24="Bonds",COUNTIF($G$3:G24,"Bonds"),0)</f>
        <v>0</v>
      </c>
      <c r="C24" t="str">
        <f t="shared" si="13"/>
        <v>Americanas4093443126</v>
      </c>
      <c r="D24">
        <f t="shared" si="14"/>
        <v>3</v>
      </c>
      <c r="E24" s="9" t="s">
        <v>55</v>
      </c>
      <c r="F24" s="9" t="s">
        <v>56</v>
      </c>
      <c r="G24" s="9" t="s">
        <v>29</v>
      </c>
      <c r="H24">
        <f t="shared" si="1"/>
        <v>0</v>
      </c>
      <c r="I24" s="9" t="s">
        <v>66</v>
      </c>
      <c r="J24" s="1">
        <f t="shared" si="2"/>
        <v>9</v>
      </c>
      <c r="K24" s="2">
        <v>40934</v>
      </c>
      <c r="L24" s="2">
        <v>43126</v>
      </c>
      <c r="M24" s="10">
        <f t="shared" si="3"/>
        <v>6.0054794520547947</v>
      </c>
      <c r="N24" s="11">
        <f t="shared" si="4"/>
        <v>1</v>
      </c>
      <c r="O24" s="9" t="s">
        <v>47</v>
      </c>
      <c r="P24" t="str">
        <f t="shared" si="10"/>
        <v>0</v>
      </c>
      <c r="Q24" s="12">
        <v>20000</v>
      </c>
      <c r="R24" s="9">
        <v>10000</v>
      </c>
      <c r="S24" s="1" t="str">
        <f>IF($V24="USD",INDEX('Dólar Spot'!$B:$B,MATCH(Base!$K24,'Dólar Spot'!$A:$A,0)),"")</f>
        <v/>
      </c>
      <c r="T24" s="11">
        <f t="shared" si="16"/>
        <v>200000000</v>
      </c>
      <c r="U24" s="13">
        <f t="shared" si="5"/>
        <v>2</v>
      </c>
      <c r="V24" s="9" t="s">
        <v>44</v>
      </c>
      <c r="W24" s="9" t="s">
        <v>34</v>
      </c>
      <c r="X24">
        <f t="shared" si="11"/>
        <v>1</v>
      </c>
      <c r="Y24" s="1" t="str" cm="1">
        <f t="array" ref="Y24">INDEX(Ratings!$B$2:$M$42,_xlfn.XMATCH(Base!F24,Ratings!$A$2:$A$42),_xlfn.XMATCH(YEAR(Base!K24),Ratings!$B$1:$M$1))</f>
        <v>NR</v>
      </c>
      <c r="Z24">
        <f t="shared" si="12"/>
        <v>0</v>
      </c>
      <c r="AA24">
        <f>IFERROR(IFERROR(IFERROR(INDEX('EMBI+'!$B:$B,MATCH(Base!$K24,'EMBI+'!$A:$A,0)),INDEX('EMBI+'!$B:$B,MATCH(Base!$K24+1,'EMBI+'!$A:$A,0))),INDEX('EMBI+'!$B:$B,MATCH(Base!$K24+2,'EMBI+'!$A:$A,0))),INDEX('EMBI+'!$B:$B,MATCH(Base!$K24+3,'EMBI+'!$A:$A,0)))/100</f>
        <v>2.1800000000000002</v>
      </c>
      <c r="AB24" s="9">
        <v>11.388479999999999</v>
      </c>
      <c r="AC24" s="9">
        <v>21.108920000000001</v>
      </c>
      <c r="AD24" s="9"/>
      <c r="AE24" s="9"/>
      <c r="AF24" s="2"/>
      <c r="AG24" s="2"/>
    </row>
    <row r="25" spans="1:33" x14ac:dyDescent="0.35">
      <c r="A25">
        <f t="shared" si="8"/>
        <v>23</v>
      </c>
      <c r="B25">
        <f>IF(G25="Bonds",COUNTIF($G$3:G25,"Bonds"),0)</f>
        <v>0</v>
      </c>
      <c r="C25" t="str">
        <f t="shared" si="13"/>
        <v>Americanas4126444916</v>
      </c>
      <c r="D25">
        <f t="shared" si="14"/>
        <v>3</v>
      </c>
      <c r="E25" s="9" t="s">
        <v>55</v>
      </c>
      <c r="F25" s="9" t="s">
        <v>56</v>
      </c>
      <c r="G25" s="9" t="s">
        <v>29</v>
      </c>
      <c r="H25">
        <f t="shared" si="1"/>
        <v>0</v>
      </c>
      <c r="I25" s="9" t="s">
        <v>67</v>
      </c>
      <c r="J25" s="1">
        <f t="shared" si="2"/>
        <v>10</v>
      </c>
      <c r="K25" s="2">
        <v>41264</v>
      </c>
      <c r="L25" s="2">
        <v>44916</v>
      </c>
      <c r="M25" s="10">
        <f t="shared" si="3"/>
        <v>10.005479452054795</v>
      </c>
      <c r="N25" s="11">
        <f t="shared" si="4"/>
        <v>1</v>
      </c>
      <c r="O25" s="9" t="s">
        <v>47</v>
      </c>
      <c r="P25" t="str">
        <f t="shared" si="10"/>
        <v>0</v>
      </c>
      <c r="Q25" s="12">
        <v>35000</v>
      </c>
      <c r="R25" s="9">
        <v>10000</v>
      </c>
      <c r="S25" s="1" t="str">
        <f>IF($V25="USD",INDEX('Dólar Spot'!$B:$B,MATCH(Base!$K25,'Dólar Spot'!$A:$A,0)),"")</f>
        <v/>
      </c>
      <c r="T25" s="11">
        <f t="shared" si="16"/>
        <v>350000000</v>
      </c>
      <c r="U25" s="13">
        <f t="shared" si="5"/>
        <v>3.5</v>
      </c>
      <c r="V25" s="9" t="s">
        <v>44</v>
      </c>
      <c r="W25" s="9" t="s">
        <v>34</v>
      </c>
      <c r="X25">
        <f t="shared" si="11"/>
        <v>1</v>
      </c>
      <c r="Y25" s="1" t="str" cm="1">
        <f t="array" ref="Y25">INDEX(Ratings!$B$2:$M$42,_xlfn.XMATCH(Base!F25,Ratings!$A$2:$A$42),_xlfn.XMATCH(YEAR(Base!K25),Ratings!$B$1:$M$1))</f>
        <v>NR</v>
      </c>
      <c r="Z25">
        <f t="shared" si="12"/>
        <v>0</v>
      </c>
      <c r="AA25">
        <f>IFERROR(IFERROR(IFERROR(INDEX('EMBI+'!$B:$B,MATCH(Base!$K25,'EMBI+'!$A:$A,0)),INDEX('EMBI+'!$B:$B,MATCH(Base!$K25+1,'EMBI+'!$A:$A,0))),INDEX('EMBI+'!$B:$B,MATCH(Base!$K25+2,'EMBI+'!$A:$A,0))),INDEX('EMBI+'!$B:$B,MATCH(Base!$K25+3,'EMBI+'!$A:$A,0)))/100</f>
        <v>1.43</v>
      </c>
      <c r="AB25" s="9">
        <v>9.6901299999999999</v>
      </c>
      <c r="AC25" s="9">
        <v>27.588519999999999</v>
      </c>
      <c r="AD25" s="9"/>
      <c r="AE25" s="9"/>
      <c r="AF25" s="2"/>
      <c r="AG25" s="2"/>
    </row>
    <row r="26" spans="1:33" x14ac:dyDescent="0.35">
      <c r="A26">
        <f t="shared" si="8"/>
        <v>24</v>
      </c>
      <c r="B26">
        <f>IF(G26="Bonds",COUNTIF($G$3:G26,"Bonds"),0)</f>
        <v>0</v>
      </c>
      <c r="C26" t="str">
        <f t="shared" si="13"/>
        <v>Americanas4147043661</v>
      </c>
      <c r="D26">
        <f t="shared" si="14"/>
        <v>3</v>
      </c>
      <c r="E26" s="9" t="s">
        <v>55</v>
      </c>
      <c r="F26" s="9" t="s">
        <v>56</v>
      </c>
      <c r="G26" s="9" t="s">
        <v>29</v>
      </c>
      <c r="H26">
        <f t="shared" si="1"/>
        <v>0</v>
      </c>
      <c r="I26" s="9" t="s">
        <v>68</v>
      </c>
      <c r="J26" s="1">
        <f t="shared" si="2"/>
        <v>11</v>
      </c>
      <c r="K26" s="2">
        <v>41470</v>
      </c>
      <c r="L26" s="2">
        <v>43661</v>
      </c>
      <c r="M26" s="10">
        <f t="shared" si="3"/>
        <v>6.0027397260273974</v>
      </c>
      <c r="N26" s="11">
        <f t="shared" si="4"/>
        <v>1</v>
      </c>
      <c r="O26" s="9" t="s">
        <v>47</v>
      </c>
      <c r="P26" t="str">
        <f t="shared" si="10"/>
        <v>0</v>
      </c>
      <c r="Q26" s="12">
        <v>4540</v>
      </c>
      <c r="R26" s="9">
        <v>10000</v>
      </c>
      <c r="S26" s="1" t="str">
        <f>IF($V26="USD",INDEX('Dólar Spot'!$B:$B,MATCH(Base!$K26,'Dólar Spot'!$A:$A,0)),"")</f>
        <v/>
      </c>
      <c r="T26" s="11">
        <f t="shared" si="16"/>
        <v>45400000</v>
      </c>
      <c r="U26" s="13">
        <f t="shared" si="5"/>
        <v>0.45400000000000001</v>
      </c>
      <c r="V26" s="9" t="s">
        <v>44</v>
      </c>
      <c r="W26" s="9" t="s">
        <v>34</v>
      </c>
      <c r="X26">
        <f t="shared" si="11"/>
        <v>1</v>
      </c>
      <c r="Y26" s="1" t="str" cm="1">
        <f t="array" ref="Y26">INDEX(Ratings!$B$2:$M$42,_xlfn.XMATCH(Base!F26,Ratings!$A$2:$A$42),_xlfn.XMATCH(YEAR(Base!K26),Ratings!$B$1:$M$1))</f>
        <v>NR</v>
      </c>
      <c r="Z26">
        <f t="shared" si="12"/>
        <v>0</v>
      </c>
      <c r="AA26">
        <f>IFERROR(IFERROR(IFERROR(INDEX('EMBI+'!$B:$B,MATCH(Base!$K26,'EMBI+'!$A:$A,0)),INDEX('EMBI+'!$B:$B,MATCH(Base!$K26+1,'EMBI+'!$A:$A,0))),INDEX('EMBI+'!$B:$B,MATCH(Base!$K26+2,'EMBI+'!$A:$A,0))),INDEX('EMBI+'!$B:$B,MATCH(Base!$K26+3,'EMBI+'!$A:$A,0)))/100</f>
        <v>2.2400000000000002</v>
      </c>
      <c r="AB26" s="9">
        <v>8.5967500000000001</v>
      </c>
      <c r="AC26" s="9">
        <v>35.936599999999999</v>
      </c>
      <c r="AD26" s="9"/>
      <c r="AE26" s="9"/>
      <c r="AF26" s="2"/>
      <c r="AG26" s="2"/>
    </row>
    <row r="27" spans="1:33" x14ac:dyDescent="0.35">
      <c r="A27">
        <f t="shared" si="8"/>
        <v>25</v>
      </c>
      <c r="B27">
        <f>IF(G27="Bonds",COUNTIF($G$3:G27,"Bonds"),0)</f>
        <v>0</v>
      </c>
      <c r="C27" t="str">
        <f t="shared" si="13"/>
        <v>Americanas4181544372</v>
      </c>
      <c r="D27">
        <f t="shared" si="14"/>
        <v>3</v>
      </c>
      <c r="E27" s="9" t="s">
        <v>55</v>
      </c>
      <c r="F27" s="9" t="s">
        <v>56</v>
      </c>
      <c r="G27" s="9" t="s">
        <v>29</v>
      </c>
      <c r="H27">
        <f t="shared" si="1"/>
        <v>0</v>
      </c>
      <c r="I27" s="9" t="s">
        <v>69</v>
      </c>
      <c r="J27" s="1">
        <f t="shared" si="2"/>
        <v>12</v>
      </c>
      <c r="K27" s="2">
        <v>41815</v>
      </c>
      <c r="L27" s="2">
        <v>44372</v>
      </c>
      <c r="M27" s="10">
        <f t="shared" si="3"/>
        <v>7.0054794520547947</v>
      </c>
      <c r="N27" s="11">
        <f t="shared" si="4"/>
        <v>1</v>
      </c>
      <c r="O27" s="9" t="s">
        <v>47</v>
      </c>
      <c r="P27" t="str">
        <f t="shared" si="10"/>
        <v>0</v>
      </c>
      <c r="Q27" s="12">
        <v>25000</v>
      </c>
      <c r="R27" s="9">
        <v>10000</v>
      </c>
      <c r="S27" s="1" t="str">
        <f>IF($V27="USD",INDEX('Dólar Spot'!$B:$B,MATCH(Base!$K27,'Dólar Spot'!$A:$A,0)),"")</f>
        <v/>
      </c>
      <c r="T27" s="11">
        <f t="shared" si="16"/>
        <v>250000000</v>
      </c>
      <c r="U27" s="13">
        <f t="shared" si="5"/>
        <v>2.5</v>
      </c>
      <c r="V27" s="9" t="s">
        <v>44</v>
      </c>
      <c r="W27" s="9" t="s">
        <v>34</v>
      </c>
      <c r="X27">
        <f t="shared" si="11"/>
        <v>1</v>
      </c>
      <c r="Y27" s="1" t="str" cm="1">
        <f t="array" ref="Y27">INDEX(Ratings!$B$2:$M$42,_xlfn.XMATCH(Base!F27,Ratings!$A$2:$A$42),_xlfn.XMATCH(YEAR(Base!K27),Ratings!$B$1:$M$1))</f>
        <v>NR</v>
      </c>
      <c r="Z27">
        <f t="shared" si="12"/>
        <v>0</v>
      </c>
      <c r="AA27">
        <f>IFERROR(IFERROR(IFERROR(INDEX('EMBI+'!$B:$B,MATCH(Base!$K27,'EMBI+'!$A:$A,0)),INDEX('EMBI+'!$B:$B,MATCH(Base!$K27+1,'EMBI+'!$A:$A,0))),INDEX('EMBI+'!$B:$B,MATCH(Base!$K27+2,'EMBI+'!$A:$A,0))),INDEX('EMBI+'!$B:$B,MATCH(Base!$K27+3,'EMBI+'!$A:$A,0)))/100</f>
        <v>2.0299999999999998</v>
      </c>
      <c r="AB27" s="9">
        <v>21.911390000000001</v>
      </c>
      <c r="AC27" s="9">
        <v>29.862580000000001</v>
      </c>
      <c r="AD27" s="9"/>
      <c r="AE27" s="9"/>
      <c r="AF27" s="2"/>
      <c r="AG27" s="2"/>
    </row>
    <row r="28" spans="1:33" x14ac:dyDescent="0.35">
      <c r="A28">
        <f t="shared" si="8"/>
        <v>26</v>
      </c>
      <c r="B28">
        <f>IF(G28="Bonds",COUNTIF($G$3:G28,"Bonds"),0)</f>
        <v>0</v>
      </c>
      <c r="C28" t="str">
        <f t="shared" si="13"/>
        <v>Americanas4147044392</v>
      </c>
      <c r="D28">
        <f t="shared" si="14"/>
        <v>3</v>
      </c>
      <c r="E28" s="9" t="s">
        <v>55</v>
      </c>
      <c r="F28" s="9" t="s">
        <v>56</v>
      </c>
      <c r="G28" s="9" t="s">
        <v>29</v>
      </c>
      <c r="H28">
        <f t="shared" si="1"/>
        <v>0</v>
      </c>
      <c r="I28" s="9" t="s">
        <v>70</v>
      </c>
      <c r="J28" s="1">
        <f t="shared" si="2"/>
        <v>13</v>
      </c>
      <c r="K28" s="2">
        <v>41470</v>
      </c>
      <c r="L28" s="2">
        <v>44392</v>
      </c>
      <c r="M28" s="10">
        <f t="shared" si="3"/>
        <v>8.0054794520547947</v>
      </c>
      <c r="N28" s="11">
        <f t="shared" si="4"/>
        <v>1</v>
      </c>
      <c r="O28" s="9" t="s">
        <v>47</v>
      </c>
      <c r="P28" t="str">
        <f t="shared" si="10"/>
        <v>0</v>
      </c>
      <c r="Q28" s="12">
        <v>20000</v>
      </c>
      <c r="R28" s="9">
        <v>10000</v>
      </c>
      <c r="S28" s="1" t="str">
        <f>IF($V28="USD",INDEX('Dólar Spot'!$B:$B,MATCH(Base!$K28,'Dólar Spot'!$A:$A,0)),"")</f>
        <v/>
      </c>
      <c r="T28" s="11">
        <f t="shared" si="16"/>
        <v>200000000</v>
      </c>
      <c r="U28" s="13">
        <f t="shared" si="5"/>
        <v>2</v>
      </c>
      <c r="V28" s="9" t="s">
        <v>32</v>
      </c>
      <c r="W28" s="9" t="s">
        <v>34</v>
      </c>
      <c r="X28">
        <f t="shared" si="11"/>
        <v>1</v>
      </c>
      <c r="Y28" s="1" t="str" cm="1">
        <f t="array" ref="Y28">INDEX(Ratings!$B$2:$M$42,_xlfn.XMATCH(Base!F28,Ratings!$A$2:$A$42),_xlfn.XMATCH(YEAR(Base!K28),Ratings!$B$1:$M$1))</f>
        <v>NR</v>
      </c>
      <c r="Z28">
        <f t="shared" si="12"/>
        <v>0</v>
      </c>
      <c r="AA28">
        <f>IFERROR(IFERROR(IFERROR(INDEX('EMBI+'!$B:$B,MATCH(Base!$K28,'EMBI+'!$A:$A,0)),INDEX('EMBI+'!$B:$B,MATCH(Base!$K28+1,'EMBI+'!$A:$A,0))),INDEX('EMBI+'!$B:$B,MATCH(Base!$K28+2,'EMBI+'!$A:$A,0))),INDEX('EMBI+'!$B:$B,MATCH(Base!$K28+3,'EMBI+'!$A:$A,0)))/100</f>
        <v>2.2400000000000002</v>
      </c>
      <c r="AB28" s="9">
        <v>8.5967500000000001</v>
      </c>
      <c r="AC28" s="9">
        <v>35.936599999999999</v>
      </c>
      <c r="AD28" s="9"/>
      <c r="AE28" s="9"/>
      <c r="AF28" s="2"/>
      <c r="AG28" s="2"/>
    </row>
    <row r="29" spans="1:33" x14ac:dyDescent="0.35">
      <c r="A29">
        <f t="shared" si="8"/>
        <v>27</v>
      </c>
      <c r="B29">
        <f>IF(G29="Bonds",COUNTIF($G$3:G29,"Bonds"),0)</f>
        <v>0</v>
      </c>
      <c r="C29" t="str">
        <f t="shared" si="13"/>
        <v>Americanas4284044666</v>
      </c>
      <c r="D29">
        <f t="shared" si="14"/>
        <v>3</v>
      </c>
      <c r="E29" s="9" t="s">
        <v>55</v>
      </c>
      <c r="F29" s="9" t="s">
        <v>56</v>
      </c>
      <c r="G29" s="9" t="s">
        <v>29</v>
      </c>
      <c r="H29">
        <f t="shared" si="1"/>
        <v>0</v>
      </c>
      <c r="I29" s="9" t="s">
        <v>71</v>
      </c>
      <c r="J29" s="1">
        <f t="shared" si="2"/>
        <v>14</v>
      </c>
      <c r="K29" s="2">
        <v>42840</v>
      </c>
      <c r="L29" s="2">
        <v>44666</v>
      </c>
      <c r="M29" s="10">
        <f t="shared" si="3"/>
        <v>5.0027397260273974</v>
      </c>
      <c r="N29" s="11">
        <f t="shared" si="4"/>
        <v>1</v>
      </c>
      <c r="O29" s="9" t="s">
        <v>47</v>
      </c>
      <c r="P29" t="str">
        <f t="shared" si="10"/>
        <v>0</v>
      </c>
      <c r="Q29" s="12">
        <v>126335</v>
      </c>
      <c r="R29" s="9">
        <v>10000</v>
      </c>
      <c r="S29" s="1" t="str">
        <f>IF($V29="USD",INDEX('Dólar Spot'!$B:$B,MATCH(Base!$K29,'Dólar Spot'!$A:$A,0)),"")</f>
        <v/>
      </c>
      <c r="T29" s="11">
        <f t="shared" si="16"/>
        <v>1263350000</v>
      </c>
      <c r="U29" s="13">
        <f t="shared" si="5"/>
        <v>12.6335</v>
      </c>
      <c r="V29" s="9" t="s">
        <v>44</v>
      </c>
      <c r="W29" s="9" t="s">
        <v>34</v>
      </c>
      <c r="X29">
        <f t="shared" si="11"/>
        <v>1</v>
      </c>
      <c r="Y29" s="1" t="str" cm="1">
        <f t="array" ref="Y29">INDEX(Ratings!$B$2:$M$42,_xlfn.XMATCH(Base!F29,Ratings!$A$2:$A$42),_xlfn.XMATCH(YEAR(Base!K29),Ratings!$B$1:$M$1))</f>
        <v>NR</v>
      </c>
      <c r="Z29">
        <f t="shared" si="12"/>
        <v>0</v>
      </c>
      <c r="AA29">
        <f>IFERROR(IFERROR(IFERROR(INDEX('EMBI+'!$B:$B,MATCH(Base!$K29,'EMBI+'!$A:$A,0)),INDEX('EMBI+'!$B:$B,MATCH(Base!$K29+1,'EMBI+'!$A:$A,0))),INDEX('EMBI+'!$B:$B,MATCH(Base!$K29+2,'EMBI+'!$A:$A,0))),INDEX('EMBI+'!$B:$B,MATCH(Base!$K29+3,'EMBI+'!$A:$A,0)))/100</f>
        <v>2.7</v>
      </c>
      <c r="AB29" s="9">
        <v>36.622259999999997</v>
      </c>
      <c r="AC29" s="9">
        <v>48.072519999999997</v>
      </c>
      <c r="AD29" s="9"/>
      <c r="AE29" s="9"/>
      <c r="AF29" s="2"/>
      <c r="AG29" s="2"/>
    </row>
    <row r="30" spans="1:33" x14ac:dyDescent="0.35">
      <c r="A30">
        <f t="shared" si="8"/>
        <v>28</v>
      </c>
      <c r="B30">
        <f>IF(G30="Bonds",COUNTIF($G$3:G30,"Bonds"),0)</f>
        <v>0</v>
      </c>
      <c r="C30" t="str">
        <f t="shared" si="13"/>
        <v>Americanas4321045036</v>
      </c>
      <c r="D30">
        <f t="shared" si="14"/>
        <v>3</v>
      </c>
      <c r="E30" s="9" t="s">
        <v>55</v>
      </c>
      <c r="F30" s="9" t="s">
        <v>56</v>
      </c>
      <c r="G30" s="9" t="s">
        <v>29</v>
      </c>
      <c r="H30">
        <f t="shared" si="1"/>
        <v>0</v>
      </c>
      <c r="I30" s="9" t="s">
        <v>72</v>
      </c>
      <c r="J30" s="1">
        <f t="shared" si="2"/>
        <v>15</v>
      </c>
      <c r="K30" s="2">
        <v>43210</v>
      </c>
      <c r="L30" s="2">
        <v>45036</v>
      </c>
      <c r="M30" s="10">
        <f t="shared" si="3"/>
        <v>5.0027397260273974</v>
      </c>
      <c r="N30" s="11">
        <f t="shared" si="4"/>
        <v>1</v>
      </c>
      <c r="O30" s="9" t="s">
        <v>47</v>
      </c>
      <c r="P30" t="str">
        <f t="shared" si="10"/>
        <v>0</v>
      </c>
      <c r="Q30" s="12">
        <v>100000</v>
      </c>
      <c r="R30" s="9">
        <v>10000</v>
      </c>
      <c r="S30" s="1" t="str">
        <f>IF($V30="USD",INDEX('Dólar Spot'!$B:$B,MATCH(Base!$K30,'Dólar Spot'!$A:$A,0)),"")</f>
        <v/>
      </c>
      <c r="T30" s="11">
        <f t="shared" si="16"/>
        <v>1000000000</v>
      </c>
      <c r="U30" s="13">
        <f t="shared" si="5"/>
        <v>10</v>
      </c>
      <c r="V30" s="9" t="s">
        <v>44</v>
      </c>
      <c r="W30" s="9" t="s">
        <v>34</v>
      </c>
      <c r="X30">
        <f t="shared" si="11"/>
        <v>1</v>
      </c>
      <c r="Y30" s="1" t="str" cm="1">
        <f t="array" ref="Y30">INDEX(Ratings!$B$2:$M$42,_xlfn.XMATCH(Base!F30,Ratings!$A$2:$A$42),_xlfn.XMATCH(YEAR(Base!K30),Ratings!$B$1:$M$1))</f>
        <v>NR</v>
      </c>
      <c r="Z30">
        <f t="shared" si="12"/>
        <v>0</v>
      </c>
      <c r="AA30">
        <f>IFERROR(IFERROR(IFERROR(INDEX('EMBI+'!$B:$B,MATCH(Base!$K30,'EMBI+'!$A:$A,0)),INDEX('EMBI+'!$B:$B,MATCH(Base!$K30+1,'EMBI+'!$A:$A,0))),INDEX('EMBI+'!$B:$B,MATCH(Base!$K30+2,'EMBI+'!$A:$A,0))),INDEX('EMBI+'!$B:$B,MATCH(Base!$K30+3,'EMBI+'!$A:$A,0)))/100</f>
        <v>2.4300000000000002</v>
      </c>
      <c r="AB30" s="9">
        <v>37.949289999999998</v>
      </c>
      <c r="AC30" s="9">
        <v>70.689120000000003</v>
      </c>
      <c r="AD30" s="9"/>
      <c r="AE30" s="9"/>
      <c r="AF30" s="2"/>
      <c r="AG30" s="2"/>
    </row>
    <row r="31" spans="1:33" x14ac:dyDescent="0.35">
      <c r="A31">
        <f t="shared" si="8"/>
        <v>29</v>
      </c>
      <c r="B31">
        <f>IF(G31="Bonds",COUNTIF($G$3:G31,"Bonds"),0)</f>
        <v>0</v>
      </c>
      <c r="C31" t="str">
        <f t="shared" si="13"/>
        <v>Americanas4347546032</v>
      </c>
      <c r="D31">
        <f t="shared" si="14"/>
        <v>3</v>
      </c>
      <c r="E31" s="9" t="s">
        <v>55</v>
      </c>
      <c r="F31" s="9" t="s">
        <v>56</v>
      </c>
      <c r="G31" s="9" t="s">
        <v>29</v>
      </c>
      <c r="H31">
        <f t="shared" si="1"/>
        <v>0</v>
      </c>
      <c r="I31" s="9" t="s">
        <v>73</v>
      </c>
      <c r="J31" s="1">
        <f t="shared" si="2"/>
        <v>16</v>
      </c>
      <c r="K31" s="2">
        <v>43475</v>
      </c>
      <c r="L31" s="2">
        <v>46032</v>
      </c>
      <c r="M31" s="10">
        <f t="shared" si="3"/>
        <v>7.0054794520547947</v>
      </c>
      <c r="N31" s="11">
        <f t="shared" si="4"/>
        <v>1</v>
      </c>
      <c r="O31" s="9" t="s">
        <v>47</v>
      </c>
      <c r="P31" t="str">
        <f t="shared" si="10"/>
        <v>0</v>
      </c>
      <c r="Q31" s="12">
        <v>100000</v>
      </c>
      <c r="R31" s="9">
        <v>10000</v>
      </c>
      <c r="S31" s="1" t="str">
        <f>IF($V31="USD",INDEX('Dólar Spot'!$B:$B,MATCH(Base!$K31,'Dólar Spot'!$A:$A,0)),"")</f>
        <v/>
      </c>
      <c r="T31" s="11">
        <f t="shared" si="16"/>
        <v>1000000000</v>
      </c>
      <c r="U31" s="13">
        <f t="shared" si="5"/>
        <v>10</v>
      </c>
      <c r="V31" s="9" t="s">
        <v>44</v>
      </c>
      <c r="W31" s="9" t="s">
        <v>34</v>
      </c>
      <c r="X31">
        <f t="shared" si="11"/>
        <v>1</v>
      </c>
      <c r="Y31" s="1" t="str" cm="1">
        <f t="array" ref="Y31">INDEX(Ratings!$B$2:$M$42,_xlfn.XMATCH(Base!F31,Ratings!$A$2:$A$42),_xlfn.XMATCH(YEAR(Base!K31),Ratings!$B$1:$M$1))</f>
        <v>NR</v>
      </c>
      <c r="Z31">
        <f t="shared" si="12"/>
        <v>0</v>
      </c>
      <c r="AA31">
        <f>IFERROR(IFERROR(IFERROR(INDEX('EMBI+'!$B:$B,MATCH(Base!$K31,'EMBI+'!$A:$A,0)),INDEX('EMBI+'!$B:$B,MATCH(Base!$K31+1,'EMBI+'!$A:$A,0))),INDEX('EMBI+'!$B:$B,MATCH(Base!$K31+2,'EMBI+'!$A:$A,0))),INDEX('EMBI+'!$B:$B,MATCH(Base!$K31+3,'EMBI+'!$A:$A,0)))/100</f>
        <v>2.54</v>
      </c>
      <c r="AB31" s="9">
        <v>35.37115</v>
      </c>
      <c r="AC31" s="9">
        <v>68.482420000000005</v>
      </c>
      <c r="AD31" s="9"/>
      <c r="AE31" s="9"/>
      <c r="AF31" s="2"/>
      <c r="AG31" s="2"/>
    </row>
    <row r="32" spans="1:33" x14ac:dyDescent="0.35">
      <c r="A32">
        <f t="shared" si="8"/>
        <v>30</v>
      </c>
      <c r="B32">
        <f>IF(G32="Bonds",COUNTIF($G$3:G32,"Bonds"),0)</f>
        <v>0</v>
      </c>
      <c r="C32" t="str">
        <f t="shared" si="13"/>
        <v>Americanas4396945064</v>
      </c>
      <c r="D32">
        <f t="shared" si="14"/>
        <v>3</v>
      </c>
      <c r="E32" s="9" t="s">
        <v>55</v>
      </c>
      <c r="F32" s="9" t="s">
        <v>56</v>
      </c>
      <c r="G32" s="9" t="s">
        <v>29</v>
      </c>
      <c r="H32">
        <f t="shared" si="1"/>
        <v>0</v>
      </c>
      <c r="I32" s="9" t="s">
        <v>74</v>
      </c>
      <c r="J32" s="1">
        <f t="shared" si="2"/>
        <v>17</v>
      </c>
      <c r="K32" s="2">
        <v>43969</v>
      </c>
      <c r="L32" s="2">
        <v>45064</v>
      </c>
      <c r="M32" s="10">
        <f t="shared" si="3"/>
        <v>3</v>
      </c>
      <c r="N32" s="11">
        <f t="shared" si="4"/>
        <v>0</v>
      </c>
      <c r="O32" s="9" t="s">
        <v>47</v>
      </c>
      <c r="P32" t="str">
        <f t="shared" si="10"/>
        <v>0</v>
      </c>
      <c r="Q32" s="12">
        <v>50000</v>
      </c>
      <c r="R32" s="9">
        <v>10000</v>
      </c>
      <c r="S32" s="1" t="str">
        <f>IF($V32="USD",INDEX('Dólar Spot'!$B:$B,MATCH(Base!$K32,'Dólar Spot'!$A:$A,0)),"")</f>
        <v/>
      </c>
      <c r="T32" s="11">
        <f t="shared" si="16"/>
        <v>500000000</v>
      </c>
      <c r="U32" s="13">
        <f t="shared" si="5"/>
        <v>5</v>
      </c>
      <c r="V32" s="9" t="s">
        <v>44</v>
      </c>
      <c r="W32" s="9" t="s">
        <v>35</v>
      </c>
      <c r="X32">
        <f t="shared" si="11"/>
        <v>0</v>
      </c>
      <c r="Y32" s="1" t="str" cm="1">
        <f t="array" ref="Y32">INDEX(Ratings!$B$2:$M$42,_xlfn.XMATCH(Base!F32,Ratings!$A$2:$A$42),_xlfn.XMATCH(YEAR(Base!K32),Ratings!$B$1:$M$1))</f>
        <v>BB</v>
      </c>
      <c r="Z32">
        <f t="shared" si="12"/>
        <v>0</v>
      </c>
      <c r="AA32">
        <f>IFERROR(IFERROR(IFERROR(INDEX('EMBI+'!$B:$B,MATCH(Base!$K32,'EMBI+'!$A:$A,0)),INDEX('EMBI+'!$B:$B,MATCH(Base!$K32+1,'EMBI+'!$A:$A,0))),INDEX('EMBI+'!$B:$B,MATCH(Base!$K32+2,'EMBI+'!$A:$A,0))),INDEX('EMBI+'!$B:$B,MATCH(Base!$K32+3,'EMBI+'!$A:$A,0)))/100</f>
        <v>4.2699999999999996</v>
      </c>
      <c r="AB32" s="9">
        <v>55.702779999999997</v>
      </c>
      <c r="AC32" s="9">
        <v>67.933940000000007</v>
      </c>
      <c r="AD32" s="9"/>
      <c r="AE32" s="9"/>
      <c r="AF32" s="2"/>
      <c r="AG32" s="2"/>
    </row>
    <row r="33" spans="1:33" x14ac:dyDescent="0.35">
      <c r="A33">
        <f t="shared" si="8"/>
        <v>31</v>
      </c>
      <c r="B33">
        <f>IF(G33="Bonds",COUNTIF($G$3:G33,"Bonds"),0)</f>
        <v>0</v>
      </c>
      <c r="C33" t="str">
        <f t="shared" si="13"/>
        <v>Americanas4398445079</v>
      </c>
      <c r="D33">
        <f t="shared" si="14"/>
        <v>3</v>
      </c>
      <c r="E33" s="9" t="s">
        <v>55</v>
      </c>
      <c r="F33" s="9" t="s">
        <v>56</v>
      </c>
      <c r="G33" s="9" t="s">
        <v>29</v>
      </c>
      <c r="H33">
        <f t="shared" si="1"/>
        <v>0</v>
      </c>
      <c r="I33" s="9" t="s">
        <v>75</v>
      </c>
      <c r="J33" s="1">
        <f t="shared" si="2"/>
        <v>18</v>
      </c>
      <c r="K33" s="2">
        <v>43984</v>
      </c>
      <c r="L33" s="2">
        <v>45079</v>
      </c>
      <c r="M33" s="10">
        <f t="shared" si="3"/>
        <v>3</v>
      </c>
      <c r="N33" s="11">
        <f t="shared" si="4"/>
        <v>0</v>
      </c>
      <c r="O33" s="9" t="s">
        <v>47</v>
      </c>
      <c r="P33" t="str">
        <f t="shared" si="10"/>
        <v>0</v>
      </c>
      <c r="Q33" s="12">
        <v>50000</v>
      </c>
      <c r="R33" s="9">
        <v>10000</v>
      </c>
      <c r="S33" s="1" t="str">
        <f>IF($V33="USD",INDEX('Dólar Spot'!$B:$B,MATCH(Base!$K33,'Dólar Spot'!$A:$A,0)),"")</f>
        <v/>
      </c>
      <c r="T33" s="11">
        <f t="shared" si="16"/>
        <v>500000000</v>
      </c>
      <c r="U33" s="13">
        <f t="shared" si="5"/>
        <v>5</v>
      </c>
      <c r="V33" s="9" t="s">
        <v>44</v>
      </c>
      <c r="W33" s="9" t="s">
        <v>35</v>
      </c>
      <c r="X33">
        <f t="shared" si="11"/>
        <v>0</v>
      </c>
      <c r="Y33" s="1" t="str" cm="1">
        <f t="array" ref="Y33">INDEX(Ratings!$B$2:$M$42,_xlfn.XMATCH(Base!F33,Ratings!$A$2:$A$42),_xlfn.XMATCH(YEAR(Base!K33),Ratings!$B$1:$M$1))</f>
        <v>BB</v>
      </c>
      <c r="Z33">
        <f t="shared" si="12"/>
        <v>0</v>
      </c>
      <c r="AA33">
        <f>IFERROR(IFERROR(IFERROR(INDEX('EMBI+'!$B:$B,MATCH(Base!$K33,'EMBI+'!$A:$A,0)),INDEX('EMBI+'!$B:$B,MATCH(Base!$K33+1,'EMBI+'!$A:$A,0))),INDEX('EMBI+'!$B:$B,MATCH(Base!$K33+2,'EMBI+'!$A:$A,0))),INDEX('EMBI+'!$B:$B,MATCH(Base!$K33+3,'EMBI+'!$A:$A,0)))/100</f>
        <v>3.75</v>
      </c>
      <c r="AB33" s="9">
        <v>55.702779999999997</v>
      </c>
      <c r="AC33" s="9">
        <v>67.933940000000007</v>
      </c>
      <c r="AD33" s="9"/>
      <c r="AE33" s="9"/>
      <c r="AF33" s="2"/>
      <c r="AG33" s="2"/>
    </row>
    <row r="34" spans="1:33" x14ac:dyDescent="0.35">
      <c r="A34">
        <f t="shared" si="8"/>
        <v>32</v>
      </c>
      <c r="B34">
        <f>IF(G34="Bonds",COUNTIF($G$3:G34,"Bonds"),0)</f>
        <v>0</v>
      </c>
      <c r="C34" t="str">
        <f t="shared" si="13"/>
        <v>Americanas4408947771</v>
      </c>
      <c r="D34">
        <f t="shared" si="14"/>
        <v>3</v>
      </c>
      <c r="E34" s="9" t="s">
        <v>55</v>
      </c>
      <c r="F34" s="9" t="s">
        <v>56</v>
      </c>
      <c r="G34" s="9" t="s">
        <v>29</v>
      </c>
      <c r="H34">
        <f t="shared" si="1"/>
        <v>0</v>
      </c>
      <c r="I34" s="9" t="s">
        <v>76</v>
      </c>
      <c r="J34" s="1">
        <f t="shared" si="2"/>
        <v>19</v>
      </c>
      <c r="K34" s="2">
        <v>44089</v>
      </c>
      <c r="L34" s="2">
        <v>47771</v>
      </c>
      <c r="M34" s="10">
        <f t="shared" si="3"/>
        <v>10.087671232876712</v>
      </c>
      <c r="N34" s="11">
        <f t="shared" si="4"/>
        <v>1</v>
      </c>
      <c r="O34" s="9" t="s">
        <v>47</v>
      </c>
      <c r="P34" t="str">
        <f t="shared" si="10"/>
        <v>0</v>
      </c>
      <c r="Q34" s="12">
        <v>3100000</v>
      </c>
      <c r="R34" s="9">
        <v>1000</v>
      </c>
      <c r="S34" s="1" t="str">
        <f>IF($V34="USD",INDEX('Dólar Spot'!$B:$B,MATCH(Base!$K34,'Dólar Spot'!$A:$A,0)),"")</f>
        <v/>
      </c>
      <c r="T34" s="11">
        <f t="shared" si="16"/>
        <v>3100000000</v>
      </c>
      <c r="U34" s="13">
        <f t="shared" si="5"/>
        <v>31</v>
      </c>
      <c r="V34" s="9" t="s">
        <v>32</v>
      </c>
      <c r="W34" s="9" t="s">
        <v>35</v>
      </c>
      <c r="X34">
        <f t="shared" si="11"/>
        <v>0</v>
      </c>
      <c r="Y34" s="1" t="str" cm="1">
        <f t="array" ref="Y34">INDEX(Ratings!$B$2:$M$42,_xlfn.XMATCH(Base!F34,Ratings!$A$2:$A$42),_xlfn.XMATCH(YEAR(Base!K34),Ratings!$B$1:$M$1))</f>
        <v>BB</v>
      </c>
      <c r="Z34">
        <f t="shared" si="12"/>
        <v>0</v>
      </c>
      <c r="AA34">
        <f>IFERROR(IFERROR(IFERROR(INDEX('EMBI+'!$B:$B,MATCH(Base!$K34,'EMBI+'!$A:$A,0)),INDEX('EMBI+'!$B:$B,MATCH(Base!$K34+1,'EMBI+'!$A:$A,0))),INDEX('EMBI+'!$B:$B,MATCH(Base!$K34+2,'EMBI+'!$A:$A,0))),INDEX('EMBI+'!$B:$B,MATCH(Base!$K34+3,'EMBI+'!$A:$A,0)))/100</f>
        <v>3.07</v>
      </c>
      <c r="AB34" s="9">
        <v>95.352680000000007</v>
      </c>
      <c r="AC34" s="9">
        <v>50.154739999999997</v>
      </c>
      <c r="AD34" s="9"/>
      <c r="AE34" s="9"/>
      <c r="AF34" s="2"/>
      <c r="AG34" s="2"/>
    </row>
    <row r="35" spans="1:33" x14ac:dyDescent="0.35">
      <c r="A35">
        <f t="shared" si="8"/>
        <v>33</v>
      </c>
      <c r="B35">
        <f>IF(G35="Bonds",COUNTIF($G$3:G35,"Bonds"),0)</f>
        <v>0</v>
      </c>
      <c r="C35" t="str">
        <f t="shared" si="13"/>
        <v>Americanas4284045397</v>
      </c>
      <c r="D35">
        <f t="shared" si="14"/>
        <v>3</v>
      </c>
      <c r="E35" s="9" t="s">
        <v>55</v>
      </c>
      <c r="F35" s="9" t="s">
        <v>56</v>
      </c>
      <c r="G35" s="9" t="s">
        <v>29</v>
      </c>
      <c r="H35">
        <f t="shared" si="1"/>
        <v>0</v>
      </c>
      <c r="I35" s="9" t="s">
        <v>77</v>
      </c>
      <c r="J35" s="1">
        <f t="shared" si="2"/>
        <v>20</v>
      </c>
      <c r="K35" s="2">
        <v>42840</v>
      </c>
      <c r="L35" s="2">
        <v>45397</v>
      </c>
      <c r="M35" s="10">
        <f t="shared" si="3"/>
        <v>7.0054794520547947</v>
      </c>
      <c r="N35" s="11">
        <f t="shared" si="4"/>
        <v>1</v>
      </c>
      <c r="O35" s="9" t="s">
        <v>47</v>
      </c>
      <c r="P35" t="str">
        <f t="shared" si="10"/>
        <v>0</v>
      </c>
      <c r="Q35" s="12">
        <v>23665</v>
      </c>
      <c r="R35" s="9">
        <v>10000</v>
      </c>
      <c r="S35" s="1" t="str">
        <f>IF($V35="USD",INDEX('Dólar Spot'!$B:$B,MATCH(Base!$K35,'Dólar Spot'!$A:$A,0)),"")</f>
        <v/>
      </c>
      <c r="T35" s="11">
        <f t="shared" si="16"/>
        <v>236650000</v>
      </c>
      <c r="U35" s="13">
        <f t="shared" si="5"/>
        <v>2.3664999999999998</v>
      </c>
      <c r="V35" s="9" t="s">
        <v>32</v>
      </c>
      <c r="W35" s="9" t="s">
        <v>34</v>
      </c>
      <c r="X35">
        <f t="shared" si="11"/>
        <v>1</v>
      </c>
      <c r="Y35" s="1" t="str" cm="1">
        <f t="array" ref="Y35">INDEX(Ratings!$B$2:$M$42,_xlfn.XMATCH(Base!F35,Ratings!$A$2:$A$42),_xlfn.XMATCH(YEAR(Base!K35),Ratings!$B$1:$M$1))</f>
        <v>NR</v>
      </c>
      <c r="Z35">
        <f t="shared" si="12"/>
        <v>0</v>
      </c>
      <c r="AA35">
        <f>IFERROR(IFERROR(IFERROR(INDEX('EMBI+'!$B:$B,MATCH(Base!$K35,'EMBI+'!$A:$A,0)),INDEX('EMBI+'!$B:$B,MATCH(Base!$K35+1,'EMBI+'!$A:$A,0))),INDEX('EMBI+'!$B:$B,MATCH(Base!$K35+2,'EMBI+'!$A:$A,0))),INDEX('EMBI+'!$B:$B,MATCH(Base!$K35+3,'EMBI+'!$A:$A,0)))/100</f>
        <v>2.7</v>
      </c>
      <c r="AB35" s="9">
        <v>36.622259999999997</v>
      </c>
      <c r="AC35" s="9">
        <v>48.072519999999997</v>
      </c>
      <c r="AD35" s="9"/>
      <c r="AE35" s="9"/>
      <c r="AF35" s="2"/>
      <c r="AG35" s="2"/>
    </row>
    <row r="36" spans="1:33" x14ac:dyDescent="0.35">
      <c r="A36">
        <f t="shared" si="8"/>
        <v>34</v>
      </c>
      <c r="B36">
        <f>IF(G36="Bonds",COUNTIF($G$3:G36,"Bonds"),0)</f>
        <v>0</v>
      </c>
      <c r="C36" t="str">
        <f t="shared" si="13"/>
        <v>Americanas4475048775</v>
      </c>
      <c r="D36">
        <f t="shared" si="14"/>
        <v>3</v>
      </c>
      <c r="E36" s="9" t="s">
        <v>55</v>
      </c>
      <c r="F36" s="9" t="s">
        <v>56</v>
      </c>
      <c r="G36" s="9" t="s">
        <v>29</v>
      </c>
      <c r="H36">
        <f t="shared" si="1"/>
        <v>0</v>
      </c>
      <c r="I36" s="9"/>
      <c r="J36" s="1">
        <f t="shared" si="2"/>
        <v>21</v>
      </c>
      <c r="K36" s="2">
        <v>44750</v>
      </c>
      <c r="L36" s="2">
        <v>48775</v>
      </c>
      <c r="M36" s="10">
        <f t="shared" si="3"/>
        <v>11.027397260273972</v>
      </c>
      <c r="N36" s="11">
        <f t="shared" si="4"/>
        <v>1</v>
      </c>
      <c r="O36" s="9" t="s">
        <v>47</v>
      </c>
      <c r="P36" t="str">
        <f t="shared" si="10"/>
        <v>0</v>
      </c>
      <c r="Q36" s="12">
        <v>200000</v>
      </c>
      <c r="R36" s="9">
        <v>10000</v>
      </c>
      <c r="S36" s="1" t="str">
        <f>IF($V36="USD",INDEX('Dólar Spot'!$B:$B,MATCH(Base!$K36,'Dólar Spot'!$A:$A,0)),"")</f>
        <v/>
      </c>
      <c r="T36" s="11">
        <f t="shared" si="16"/>
        <v>2000000000</v>
      </c>
      <c r="U36" s="13">
        <f t="shared" si="5"/>
        <v>20</v>
      </c>
      <c r="V36" s="9" t="s">
        <v>44</v>
      </c>
      <c r="W36" s="9" t="s">
        <v>34</v>
      </c>
      <c r="X36">
        <f t="shared" si="11"/>
        <v>1</v>
      </c>
      <c r="Y36" s="1" t="str" cm="1">
        <f t="array" ref="Y36">INDEX(Ratings!$B$2:$M$42,_xlfn.XMATCH(Base!F36,Ratings!$A$2:$A$42),_xlfn.XMATCH(YEAR(Base!K36),Ratings!$B$1:$M$1))</f>
        <v>BB</v>
      </c>
      <c r="Z36">
        <f t="shared" si="12"/>
        <v>0</v>
      </c>
      <c r="AA36">
        <f>IFERROR(IFERROR(IFERROR(INDEX('EMBI+'!$B:$B,MATCH(Base!$K36,'EMBI+'!$A:$A,0)),INDEX('EMBI+'!$B:$B,MATCH(Base!$K36+1,'EMBI+'!$A:$A,0))),INDEX('EMBI+'!$B:$B,MATCH(Base!$K36+2,'EMBI+'!$A:$A,0))),INDEX('EMBI+'!$B:$B,MATCH(Base!$K36+3,'EMBI+'!$A:$A,0)))/100</f>
        <v>3.49</v>
      </c>
      <c r="AB36" s="9">
        <v>151.06032999999999</v>
      </c>
      <c r="AC36" s="9">
        <v>155.22659999999999</v>
      </c>
      <c r="AD36" s="9"/>
      <c r="AE36" s="9"/>
      <c r="AF36" s="2"/>
      <c r="AG36" s="2"/>
    </row>
    <row r="37" spans="1:33" x14ac:dyDescent="0.35">
      <c r="A37">
        <f t="shared" si="8"/>
        <v>35</v>
      </c>
      <c r="B37">
        <f>IF(G37="Bonds",COUNTIF($G$3:G37,"Bonds"),0)</f>
        <v>0</v>
      </c>
      <c r="C37" t="str">
        <f t="shared" si="13"/>
        <v>Americanas4485446680</v>
      </c>
      <c r="D37">
        <f t="shared" si="14"/>
        <v>3</v>
      </c>
      <c r="E37" s="9" t="s">
        <v>55</v>
      </c>
      <c r="F37" s="9" t="s">
        <v>56</v>
      </c>
      <c r="G37" s="9" t="s">
        <v>29</v>
      </c>
      <c r="H37">
        <f t="shared" si="1"/>
        <v>0</v>
      </c>
      <c r="I37" s="9"/>
      <c r="J37" s="1">
        <f t="shared" si="2"/>
        <v>22</v>
      </c>
      <c r="K37" s="2">
        <v>44854</v>
      </c>
      <c r="L37" s="2">
        <v>46680</v>
      </c>
      <c r="M37" s="10">
        <f t="shared" si="3"/>
        <v>5.0027397260273974</v>
      </c>
      <c r="N37" s="11">
        <f t="shared" si="4"/>
        <v>1</v>
      </c>
      <c r="O37" s="9" t="s">
        <v>61</v>
      </c>
      <c r="P37" t="str">
        <f t="shared" si="10"/>
        <v>1</v>
      </c>
      <c r="Q37" s="12">
        <v>100000</v>
      </c>
      <c r="R37" s="9">
        <v>10000</v>
      </c>
      <c r="S37" s="1" t="str">
        <f>IF($V37="USD",INDEX('Dólar Spot'!$B:$B,MATCH(Base!$K37,'Dólar Spot'!$A:$A,0)),"")</f>
        <v/>
      </c>
      <c r="T37" s="11">
        <f t="shared" si="16"/>
        <v>1000000000</v>
      </c>
      <c r="U37" s="13">
        <f t="shared" si="5"/>
        <v>10</v>
      </c>
      <c r="V37" s="9" t="s">
        <v>44</v>
      </c>
      <c r="W37" s="9" t="s">
        <v>34</v>
      </c>
      <c r="X37">
        <f t="shared" si="11"/>
        <v>1</v>
      </c>
      <c r="Y37" s="1" t="str" cm="1">
        <f t="array" ref="Y37">INDEX(Ratings!$B$2:$M$42,_xlfn.XMATCH(Base!F37,Ratings!$A$2:$A$42),_xlfn.XMATCH(YEAR(Base!K37),Ratings!$B$1:$M$1))</f>
        <v>BB</v>
      </c>
      <c r="Z37">
        <f t="shared" si="12"/>
        <v>0</v>
      </c>
      <c r="AA37">
        <f>IFERROR(IFERROR(IFERROR(INDEX('EMBI+'!$B:$B,MATCH(Base!$K37,'EMBI+'!$A:$A,0)),INDEX('EMBI+'!$B:$B,MATCH(Base!$K37+1,'EMBI+'!$A:$A,0))),INDEX('EMBI+'!$B:$B,MATCH(Base!$K37+2,'EMBI+'!$A:$A,0))),INDEX('EMBI+'!$B:$B,MATCH(Base!$K37+3,'EMBI+'!$A:$A,0)))/100</f>
        <v>2.64</v>
      </c>
      <c r="AB37" s="9">
        <v>147.05555000000001</v>
      </c>
      <c r="AC37" s="9">
        <v>207.90878000000001</v>
      </c>
      <c r="AD37" s="9"/>
      <c r="AE37" s="9"/>
      <c r="AF37" s="2"/>
      <c r="AG37" s="2"/>
    </row>
    <row r="38" spans="1:33" x14ac:dyDescent="0.35">
      <c r="A38">
        <f t="shared" si="8"/>
        <v>36</v>
      </c>
      <c r="B38">
        <f>IF(G38="Bonds",COUNTIF($G$3:G38,"Bonds"),0)</f>
        <v>4</v>
      </c>
      <c r="C38" t="str">
        <f t="shared" si="13"/>
        <v>Americanas4415920/12/2030</v>
      </c>
      <c r="D38">
        <f t="shared" si="14"/>
        <v>3</v>
      </c>
      <c r="E38" s="9" t="s">
        <v>78</v>
      </c>
      <c r="F38" s="9" t="s">
        <v>56</v>
      </c>
      <c r="G38" s="9" t="s">
        <v>37</v>
      </c>
      <c r="H38">
        <f t="shared" si="1"/>
        <v>1</v>
      </c>
      <c r="I38" s="9"/>
      <c r="J38" s="1">
        <f t="shared" si="2"/>
        <v>23</v>
      </c>
      <c r="K38" s="2">
        <v>44159</v>
      </c>
      <c r="L38" s="2" t="s">
        <v>79</v>
      </c>
      <c r="M38" s="10">
        <f t="shared" si="3"/>
        <v>10.076712328767123</v>
      </c>
      <c r="N38" s="11">
        <f t="shared" si="4"/>
        <v>1</v>
      </c>
      <c r="O38" s="9" t="s">
        <v>39</v>
      </c>
      <c r="P38" t="str">
        <f t="shared" si="10"/>
        <v>0</v>
      </c>
      <c r="Q38" s="9"/>
      <c r="R38" s="15"/>
      <c r="S38" s="1">
        <f>IF($V38="USD",INDEX('Dólar Spot'!$B:$B,MATCH(Base!$K38,'Dólar Spot'!$A:$A,0)),"")</f>
        <v>5.4031000000000002</v>
      </c>
      <c r="T38" s="12">
        <v>500000000</v>
      </c>
      <c r="U38" s="13">
        <f t="shared" si="5"/>
        <v>27.015499999999999</v>
      </c>
      <c r="V38" s="9" t="s">
        <v>40</v>
      </c>
      <c r="W38" s="9" t="s">
        <v>34</v>
      </c>
      <c r="X38">
        <f t="shared" si="11"/>
        <v>1</v>
      </c>
      <c r="Y38" s="1" t="str" cm="1">
        <f t="array" ref="Y38">INDEX(Ratings!$B$2:$M$42,_xlfn.XMATCH(Base!F38,Ratings!$A$2:$A$42),_xlfn.XMATCH(YEAR(Base!K38),Ratings!$B$1:$M$1))</f>
        <v>BB</v>
      </c>
      <c r="Z38">
        <f t="shared" si="12"/>
        <v>0</v>
      </c>
      <c r="AA38">
        <f>IFERROR(IFERROR(IFERROR(INDEX('EMBI+'!$B:$B,MATCH(Base!$K38,'EMBI+'!$A:$A,0)),INDEX('EMBI+'!$B:$B,MATCH(Base!$K38+1,'EMBI+'!$A:$A,0))),INDEX('EMBI+'!$B:$B,MATCH(Base!$K38+2,'EMBI+'!$A:$A,0))),INDEX('EMBI+'!$B:$B,MATCH(Base!$K38+3,'EMBI+'!$A:$A,0)))/100</f>
        <v>2.72</v>
      </c>
      <c r="AB38" s="9">
        <v>95.352680000000007</v>
      </c>
      <c r="AC38" s="9">
        <v>50.154739999999997</v>
      </c>
      <c r="AD38" s="9"/>
      <c r="AE38" s="9"/>
      <c r="AF38" s="2"/>
      <c r="AG38" s="2"/>
    </row>
    <row r="39" spans="1:33" x14ac:dyDescent="0.35">
      <c r="A39">
        <f t="shared" si="8"/>
        <v>37</v>
      </c>
      <c r="B39">
        <f>IF(G39="Bonds",COUNTIF($G$3:G39,"Bonds"),0)</f>
        <v>5</v>
      </c>
      <c r="C39" t="str">
        <f t="shared" si="13"/>
        <v>Americanas4411020/10/2030</v>
      </c>
      <c r="D39">
        <f t="shared" si="14"/>
        <v>3</v>
      </c>
      <c r="E39" s="9" t="s">
        <v>80</v>
      </c>
      <c r="F39" s="9" t="s">
        <v>56</v>
      </c>
      <c r="G39" s="9" t="s">
        <v>37</v>
      </c>
      <c r="H39">
        <f t="shared" si="1"/>
        <v>1</v>
      </c>
      <c r="I39" s="9"/>
      <c r="J39" s="1">
        <f t="shared" si="2"/>
        <v>24</v>
      </c>
      <c r="K39" s="2">
        <v>44110</v>
      </c>
      <c r="L39" s="2" t="s">
        <v>81</v>
      </c>
      <c r="M39" s="10">
        <f t="shared" si="3"/>
        <v>10.043835616438356</v>
      </c>
      <c r="N39" s="11">
        <f t="shared" si="4"/>
        <v>1</v>
      </c>
      <c r="O39" s="9" t="s">
        <v>39</v>
      </c>
      <c r="P39" t="str">
        <f t="shared" si="10"/>
        <v>0</v>
      </c>
      <c r="Q39" s="9"/>
      <c r="R39" s="9"/>
      <c r="S39" s="1">
        <f>IF($V39="USD",INDEX('Dólar Spot'!$B:$B,MATCH(Base!$K39,'Dólar Spot'!$A:$A,0)),"")</f>
        <v>5.5198999999999998</v>
      </c>
      <c r="T39" s="12">
        <v>500000000</v>
      </c>
      <c r="U39" s="13">
        <f t="shared" si="5"/>
        <v>27.599499999999999</v>
      </c>
      <c r="V39" s="9" t="s">
        <v>40</v>
      </c>
      <c r="W39" s="9" t="s">
        <v>34</v>
      </c>
      <c r="X39">
        <f t="shared" si="11"/>
        <v>1</v>
      </c>
      <c r="Y39" s="1" t="str" cm="1">
        <f t="array" ref="Y39">INDEX(Ratings!$B$2:$M$42,_xlfn.XMATCH(Base!F39,Ratings!$A$2:$A$42),_xlfn.XMATCH(YEAR(Base!K39),Ratings!$B$1:$M$1))</f>
        <v>BB</v>
      </c>
      <c r="Z39">
        <f t="shared" si="12"/>
        <v>0</v>
      </c>
      <c r="AA39">
        <f>IFERROR(IFERROR(IFERROR(INDEX('EMBI+'!$B:$B,MATCH(Base!$K39,'EMBI+'!$A:$A,0)),INDEX('EMBI+'!$B:$B,MATCH(Base!$K39+1,'EMBI+'!$A:$A,0))),INDEX('EMBI+'!$B:$B,MATCH(Base!$K39+2,'EMBI+'!$A:$A,0))),INDEX('EMBI+'!$B:$B,MATCH(Base!$K39+3,'EMBI+'!$A:$A,0)))/100</f>
        <v>3.28</v>
      </c>
      <c r="AB39" s="9">
        <v>95.352680000000007</v>
      </c>
      <c r="AC39" s="9">
        <v>50.154739999999997</v>
      </c>
      <c r="AD39" s="9"/>
      <c r="AE39" s="9"/>
      <c r="AF39" s="2"/>
      <c r="AG39" s="2"/>
    </row>
    <row r="40" spans="1:33" x14ac:dyDescent="0.35">
      <c r="A40">
        <f t="shared" si="8"/>
        <v>38</v>
      </c>
      <c r="B40">
        <f>IF(G40="Bonds",COUNTIF($G$3:G40,"Bonds"),0)</f>
        <v>0</v>
      </c>
      <c r="C40" t="str">
        <f t="shared" si="13"/>
        <v>Andrade Gutierrez4139643953</v>
      </c>
      <c r="D40">
        <f t="shared" si="14"/>
        <v>4</v>
      </c>
      <c r="E40" s="9" t="s">
        <v>82</v>
      </c>
      <c r="F40" s="9" t="s">
        <v>83</v>
      </c>
      <c r="G40" s="9" t="s">
        <v>29</v>
      </c>
      <c r="H40">
        <f t="shared" si="1"/>
        <v>0</v>
      </c>
      <c r="I40" s="9" t="s">
        <v>84</v>
      </c>
      <c r="J40" s="1">
        <f t="shared" si="2"/>
        <v>1</v>
      </c>
      <c r="K40" s="2">
        <v>41396</v>
      </c>
      <c r="L40" s="2">
        <v>43953</v>
      </c>
      <c r="M40" s="10">
        <f t="shared" si="3"/>
        <v>7.0054794520547947</v>
      </c>
      <c r="N40" s="11">
        <f t="shared" si="4"/>
        <v>1</v>
      </c>
      <c r="O40" s="9" t="s">
        <v>47</v>
      </c>
      <c r="P40" t="str">
        <f t="shared" si="10"/>
        <v>0</v>
      </c>
      <c r="Q40" s="12">
        <v>25400</v>
      </c>
      <c r="R40" s="9">
        <v>10000</v>
      </c>
      <c r="S40" s="1" t="str">
        <f>IF($V40="USD",INDEX('Dólar Spot'!$B:$B,MATCH(Base!$K40,'Dólar Spot'!$A:$A,0)),"")</f>
        <v/>
      </c>
      <c r="T40" s="11">
        <f t="shared" ref="T40:T50" si="17">Q40*R40</f>
        <v>254000000</v>
      </c>
      <c r="U40" s="13">
        <f t="shared" si="5"/>
        <v>2.54</v>
      </c>
      <c r="V40" s="9" t="s">
        <v>44</v>
      </c>
      <c r="W40" s="9" t="s">
        <v>34</v>
      </c>
      <c r="X40">
        <f t="shared" si="11"/>
        <v>1</v>
      </c>
      <c r="Y40" s="1" t="str" cm="1">
        <f t="array" ref="Y40">INDEX(Ratings!$B$2:$M$42,_xlfn.XMATCH(Base!F40,Ratings!$A$2:$A$42),_xlfn.XMATCH(YEAR(Base!K40),Ratings!$B$1:$M$1))</f>
        <v>BBB-</v>
      </c>
      <c r="Z40">
        <f t="shared" si="12"/>
        <v>1</v>
      </c>
      <c r="AA40">
        <f>IFERROR(IFERROR(IFERROR(INDEX('EMBI+'!$B:$B,MATCH(Base!$K40,'EMBI+'!$A:$A,0)),INDEX('EMBI+'!$B:$B,MATCH(Base!$K40+1,'EMBI+'!$A:$A,0))),INDEX('EMBI+'!$B:$B,MATCH(Base!$K40+2,'EMBI+'!$A:$A,0))),INDEX('EMBI+'!$B:$B,MATCH(Base!$K40+3,'EMBI+'!$A:$A,0)))/100</f>
        <v>1.69</v>
      </c>
      <c r="AB40" s="9">
        <v>22.696760000000001</v>
      </c>
      <c r="AC40" s="9">
        <f>3.91102+24.09916</f>
        <v>28.010180000000002</v>
      </c>
      <c r="AD40" s="9"/>
      <c r="AE40" s="9"/>
      <c r="AF40" s="2"/>
      <c r="AG40" s="2"/>
    </row>
    <row r="41" spans="1:33" x14ac:dyDescent="0.35">
      <c r="A41">
        <f t="shared" si="8"/>
        <v>39</v>
      </c>
      <c r="B41">
        <f>IF(G41="Bonds",COUNTIF($G$3:G41,"Bonds"),0)</f>
        <v>0</v>
      </c>
      <c r="C41" t="str">
        <f t="shared" si="13"/>
        <v>Andrade Gutierrez4295044046</v>
      </c>
      <c r="D41">
        <f t="shared" si="14"/>
        <v>4</v>
      </c>
      <c r="E41" s="9" t="s">
        <v>82</v>
      </c>
      <c r="F41" s="9" t="s">
        <v>83</v>
      </c>
      <c r="G41" s="9" t="s">
        <v>29</v>
      </c>
      <c r="H41">
        <f t="shared" si="1"/>
        <v>0</v>
      </c>
      <c r="I41" s="9" t="s">
        <v>85</v>
      </c>
      <c r="J41" s="1">
        <f t="shared" si="2"/>
        <v>2</v>
      </c>
      <c r="K41" s="2">
        <v>42950</v>
      </c>
      <c r="L41" s="2">
        <v>44046</v>
      </c>
      <c r="M41" s="10">
        <f t="shared" si="3"/>
        <v>3.0027397260273974</v>
      </c>
      <c r="N41" s="11">
        <f t="shared" si="4"/>
        <v>0</v>
      </c>
      <c r="O41" s="9" t="s">
        <v>47</v>
      </c>
      <c r="P41" t="str">
        <f t="shared" si="10"/>
        <v>0</v>
      </c>
      <c r="Q41" s="12">
        <v>88000</v>
      </c>
      <c r="R41" s="9">
        <v>1000</v>
      </c>
      <c r="S41" s="1" t="str">
        <f>IF($V41="USD",INDEX('Dólar Spot'!$B:$B,MATCH(Base!$K41,'Dólar Spot'!$A:$A,0)),"")</f>
        <v/>
      </c>
      <c r="T41" s="11">
        <f t="shared" si="17"/>
        <v>88000000</v>
      </c>
      <c r="U41" s="13">
        <f t="shared" si="5"/>
        <v>0.88</v>
      </c>
      <c r="V41" s="9" t="s">
        <v>44</v>
      </c>
      <c r="W41" s="9" t="s">
        <v>34</v>
      </c>
      <c r="X41">
        <f t="shared" si="11"/>
        <v>1</v>
      </c>
      <c r="Y41" s="1" t="str" cm="1">
        <f t="array" ref="Y41">INDEX(Ratings!$B$2:$M$42,_xlfn.XMATCH(Base!F41,Ratings!$A$2:$A$42),_xlfn.XMATCH(YEAR(Base!K41),Ratings!$B$1:$M$1))</f>
        <v>B-</v>
      </c>
      <c r="Z41">
        <f t="shared" si="12"/>
        <v>0</v>
      </c>
      <c r="AA41">
        <f>IFERROR(IFERROR(IFERROR(INDEX('EMBI+'!$B:$B,MATCH(Base!$K41,'EMBI+'!$A:$A,0)),INDEX('EMBI+'!$B:$B,MATCH(Base!$K41+1,'EMBI+'!$A:$A,0))),INDEX('EMBI+'!$B:$B,MATCH(Base!$K41+2,'EMBI+'!$A:$A,0))),INDEX('EMBI+'!$B:$B,MATCH(Base!$K41+3,'EMBI+'!$A:$A,0)))/100</f>
        <v>2.64</v>
      </c>
      <c r="AB41" s="9">
        <v>2.01288</v>
      </c>
      <c r="AC41" s="9">
        <f>1.45701+20.78668</f>
        <v>22.243690000000001</v>
      </c>
      <c r="AD41" s="9"/>
      <c r="AE41" s="9"/>
      <c r="AF41" s="2"/>
      <c r="AG41" s="2"/>
    </row>
    <row r="42" spans="1:33" x14ac:dyDescent="0.35">
      <c r="A42">
        <f t="shared" si="8"/>
        <v>40</v>
      </c>
      <c r="B42">
        <f>IF(G42="Bonds",COUNTIF($G$3:G42,"Bonds"),0)</f>
        <v>0</v>
      </c>
      <c r="C42" t="str">
        <f t="shared" si="13"/>
        <v>Andrade Gutierrez4107542901</v>
      </c>
      <c r="D42">
        <f t="shared" si="14"/>
        <v>4</v>
      </c>
      <c r="E42" s="9" t="s">
        <v>82</v>
      </c>
      <c r="F42" s="9" t="s">
        <v>83</v>
      </c>
      <c r="G42" s="9" t="s">
        <v>29</v>
      </c>
      <c r="H42">
        <f t="shared" si="1"/>
        <v>0</v>
      </c>
      <c r="I42" s="9" t="s">
        <v>86</v>
      </c>
      <c r="J42" s="1">
        <f t="shared" si="2"/>
        <v>3</v>
      </c>
      <c r="K42" s="2">
        <v>41075</v>
      </c>
      <c r="L42" s="2">
        <v>42901</v>
      </c>
      <c r="M42" s="10">
        <f t="shared" si="3"/>
        <v>5.0027397260273974</v>
      </c>
      <c r="N42" s="11">
        <f t="shared" si="4"/>
        <v>1</v>
      </c>
      <c r="O42" s="9" t="s">
        <v>47</v>
      </c>
      <c r="P42" t="str">
        <f t="shared" si="10"/>
        <v>0</v>
      </c>
      <c r="Q42" s="12">
        <v>8294</v>
      </c>
      <c r="R42" s="9">
        <v>10000</v>
      </c>
      <c r="S42" s="1" t="str">
        <f>IF($V42="USD",INDEX('Dólar Spot'!$B:$B,MATCH(Base!$K42,'Dólar Spot'!$A:$A,0)),"")</f>
        <v/>
      </c>
      <c r="T42" s="11">
        <f t="shared" si="17"/>
        <v>82940000</v>
      </c>
      <c r="U42" s="13">
        <f t="shared" si="5"/>
        <v>0.82940000000000003</v>
      </c>
      <c r="V42" s="9" t="s">
        <v>44</v>
      </c>
      <c r="W42" s="9" t="s">
        <v>34</v>
      </c>
      <c r="X42">
        <f t="shared" si="11"/>
        <v>1</v>
      </c>
      <c r="Y42" s="1" t="str" cm="1">
        <f t="array" ref="Y42">INDEX(Ratings!$B$2:$M$42,_xlfn.XMATCH(Base!F42,Ratings!$A$2:$A$42),_xlfn.XMATCH(YEAR(Base!K42),Ratings!$B$1:$M$1))</f>
        <v>BBB-</v>
      </c>
      <c r="Z42">
        <f t="shared" si="12"/>
        <v>1</v>
      </c>
      <c r="AA42">
        <f>IFERROR(IFERROR(IFERROR(INDEX('EMBI+'!$B:$B,MATCH(Base!$K42,'EMBI+'!$A:$A,0)),INDEX('EMBI+'!$B:$B,MATCH(Base!$K42+1,'EMBI+'!$A:$A,0))),INDEX('EMBI+'!$B:$B,MATCH(Base!$K42+2,'EMBI+'!$A:$A,0))),INDEX('EMBI+'!$B:$B,MATCH(Base!$K42+3,'EMBI+'!$A:$A,0)))/100</f>
        <v>2.0299999999999998</v>
      </c>
      <c r="AB42" s="9">
        <v>19.29823</v>
      </c>
      <c r="AC42" s="9">
        <f>10.35912+44.80322</f>
        <v>55.16234</v>
      </c>
      <c r="AD42" s="9"/>
      <c r="AE42" s="9"/>
      <c r="AF42" s="2"/>
      <c r="AG42" s="2"/>
    </row>
    <row r="43" spans="1:33" x14ac:dyDescent="0.35">
      <c r="A43">
        <f t="shared" si="8"/>
        <v>41</v>
      </c>
      <c r="B43">
        <f>IF(G43="Bonds",COUNTIF($G$3:G43,"Bonds"),0)</f>
        <v>0</v>
      </c>
      <c r="C43" t="str">
        <f t="shared" si="13"/>
        <v>Andrade Gutierrez4159342019</v>
      </c>
      <c r="D43">
        <f t="shared" si="14"/>
        <v>4</v>
      </c>
      <c r="E43" s="9" t="s">
        <v>82</v>
      </c>
      <c r="F43" s="9" t="s">
        <v>83</v>
      </c>
      <c r="G43" s="9" t="s">
        <v>29</v>
      </c>
      <c r="H43">
        <f t="shared" si="1"/>
        <v>0</v>
      </c>
      <c r="I43" s="9" t="s">
        <v>87</v>
      </c>
      <c r="J43" s="1">
        <f t="shared" si="2"/>
        <v>4</v>
      </c>
      <c r="K43" s="2">
        <v>41593</v>
      </c>
      <c r="L43" s="2">
        <v>42019</v>
      </c>
      <c r="M43" s="10">
        <f t="shared" si="3"/>
        <v>1.167123287671233</v>
      </c>
      <c r="N43" s="11">
        <f t="shared" si="4"/>
        <v>0</v>
      </c>
      <c r="O43" s="9" t="s">
        <v>47</v>
      </c>
      <c r="P43" t="str">
        <f t="shared" si="10"/>
        <v>0</v>
      </c>
      <c r="Q43" s="12">
        <v>18000</v>
      </c>
      <c r="R43" s="9">
        <v>10000</v>
      </c>
      <c r="S43" s="1" t="str">
        <f>IF($V43="USD",INDEX('Dólar Spot'!$B:$B,MATCH(Base!$K43,'Dólar Spot'!$A:$A,0)),"")</f>
        <v/>
      </c>
      <c r="T43" s="11">
        <f t="shared" si="17"/>
        <v>180000000</v>
      </c>
      <c r="U43" s="13">
        <f t="shared" si="5"/>
        <v>1.8</v>
      </c>
      <c r="V43" s="9" t="s">
        <v>44</v>
      </c>
      <c r="W43" s="9" t="s">
        <v>34</v>
      </c>
      <c r="X43">
        <f t="shared" si="11"/>
        <v>1</v>
      </c>
      <c r="Y43" s="1" t="str" cm="1">
        <f t="array" ref="Y43">INDEX(Ratings!$B$2:$M$42,_xlfn.XMATCH(Base!F43,Ratings!$A$2:$A$42),_xlfn.XMATCH(YEAR(Base!K43),Ratings!$B$1:$M$1))</f>
        <v>BBB-</v>
      </c>
      <c r="Z43">
        <f t="shared" si="12"/>
        <v>1</v>
      </c>
      <c r="AA43">
        <f>IFERROR(IFERROR(IFERROR(INDEX('EMBI+'!$B:$B,MATCH(Base!$K43,'EMBI+'!$A:$A,0)),INDEX('EMBI+'!$B:$B,MATCH(Base!$K43+1,'EMBI+'!$A:$A,0))),INDEX('EMBI+'!$B:$B,MATCH(Base!$K43+2,'EMBI+'!$A:$A,0))),INDEX('EMBI+'!$B:$B,MATCH(Base!$K43+3,'EMBI+'!$A:$A,0)))/100</f>
        <v>2.33</v>
      </c>
      <c r="AB43" s="9">
        <v>22.986630000000002</v>
      </c>
      <c r="AC43" s="9">
        <f>1.83561+25.80625</f>
        <v>27.641859999999998</v>
      </c>
      <c r="AD43" s="9"/>
      <c r="AE43" s="9"/>
      <c r="AF43" s="2"/>
      <c r="AG43" s="2"/>
    </row>
    <row r="44" spans="1:33" x14ac:dyDescent="0.35">
      <c r="A44">
        <f t="shared" si="8"/>
        <v>42</v>
      </c>
      <c r="B44">
        <f>IF(G44="Bonds",COUNTIF($G$3:G44,"Bonds"),0)</f>
        <v>0</v>
      </c>
      <c r="C44" t="str">
        <f t="shared" si="13"/>
        <v>Andrade Gutierrez4380846000</v>
      </c>
      <c r="D44">
        <f t="shared" si="14"/>
        <v>4</v>
      </c>
      <c r="E44" s="9" t="s">
        <v>82</v>
      </c>
      <c r="F44" s="9" t="s">
        <v>83</v>
      </c>
      <c r="G44" s="9" t="s">
        <v>29</v>
      </c>
      <c r="H44">
        <f t="shared" si="1"/>
        <v>0</v>
      </c>
      <c r="I44" s="9" t="s">
        <v>88</v>
      </c>
      <c r="J44" s="1">
        <f t="shared" si="2"/>
        <v>5</v>
      </c>
      <c r="K44" s="2">
        <v>43808</v>
      </c>
      <c r="L44" s="2">
        <v>46000</v>
      </c>
      <c r="M44" s="10">
        <f t="shared" si="3"/>
        <v>6.0054794520547947</v>
      </c>
      <c r="N44" s="11">
        <f t="shared" si="4"/>
        <v>1</v>
      </c>
      <c r="O44" s="9" t="s">
        <v>31</v>
      </c>
      <c r="P44" t="str">
        <f t="shared" si="10"/>
        <v>1</v>
      </c>
      <c r="Q44" s="12">
        <v>550000</v>
      </c>
      <c r="R44" s="9">
        <v>1000</v>
      </c>
      <c r="S44" s="1" t="str">
        <f>IF($V44="USD",INDEX('Dólar Spot'!$B:$B,MATCH(Base!$K44,'Dólar Spot'!$A:$A,0)),"")</f>
        <v/>
      </c>
      <c r="T44" s="11">
        <f t="shared" si="17"/>
        <v>550000000</v>
      </c>
      <c r="U44" s="13">
        <f t="shared" si="5"/>
        <v>5.5</v>
      </c>
      <c r="V44" s="9" t="s">
        <v>44</v>
      </c>
      <c r="W44" s="9" t="s">
        <v>34</v>
      </c>
      <c r="X44">
        <f t="shared" si="11"/>
        <v>1</v>
      </c>
      <c r="Y44" s="1" t="str" cm="1">
        <f t="array" ref="Y44">INDEX(Ratings!$B$2:$M$42,_xlfn.XMATCH(Base!F44,Ratings!$A$2:$A$42),_xlfn.XMATCH(YEAR(Base!K44),Ratings!$B$1:$M$1))</f>
        <v>CCC-</v>
      </c>
      <c r="Z44">
        <f t="shared" si="12"/>
        <v>0</v>
      </c>
      <c r="AA44">
        <f>IFERROR(IFERROR(IFERROR(INDEX('EMBI+'!$B:$B,MATCH(Base!$K44,'EMBI+'!$A:$A,0)),INDEX('EMBI+'!$B:$B,MATCH(Base!$K44+1,'EMBI+'!$A:$A,0))),INDEX('EMBI+'!$B:$B,MATCH(Base!$K44+2,'EMBI+'!$A:$A,0))),INDEX('EMBI+'!$B:$B,MATCH(Base!$K44+3,'EMBI+'!$A:$A,0)))/100</f>
        <v>2.31</v>
      </c>
      <c r="AB44" s="9">
        <v>-3.0620099999999999</v>
      </c>
      <c r="AC44" s="9">
        <f>1.95206+19.99791</f>
        <v>21.94997</v>
      </c>
      <c r="AD44" s="9"/>
      <c r="AE44" s="9"/>
      <c r="AF44" s="2"/>
      <c r="AG44" s="2"/>
    </row>
    <row r="45" spans="1:33" x14ac:dyDescent="0.35">
      <c r="A45">
        <f t="shared" si="8"/>
        <v>43</v>
      </c>
      <c r="B45">
        <f>IF(G45="Bonds",COUNTIF($G$3:G45,"Bonds"),0)</f>
        <v>0</v>
      </c>
      <c r="C45" t="str">
        <f t="shared" si="13"/>
        <v>Andrade Gutierrez4107543631</v>
      </c>
      <c r="D45">
        <f t="shared" si="14"/>
        <v>4</v>
      </c>
      <c r="E45" s="9" t="s">
        <v>82</v>
      </c>
      <c r="F45" s="9" t="s">
        <v>83</v>
      </c>
      <c r="G45" s="9" t="s">
        <v>29</v>
      </c>
      <c r="H45">
        <f t="shared" si="1"/>
        <v>0</v>
      </c>
      <c r="I45" s="9" t="s">
        <v>89</v>
      </c>
      <c r="J45" s="1">
        <f t="shared" si="2"/>
        <v>6</v>
      </c>
      <c r="K45" s="2">
        <v>41075</v>
      </c>
      <c r="L45" s="2">
        <v>43631</v>
      </c>
      <c r="M45" s="10">
        <f t="shared" si="3"/>
        <v>7.0027397260273974</v>
      </c>
      <c r="N45" s="11">
        <f t="shared" si="4"/>
        <v>1</v>
      </c>
      <c r="O45" s="9" t="s">
        <v>47</v>
      </c>
      <c r="P45" t="str">
        <f t="shared" si="10"/>
        <v>0</v>
      </c>
      <c r="Q45" s="12">
        <v>7845</v>
      </c>
      <c r="R45" s="9">
        <v>10000</v>
      </c>
      <c r="S45" s="1" t="str">
        <f>IF($V45="USD",INDEX('Dólar Spot'!$B:$B,MATCH(Base!$K45,'Dólar Spot'!$A:$A,0)),"")</f>
        <v/>
      </c>
      <c r="T45" s="11">
        <f t="shared" si="17"/>
        <v>78450000</v>
      </c>
      <c r="U45" s="13">
        <f t="shared" si="5"/>
        <v>0.78449999999999998</v>
      </c>
      <c r="V45" s="9" t="s">
        <v>44</v>
      </c>
      <c r="W45" s="9" t="s">
        <v>34</v>
      </c>
      <c r="X45">
        <f t="shared" si="11"/>
        <v>1</v>
      </c>
      <c r="Y45" s="1" t="str" cm="1">
        <f t="array" ref="Y45">INDEX(Ratings!$B$2:$M$42,_xlfn.XMATCH(Base!F45,Ratings!$A$2:$A$42),_xlfn.XMATCH(YEAR(Base!K45),Ratings!$B$1:$M$1))</f>
        <v>BBB-</v>
      </c>
      <c r="Z45">
        <f t="shared" si="12"/>
        <v>1</v>
      </c>
      <c r="AA45">
        <f>IFERROR(IFERROR(IFERROR(INDEX('EMBI+'!$B:$B,MATCH(Base!$K45,'EMBI+'!$A:$A,0)),INDEX('EMBI+'!$B:$B,MATCH(Base!$K45+1,'EMBI+'!$A:$A,0))),INDEX('EMBI+'!$B:$B,MATCH(Base!$K45+2,'EMBI+'!$A:$A,0))),INDEX('EMBI+'!$B:$B,MATCH(Base!$K45+3,'EMBI+'!$A:$A,0)))/100</f>
        <v>2.0299999999999998</v>
      </c>
      <c r="AB45" s="9">
        <v>19.29823</v>
      </c>
      <c r="AC45" s="9">
        <f t="shared" ref="AC45:AC46" si="18">10.35912+44.80322</f>
        <v>55.16234</v>
      </c>
      <c r="AD45" s="9"/>
      <c r="AE45" s="9"/>
      <c r="AF45" s="2"/>
      <c r="AG45" s="2"/>
    </row>
    <row r="46" spans="1:33" x14ac:dyDescent="0.35">
      <c r="A46">
        <f t="shared" si="8"/>
        <v>44</v>
      </c>
      <c r="B46">
        <f>IF(G46="Bonds",COUNTIF($G$3:G46,"Bonds"),0)</f>
        <v>0</v>
      </c>
      <c r="C46" t="str">
        <f t="shared" si="13"/>
        <v>Andrade Gutierrez4107544727</v>
      </c>
      <c r="D46">
        <f t="shared" si="14"/>
        <v>4</v>
      </c>
      <c r="E46" s="9" t="s">
        <v>82</v>
      </c>
      <c r="F46" s="9" t="s">
        <v>83</v>
      </c>
      <c r="G46" s="9" t="s">
        <v>29</v>
      </c>
      <c r="H46">
        <f t="shared" si="1"/>
        <v>0</v>
      </c>
      <c r="I46" s="9" t="s">
        <v>90</v>
      </c>
      <c r="J46" s="1">
        <f t="shared" si="2"/>
        <v>7</v>
      </c>
      <c r="K46" s="2">
        <v>41075</v>
      </c>
      <c r="L46" s="2">
        <v>44727</v>
      </c>
      <c r="M46" s="10">
        <f t="shared" si="3"/>
        <v>10.005479452054795</v>
      </c>
      <c r="N46" s="11">
        <f t="shared" si="4"/>
        <v>1</v>
      </c>
      <c r="O46" s="9" t="s">
        <v>47</v>
      </c>
      <c r="P46" t="str">
        <f t="shared" si="10"/>
        <v>0</v>
      </c>
      <c r="Q46" s="12">
        <v>47806</v>
      </c>
      <c r="R46" s="9">
        <v>10000</v>
      </c>
      <c r="S46" s="1" t="str">
        <f>IF($V46="USD",INDEX('Dólar Spot'!$B:$B,MATCH(Base!$K46,'Dólar Spot'!$A:$A,0)),"")</f>
        <v/>
      </c>
      <c r="T46" s="11">
        <f t="shared" si="17"/>
        <v>478060000</v>
      </c>
      <c r="U46" s="13">
        <f t="shared" si="5"/>
        <v>4.7805999999999997</v>
      </c>
      <c r="V46" s="9" t="s">
        <v>32</v>
      </c>
      <c r="W46" s="9" t="s">
        <v>34</v>
      </c>
      <c r="X46">
        <f t="shared" si="11"/>
        <v>1</v>
      </c>
      <c r="Y46" s="1" t="str" cm="1">
        <f t="array" ref="Y46">INDEX(Ratings!$B$2:$M$42,_xlfn.XMATCH(Base!F46,Ratings!$A$2:$A$42),_xlfn.XMATCH(YEAR(Base!K46),Ratings!$B$1:$M$1))</f>
        <v>BBB-</v>
      </c>
      <c r="Z46">
        <f t="shared" si="12"/>
        <v>1</v>
      </c>
      <c r="AA46">
        <f>IFERROR(IFERROR(IFERROR(INDEX('EMBI+'!$B:$B,MATCH(Base!$K46,'EMBI+'!$A:$A,0)),INDEX('EMBI+'!$B:$B,MATCH(Base!$K46+1,'EMBI+'!$A:$A,0))),INDEX('EMBI+'!$B:$B,MATCH(Base!$K46+2,'EMBI+'!$A:$A,0))),INDEX('EMBI+'!$B:$B,MATCH(Base!$K46+3,'EMBI+'!$A:$A,0)))/100</f>
        <v>2.0299999999999998</v>
      </c>
      <c r="AB46" s="9">
        <v>19.29823</v>
      </c>
      <c r="AC46" s="9">
        <f t="shared" si="18"/>
        <v>55.16234</v>
      </c>
      <c r="AD46" s="9"/>
      <c r="AE46" s="9"/>
      <c r="AF46" s="2"/>
      <c r="AG46" s="2"/>
    </row>
    <row r="47" spans="1:33" x14ac:dyDescent="0.35">
      <c r="A47">
        <f t="shared" si="8"/>
        <v>45</v>
      </c>
      <c r="B47">
        <f>IF(G47="Bonds",COUNTIF($G$3:G47,"Bonds"),0)</f>
        <v>0</v>
      </c>
      <c r="C47" t="str">
        <f t="shared" si="13"/>
        <v>Andrade Gutierrez4125341983</v>
      </c>
      <c r="D47">
        <f t="shared" si="14"/>
        <v>4</v>
      </c>
      <c r="E47" s="9" t="s">
        <v>91</v>
      </c>
      <c r="F47" s="9" t="s">
        <v>83</v>
      </c>
      <c r="G47" s="9" t="s">
        <v>29</v>
      </c>
      <c r="H47">
        <f t="shared" si="1"/>
        <v>0</v>
      </c>
      <c r="I47" s="9" t="s">
        <v>92</v>
      </c>
      <c r="J47" s="1">
        <f t="shared" si="2"/>
        <v>8</v>
      </c>
      <c r="K47" s="2">
        <v>41253</v>
      </c>
      <c r="L47" s="2">
        <v>41983</v>
      </c>
      <c r="M47" s="10">
        <f t="shared" si="3"/>
        <v>2</v>
      </c>
      <c r="N47" s="11">
        <f t="shared" si="4"/>
        <v>0</v>
      </c>
      <c r="O47" s="9" t="s">
        <v>47</v>
      </c>
      <c r="P47" t="str">
        <f t="shared" si="10"/>
        <v>0</v>
      </c>
      <c r="Q47" s="12">
        <v>400000</v>
      </c>
      <c r="R47" s="9">
        <v>1000</v>
      </c>
      <c r="S47" s="1" t="str">
        <f>IF($V47="USD",INDEX('Dólar Spot'!$B:$B,MATCH(Base!$K47,'Dólar Spot'!$A:$A,0)),"")</f>
        <v/>
      </c>
      <c r="T47" s="11">
        <f t="shared" si="17"/>
        <v>400000000</v>
      </c>
      <c r="U47" s="13">
        <f t="shared" si="5"/>
        <v>4</v>
      </c>
      <c r="V47" s="9" t="s">
        <v>44</v>
      </c>
      <c r="W47" s="9" t="s">
        <v>34</v>
      </c>
      <c r="X47">
        <f t="shared" si="11"/>
        <v>1</v>
      </c>
      <c r="Y47" s="1" t="str" cm="1">
        <f t="array" ref="Y47">INDEX(Ratings!$B$2:$M$42,_xlfn.XMATCH(Base!F47,Ratings!$A$2:$A$42),_xlfn.XMATCH(YEAR(Base!K47),Ratings!$B$1:$M$1))</f>
        <v>BBB-</v>
      </c>
      <c r="Z47">
        <f t="shared" si="12"/>
        <v>1</v>
      </c>
      <c r="AA47">
        <f>IFERROR(IFERROR(IFERROR(INDEX('EMBI+'!$B:$B,MATCH(Base!$K47,'EMBI+'!$A:$A,0)),INDEX('EMBI+'!$B:$B,MATCH(Base!$K47+1,'EMBI+'!$A:$A,0))),INDEX('EMBI+'!$B:$B,MATCH(Base!$K47+2,'EMBI+'!$A:$A,0))),INDEX('EMBI+'!$B:$B,MATCH(Base!$K47+3,'EMBI+'!$A:$A,0)))/100</f>
        <v>1.55</v>
      </c>
      <c r="AB47" s="9">
        <v>22.696760000000001</v>
      </c>
      <c r="AC47" s="9">
        <f t="shared" ref="AC47" si="19">3.91102+24.09916</f>
        <v>28.010180000000002</v>
      </c>
      <c r="AD47" s="9"/>
      <c r="AE47" s="9"/>
      <c r="AF47" s="2"/>
      <c r="AG47" s="2"/>
    </row>
    <row r="48" spans="1:33" x14ac:dyDescent="0.35">
      <c r="A48">
        <f t="shared" si="8"/>
        <v>46</v>
      </c>
      <c r="B48">
        <f>IF(G48="Bonds",COUNTIF($G$3:G48,"Bonds"),0)</f>
        <v>0</v>
      </c>
      <c r="C48" t="str">
        <f t="shared" si="13"/>
        <v>Andrade Gutierrez4162542355</v>
      </c>
      <c r="D48">
        <f t="shared" si="14"/>
        <v>4</v>
      </c>
      <c r="E48" s="9" t="s">
        <v>91</v>
      </c>
      <c r="F48" s="9" t="s">
        <v>83</v>
      </c>
      <c r="G48" s="9" t="s">
        <v>29</v>
      </c>
      <c r="H48">
        <f t="shared" si="1"/>
        <v>0</v>
      </c>
      <c r="I48" s="9" t="s">
        <v>93</v>
      </c>
      <c r="J48" s="1">
        <f t="shared" si="2"/>
        <v>9</v>
      </c>
      <c r="K48" s="2">
        <v>41625</v>
      </c>
      <c r="L48" s="2">
        <v>42355</v>
      </c>
      <c r="M48" s="10">
        <f t="shared" si="3"/>
        <v>2</v>
      </c>
      <c r="N48" s="11">
        <f t="shared" si="4"/>
        <v>0</v>
      </c>
      <c r="O48" s="9" t="s">
        <v>47</v>
      </c>
      <c r="P48" t="str">
        <f t="shared" si="10"/>
        <v>0</v>
      </c>
      <c r="Q48" s="12">
        <v>43000</v>
      </c>
      <c r="R48" s="9">
        <v>10000</v>
      </c>
      <c r="S48" s="1" t="str">
        <f>IF($V48="USD",INDEX('Dólar Spot'!$B:$B,MATCH(Base!$K48,'Dólar Spot'!$A:$A,0)),"")</f>
        <v/>
      </c>
      <c r="T48" s="11">
        <f t="shared" si="17"/>
        <v>430000000</v>
      </c>
      <c r="U48" s="13">
        <f t="shared" si="5"/>
        <v>4.3</v>
      </c>
      <c r="V48" s="9" t="s">
        <v>44</v>
      </c>
      <c r="W48" s="9" t="s">
        <v>34</v>
      </c>
      <c r="X48">
        <f t="shared" si="11"/>
        <v>1</v>
      </c>
      <c r="Y48" s="1" t="str" cm="1">
        <f t="array" ref="Y48">INDEX(Ratings!$B$2:$M$42,_xlfn.XMATCH(Base!F48,Ratings!$A$2:$A$42),_xlfn.XMATCH(YEAR(Base!K48),Ratings!$B$1:$M$1))</f>
        <v>BBB-</v>
      </c>
      <c r="Z48">
        <f t="shared" si="12"/>
        <v>1</v>
      </c>
      <c r="AA48">
        <f>IFERROR(IFERROR(IFERROR(INDEX('EMBI+'!$B:$B,MATCH(Base!$K48,'EMBI+'!$A:$A,0)),INDEX('EMBI+'!$B:$B,MATCH(Base!$K48+1,'EMBI+'!$A:$A,0))),INDEX('EMBI+'!$B:$B,MATCH(Base!$K48+2,'EMBI+'!$A:$A,0))),INDEX('EMBI+'!$B:$B,MATCH(Base!$K48+3,'EMBI+'!$A:$A,0)))/100</f>
        <v>2.38</v>
      </c>
      <c r="AB48" s="9">
        <v>22.986630000000002</v>
      </c>
      <c r="AC48" s="9">
        <f>1.83561+25.80625</f>
        <v>27.641859999999998</v>
      </c>
      <c r="AD48" s="9"/>
      <c r="AE48" s="9"/>
      <c r="AF48" s="2"/>
      <c r="AG48" s="2"/>
    </row>
    <row r="49" spans="1:33" x14ac:dyDescent="0.35">
      <c r="A49">
        <f t="shared" si="8"/>
        <v>47</v>
      </c>
      <c r="B49">
        <f>IF(G49="Bonds",COUNTIF($G$3:G49,"Bonds"),0)</f>
        <v>0</v>
      </c>
      <c r="C49" t="str">
        <f t="shared" si="13"/>
        <v>Andrade Gutierrez4196243058</v>
      </c>
      <c r="D49">
        <f t="shared" si="14"/>
        <v>4</v>
      </c>
      <c r="E49" s="9" t="s">
        <v>91</v>
      </c>
      <c r="F49" s="9" t="s">
        <v>83</v>
      </c>
      <c r="G49" s="9" t="s">
        <v>29</v>
      </c>
      <c r="H49">
        <f t="shared" si="1"/>
        <v>0</v>
      </c>
      <c r="I49" s="9" t="s">
        <v>94</v>
      </c>
      <c r="J49" s="1">
        <f t="shared" si="2"/>
        <v>10</v>
      </c>
      <c r="K49" s="2">
        <v>41962</v>
      </c>
      <c r="L49" s="2">
        <v>43058</v>
      </c>
      <c r="M49" s="10">
        <f t="shared" si="3"/>
        <v>3.0027397260273974</v>
      </c>
      <c r="N49" s="11">
        <f t="shared" si="4"/>
        <v>0</v>
      </c>
      <c r="O49" s="9" t="s">
        <v>47</v>
      </c>
      <c r="P49" t="str">
        <f t="shared" si="10"/>
        <v>0</v>
      </c>
      <c r="Q49" s="12">
        <v>600000</v>
      </c>
      <c r="R49" s="9">
        <v>1000</v>
      </c>
      <c r="S49" s="1" t="str">
        <f>IF($V49="USD",INDEX('Dólar Spot'!$B:$B,MATCH(Base!$K49,'Dólar Spot'!$A:$A,0)),"")</f>
        <v/>
      </c>
      <c r="T49" s="11">
        <f t="shared" si="17"/>
        <v>600000000</v>
      </c>
      <c r="U49" s="13">
        <f t="shared" si="5"/>
        <v>6</v>
      </c>
      <c r="V49" s="9" t="s">
        <v>44</v>
      </c>
      <c r="W49" s="9" t="s">
        <v>34</v>
      </c>
      <c r="X49">
        <f t="shared" si="11"/>
        <v>1</v>
      </c>
      <c r="Y49" s="1" t="str" cm="1">
        <f t="array" ref="Y49">INDEX(Ratings!$B$2:$M$42,_xlfn.XMATCH(Base!F49,Ratings!$A$2:$A$42),_xlfn.XMATCH(YEAR(Base!K49),Ratings!$B$1:$M$1))</f>
        <v>BBB-</v>
      </c>
      <c r="Z49">
        <f t="shared" si="12"/>
        <v>1</v>
      </c>
      <c r="AA49">
        <f>IFERROR(IFERROR(IFERROR(INDEX('EMBI+'!$B:$B,MATCH(Base!$K49,'EMBI+'!$A:$A,0)),INDEX('EMBI+'!$B:$B,MATCH(Base!$K49+1,'EMBI+'!$A:$A,0))),INDEX('EMBI+'!$B:$B,MATCH(Base!$K49+2,'EMBI+'!$A:$A,0))),INDEX('EMBI+'!$B:$B,MATCH(Base!$K49+3,'EMBI+'!$A:$A,0)))/100</f>
        <v>2.5499999999999998</v>
      </c>
      <c r="AB49" s="9">
        <v>29.261839999999999</v>
      </c>
      <c r="AC49" s="9">
        <f>4.25909+20.1532</f>
        <v>24.412289999999999</v>
      </c>
      <c r="AD49" s="9"/>
      <c r="AE49" s="9"/>
      <c r="AF49" s="2"/>
      <c r="AG49" s="2"/>
    </row>
    <row r="50" spans="1:33" x14ac:dyDescent="0.35">
      <c r="A50">
        <f t="shared" si="8"/>
        <v>48</v>
      </c>
      <c r="B50">
        <f>IF(G50="Bonds",COUNTIF($G$3:G50,"Bonds"),0)</f>
        <v>0</v>
      </c>
      <c r="C50" t="str">
        <f t="shared" si="13"/>
        <v>Andrade Gutierrez4332745884</v>
      </c>
      <c r="D50">
        <f t="shared" si="14"/>
        <v>4</v>
      </c>
      <c r="E50" s="9" t="s">
        <v>91</v>
      </c>
      <c r="F50" s="9" t="s">
        <v>83</v>
      </c>
      <c r="G50" s="9" t="s">
        <v>29</v>
      </c>
      <c r="H50">
        <f t="shared" si="1"/>
        <v>0</v>
      </c>
      <c r="I50" s="9" t="s">
        <v>95</v>
      </c>
      <c r="J50" s="1">
        <f t="shared" si="2"/>
        <v>11</v>
      </c>
      <c r="K50" s="2">
        <v>43327</v>
      </c>
      <c r="L50" s="2">
        <v>45884</v>
      </c>
      <c r="M50" s="10">
        <f t="shared" si="3"/>
        <v>7.0054794520547947</v>
      </c>
      <c r="N50" s="11">
        <f t="shared" si="4"/>
        <v>1</v>
      </c>
      <c r="O50" s="9" t="s">
        <v>47</v>
      </c>
      <c r="P50" t="str">
        <f t="shared" si="10"/>
        <v>0</v>
      </c>
      <c r="Q50" s="12">
        <v>252000</v>
      </c>
      <c r="R50" s="9">
        <v>1000</v>
      </c>
      <c r="S50" s="1" t="str">
        <f>IF($V50="USD",INDEX('Dólar Spot'!$B:$B,MATCH(Base!$K50,'Dólar Spot'!$A:$A,0)),"")</f>
        <v/>
      </c>
      <c r="T50" s="11">
        <f t="shared" si="17"/>
        <v>252000000</v>
      </c>
      <c r="U50" s="13">
        <f t="shared" si="5"/>
        <v>2.52</v>
      </c>
      <c r="V50" s="9" t="s">
        <v>44</v>
      </c>
      <c r="W50" s="9" t="s">
        <v>34</v>
      </c>
      <c r="X50">
        <f t="shared" si="11"/>
        <v>1</v>
      </c>
      <c r="Y50" s="1" t="str" cm="1">
        <f t="array" ref="Y50">INDEX(Ratings!$B$2:$M$42,_xlfn.XMATCH(Base!F50,Ratings!$A$2:$A$42),_xlfn.XMATCH(YEAR(Base!K50),Ratings!$B$1:$M$1))</f>
        <v>CCC-</v>
      </c>
      <c r="Z50">
        <f t="shared" si="12"/>
        <v>0</v>
      </c>
      <c r="AA50">
        <f>IFERROR(IFERROR(IFERROR(INDEX('EMBI+'!$B:$B,MATCH(Base!$K50,'EMBI+'!$A:$A,0)),INDEX('EMBI+'!$B:$B,MATCH(Base!$K50+1,'EMBI+'!$A:$A,0))),INDEX('EMBI+'!$B:$B,MATCH(Base!$K50+2,'EMBI+'!$A:$A,0))),INDEX('EMBI+'!$B:$B,MATCH(Base!$K50+3,'EMBI+'!$A:$A,0)))/100</f>
        <v>3.06</v>
      </c>
      <c r="AB50" s="9">
        <v>-3.0620099999999999</v>
      </c>
      <c r="AC50" s="9">
        <f>1.95206+19.99791</f>
        <v>21.94997</v>
      </c>
      <c r="AD50" s="9"/>
      <c r="AE50" s="9"/>
      <c r="AF50" s="2"/>
      <c r="AG50" s="2"/>
    </row>
    <row r="51" spans="1:33" x14ac:dyDescent="0.35">
      <c r="A51">
        <f t="shared" si="8"/>
        <v>49</v>
      </c>
      <c r="B51">
        <f>IF(G51="Bonds",COUNTIF($G$3:G51,"Bonds"),0)</f>
        <v>6</v>
      </c>
      <c r="C51" t="str">
        <f t="shared" si="13"/>
        <v>Andrade Gutierrez4380830/12/2024</v>
      </c>
      <c r="D51">
        <f t="shared" si="14"/>
        <v>4</v>
      </c>
      <c r="E51" s="9" t="s">
        <v>96</v>
      </c>
      <c r="F51" s="9" t="s">
        <v>83</v>
      </c>
      <c r="G51" s="9" t="s">
        <v>37</v>
      </c>
      <c r="H51">
        <f t="shared" si="1"/>
        <v>1</v>
      </c>
      <c r="I51" s="9"/>
      <c r="J51" s="1">
        <f t="shared" si="2"/>
        <v>12</v>
      </c>
      <c r="K51" s="2">
        <v>43808</v>
      </c>
      <c r="L51" s="2" t="s">
        <v>97</v>
      </c>
      <c r="M51" s="10">
        <f t="shared" si="3"/>
        <v>5.0630136986301366</v>
      </c>
      <c r="N51" s="11">
        <f t="shared" si="4"/>
        <v>1</v>
      </c>
      <c r="O51" s="9" t="s">
        <v>98</v>
      </c>
      <c r="P51" t="str">
        <f t="shared" si="10"/>
        <v>1</v>
      </c>
      <c r="Q51" s="9"/>
      <c r="R51" s="9"/>
      <c r="S51" s="1">
        <f>IF($V51="USD",INDEX('Dólar Spot'!$B:$B,MATCH(Base!$K51,'Dólar Spot'!$A:$A,0)),"")</f>
        <v>4.1497000000000002</v>
      </c>
      <c r="T51" s="12">
        <v>480000000</v>
      </c>
      <c r="U51" s="13">
        <f t="shared" si="5"/>
        <v>19.918559999999999</v>
      </c>
      <c r="V51" s="9" t="s">
        <v>40</v>
      </c>
      <c r="W51" s="9" t="s">
        <v>34</v>
      </c>
      <c r="X51">
        <f t="shared" si="11"/>
        <v>1</v>
      </c>
      <c r="Y51" s="1" t="str" cm="1">
        <f t="array" ref="Y51">INDEX(Ratings!$B$2:$M$42,_xlfn.XMATCH(Base!F51,Ratings!$A$2:$A$42),_xlfn.XMATCH(YEAR(Base!K51),Ratings!$B$1:$M$1))</f>
        <v>CCC-</v>
      </c>
      <c r="Z51">
        <f t="shared" si="12"/>
        <v>0</v>
      </c>
      <c r="AA51">
        <f>IFERROR(IFERROR(IFERROR(INDEX('EMBI+'!$B:$B,MATCH(Base!$K51,'EMBI+'!$A:$A,0)),INDEX('EMBI+'!$B:$B,MATCH(Base!$K51+1,'EMBI+'!$A:$A,0))),INDEX('EMBI+'!$B:$B,MATCH(Base!$K51+2,'EMBI+'!$A:$A,0))),INDEX('EMBI+'!$B:$B,MATCH(Base!$K51+3,'EMBI+'!$A:$A,0)))/100</f>
        <v>2.31</v>
      </c>
      <c r="AB51" s="9">
        <v>1.5979099999999999</v>
      </c>
      <c r="AC51" s="9">
        <f>1.73048+19.97747</f>
        <v>21.70795</v>
      </c>
      <c r="AD51" s="9"/>
      <c r="AE51" s="9"/>
      <c r="AF51" s="2"/>
      <c r="AG51" s="2"/>
    </row>
    <row r="52" spans="1:33" x14ac:dyDescent="0.35">
      <c r="A52">
        <f t="shared" si="8"/>
        <v>50</v>
      </c>
      <c r="B52">
        <f>IF(G52="Bonds",COUNTIF($G$3:G52,"Bonds"),0)</f>
        <v>0</v>
      </c>
      <c r="C52" t="str">
        <f t="shared" si="13"/>
        <v>Azul Linhas Aéreas4070941805</v>
      </c>
      <c r="D52">
        <f t="shared" si="14"/>
        <v>5</v>
      </c>
      <c r="E52" s="9" t="s">
        <v>99</v>
      </c>
      <c r="F52" s="9" t="s">
        <v>100</v>
      </c>
      <c r="G52" s="9" t="s">
        <v>29</v>
      </c>
      <c r="H52">
        <f t="shared" si="1"/>
        <v>0</v>
      </c>
      <c r="I52" s="9" t="s">
        <v>101</v>
      </c>
      <c r="J52" s="1">
        <f t="shared" si="2"/>
        <v>1</v>
      </c>
      <c r="K52" s="2">
        <v>40709</v>
      </c>
      <c r="L52" s="2">
        <v>41805</v>
      </c>
      <c r="M52" s="10">
        <f t="shared" si="3"/>
        <v>3.0027397260273974</v>
      </c>
      <c r="N52" s="11">
        <f t="shared" si="4"/>
        <v>0</v>
      </c>
      <c r="O52" s="9" t="s">
        <v>47</v>
      </c>
      <c r="P52" t="str">
        <f t="shared" si="10"/>
        <v>0</v>
      </c>
      <c r="Q52" s="12">
        <v>300</v>
      </c>
      <c r="R52" s="9">
        <v>1000000</v>
      </c>
      <c r="S52" s="1" t="str">
        <f>IF($V52="USD",INDEX('Dólar Spot'!$B:$B,MATCH(Base!$K52,'Dólar Spot'!$A:$A,0)),"")</f>
        <v/>
      </c>
      <c r="T52" s="11">
        <f t="shared" ref="T52:T61" si="20">Q52*R52</f>
        <v>300000000</v>
      </c>
      <c r="U52" s="13">
        <f t="shared" si="5"/>
        <v>3</v>
      </c>
      <c r="V52" s="9" t="s">
        <v>44</v>
      </c>
      <c r="W52" s="9" t="s">
        <v>34</v>
      </c>
      <c r="X52">
        <f t="shared" si="11"/>
        <v>1</v>
      </c>
      <c r="Y52" s="1" t="str" cm="1">
        <f t="array" ref="Y52">INDEX(Ratings!$B$2:$M$42,_xlfn.XMATCH(Base!F52,Ratings!$A$2:$A$42),_xlfn.XMATCH(YEAR(Base!K52),Ratings!$B$1:$M$1))</f>
        <v>NR</v>
      </c>
      <c r="Z52">
        <f t="shared" si="12"/>
        <v>0</v>
      </c>
      <c r="AA52">
        <f>IFERROR(IFERROR(IFERROR(INDEX('EMBI+'!$B:$B,MATCH(Base!$K52,'EMBI+'!$A:$A,0)),INDEX('EMBI+'!$B:$B,MATCH(Base!$K52+1,'EMBI+'!$A:$A,0))),INDEX('EMBI+'!$B:$B,MATCH(Base!$K52+2,'EMBI+'!$A:$A,0))),INDEX('EMBI+'!$B:$B,MATCH(Base!$K52+3,'EMBI+'!$A:$A,0)))/100</f>
        <v>1.74</v>
      </c>
      <c r="AB52" s="9">
        <v>10.019869999999999</v>
      </c>
      <c r="AC52" s="9">
        <v>40.344949999999997</v>
      </c>
      <c r="AD52" s="9"/>
      <c r="AE52" s="9"/>
      <c r="AF52" s="2"/>
      <c r="AG52" s="2"/>
    </row>
    <row r="53" spans="1:33" x14ac:dyDescent="0.35">
      <c r="A53">
        <f t="shared" si="8"/>
        <v>51</v>
      </c>
      <c r="B53">
        <f>IF(G53="Bonds",COUNTIF($G$3:G53,"Bonds"),0)</f>
        <v>0</v>
      </c>
      <c r="C53" t="str">
        <f t="shared" si="13"/>
        <v>Azul Linhas Aéreas4117742272</v>
      </c>
      <c r="D53">
        <f t="shared" si="14"/>
        <v>5</v>
      </c>
      <c r="E53" s="9" t="s">
        <v>99</v>
      </c>
      <c r="F53" s="9" t="s">
        <v>100</v>
      </c>
      <c r="G53" s="9" t="s">
        <v>29</v>
      </c>
      <c r="H53">
        <f t="shared" si="1"/>
        <v>0</v>
      </c>
      <c r="I53" s="9" t="s">
        <v>102</v>
      </c>
      <c r="J53" s="1">
        <f t="shared" si="2"/>
        <v>2</v>
      </c>
      <c r="K53" s="2">
        <v>41177</v>
      </c>
      <c r="L53" s="2">
        <v>42272</v>
      </c>
      <c r="M53" s="10">
        <f t="shared" si="3"/>
        <v>3</v>
      </c>
      <c r="N53" s="11">
        <f t="shared" si="4"/>
        <v>0</v>
      </c>
      <c r="O53" s="9" t="s">
        <v>47</v>
      </c>
      <c r="P53" t="str">
        <f t="shared" si="10"/>
        <v>0</v>
      </c>
      <c r="Q53" s="12">
        <v>100</v>
      </c>
      <c r="R53" s="9">
        <v>1000000</v>
      </c>
      <c r="S53" s="1" t="str">
        <f>IF($V53="USD",INDEX('Dólar Spot'!$B:$B,MATCH(Base!$K53,'Dólar Spot'!$A:$A,0)),"")</f>
        <v/>
      </c>
      <c r="T53" s="11">
        <f t="shared" si="20"/>
        <v>100000000</v>
      </c>
      <c r="U53" s="13">
        <f t="shared" si="5"/>
        <v>1</v>
      </c>
      <c r="V53" s="9" t="s">
        <v>44</v>
      </c>
      <c r="W53" s="9" t="s">
        <v>34</v>
      </c>
      <c r="X53">
        <f t="shared" si="11"/>
        <v>1</v>
      </c>
      <c r="Y53" s="1" t="str" cm="1">
        <f t="array" ref="Y53">INDEX(Ratings!$B$2:$M$42,_xlfn.XMATCH(Base!F53,Ratings!$A$2:$A$42),_xlfn.XMATCH(YEAR(Base!K53),Ratings!$B$1:$M$1))</f>
        <v>NR</v>
      </c>
      <c r="Z53">
        <f t="shared" si="12"/>
        <v>0</v>
      </c>
      <c r="AA53">
        <f>IFERROR(IFERROR(IFERROR(INDEX('EMBI+'!$B:$B,MATCH(Base!$K53,'EMBI+'!$A:$A,0)),INDEX('EMBI+'!$B:$B,MATCH(Base!$K53+1,'EMBI+'!$A:$A,0))),INDEX('EMBI+'!$B:$B,MATCH(Base!$K53+2,'EMBI+'!$A:$A,0))),INDEX('EMBI+'!$B:$B,MATCH(Base!$K53+3,'EMBI+'!$A:$A,0)))/100</f>
        <v>1.64</v>
      </c>
      <c r="AB53" s="9">
        <v>10.019869999999999</v>
      </c>
      <c r="AC53" s="9">
        <v>40.344949999999997</v>
      </c>
      <c r="AD53" s="9"/>
      <c r="AE53" s="9"/>
      <c r="AF53" s="2"/>
      <c r="AG53" s="2"/>
    </row>
    <row r="54" spans="1:33" x14ac:dyDescent="0.35">
      <c r="A54">
        <f t="shared" si="8"/>
        <v>52</v>
      </c>
      <c r="B54">
        <f>IF(G54="Bonds",COUNTIF($G$3:G54,"Bonds"),0)</f>
        <v>0</v>
      </c>
      <c r="C54" t="str">
        <f t="shared" si="13"/>
        <v>Azul Linhas Aéreas4142142396</v>
      </c>
      <c r="D54">
        <f t="shared" si="14"/>
        <v>5</v>
      </c>
      <c r="E54" s="9" t="s">
        <v>99</v>
      </c>
      <c r="F54" s="9" t="s">
        <v>100</v>
      </c>
      <c r="G54" s="9" t="s">
        <v>29</v>
      </c>
      <c r="H54">
        <f t="shared" si="1"/>
        <v>0</v>
      </c>
      <c r="I54" s="9" t="s">
        <v>103</v>
      </c>
      <c r="J54" s="1">
        <f t="shared" si="2"/>
        <v>3</v>
      </c>
      <c r="K54" s="2">
        <v>41421</v>
      </c>
      <c r="L54" s="2">
        <v>42396</v>
      </c>
      <c r="M54" s="10">
        <f t="shared" si="3"/>
        <v>2.6712328767123288</v>
      </c>
      <c r="N54" s="11">
        <f t="shared" si="4"/>
        <v>0</v>
      </c>
      <c r="O54" s="9" t="s">
        <v>47</v>
      </c>
      <c r="P54" t="str">
        <f t="shared" si="10"/>
        <v>0</v>
      </c>
      <c r="Q54" s="12">
        <v>30000</v>
      </c>
      <c r="R54" s="9">
        <v>10000</v>
      </c>
      <c r="S54" s="1" t="str">
        <f>IF($V54="USD",INDEX('Dólar Spot'!$B:$B,MATCH(Base!$K54,'Dólar Spot'!$A:$A,0)),"")</f>
        <v/>
      </c>
      <c r="T54" s="11">
        <f t="shared" si="20"/>
        <v>300000000</v>
      </c>
      <c r="U54" s="13">
        <f t="shared" si="5"/>
        <v>3</v>
      </c>
      <c r="V54" s="9" t="s">
        <v>44</v>
      </c>
      <c r="W54" s="9" t="s">
        <v>34</v>
      </c>
      <c r="X54">
        <f t="shared" si="11"/>
        <v>1</v>
      </c>
      <c r="Y54" s="1" t="str" cm="1">
        <f t="array" ref="Y54">INDEX(Ratings!$B$2:$M$42,_xlfn.XMATCH(Base!F54,Ratings!$A$2:$A$42),_xlfn.XMATCH(YEAR(Base!K54),Ratings!$B$1:$M$1))</f>
        <v>NR</v>
      </c>
      <c r="Z54">
        <f t="shared" si="12"/>
        <v>0</v>
      </c>
      <c r="AA54">
        <f>IFERROR(IFERROR(IFERROR(INDEX('EMBI+'!$B:$B,MATCH(Base!$K54,'EMBI+'!$A:$A,0)),INDEX('EMBI+'!$B:$B,MATCH(Base!$K54+1,'EMBI+'!$A:$A,0))),INDEX('EMBI+'!$B:$B,MATCH(Base!$K54+2,'EMBI+'!$A:$A,0))),INDEX('EMBI+'!$B:$B,MATCH(Base!$K54+3,'EMBI+'!$A:$A,0)))/100</f>
        <v>1.91</v>
      </c>
      <c r="AB54" s="9">
        <v>10.019869999999999</v>
      </c>
      <c r="AC54" s="9">
        <v>40.344949999999997</v>
      </c>
      <c r="AD54" s="9"/>
      <c r="AE54" s="9"/>
      <c r="AF54" s="2"/>
      <c r="AG54" s="2"/>
    </row>
    <row r="55" spans="1:33" x14ac:dyDescent="0.35">
      <c r="A55">
        <f t="shared" si="8"/>
        <v>53</v>
      </c>
      <c r="B55">
        <f>IF(G55="Bonds",COUNTIF($G$3:G55,"Bonds"),0)</f>
        <v>0</v>
      </c>
      <c r="C55" t="str">
        <f t="shared" si="13"/>
        <v>Azul Linhas Aéreas4169842914</v>
      </c>
      <c r="D55">
        <f t="shared" si="14"/>
        <v>5</v>
      </c>
      <c r="E55" s="9" t="s">
        <v>99</v>
      </c>
      <c r="F55" s="9" t="s">
        <v>100</v>
      </c>
      <c r="G55" s="9" t="s">
        <v>29</v>
      </c>
      <c r="H55">
        <f t="shared" si="1"/>
        <v>0</v>
      </c>
      <c r="I55" s="9" t="s">
        <v>104</v>
      </c>
      <c r="J55" s="1">
        <f t="shared" si="2"/>
        <v>4</v>
      </c>
      <c r="K55" s="2">
        <v>41698</v>
      </c>
      <c r="L55" s="2">
        <v>42914</v>
      </c>
      <c r="M55" s="10">
        <f t="shared" si="3"/>
        <v>3.3315068493150686</v>
      </c>
      <c r="N55" s="11">
        <f t="shared" si="4"/>
        <v>0</v>
      </c>
      <c r="O55" s="9" t="s">
        <v>31</v>
      </c>
      <c r="P55" t="str">
        <f t="shared" si="10"/>
        <v>1</v>
      </c>
      <c r="Q55" s="12">
        <v>105</v>
      </c>
      <c r="R55" s="9">
        <v>1000000</v>
      </c>
      <c r="S55" s="1" t="str">
        <f>IF($V55="USD",INDEX('Dólar Spot'!$B:$B,MATCH(Base!$K55,'Dólar Spot'!$A:$A,0)),"")</f>
        <v/>
      </c>
      <c r="T55" s="11">
        <f t="shared" si="20"/>
        <v>105000000</v>
      </c>
      <c r="U55" s="13">
        <f t="shared" si="5"/>
        <v>1.05</v>
      </c>
      <c r="V55" s="9" t="s">
        <v>44</v>
      </c>
      <c r="W55" s="9" t="s">
        <v>34</v>
      </c>
      <c r="X55">
        <f t="shared" si="11"/>
        <v>1</v>
      </c>
      <c r="Y55" s="1" t="str" cm="1">
        <f t="array" ref="Y55">INDEX(Ratings!$B$2:$M$42,_xlfn.XMATCH(Base!F55,Ratings!$A$2:$A$42),_xlfn.XMATCH(YEAR(Base!K55),Ratings!$B$1:$M$1))</f>
        <v>NR</v>
      </c>
      <c r="Z55">
        <f t="shared" si="12"/>
        <v>0</v>
      </c>
      <c r="AA55">
        <f>IFERROR(IFERROR(IFERROR(INDEX('EMBI+'!$B:$B,MATCH(Base!$K55,'EMBI+'!$A:$A,0)),INDEX('EMBI+'!$B:$B,MATCH(Base!$K55+1,'EMBI+'!$A:$A,0))),INDEX('EMBI+'!$B:$B,MATCH(Base!$K55+2,'EMBI+'!$A:$A,0))),INDEX('EMBI+'!$B:$B,MATCH(Base!$K55+3,'EMBI+'!$A:$A,0)))/100</f>
        <v>2.4500000000000002</v>
      </c>
      <c r="AB55" s="9">
        <v>10.019869999999999</v>
      </c>
      <c r="AC55" s="9">
        <v>40.344949999999997</v>
      </c>
      <c r="AD55" s="9"/>
      <c r="AE55" s="9"/>
      <c r="AF55" s="2"/>
      <c r="AG55" s="2"/>
    </row>
    <row r="56" spans="1:33" x14ac:dyDescent="0.35">
      <c r="A56">
        <f t="shared" si="8"/>
        <v>54</v>
      </c>
      <c r="B56">
        <f>IF(G56="Bonds",COUNTIF($G$3:G56,"Bonds"),0)</f>
        <v>0</v>
      </c>
      <c r="C56" t="str">
        <f t="shared" si="13"/>
        <v>Azul Linhas Aéreas4190143727</v>
      </c>
      <c r="D56">
        <f t="shared" si="14"/>
        <v>5</v>
      </c>
      <c r="E56" s="9" t="s">
        <v>99</v>
      </c>
      <c r="F56" s="9" t="s">
        <v>100</v>
      </c>
      <c r="G56" s="9" t="s">
        <v>29</v>
      </c>
      <c r="H56">
        <f t="shared" si="1"/>
        <v>0</v>
      </c>
      <c r="I56" s="9" t="s">
        <v>105</v>
      </c>
      <c r="J56" s="1">
        <f t="shared" si="2"/>
        <v>5</v>
      </c>
      <c r="K56" s="2">
        <v>41901</v>
      </c>
      <c r="L56" s="2">
        <v>43727</v>
      </c>
      <c r="M56" s="10">
        <f t="shared" si="3"/>
        <v>5.0027397260273974</v>
      </c>
      <c r="N56" s="11">
        <f t="shared" si="4"/>
        <v>1</v>
      </c>
      <c r="O56" s="9" t="s">
        <v>47</v>
      </c>
      <c r="P56" t="str">
        <f t="shared" si="10"/>
        <v>0</v>
      </c>
      <c r="Q56" s="12">
        <v>100000</v>
      </c>
      <c r="R56" s="9">
        <v>10000</v>
      </c>
      <c r="S56" s="1" t="str">
        <f>IF($V56="USD",INDEX('Dólar Spot'!$B:$B,MATCH(Base!$K56,'Dólar Spot'!$A:$A,0)),"")</f>
        <v/>
      </c>
      <c r="T56" s="11">
        <f t="shared" si="20"/>
        <v>1000000000</v>
      </c>
      <c r="U56" s="13">
        <f t="shared" si="5"/>
        <v>10</v>
      </c>
      <c r="V56" s="9" t="s">
        <v>44</v>
      </c>
      <c r="W56" s="9" t="s">
        <v>35</v>
      </c>
      <c r="X56">
        <f t="shared" si="11"/>
        <v>0</v>
      </c>
      <c r="Y56" s="1" t="str" cm="1">
        <f t="array" ref="Y56">INDEX(Ratings!$B$2:$M$42,_xlfn.XMATCH(Base!F56,Ratings!$A$2:$A$42),_xlfn.XMATCH(YEAR(Base!K56),Ratings!$B$1:$M$1))</f>
        <v>NR</v>
      </c>
      <c r="Z56">
        <f t="shared" si="12"/>
        <v>0</v>
      </c>
      <c r="AA56">
        <f>IFERROR(IFERROR(IFERROR(INDEX('EMBI+'!$B:$B,MATCH(Base!$K56,'EMBI+'!$A:$A,0)),INDEX('EMBI+'!$B:$B,MATCH(Base!$K56+1,'EMBI+'!$A:$A,0))),INDEX('EMBI+'!$B:$B,MATCH(Base!$K56+2,'EMBI+'!$A:$A,0))),INDEX('EMBI+'!$B:$B,MATCH(Base!$K56+3,'EMBI+'!$A:$A,0)))/100</f>
        <v>2.12</v>
      </c>
      <c r="AB56" s="9">
        <v>10.019869999999999</v>
      </c>
      <c r="AC56" s="9">
        <v>40.344949999999997</v>
      </c>
      <c r="AD56" s="9"/>
      <c r="AE56" s="9"/>
      <c r="AF56" s="2"/>
      <c r="AG56" s="2"/>
    </row>
    <row r="57" spans="1:33" x14ac:dyDescent="0.35">
      <c r="A57">
        <f t="shared" si="8"/>
        <v>55</v>
      </c>
      <c r="B57">
        <f>IF(G57="Bonds",COUNTIF($G$3:G57,"Bonds"),0)</f>
        <v>0</v>
      </c>
      <c r="C57" t="str">
        <f t="shared" si="13"/>
        <v>Azul Linhas Aéreas4209342916</v>
      </c>
      <c r="D57">
        <f t="shared" si="14"/>
        <v>5</v>
      </c>
      <c r="E57" s="9" t="s">
        <v>99</v>
      </c>
      <c r="F57" s="9" t="s">
        <v>100</v>
      </c>
      <c r="G57" s="9" t="s">
        <v>29</v>
      </c>
      <c r="H57">
        <f t="shared" si="1"/>
        <v>0</v>
      </c>
      <c r="I57" s="9" t="s">
        <v>106</v>
      </c>
      <c r="J57" s="1">
        <f t="shared" si="2"/>
        <v>6</v>
      </c>
      <c r="K57" s="2">
        <v>42093</v>
      </c>
      <c r="L57" s="2">
        <v>42916</v>
      </c>
      <c r="M57" s="10">
        <f t="shared" si="3"/>
        <v>2.2547945205479452</v>
      </c>
      <c r="N57" s="11">
        <f t="shared" si="4"/>
        <v>0</v>
      </c>
      <c r="O57" s="9" t="s">
        <v>47</v>
      </c>
      <c r="P57" t="str">
        <f t="shared" si="10"/>
        <v>0</v>
      </c>
      <c r="Q57" s="12">
        <v>20000</v>
      </c>
      <c r="R57" s="9">
        <v>10000</v>
      </c>
      <c r="S57" s="1" t="str">
        <f>IF($V57="USD",INDEX('Dólar Spot'!$B:$B,MATCH(Base!$K57,'Dólar Spot'!$A:$A,0)),"")</f>
        <v/>
      </c>
      <c r="T57" s="11">
        <f t="shared" si="20"/>
        <v>200000000</v>
      </c>
      <c r="U57" s="13">
        <f t="shared" si="5"/>
        <v>2</v>
      </c>
      <c r="V57" s="9" t="s">
        <v>44</v>
      </c>
      <c r="W57" s="9" t="s">
        <v>34</v>
      </c>
      <c r="X57">
        <f t="shared" si="11"/>
        <v>1</v>
      </c>
      <c r="Y57" s="1" t="str" cm="1">
        <f t="array" ref="Y57">INDEX(Ratings!$B$2:$M$42,_xlfn.XMATCH(Base!F57,Ratings!$A$2:$A$42),_xlfn.XMATCH(YEAR(Base!K57),Ratings!$B$1:$M$1))</f>
        <v>NR</v>
      </c>
      <c r="Z57">
        <f t="shared" si="12"/>
        <v>0</v>
      </c>
      <c r="AA57">
        <f>IFERROR(IFERROR(IFERROR(INDEX('EMBI+'!$B:$B,MATCH(Base!$K57,'EMBI+'!$A:$A,0)),INDEX('EMBI+'!$B:$B,MATCH(Base!$K57+1,'EMBI+'!$A:$A,0))),INDEX('EMBI+'!$B:$B,MATCH(Base!$K57+2,'EMBI+'!$A:$A,0))),INDEX('EMBI+'!$B:$B,MATCH(Base!$K57+3,'EMBI+'!$A:$A,0)))/100</f>
        <v>3.18</v>
      </c>
      <c r="AB57" s="9">
        <v>10.019869999999999</v>
      </c>
      <c r="AC57" s="9">
        <v>40.344949999999997</v>
      </c>
      <c r="AD57" s="9"/>
      <c r="AE57" s="9"/>
      <c r="AF57" s="2"/>
      <c r="AG57" s="2"/>
    </row>
    <row r="58" spans="1:33" x14ac:dyDescent="0.35">
      <c r="A58">
        <f t="shared" si="8"/>
        <v>56</v>
      </c>
      <c r="B58">
        <f>IF(G58="Bonds",COUNTIF($G$3:G58,"Bonds"),0)</f>
        <v>0</v>
      </c>
      <c r="C58" t="str">
        <f t="shared" si="13"/>
        <v>Azul Linhas Aéreas4272343818</v>
      </c>
      <c r="D58">
        <f t="shared" si="14"/>
        <v>5</v>
      </c>
      <c r="E58" s="9" t="s">
        <v>99</v>
      </c>
      <c r="F58" s="9" t="s">
        <v>100</v>
      </c>
      <c r="G58" s="9" t="s">
        <v>29</v>
      </c>
      <c r="H58">
        <f t="shared" si="1"/>
        <v>0</v>
      </c>
      <c r="I58" s="9" t="s">
        <v>107</v>
      </c>
      <c r="J58" s="1">
        <f t="shared" si="2"/>
        <v>7</v>
      </c>
      <c r="K58" s="2">
        <v>42723</v>
      </c>
      <c r="L58" s="2">
        <v>43818</v>
      </c>
      <c r="M58" s="10">
        <f t="shared" si="3"/>
        <v>3</v>
      </c>
      <c r="N58" s="11">
        <f t="shared" si="4"/>
        <v>0</v>
      </c>
      <c r="O58" s="9" t="s">
        <v>47</v>
      </c>
      <c r="P58" t="str">
        <f t="shared" si="10"/>
        <v>0</v>
      </c>
      <c r="Q58" s="12">
        <v>15000</v>
      </c>
      <c r="R58" s="9">
        <v>10000</v>
      </c>
      <c r="S58" s="1" t="str">
        <f>IF($V58="USD",INDEX('Dólar Spot'!$B:$B,MATCH(Base!$K58,'Dólar Spot'!$A:$A,0)),"")</f>
        <v/>
      </c>
      <c r="T58" s="11">
        <f t="shared" si="20"/>
        <v>150000000</v>
      </c>
      <c r="U58" s="13">
        <f t="shared" si="5"/>
        <v>1.5</v>
      </c>
      <c r="V58" s="9" t="s">
        <v>44</v>
      </c>
      <c r="W58" s="9" t="s">
        <v>34</v>
      </c>
      <c r="X58">
        <f t="shared" si="11"/>
        <v>1</v>
      </c>
      <c r="Y58" s="1" t="str" cm="1">
        <f t="array" ref="Y58">INDEX(Ratings!$B$2:$M$42,_xlfn.XMATCH(Base!F58,Ratings!$A$2:$A$42),_xlfn.XMATCH(YEAR(Base!K58),Ratings!$B$1:$M$1))</f>
        <v>NR</v>
      </c>
      <c r="Z58">
        <f t="shared" si="12"/>
        <v>0</v>
      </c>
      <c r="AA58">
        <f>IFERROR(IFERROR(IFERROR(INDEX('EMBI+'!$B:$B,MATCH(Base!$K58,'EMBI+'!$A:$A,0)),INDEX('EMBI+'!$B:$B,MATCH(Base!$K58+1,'EMBI+'!$A:$A,0))),INDEX('EMBI+'!$B:$B,MATCH(Base!$K58+2,'EMBI+'!$A:$A,0))),INDEX('EMBI+'!$B:$B,MATCH(Base!$K58+3,'EMBI+'!$A:$A,0)))/100</f>
        <v>3.27</v>
      </c>
      <c r="AB58" s="9">
        <v>10.019869999999999</v>
      </c>
      <c r="AC58" s="9">
        <v>40.344949999999997</v>
      </c>
      <c r="AD58" s="9"/>
      <c r="AE58" s="9"/>
      <c r="AF58" s="2"/>
      <c r="AG58" s="2"/>
    </row>
    <row r="59" spans="1:33" x14ac:dyDescent="0.35">
      <c r="A59">
        <f t="shared" si="8"/>
        <v>57</v>
      </c>
      <c r="B59">
        <f>IF(G59="Bonds",COUNTIF($G$3:G59,"Bonds"),0)</f>
        <v>0</v>
      </c>
      <c r="C59" t="str">
        <f t="shared" si="13"/>
        <v>Azul Linhas Aéreas4290643468</v>
      </c>
      <c r="D59">
        <f t="shared" si="14"/>
        <v>5</v>
      </c>
      <c r="E59" s="9" t="s">
        <v>99</v>
      </c>
      <c r="F59" s="9" t="s">
        <v>100</v>
      </c>
      <c r="G59" s="9" t="s">
        <v>29</v>
      </c>
      <c r="H59">
        <f t="shared" si="1"/>
        <v>0</v>
      </c>
      <c r="I59" s="9" t="s">
        <v>108</v>
      </c>
      <c r="J59" s="1">
        <f t="shared" si="2"/>
        <v>8</v>
      </c>
      <c r="K59" s="2">
        <v>42906</v>
      </c>
      <c r="L59" s="2">
        <v>43468</v>
      </c>
      <c r="M59" s="10">
        <f t="shared" si="3"/>
        <v>1.5397260273972602</v>
      </c>
      <c r="N59" s="11">
        <f t="shared" si="4"/>
        <v>0</v>
      </c>
      <c r="O59" s="9" t="s">
        <v>47</v>
      </c>
      <c r="P59" t="str">
        <f t="shared" si="10"/>
        <v>0</v>
      </c>
      <c r="Q59" s="12">
        <v>20000</v>
      </c>
      <c r="R59" s="9">
        <v>10000</v>
      </c>
      <c r="S59" s="1" t="str">
        <f>IF($V59="USD",INDEX('Dólar Spot'!$B:$B,MATCH(Base!$K59,'Dólar Spot'!$A:$A,0)),"")</f>
        <v/>
      </c>
      <c r="T59" s="11">
        <f t="shared" si="20"/>
        <v>200000000</v>
      </c>
      <c r="U59" s="13">
        <f t="shared" si="5"/>
        <v>2</v>
      </c>
      <c r="V59" s="9" t="s">
        <v>44</v>
      </c>
      <c r="W59" s="9" t="s">
        <v>34</v>
      </c>
      <c r="X59">
        <f t="shared" si="11"/>
        <v>1</v>
      </c>
      <c r="Y59" s="1" t="str" cm="1">
        <f t="array" ref="Y59">INDEX(Ratings!$B$2:$M$42,_xlfn.XMATCH(Base!F59,Ratings!$A$2:$A$42),_xlfn.XMATCH(YEAR(Base!K59),Ratings!$B$1:$M$1))</f>
        <v>NR</v>
      </c>
      <c r="Z59">
        <f t="shared" si="12"/>
        <v>0</v>
      </c>
      <c r="AA59">
        <f>IFERROR(IFERROR(IFERROR(INDEX('EMBI+'!$B:$B,MATCH(Base!$K59,'EMBI+'!$A:$A,0)),INDEX('EMBI+'!$B:$B,MATCH(Base!$K59+1,'EMBI+'!$A:$A,0))),INDEX('EMBI+'!$B:$B,MATCH(Base!$K59+2,'EMBI+'!$A:$A,0))),INDEX('EMBI+'!$B:$B,MATCH(Base!$K59+3,'EMBI+'!$A:$A,0)))/100</f>
        <v>2.99</v>
      </c>
      <c r="AB59" s="9">
        <v>22.881740000000001</v>
      </c>
      <c r="AC59" s="9">
        <v>36.418520000000001</v>
      </c>
      <c r="AD59" s="9"/>
      <c r="AE59" s="9"/>
      <c r="AF59" s="2"/>
      <c r="AG59" s="2"/>
    </row>
    <row r="60" spans="1:33" x14ac:dyDescent="0.35">
      <c r="A60">
        <f t="shared" si="8"/>
        <v>58</v>
      </c>
      <c r="B60">
        <f>IF(G60="Bonds",COUNTIF($G$3:G60,"Bonds"),0)</f>
        <v>0</v>
      </c>
      <c r="C60" t="str">
        <f t="shared" si="13"/>
        <v>Azul Linhas Aéreas4326946741</v>
      </c>
      <c r="D60">
        <f t="shared" si="14"/>
        <v>5</v>
      </c>
      <c r="E60" s="9" t="s">
        <v>99</v>
      </c>
      <c r="F60" s="9" t="s">
        <v>100</v>
      </c>
      <c r="G60" s="9" t="s">
        <v>29</v>
      </c>
      <c r="H60">
        <f t="shared" si="1"/>
        <v>0</v>
      </c>
      <c r="I60" s="9" t="s">
        <v>109</v>
      </c>
      <c r="J60" s="1">
        <f t="shared" si="2"/>
        <v>9</v>
      </c>
      <c r="K60" s="2">
        <v>43269</v>
      </c>
      <c r="L60" s="2">
        <v>46741</v>
      </c>
      <c r="M60" s="10">
        <f t="shared" si="3"/>
        <v>9.5123287671232877</v>
      </c>
      <c r="N60" s="11">
        <f t="shared" si="4"/>
        <v>1</v>
      </c>
      <c r="O60" s="9" t="s">
        <v>47</v>
      </c>
      <c r="P60" t="str">
        <f t="shared" si="10"/>
        <v>0</v>
      </c>
      <c r="Q60" s="12">
        <v>50000</v>
      </c>
      <c r="R60" s="9">
        <v>10000</v>
      </c>
      <c r="S60" s="1" t="str">
        <f>IF($V60="USD",INDEX('Dólar Spot'!$B:$B,MATCH(Base!$K60,'Dólar Spot'!$A:$A,0)),"")</f>
        <v/>
      </c>
      <c r="T60" s="11">
        <f t="shared" si="20"/>
        <v>500000000</v>
      </c>
      <c r="U60" s="13">
        <f t="shared" si="5"/>
        <v>5</v>
      </c>
      <c r="V60" s="9" t="s">
        <v>44</v>
      </c>
      <c r="W60" s="9" t="s">
        <v>34</v>
      </c>
      <c r="X60">
        <f t="shared" si="11"/>
        <v>1</v>
      </c>
      <c r="Y60" s="1" t="str" cm="1">
        <f t="array" ref="Y60">INDEX(Ratings!$B$2:$M$42,_xlfn.XMATCH(Base!F60,Ratings!$A$2:$A$42),_xlfn.XMATCH(YEAR(Base!K60),Ratings!$B$1:$M$1))</f>
        <v>NR</v>
      </c>
      <c r="Z60">
        <f t="shared" si="12"/>
        <v>0</v>
      </c>
      <c r="AA60">
        <f>IFERROR(IFERROR(IFERROR(INDEX('EMBI+'!$B:$B,MATCH(Base!$K60,'EMBI+'!$A:$A,0)),INDEX('EMBI+'!$B:$B,MATCH(Base!$K60+1,'EMBI+'!$A:$A,0))),INDEX('EMBI+'!$B:$B,MATCH(Base!$K60+2,'EMBI+'!$A:$A,0))),INDEX('EMBI+'!$B:$B,MATCH(Base!$K60+3,'EMBI+'!$A:$A,0)))/100</f>
        <v>3.43</v>
      </c>
      <c r="AB60" s="9">
        <v>28.653649999999999</v>
      </c>
      <c r="AC60" s="9">
        <v>38.345170000000003</v>
      </c>
      <c r="AD60" s="9"/>
      <c r="AE60" s="9"/>
      <c r="AF60" s="2"/>
      <c r="AG60" s="2"/>
    </row>
    <row r="61" spans="1:33" x14ac:dyDescent="0.35">
      <c r="A61">
        <f t="shared" si="8"/>
        <v>59</v>
      </c>
      <c r="B61">
        <f>IF(G61="Bonds",COUNTIF($G$3:G61,"Bonds"),0)</f>
        <v>0</v>
      </c>
      <c r="C61" t="str">
        <f t="shared" si="13"/>
        <v>Azul Linhas Aéreas4345446741</v>
      </c>
      <c r="D61">
        <f t="shared" si="14"/>
        <v>5</v>
      </c>
      <c r="E61" s="9" t="s">
        <v>99</v>
      </c>
      <c r="F61" s="9" t="s">
        <v>100</v>
      </c>
      <c r="G61" s="9" t="s">
        <v>29</v>
      </c>
      <c r="H61">
        <f t="shared" si="1"/>
        <v>0</v>
      </c>
      <c r="I61" s="9" t="s">
        <v>110</v>
      </c>
      <c r="J61" s="1">
        <f t="shared" si="2"/>
        <v>10</v>
      </c>
      <c r="K61" s="2">
        <v>43454</v>
      </c>
      <c r="L61" s="2">
        <v>46741</v>
      </c>
      <c r="M61" s="10">
        <f t="shared" si="3"/>
        <v>9.0054794520547947</v>
      </c>
      <c r="N61" s="11">
        <f t="shared" si="4"/>
        <v>1</v>
      </c>
      <c r="O61" s="9" t="s">
        <v>47</v>
      </c>
      <c r="P61" t="str">
        <f t="shared" si="10"/>
        <v>0</v>
      </c>
      <c r="Q61" s="12">
        <v>20000</v>
      </c>
      <c r="R61" s="9">
        <v>10000</v>
      </c>
      <c r="S61" s="1" t="str">
        <f>IF($V61="USD",INDEX('Dólar Spot'!$B:$B,MATCH(Base!$K61,'Dólar Spot'!$A:$A,0)),"")</f>
        <v/>
      </c>
      <c r="T61" s="11">
        <f t="shared" si="20"/>
        <v>200000000</v>
      </c>
      <c r="U61" s="13">
        <f t="shared" si="5"/>
        <v>2</v>
      </c>
      <c r="V61" s="9" t="s">
        <v>44</v>
      </c>
      <c r="W61" s="9" t="s">
        <v>34</v>
      </c>
      <c r="X61">
        <f t="shared" si="11"/>
        <v>1</v>
      </c>
      <c r="Y61" s="1" t="str" cm="1">
        <f t="array" ref="Y61">INDEX(Ratings!$B$2:$M$42,_xlfn.XMATCH(Base!F61,Ratings!$A$2:$A$42),_xlfn.XMATCH(YEAR(Base!K61),Ratings!$B$1:$M$1))</f>
        <v>NR</v>
      </c>
      <c r="Z61">
        <f t="shared" si="12"/>
        <v>0</v>
      </c>
      <c r="AA61">
        <f>IFERROR(IFERROR(IFERROR(INDEX('EMBI+'!$B:$B,MATCH(Base!$K61,'EMBI+'!$A:$A,0)),INDEX('EMBI+'!$B:$B,MATCH(Base!$K61+1,'EMBI+'!$A:$A,0))),INDEX('EMBI+'!$B:$B,MATCH(Base!$K61+2,'EMBI+'!$A:$A,0))),INDEX('EMBI+'!$B:$B,MATCH(Base!$K61+3,'EMBI+'!$A:$A,0)))/100</f>
        <v>2.68</v>
      </c>
      <c r="AB61" s="9">
        <v>31.637</v>
      </c>
      <c r="AC61" s="9">
        <v>37.062199999999997</v>
      </c>
      <c r="AD61" s="9"/>
      <c r="AE61" s="9"/>
      <c r="AF61" s="2"/>
      <c r="AG61" s="2"/>
    </row>
    <row r="62" spans="1:33" x14ac:dyDescent="0.35">
      <c r="A62">
        <f t="shared" si="8"/>
        <v>60</v>
      </c>
      <c r="B62">
        <f>IF(G62="Bonds",COUNTIF($G$3:G62,"Bonds"),0)</f>
        <v>7</v>
      </c>
      <c r="C62" t="str">
        <f t="shared" si="13"/>
        <v>Azul Linhas Aéreas4436215/06/2026</v>
      </c>
      <c r="D62">
        <f t="shared" si="14"/>
        <v>5</v>
      </c>
      <c r="E62" s="9" t="s">
        <v>111</v>
      </c>
      <c r="F62" s="9" t="s">
        <v>100</v>
      </c>
      <c r="G62" s="9" t="s">
        <v>37</v>
      </c>
      <c r="H62">
        <f t="shared" si="1"/>
        <v>1</v>
      </c>
      <c r="I62" s="9"/>
      <c r="J62" s="1">
        <f t="shared" si="2"/>
        <v>11</v>
      </c>
      <c r="K62" s="2">
        <v>44362</v>
      </c>
      <c r="L62" s="2" t="s">
        <v>112</v>
      </c>
      <c r="M62" s="10">
        <f t="shared" si="3"/>
        <v>5.0027397260273974</v>
      </c>
      <c r="N62" s="11">
        <f t="shared" si="4"/>
        <v>1</v>
      </c>
      <c r="O62" s="9" t="s">
        <v>39</v>
      </c>
      <c r="P62" t="str">
        <f t="shared" si="10"/>
        <v>0</v>
      </c>
      <c r="Q62" s="9"/>
      <c r="R62" s="9"/>
      <c r="S62" s="1">
        <f>IF($V62="USD",INDEX('Dólar Spot'!$B:$B,MATCH(Base!$K62,'Dólar Spot'!$A:$A,0)),"")</f>
        <v>5.0873999999999997</v>
      </c>
      <c r="T62" s="12">
        <v>600000000</v>
      </c>
      <c r="U62" s="13">
        <f t="shared" si="5"/>
        <v>30.5244</v>
      </c>
      <c r="V62" s="9" t="s">
        <v>40</v>
      </c>
      <c r="W62" s="9" t="s">
        <v>34</v>
      </c>
      <c r="X62">
        <f t="shared" si="11"/>
        <v>1</v>
      </c>
      <c r="Y62" s="1" t="str" cm="1">
        <f t="array" ref="Y62">INDEX(Ratings!$B$2:$M$42,_xlfn.XMATCH(Base!F62,Ratings!$A$2:$A$42),_xlfn.XMATCH(YEAR(Base!K62),Ratings!$B$1:$M$1))</f>
        <v>CCC+</v>
      </c>
      <c r="Z62">
        <f t="shared" si="12"/>
        <v>0</v>
      </c>
      <c r="AA62">
        <f>IFERROR(IFERROR(IFERROR(INDEX('EMBI+'!$B:$B,MATCH(Base!$K62,'EMBI+'!$A:$A,0)),INDEX('EMBI+'!$B:$B,MATCH(Base!$K62+1,'EMBI+'!$A:$A,0))),INDEX('EMBI+'!$B:$B,MATCH(Base!$K62+2,'EMBI+'!$A:$A,0))),INDEX('EMBI+'!$B:$B,MATCH(Base!$K62+3,'EMBI+'!$A:$A,0)))/100</f>
        <v>2.66</v>
      </c>
      <c r="AB62" s="9">
        <v>-157.4255</v>
      </c>
      <c r="AC62" s="9">
        <v>98.974869999999996</v>
      </c>
      <c r="AD62" s="9"/>
      <c r="AE62" s="9"/>
      <c r="AF62" s="2"/>
      <c r="AG62" s="2"/>
    </row>
    <row r="63" spans="1:33" x14ac:dyDescent="0.35">
      <c r="A63">
        <f t="shared" si="8"/>
        <v>61</v>
      </c>
      <c r="B63">
        <f>IF(G63="Bonds",COUNTIF($G$3:G63,"Bonds"),0)</f>
        <v>8</v>
      </c>
      <c r="C63" t="str">
        <f t="shared" si="13"/>
        <v>Azul Linhas Aéreas4303426/10/2024</v>
      </c>
      <c r="D63">
        <f t="shared" si="14"/>
        <v>5</v>
      </c>
      <c r="E63" s="9" t="s">
        <v>111</v>
      </c>
      <c r="F63" s="9" t="s">
        <v>100</v>
      </c>
      <c r="G63" s="9" t="s">
        <v>37</v>
      </c>
      <c r="H63">
        <f t="shared" si="1"/>
        <v>1</v>
      </c>
      <c r="I63" s="9"/>
      <c r="J63" s="1">
        <f t="shared" si="2"/>
        <v>12</v>
      </c>
      <c r="K63" s="2">
        <v>43034</v>
      </c>
      <c r="L63" s="2" t="s">
        <v>113</v>
      </c>
      <c r="M63" s="10">
        <f t="shared" si="3"/>
        <v>7.0054794520547947</v>
      </c>
      <c r="N63" s="11">
        <f t="shared" si="4"/>
        <v>1</v>
      </c>
      <c r="O63" s="9" t="s">
        <v>39</v>
      </c>
      <c r="P63" t="str">
        <f t="shared" si="10"/>
        <v>0</v>
      </c>
      <c r="Q63" s="9"/>
      <c r="R63" s="9"/>
      <c r="S63" s="1">
        <f>IF($V63="USD",INDEX('Dólar Spot'!$B:$B,MATCH(Base!$K63,'Dólar Spot'!$A:$A,0)),"")</f>
        <v>3.2437999999999998</v>
      </c>
      <c r="T63" s="12">
        <v>400000000</v>
      </c>
      <c r="U63" s="13">
        <f t="shared" si="5"/>
        <v>12.975199999999999</v>
      </c>
      <c r="V63" s="9" t="s">
        <v>40</v>
      </c>
      <c r="W63" s="9" t="s">
        <v>34</v>
      </c>
      <c r="X63">
        <f t="shared" si="11"/>
        <v>1</v>
      </c>
      <c r="Y63" s="1" t="str" cm="1">
        <f t="array" ref="Y63">INDEX(Ratings!$B$2:$M$42,_xlfn.XMATCH(Base!F63,Ratings!$A$2:$A$42),_xlfn.XMATCH(YEAR(Base!K63),Ratings!$B$1:$M$1))</f>
        <v>NR</v>
      </c>
      <c r="Z63">
        <f t="shared" si="12"/>
        <v>0</v>
      </c>
      <c r="AA63">
        <f>IFERROR(IFERROR(IFERROR(INDEX('EMBI+'!$B:$B,MATCH(Base!$K63,'EMBI+'!$A:$A,0)),INDEX('EMBI+'!$B:$B,MATCH(Base!$K63+1,'EMBI+'!$A:$A,0))),INDEX('EMBI+'!$B:$B,MATCH(Base!$K63+2,'EMBI+'!$A:$A,0))),INDEX('EMBI+'!$B:$B,MATCH(Base!$K63+3,'EMBI+'!$A:$A,0)))/100</f>
        <v>2.42</v>
      </c>
      <c r="AB63" s="9">
        <v>28.336099999999998</v>
      </c>
      <c r="AC63" s="9">
        <v>34.898870000000002</v>
      </c>
      <c r="AD63" s="9"/>
      <c r="AE63" s="9"/>
      <c r="AF63" s="2"/>
      <c r="AG63" s="2"/>
    </row>
    <row r="64" spans="1:33" x14ac:dyDescent="0.35">
      <c r="A64">
        <f t="shared" si="8"/>
        <v>62</v>
      </c>
      <c r="B64">
        <f>IF(G64="Bonds",COUNTIF($G$3:G64,"Bonds"),0)</f>
        <v>0</v>
      </c>
      <c r="C64" t="str">
        <f t="shared" si="13"/>
        <v>Braskem4469347250</v>
      </c>
      <c r="D64">
        <f t="shared" si="14"/>
        <v>6</v>
      </c>
      <c r="E64" s="9" t="s">
        <v>718</v>
      </c>
      <c r="F64" s="9" t="s">
        <v>114</v>
      </c>
      <c r="G64" s="9" t="s">
        <v>29</v>
      </c>
      <c r="H64">
        <f t="shared" si="1"/>
        <v>0</v>
      </c>
      <c r="I64" s="9"/>
      <c r="J64" s="1">
        <f t="shared" si="2"/>
        <v>1</v>
      </c>
      <c r="K64" s="2">
        <v>44693</v>
      </c>
      <c r="L64" s="2">
        <v>47250</v>
      </c>
      <c r="M64" s="10">
        <f t="shared" si="3"/>
        <v>7.0054794520547947</v>
      </c>
      <c r="N64" s="11">
        <f t="shared" si="4"/>
        <v>1</v>
      </c>
      <c r="O64" s="9" t="s">
        <v>47</v>
      </c>
      <c r="P64" t="str">
        <f t="shared" si="10"/>
        <v>0</v>
      </c>
      <c r="Q64" s="12">
        <v>755944</v>
      </c>
      <c r="R64" s="9">
        <v>1000</v>
      </c>
      <c r="S64" s="1" t="str">
        <f>IF($V64="USD",INDEX('Dólar Spot'!$B:$B,MATCH(Base!$K64,'Dólar Spot'!$A:$A,0)),"")</f>
        <v/>
      </c>
      <c r="T64" s="11">
        <f t="shared" ref="T64:T68" si="21">Q64*R64</f>
        <v>755944000</v>
      </c>
      <c r="U64" s="13">
        <f t="shared" si="5"/>
        <v>7.5594400000000004</v>
      </c>
      <c r="V64" s="9" t="s">
        <v>44</v>
      </c>
      <c r="W64" s="9" t="s">
        <v>34</v>
      </c>
      <c r="X64">
        <f t="shared" si="11"/>
        <v>1</v>
      </c>
      <c r="Y64" s="1" t="str" cm="1">
        <f t="array" ref="Y64">INDEX(Ratings!$B$2:$M$42,_xlfn.XMATCH(Base!F64,Ratings!$A$2:$A$42),_xlfn.XMATCH(YEAR(Base!K64),Ratings!$B$1:$M$1))</f>
        <v>BBB-</v>
      </c>
      <c r="Z64">
        <f t="shared" si="12"/>
        <v>1</v>
      </c>
      <c r="AA64">
        <f>IFERROR(IFERROR(IFERROR(INDEX('EMBI+'!$B:$B,MATCH(Base!$K64,'EMBI+'!$A:$A,0)),INDEX('EMBI+'!$B:$B,MATCH(Base!$K64+1,'EMBI+'!$A:$A,0))),INDEX('EMBI+'!$B:$B,MATCH(Base!$K64+2,'EMBI+'!$A:$A,0))),INDEX('EMBI+'!$B:$B,MATCH(Base!$K64+3,'EMBI+'!$A:$A,0)))/100</f>
        <v>3.18</v>
      </c>
      <c r="AB64" s="9">
        <v>115.98669</v>
      </c>
      <c r="AC64" s="9">
        <v>310.39044000000001</v>
      </c>
      <c r="AD64" s="9"/>
      <c r="AE64" s="9"/>
      <c r="AF64" s="2"/>
      <c r="AG64" s="2"/>
    </row>
    <row r="65" spans="1:33" x14ac:dyDescent="0.35">
      <c r="A65">
        <f t="shared" si="8"/>
        <v>63</v>
      </c>
      <c r="B65">
        <f>IF(G65="Bonds",COUNTIF($G$3:G65,"Bonds"),0)</f>
        <v>0</v>
      </c>
      <c r="C65" t="str">
        <f t="shared" si="13"/>
        <v>Braskem4479547352</v>
      </c>
      <c r="D65">
        <f t="shared" si="14"/>
        <v>6</v>
      </c>
      <c r="E65" s="9" t="s">
        <v>718</v>
      </c>
      <c r="F65" s="9" t="s">
        <v>114</v>
      </c>
      <c r="G65" s="9" t="s">
        <v>29</v>
      </c>
      <c r="H65">
        <f t="shared" si="1"/>
        <v>0</v>
      </c>
      <c r="I65" s="9"/>
      <c r="J65" s="1">
        <f t="shared" si="2"/>
        <v>2</v>
      </c>
      <c r="K65" s="2">
        <v>44795</v>
      </c>
      <c r="L65" s="2">
        <v>47352</v>
      </c>
      <c r="M65" s="10">
        <f t="shared" si="3"/>
        <v>7.0054794520547947</v>
      </c>
      <c r="N65" s="11">
        <f t="shared" si="4"/>
        <v>1</v>
      </c>
      <c r="O65" s="9" t="s">
        <v>31</v>
      </c>
      <c r="P65" t="str">
        <f t="shared" si="10"/>
        <v>1</v>
      </c>
      <c r="Q65" s="12">
        <v>750000</v>
      </c>
      <c r="R65" s="9">
        <v>1000</v>
      </c>
      <c r="S65" s="1" t="str">
        <f>IF($V65="USD",INDEX('Dólar Spot'!$B:$B,MATCH(Base!$K65,'Dólar Spot'!$A:$A,0)),"")</f>
        <v/>
      </c>
      <c r="T65" s="11">
        <f t="shared" si="21"/>
        <v>750000000</v>
      </c>
      <c r="U65" s="13">
        <f t="shared" si="5"/>
        <v>7.5</v>
      </c>
      <c r="V65" s="9" t="s">
        <v>44</v>
      </c>
      <c r="W65" s="9" t="s">
        <v>34</v>
      </c>
      <c r="X65">
        <f t="shared" si="11"/>
        <v>1</v>
      </c>
      <c r="Y65" s="1" t="str" cm="1">
        <f t="array" ref="Y65">INDEX(Ratings!$B$2:$M$42,_xlfn.XMATCH(Base!F65,Ratings!$A$2:$A$42),_xlfn.XMATCH(YEAR(Base!K65),Ratings!$B$1:$M$1))</f>
        <v>BBB-</v>
      </c>
      <c r="Z65">
        <f t="shared" si="12"/>
        <v>1</v>
      </c>
      <c r="AA65">
        <f>IFERROR(IFERROR(IFERROR(INDEX('EMBI+'!$B:$B,MATCH(Base!$K65,'EMBI+'!$A:$A,0)),INDEX('EMBI+'!$B:$B,MATCH(Base!$K65+1,'EMBI+'!$A:$A,0))),INDEX('EMBI+'!$B:$B,MATCH(Base!$K65+2,'EMBI+'!$A:$A,0))),INDEX('EMBI+'!$B:$B,MATCH(Base!$K65+3,'EMBI+'!$A:$A,0)))/100</f>
        <v>3.03</v>
      </c>
      <c r="AB65" s="9">
        <v>86.893619999999999</v>
      </c>
      <c r="AC65" s="9">
        <v>358.41428999999999</v>
      </c>
      <c r="AD65" s="9"/>
      <c r="AE65" s="9"/>
      <c r="AF65" s="2"/>
      <c r="AG65" s="2"/>
    </row>
    <row r="66" spans="1:33" x14ac:dyDescent="0.35">
      <c r="A66">
        <f t="shared" si="8"/>
        <v>64</v>
      </c>
      <c r="B66">
        <f>IF(G66="Bonds",COUNTIF($G$3:G66,"Bonds"),0)</f>
        <v>0</v>
      </c>
      <c r="C66" t="str">
        <f t="shared" si="13"/>
        <v>Braskem4487447431</v>
      </c>
      <c r="D66">
        <f t="shared" si="14"/>
        <v>6</v>
      </c>
      <c r="E66" s="9" t="s">
        <v>718</v>
      </c>
      <c r="F66" s="9" t="s">
        <v>114</v>
      </c>
      <c r="G66" s="9" t="s">
        <v>29</v>
      </c>
      <c r="H66">
        <f t="shared" si="1"/>
        <v>0</v>
      </c>
      <c r="I66" s="9"/>
      <c r="J66" s="1">
        <f t="shared" si="2"/>
        <v>3</v>
      </c>
      <c r="K66" s="2">
        <v>44874</v>
      </c>
      <c r="L66" s="2">
        <v>47431</v>
      </c>
      <c r="M66" s="10">
        <f t="shared" si="3"/>
        <v>7.0054794520547947</v>
      </c>
      <c r="N66" s="11">
        <f t="shared" si="4"/>
        <v>1</v>
      </c>
      <c r="O66" s="9" t="s">
        <v>47</v>
      </c>
      <c r="P66" t="str">
        <f t="shared" si="10"/>
        <v>0</v>
      </c>
      <c r="Q66" s="12">
        <v>1103750</v>
      </c>
      <c r="R66" s="9">
        <v>1000</v>
      </c>
      <c r="S66" s="1" t="str">
        <f>IF($V66="USD",INDEX('Dólar Spot'!$B:$B,MATCH(Base!$K66,'Dólar Spot'!$A:$A,0)),"")</f>
        <v/>
      </c>
      <c r="T66" s="11">
        <f t="shared" si="21"/>
        <v>1103750000</v>
      </c>
      <c r="U66" s="13">
        <f t="shared" si="5"/>
        <v>11.0375</v>
      </c>
      <c r="V66" s="9" t="s">
        <v>44</v>
      </c>
      <c r="W66" s="9" t="s">
        <v>34</v>
      </c>
      <c r="X66">
        <f t="shared" si="11"/>
        <v>1</v>
      </c>
      <c r="Y66" s="1" t="str" cm="1">
        <f t="array" ref="Y66">INDEX(Ratings!$B$2:$M$42,_xlfn.XMATCH(Base!F66,Ratings!$A$2:$A$42),_xlfn.XMATCH(YEAR(Base!K66),Ratings!$B$1:$M$1))</f>
        <v>BBB-</v>
      </c>
      <c r="Z66">
        <f t="shared" si="12"/>
        <v>1</v>
      </c>
      <c r="AA66">
        <f>IFERROR(IFERROR(IFERROR(INDEX('EMBI+'!$B:$B,MATCH(Base!$K66,'EMBI+'!$A:$A,0)),INDEX('EMBI+'!$B:$B,MATCH(Base!$K66+1,'EMBI+'!$A:$A,0))),INDEX('EMBI+'!$B:$B,MATCH(Base!$K66+2,'EMBI+'!$A:$A,0))),INDEX('EMBI+'!$B:$B,MATCH(Base!$K66+3,'EMBI+'!$A:$A,0)))/100</f>
        <v>2.79</v>
      </c>
      <c r="AB66" s="9">
        <v>86.893619999999999</v>
      </c>
      <c r="AC66" s="9">
        <v>358.41428999999999</v>
      </c>
      <c r="AD66" s="9"/>
      <c r="AE66" s="9"/>
      <c r="AF66" s="2"/>
      <c r="AG66" s="2"/>
    </row>
    <row r="67" spans="1:33" x14ac:dyDescent="0.35">
      <c r="A67">
        <f t="shared" si="8"/>
        <v>65</v>
      </c>
      <c r="B67">
        <f>IF(G67="Bonds",COUNTIF($G$3:G67,"Bonds"),0)</f>
        <v>0</v>
      </c>
      <c r="C67" t="str">
        <f t="shared" si="13"/>
        <v>Braskem4469348346</v>
      </c>
      <c r="D67">
        <f t="shared" si="14"/>
        <v>6</v>
      </c>
      <c r="E67" s="9" t="s">
        <v>718</v>
      </c>
      <c r="F67" s="9" t="s">
        <v>114</v>
      </c>
      <c r="G67" s="9" t="s">
        <v>29</v>
      </c>
      <c r="H67">
        <f t="shared" ref="H67:H130" si="22">IF(G67="Bonds",1,0)</f>
        <v>0</v>
      </c>
      <c r="I67" s="9"/>
      <c r="J67" s="1">
        <f t="shared" ref="J67:J130" si="23">IF(F67=F66,J66+1,1)</f>
        <v>4</v>
      </c>
      <c r="K67" s="2">
        <v>44693</v>
      </c>
      <c r="L67" s="2">
        <v>48346</v>
      </c>
      <c r="M67" s="10">
        <f t="shared" ref="M67:M130" si="24">(L67-K67)/365</f>
        <v>10.008219178082191</v>
      </c>
      <c r="N67" s="11">
        <f t="shared" ref="N67:N130" si="25">IF(M67&gt;5,1,0)</f>
        <v>1</v>
      </c>
      <c r="O67" s="9" t="s">
        <v>47</v>
      </c>
      <c r="P67" t="str">
        <f t="shared" si="10"/>
        <v>0</v>
      </c>
      <c r="Q67" s="12">
        <v>244056</v>
      </c>
      <c r="R67" s="9">
        <v>1000</v>
      </c>
      <c r="S67" s="1" t="str">
        <f>IF($V67="USD",INDEX('Dólar Spot'!$B:$B,MATCH(Base!$K67,'Dólar Spot'!$A:$A,0)),"")</f>
        <v/>
      </c>
      <c r="T67" s="11">
        <f t="shared" si="21"/>
        <v>244056000</v>
      </c>
      <c r="U67" s="13">
        <f t="shared" ref="U67:U130" si="26">IF(V67="USD",T67*S67/100000000,Q67*R67/100000000)</f>
        <v>2.4405600000000001</v>
      </c>
      <c r="V67" s="9" t="s">
        <v>44</v>
      </c>
      <c r="W67" s="9" t="s">
        <v>34</v>
      </c>
      <c r="X67">
        <f t="shared" si="11"/>
        <v>1</v>
      </c>
      <c r="Y67" s="1" t="str" cm="1">
        <f t="array" ref="Y67">INDEX(Ratings!$B$2:$M$42,_xlfn.XMATCH(Base!F67,Ratings!$A$2:$A$42),_xlfn.XMATCH(YEAR(Base!K67),Ratings!$B$1:$M$1))</f>
        <v>BBB-</v>
      </c>
      <c r="Z67">
        <f t="shared" si="12"/>
        <v>1</v>
      </c>
      <c r="AA67">
        <f>IFERROR(IFERROR(IFERROR(INDEX('EMBI+'!$B:$B,MATCH(Base!$K67,'EMBI+'!$A:$A,0)),INDEX('EMBI+'!$B:$B,MATCH(Base!$K67+1,'EMBI+'!$A:$A,0))),INDEX('EMBI+'!$B:$B,MATCH(Base!$K67+2,'EMBI+'!$A:$A,0))),INDEX('EMBI+'!$B:$B,MATCH(Base!$K67+3,'EMBI+'!$A:$A,0)))/100</f>
        <v>3.18</v>
      </c>
      <c r="AB67" s="9">
        <v>115.98669</v>
      </c>
      <c r="AC67" s="9">
        <v>310.39044000000001</v>
      </c>
      <c r="AD67" s="9"/>
      <c r="AE67" s="9"/>
      <c r="AF67" s="2"/>
      <c r="AG67" s="2"/>
    </row>
    <row r="68" spans="1:33" x14ac:dyDescent="0.35">
      <c r="A68">
        <f t="shared" ref="A68:A131" si="27">+A67+1</f>
        <v>66</v>
      </c>
      <c r="B68">
        <f>IF(G68="Bonds",COUNTIF($G$3:G68,"Bonds"),0)</f>
        <v>0</v>
      </c>
      <c r="C68" t="str">
        <f t="shared" si="13"/>
        <v>Braskem4487448527</v>
      </c>
      <c r="D68">
        <f t="shared" si="14"/>
        <v>6</v>
      </c>
      <c r="E68" s="9" t="s">
        <v>718</v>
      </c>
      <c r="F68" s="9" t="s">
        <v>114</v>
      </c>
      <c r="G68" s="9" t="s">
        <v>29</v>
      </c>
      <c r="H68">
        <f t="shared" si="22"/>
        <v>0</v>
      </c>
      <c r="I68" s="9"/>
      <c r="J68" s="1">
        <f t="shared" si="23"/>
        <v>5</v>
      </c>
      <c r="K68" s="2">
        <v>44874</v>
      </c>
      <c r="L68" s="2">
        <v>48527</v>
      </c>
      <c r="M68" s="10">
        <f t="shared" si="24"/>
        <v>10.008219178082191</v>
      </c>
      <c r="N68" s="11">
        <f t="shared" si="25"/>
        <v>1</v>
      </c>
      <c r="O68" s="9" t="s">
        <v>47</v>
      </c>
      <c r="P68" t="str">
        <f t="shared" ref="P68:P131" si="28">IF(OR(O68="Real",O68="Flutuante",O68="SR SECURED"),"1","0")</f>
        <v>0</v>
      </c>
      <c r="Q68" s="12">
        <v>96250</v>
      </c>
      <c r="R68" s="9">
        <v>1000</v>
      </c>
      <c r="S68" s="1" t="str">
        <f>IF($V68="USD",INDEX('Dólar Spot'!$B:$B,MATCH(Base!$K68,'Dólar Spot'!$A:$A,0)),"")</f>
        <v/>
      </c>
      <c r="T68" s="11">
        <f t="shared" si="21"/>
        <v>96250000</v>
      </c>
      <c r="U68" s="13">
        <f t="shared" si="26"/>
        <v>0.96250000000000002</v>
      </c>
      <c r="V68" s="9" t="s">
        <v>44</v>
      </c>
      <c r="W68" s="9" t="s">
        <v>34</v>
      </c>
      <c r="X68">
        <f t="shared" ref="X68:X131" si="29">IF(OR(W68="N",W68="AT MATURITY"),0,1)</f>
        <v>1</v>
      </c>
      <c r="Y68" s="1" t="str" cm="1">
        <f t="array" ref="Y68">INDEX(Ratings!$B$2:$M$42,_xlfn.XMATCH(Base!F68,Ratings!$A$2:$A$42),_xlfn.XMATCH(YEAR(Base!K68),Ratings!$B$1:$M$1))</f>
        <v>BBB-</v>
      </c>
      <c r="Z68">
        <f t="shared" ref="Z68:Z131" si="30">IF(AND(Y68&lt;&gt;"BBB-",Y68&lt;&gt;"BBB",Y68&lt;&gt;"BBB+"),0,1)</f>
        <v>1</v>
      </c>
      <c r="AA68">
        <f>IFERROR(IFERROR(IFERROR(INDEX('EMBI+'!$B:$B,MATCH(Base!$K68,'EMBI+'!$A:$A,0)),INDEX('EMBI+'!$B:$B,MATCH(Base!$K68+1,'EMBI+'!$A:$A,0))),INDEX('EMBI+'!$B:$B,MATCH(Base!$K68+2,'EMBI+'!$A:$A,0))),INDEX('EMBI+'!$B:$B,MATCH(Base!$K68+3,'EMBI+'!$A:$A,0)))/100</f>
        <v>2.79</v>
      </c>
      <c r="AB68" s="9">
        <v>86.893619999999999</v>
      </c>
      <c r="AC68" s="9">
        <v>358.41428999999999</v>
      </c>
      <c r="AD68" s="9"/>
      <c r="AE68" s="9"/>
      <c r="AF68" s="2"/>
      <c r="AG68" s="2"/>
    </row>
    <row r="69" spans="1:33" x14ac:dyDescent="0.35">
      <c r="A69">
        <f t="shared" si="27"/>
        <v>67</v>
      </c>
      <c r="B69">
        <f>IF(G69="Bonds",COUNTIF($G$3:G69,"Bonds"),0)</f>
        <v>9</v>
      </c>
      <c r="C69" t="str">
        <f t="shared" ref="C69:C132" si="31">F69&amp;K69&amp;L69</f>
        <v>Braskem4074622/07/2041</v>
      </c>
      <c r="D69">
        <f t="shared" ref="D69:D132" si="32">IF(F69&lt;&gt;F68,D68+1,D68)</f>
        <v>6</v>
      </c>
      <c r="E69" s="9" t="s">
        <v>115</v>
      </c>
      <c r="F69" s="9" t="s">
        <v>114</v>
      </c>
      <c r="G69" s="9" t="s">
        <v>37</v>
      </c>
      <c r="H69">
        <f t="shared" si="22"/>
        <v>1</v>
      </c>
      <c r="I69" s="9"/>
      <c r="J69" s="1">
        <f t="shared" si="23"/>
        <v>6</v>
      </c>
      <c r="K69" s="2">
        <v>40746</v>
      </c>
      <c r="L69" s="2" t="s">
        <v>116</v>
      </c>
      <c r="M69" s="10">
        <f t="shared" si="24"/>
        <v>30.021917808219179</v>
      </c>
      <c r="N69" s="11">
        <f t="shared" si="25"/>
        <v>1</v>
      </c>
      <c r="O69" s="9" t="s">
        <v>39</v>
      </c>
      <c r="P69" t="str">
        <f t="shared" si="28"/>
        <v>0</v>
      </c>
      <c r="Q69" s="9"/>
      <c r="R69" s="9"/>
      <c r="S69" s="1">
        <f>IF($V69="USD",INDEX('Dólar Spot'!$B:$B,MATCH(Base!$K69,'Dólar Spot'!$A:$A,0)),"")</f>
        <v>1.5539000000000001</v>
      </c>
      <c r="T69" s="12">
        <v>500000000</v>
      </c>
      <c r="U69" s="13">
        <f t="shared" si="26"/>
        <v>7.7694999999999999</v>
      </c>
      <c r="V69" s="9" t="s">
        <v>40</v>
      </c>
      <c r="W69" s="9" t="s">
        <v>34</v>
      </c>
      <c r="X69">
        <f t="shared" si="29"/>
        <v>1</v>
      </c>
      <c r="Y69" s="1" t="str" cm="1">
        <f t="array" ref="Y69">INDEX(Ratings!$B$2:$M$42,_xlfn.XMATCH(Base!F69,Ratings!$A$2:$A$42),_xlfn.XMATCH(YEAR(Base!K69),Ratings!$B$1:$M$1))</f>
        <v>BB+</v>
      </c>
      <c r="Z69">
        <f t="shared" si="30"/>
        <v>0</v>
      </c>
      <c r="AA69">
        <f>IFERROR(IFERROR(IFERROR(INDEX('EMBI+'!$B:$B,MATCH(Base!$K69,'EMBI+'!$A:$A,0)),INDEX('EMBI+'!$B:$B,MATCH(Base!$K69+1,'EMBI+'!$A:$A,0))),INDEX('EMBI+'!$B:$B,MATCH(Base!$K69+2,'EMBI+'!$A:$A,0))),INDEX('EMBI+'!$B:$B,MATCH(Base!$K69+3,'EMBI+'!$A:$A,0)))/100</f>
        <v>1.63</v>
      </c>
      <c r="AB69" s="9">
        <v>109.08060999999999</v>
      </c>
      <c r="AC69" s="9">
        <v>123.0702</v>
      </c>
      <c r="AD69" s="9"/>
      <c r="AE69" s="9"/>
      <c r="AF69" s="2"/>
      <c r="AG69" s="2"/>
    </row>
    <row r="70" spans="1:33" x14ac:dyDescent="0.35">
      <c r="A70">
        <f t="shared" si="27"/>
        <v>68</v>
      </c>
      <c r="B70">
        <f>IF(G70="Bonds",COUNTIF($G$3:G70,"Bonds"),0)</f>
        <v>10</v>
      </c>
      <c r="C70" t="str">
        <f t="shared" si="31"/>
        <v>Braskem4111322/07/2041</v>
      </c>
      <c r="D70">
        <f t="shared" si="32"/>
        <v>6</v>
      </c>
      <c r="E70" s="9" t="s">
        <v>115</v>
      </c>
      <c r="F70" s="9" t="s">
        <v>114</v>
      </c>
      <c r="G70" s="9" t="s">
        <v>37</v>
      </c>
      <c r="H70">
        <f t="shared" si="22"/>
        <v>1</v>
      </c>
      <c r="I70" s="9"/>
      <c r="J70" s="1">
        <f t="shared" si="23"/>
        <v>7</v>
      </c>
      <c r="K70" s="2">
        <v>41113</v>
      </c>
      <c r="L70" s="2" t="s">
        <v>116</v>
      </c>
      <c r="M70" s="10">
        <f t="shared" si="24"/>
        <v>29.016438356164382</v>
      </c>
      <c r="N70" s="11">
        <f t="shared" si="25"/>
        <v>1</v>
      </c>
      <c r="O70" s="9" t="s">
        <v>39</v>
      </c>
      <c r="P70" t="str">
        <f t="shared" si="28"/>
        <v>0</v>
      </c>
      <c r="Q70" s="9"/>
      <c r="R70" s="9"/>
      <c r="S70" s="1">
        <f>IF($V70="USD",INDEX('Dólar Spot'!$B:$B,MATCH(Base!$K70,'Dólar Spot'!$A:$A,0)),"")</f>
        <v>2.0406</v>
      </c>
      <c r="T70" s="12">
        <v>250000000</v>
      </c>
      <c r="U70" s="13">
        <f t="shared" si="26"/>
        <v>5.1014999999999997</v>
      </c>
      <c r="V70" s="9" t="s">
        <v>40</v>
      </c>
      <c r="W70" s="9" t="s">
        <v>34</v>
      </c>
      <c r="X70">
        <f t="shared" si="29"/>
        <v>1</v>
      </c>
      <c r="Y70" s="1" t="str" cm="1">
        <f t="array" ref="Y70">INDEX(Ratings!$B$2:$M$42,_xlfn.XMATCH(Base!F70,Ratings!$A$2:$A$42),_xlfn.XMATCH(YEAR(Base!K70),Ratings!$B$1:$M$1))</f>
        <v>BBB-</v>
      </c>
      <c r="Z70">
        <f t="shared" si="30"/>
        <v>1</v>
      </c>
      <c r="AA70">
        <f>IFERROR(IFERROR(IFERROR(INDEX('EMBI+'!$B:$B,MATCH(Base!$K70,'EMBI+'!$A:$A,0)),INDEX('EMBI+'!$B:$B,MATCH(Base!$K70+1,'EMBI+'!$A:$A,0))),INDEX('EMBI+'!$B:$B,MATCH(Base!$K70+2,'EMBI+'!$A:$A,0))),INDEX('EMBI+'!$B:$B,MATCH(Base!$K70+3,'EMBI+'!$A:$A,0)))/100</f>
        <v>2.0499999999999998</v>
      </c>
      <c r="AB70" s="9">
        <v>84.535740000000004</v>
      </c>
      <c r="AC70" s="9">
        <v>166.92957000000001</v>
      </c>
      <c r="AD70" s="9"/>
      <c r="AE70" s="9"/>
      <c r="AF70" s="2"/>
      <c r="AG70" s="2"/>
    </row>
    <row r="71" spans="1:33" x14ac:dyDescent="0.35">
      <c r="A71">
        <f t="shared" si="27"/>
        <v>69</v>
      </c>
      <c r="B71">
        <f>IF(G71="Bonds",COUNTIF($G$3:G71,"Bonds"),0)</f>
        <v>11</v>
      </c>
      <c r="C71" t="str">
        <f t="shared" si="31"/>
        <v>Braskem4167303/02/2024</v>
      </c>
      <c r="D71">
        <f t="shared" si="32"/>
        <v>6</v>
      </c>
      <c r="E71" s="9" t="s">
        <v>117</v>
      </c>
      <c r="F71" s="9" t="s">
        <v>114</v>
      </c>
      <c r="G71" s="9" t="s">
        <v>37</v>
      </c>
      <c r="H71">
        <f t="shared" si="22"/>
        <v>1</v>
      </c>
      <c r="I71" s="9"/>
      <c r="J71" s="1">
        <f t="shared" si="23"/>
        <v>8</v>
      </c>
      <c r="K71" s="2">
        <v>41673</v>
      </c>
      <c r="L71" s="2" t="s">
        <v>118</v>
      </c>
      <c r="M71" s="10">
        <f t="shared" si="24"/>
        <v>10.005479452054795</v>
      </c>
      <c r="N71" s="11">
        <f t="shared" si="25"/>
        <v>1</v>
      </c>
      <c r="O71" s="9" t="s">
        <v>39</v>
      </c>
      <c r="P71" t="str">
        <f t="shared" si="28"/>
        <v>0</v>
      </c>
      <c r="Q71" s="9"/>
      <c r="R71" s="9"/>
      <c r="S71" s="1">
        <f>IF($V71="USD",INDEX('Dólar Spot'!$B:$B,MATCH(Base!$K71,'Dólar Spot'!$A:$A,0)),"")</f>
        <v>2.4083999999999999</v>
      </c>
      <c r="T71" s="12">
        <v>500000000</v>
      </c>
      <c r="U71" s="13">
        <f t="shared" si="26"/>
        <v>12.042</v>
      </c>
      <c r="V71" s="9" t="s">
        <v>40</v>
      </c>
      <c r="W71" s="9" t="s">
        <v>35</v>
      </c>
      <c r="X71">
        <f t="shared" si="29"/>
        <v>0</v>
      </c>
      <c r="Y71" s="1" t="str" cm="1">
        <f t="array" ref="Y71">INDEX(Ratings!$B$2:$M$42,_xlfn.XMATCH(Base!F71,Ratings!$A$2:$A$42),_xlfn.XMATCH(YEAR(Base!K71),Ratings!$B$1:$M$1))</f>
        <v>BBB-</v>
      </c>
      <c r="Z71">
        <f t="shared" si="30"/>
        <v>1</v>
      </c>
      <c r="AA71">
        <f>IFERROR(IFERROR(IFERROR(INDEX('EMBI+'!$B:$B,MATCH(Base!$K71,'EMBI+'!$A:$A,0)),INDEX('EMBI+'!$B:$B,MATCH(Base!$K71+1,'EMBI+'!$A:$A,0))),INDEX('EMBI+'!$B:$B,MATCH(Base!$K71+2,'EMBI+'!$A:$A,0))),INDEX('EMBI+'!$B:$B,MATCH(Base!$K71+3,'EMBI+'!$A:$A,0)))/100</f>
        <v>2.78</v>
      </c>
      <c r="AB71" s="9">
        <v>75.442179999999993</v>
      </c>
      <c r="AC71" s="9">
        <v>186.02491000000001</v>
      </c>
      <c r="AD71" s="9"/>
      <c r="AE71" s="9"/>
      <c r="AF71" s="2"/>
      <c r="AG71" s="2"/>
    </row>
    <row r="72" spans="1:33" x14ac:dyDescent="0.35">
      <c r="A72">
        <f t="shared" si="27"/>
        <v>70</v>
      </c>
      <c r="B72">
        <f>IF(G72="Bonds",COUNTIF($G$3:G72,"Bonds"),0)</f>
        <v>12</v>
      </c>
      <c r="C72" t="str">
        <f t="shared" si="31"/>
        <v>Braskem4103102/05/2022</v>
      </c>
      <c r="D72">
        <f t="shared" si="32"/>
        <v>6</v>
      </c>
      <c r="E72" s="9" t="s">
        <v>117</v>
      </c>
      <c r="F72" s="9" t="s">
        <v>114</v>
      </c>
      <c r="G72" s="9" t="s">
        <v>37</v>
      </c>
      <c r="H72">
        <f t="shared" si="22"/>
        <v>1</v>
      </c>
      <c r="I72" s="9"/>
      <c r="J72" s="1">
        <f t="shared" si="23"/>
        <v>9</v>
      </c>
      <c r="K72" s="2">
        <v>41031</v>
      </c>
      <c r="L72" s="2" t="s">
        <v>119</v>
      </c>
      <c r="M72" s="10">
        <f t="shared" si="24"/>
        <v>10.005479452054795</v>
      </c>
      <c r="N72" s="11">
        <f t="shared" si="25"/>
        <v>1</v>
      </c>
      <c r="O72" s="9" t="s">
        <v>39</v>
      </c>
      <c r="P72" t="str">
        <f t="shared" si="28"/>
        <v>0</v>
      </c>
      <c r="Q72" s="9"/>
      <c r="R72" s="9"/>
      <c r="S72" s="1">
        <f>IF($V72="USD",INDEX('Dólar Spot'!$B:$B,MATCH(Base!$K72,'Dólar Spot'!$A:$A,0)),"")</f>
        <v>1.9142999999999999</v>
      </c>
      <c r="T72" s="12">
        <v>500000000</v>
      </c>
      <c r="U72" s="13">
        <f t="shared" si="26"/>
        <v>9.5715000000000003</v>
      </c>
      <c r="V72" s="9" t="s">
        <v>40</v>
      </c>
      <c r="W72" s="9" t="s">
        <v>35</v>
      </c>
      <c r="X72">
        <f t="shared" si="29"/>
        <v>0</v>
      </c>
      <c r="Y72" s="1" t="str" cm="1">
        <f t="array" ref="Y72">INDEX(Ratings!$B$2:$M$42,_xlfn.XMATCH(Base!F72,Ratings!$A$2:$A$42),_xlfn.XMATCH(YEAR(Base!K72),Ratings!$B$1:$M$1))</f>
        <v>BBB-</v>
      </c>
      <c r="Z72">
        <f t="shared" si="30"/>
        <v>1</v>
      </c>
      <c r="AA72">
        <f>IFERROR(IFERROR(IFERROR(INDEX('EMBI+'!$B:$B,MATCH(Base!$K72,'EMBI+'!$A:$A,0)),INDEX('EMBI+'!$B:$B,MATCH(Base!$K72+1,'EMBI+'!$A:$A,0))),INDEX('EMBI+'!$B:$B,MATCH(Base!$K72+2,'EMBI+'!$A:$A,0))),INDEX('EMBI+'!$B:$B,MATCH(Base!$K72+3,'EMBI+'!$A:$A,0)))/100</f>
        <v>1.83</v>
      </c>
      <c r="AB72" s="9">
        <v>98.451449999999994</v>
      </c>
      <c r="AC72" s="9">
        <v>147.56807000000001</v>
      </c>
      <c r="AD72" s="9"/>
      <c r="AE72" s="9"/>
      <c r="AF72" s="2"/>
      <c r="AG72" s="2"/>
    </row>
    <row r="73" spans="1:33" x14ac:dyDescent="0.35">
      <c r="A73">
        <f t="shared" si="27"/>
        <v>71</v>
      </c>
      <c r="B73">
        <f>IF(G73="Bonds",COUNTIF($G$3:G73,"Bonds"),0)</f>
        <v>13</v>
      </c>
      <c r="C73" t="str">
        <f t="shared" si="31"/>
        <v>Braskem4064815/04/2021</v>
      </c>
      <c r="D73">
        <f t="shared" si="32"/>
        <v>6</v>
      </c>
      <c r="E73" s="9" t="s">
        <v>117</v>
      </c>
      <c r="F73" s="9" t="s">
        <v>114</v>
      </c>
      <c r="G73" s="9" t="s">
        <v>37</v>
      </c>
      <c r="H73">
        <f t="shared" si="22"/>
        <v>1</v>
      </c>
      <c r="I73" s="9"/>
      <c r="J73" s="1">
        <f t="shared" si="23"/>
        <v>10</v>
      </c>
      <c r="K73" s="2">
        <v>40648</v>
      </c>
      <c r="L73" s="2" t="s">
        <v>120</v>
      </c>
      <c r="M73" s="10">
        <f t="shared" si="24"/>
        <v>10.008219178082191</v>
      </c>
      <c r="N73" s="11">
        <f t="shared" si="25"/>
        <v>1</v>
      </c>
      <c r="O73" s="9" t="s">
        <v>39</v>
      </c>
      <c r="P73" t="str">
        <f t="shared" si="28"/>
        <v>0</v>
      </c>
      <c r="Q73" s="9"/>
      <c r="R73" s="9"/>
      <c r="S73" s="1">
        <f>IF($V73="USD",INDEX('Dólar Spot'!$B:$B,MATCH(Base!$K73,'Dólar Spot'!$A:$A,0)),"")</f>
        <v>1.5768</v>
      </c>
      <c r="T73" s="12">
        <v>750000000</v>
      </c>
      <c r="U73" s="13">
        <f t="shared" si="26"/>
        <v>11.826000000000001</v>
      </c>
      <c r="V73" s="9" t="s">
        <v>40</v>
      </c>
      <c r="W73" s="9" t="s">
        <v>35</v>
      </c>
      <c r="X73">
        <f t="shared" si="29"/>
        <v>0</v>
      </c>
      <c r="Y73" s="1" t="str" cm="1">
        <f t="array" ref="Y73">INDEX(Ratings!$B$2:$M$42,_xlfn.XMATCH(Base!F73,Ratings!$A$2:$A$42),_xlfn.XMATCH(YEAR(Base!K73),Ratings!$B$1:$M$1))</f>
        <v>BB+</v>
      </c>
      <c r="Z73">
        <f t="shared" si="30"/>
        <v>0</v>
      </c>
      <c r="AA73">
        <f>IFERROR(IFERROR(IFERROR(INDEX('EMBI+'!$B:$B,MATCH(Base!$K73,'EMBI+'!$A:$A,0)),INDEX('EMBI+'!$B:$B,MATCH(Base!$K73+1,'EMBI+'!$A:$A,0))),INDEX('EMBI+'!$B:$B,MATCH(Base!$K73+2,'EMBI+'!$A:$A,0))),INDEX('EMBI+'!$B:$B,MATCH(Base!$K73+3,'EMBI+'!$A:$A,0)))/100</f>
        <v>1.75</v>
      </c>
      <c r="AB73" s="9">
        <v>107.29024</v>
      </c>
      <c r="AC73" s="9">
        <v>125.3683</v>
      </c>
      <c r="AD73" s="9"/>
      <c r="AE73" s="9"/>
      <c r="AF73" s="2"/>
      <c r="AG73" s="2"/>
    </row>
    <row r="74" spans="1:33" x14ac:dyDescent="0.35">
      <c r="A74">
        <f t="shared" si="27"/>
        <v>72</v>
      </c>
      <c r="B74">
        <f>IF(G74="Bonds",COUNTIF($G$3:G74,"Bonds"),0)</f>
        <v>14</v>
      </c>
      <c r="C74" t="str">
        <f t="shared" si="31"/>
        <v>Braskem4094115/04/2021</v>
      </c>
      <c r="D74">
        <f t="shared" si="32"/>
        <v>6</v>
      </c>
      <c r="E74" s="9" t="s">
        <v>117</v>
      </c>
      <c r="F74" s="9" t="s">
        <v>114</v>
      </c>
      <c r="G74" s="9" t="s">
        <v>37</v>
      </c>
      <c r="H74">
        <f t="shared" si="22"/>
        <v>1</v>
      </c>
      <c r="I74" s="9"/>
      <c r="J74" s="1">
        <f t="shared" si="23"/>
        <v>11</v>
      </c>
      <c r="K74" s="2">
        <v>40941</v>
      </c>
      <c r="L74" s="2" t="s">
        <v>120</v>
      </c>
      <c r="M74" s="10">
        <f t="shared" si="24"/>
        <v>9.205479452054794</v>
      </c>
      <c r="N74" s="11">
        <f t="shared" si="25"/>
        <v>1</v>
      </c>
      <c r="O74" s="9" t="s">
        <v>39</v>
      </c>
      <c r="P74" t="str">
        <f t="shared" si="28"/>
        <v>0</v>
      </c>
      <c r="Q74" s="9"/>
      <c r="R74" s="9"/>
      <c r="S74" s="1">
        <f>IF($V74="USD",INDEX('Dólar Spot'!$B:$B,MATCH(Base!$K74,'Dólar Spot'!$A:$A,0)),"")</f>
        <v>1.732</v>
      </c>
      <c r="T74" s="12">
        <v>250000000</v>
      </c>
      <c r="U74" s="13">
        <f t="shared" si="26"/>
        <v>4.33</v>
      </c>
      <c r="V74" s="9" t="s">
        <v>40</v>
      </c>
      <c r="W74" s="9" t="s">
        <v>34</v>
      </c>
      <c r="X74">
        <f t="shared" si="29"/>
        <v>1</v>
      </c>
      <c r="Y74" s="1" t="str" cm="1">
        <f t="array" ref="Y74">INDEX(Ratings!$B$2:$M$42,_xlfn.XMATCH(Base!F74,Ratings!$A$2:$A$42),_xlfn.XMATCH(YEAR(Base!K74),Ratings!$B$1:$M$1))</f>
        <v>BBB-</v>
      </c>
      <c r="Z74">
        <f t="shared" si="30"/>
        <v>1</v>
      </c>
      <c r="AA74">
        <f>IFERROR(IFERROR(IFERROR(INDEX('EMBI+'!$B:$B,MATCH(Base!$K74,'EMBI+'!$A:$A,0)),INDEX('EMBI+'!$B:$B,MATCH(Base!$K74+1,'EMBI+'!$A:$A,0))),INDEX('EMBI+'!$B:$B,MATCH(Base!$K74+2,'EMBI+'!$A:$A,0))),INDEX('EMBI+'!$B:$B,MATCH(Base!$K74+3,'EMBI+'!$A:$A,0)))/100</f>
        <v>2.1800000000000002</v>
      </c>
      <c r="AB74" s="9">
        <v>97.358959999999996</v>
      </c>
      <c r="AC74" s="9">
        <v>151.63914</v>
      </c>
      <c r="AD74" s="9"/>
      <c r="AE74" s="9"/>
      <c r="AF74" s="2"/>
      <c r="AG74" s="2"/>
    </row>
    <row r="75" spans="1:33" x14ac:dyDescent="0.35">
      <c r="A75">
        <f t="shared" si="27"/>
        <v>73</v>
      </c>
      <c r="B75">
        <f>IF(G75="Bonds",COUNTIF($G$3:G75,"Bonds"),0)</f>
        <v>15</v>
      </c>
      <c r="C75" t="str">
        <f t="shared" si="31"/>
        <v>Braskem4377031/01/2030</v>
      </c>
      <c r="D75">
        <f t="shared" si="32"/>
        <v>6</v>
      </c>
      <c r="E75" s="9" t="s">
        <v>121</v>
      </c>
      <c r="F75" s="9" t="s">
        <v>114</v>
      </c>
      <c r="G75" s="9" t="s">
        <v>37</v>
      </c>
      <c r="H75">
        <f t="shared" si="22"/>
        <v>1</v>
      </c>
      <c r="I75" s="9"/>
      <c r="J75" s="1">
        <f t="shared" si="23"/>
        <v>12</v>
      </c>
      <c r="K75" s="2">
        <v>43770</v>
      </c>
      <c r="L75" s="2" t="s">
        <v>122</v>
      </c>
      <c r="M75" s="10">
        <f t="shared" si="24"/>
        <v>10.257534246575343</v>
      </c>
      <c r="N75" s="11">
        <f t="shared" si="25"/>
        <v>1</v>
      </c>
      <c r="O75" s="9" t="s">
        <v>39</v>
      </c>
      <c r="P75" t="str">
        <f t="shared" si="28"/>
        <v>0</v>
      </c>
      <c r="Q75" s="9"/>
      <c r="R75" s="9"/>
      <c r="S75" s="1">
        <f>IF($V75="USD",INDEX('Dólar Spot'!$B:$B,MATCH(Base!$K75,'Dólar Spot'!$A:$A,0)),"")</f>
        <v>3.9780000000000002</v>
      </c>
      <c r="T75" s="12">
        <v>1500000000</v>
      </c>
      <c r="U75" s="13">
        <f t="shared" si="26"/>
        <v>59.67</v>
      </c>
      <c r="V75" s="9" t="s">
        <v>40</v>
      </c>
      <c r="W75" s="9" t="s">
        <v>35</v>
      </c>
      <c r="X75">
        <f t="shared" si="29"/>
        <v>0</v>
      </c>
      <c r="Y75" s="1" t="str" cm="1">
        <f t="array" ref="Y75">INDEX(Ratings!$B$2:$M$42,_xlfn.XMATCH(Base!F75,Ratings!$A$2:$A$42),_xlfn.XMATCH(YEAR(Base!K75),Ratings!$B$1:$M$1))</f>
        <v>BBB-</v>
      </c>
      <c r="Z75">
        <f t="shared" si="30"/>
        <v>1</v>
      </c>
      <c r="AA75">
        <f>IFERROR(IFERROR(IFERROR(INDEX('EMBI+'!$B:$B,MATCH(Base!$K75,'EMBI+'!$A:$A,0)),INDEX('EMBI+'!$B:$B,MATCH(Base!$K75+1,'EMBI+'!$A:$A,0))),INDEX('EMBI+'!$B:$B,MATCH(Base!$K75+2,'EMBI+'!$A:$A,0))),INDEX('EMBI+'!$B:$B,MATCH(Base!$K75+3,'EMBI+'!$A:$A,0)))/100</f>
        <v>2.31</v>
      </c>
      <c r="AB75" s="9">
        <v>72.63758</v>
      </c>
      <c r="AC75" s="9">
        <v>279.57488999999998</v>
      </c>
      <c r="AD75" s="9"/>
      <c r="AE75" s="9"/>
      <c r="AF75" s="2"/>
      <c r="AG75" s="2"/>
    </row>
    <row r="76" spans="1:33" x14ac:dyDescent="0.35">
      <c r="A76">
        <f t="shared" si="27"/>
        <v>74</v>
      </c>
      <c r="B76">
        <f>IF(G76="Bonds",COUNTIF($G$3:G76,"Bonds"),0)</f>
        <v>16</v>
      </c>
      <c r="C76" t="str">
        <f t="shared" si="31"/>
        <v>Braskem4301810/01/2028</v>
      </c>
      <c r="D76">
        <f t="shared" si="32"/>
        <v>6</v>
      </c>
      <c r="E76" s="9" t="s">
        <v>121</v>
      </c>
      <c r="F76" s="9" t="s">
        <v>114</v>
      </c>
      <c r="G76" s="9" t="s">
        <v>37</v>
      </c>
      <c r="H76">
        <f t="shared" si="22"/>
        <v>1</v>
      </c>
      <c r="I76" s="9"/>
      <c r="J76" s="1">
        <f t="shared" si="23"/>
        <v>13</v>
      </c>
      <c r="K76" s="2">
        <v>43018</v>
      </c>
      <c r="L76" s="2" t="s">
        <v>123</v>
      </c>
      <c r="M76" s="10">
        <f t="shared" si="24"/>
        <v>10.257534246575343</v>
      </c>
      <c r="N76" s="11">
        <f t="shared" si="25"/>
        <v>1</v>
      </c>
      <c r="O76" s="9" t="s">
        <v>39</v>
      </c>
      <c r="P76" t="str">
        <f t="shared" si="28"/>
        <v>0</v>
      </c>
      <c r="Q76" s="9"/>
      <c r="R76" s="9"/>
      <c r="S76" s="1">
        <f>IF($V76="USD",INDEX('Dólar Spot'!$B:$B,MATCH(Base!$K76,'Dólar Spot'!$A:$A,0)),"")</f>
        <v>3.1682000000000001</v>
      </c>
      <c r="T76" s="12">
        <v>1250000000</v>
      </c>
      <c r="U76" s="13">
        <f t="shared" si="26"/>
        <v>39.602499999999999</v>
      </c>
      <c r="V76" s="9" t="s">
        <v>40</v>
      </c>
      <c r="W76" s="9" t="s">
        <v>34</v>
      </c>
      <c r="X76">
        <f t="shared" si="29"/>
        <v>1</v>
      </c>
      <c r="Y76" s="1" t="str" cm="1">
        <f t="array" ref="Y76">INDEX(Ratings!$B$2:$M$42,_xlfn.XMATCH(Base!F76,Ratings!$A$2:$A$42),_xlfn.XMATCH(YEAR(Base!K76),Ratings!$B$1:$M$1))</f>
        <v>BBB-</v>
      </c>
      <c r="Z76">
        <f t="shared" si="30"/>
        <v>1</v>
      </c>
      <c r="AA76">
        <f>IFERROR(IFERROR(IFERROR(INDEX('EMBI+'!$B:$B,MATCH(Base!$K76,'EMBI+'!$A:$A,0)),INDEX('EMBI+'!$B:$B,MATCH(Base!$K76+1,'EMBI+'!$A:$A,0))),INDEX('EMBI+'!$B:$B,MATCH(Base!$K76+2,'EMBI+'!$A:$A,0))),INDEX('EMBI+'!$B:$B,MATCH(Base!$K76+3,'EMBI+'!$A:$A,0)))/100</f>
        <v>2.48</v>
      </c>
      <c r="AB76" s="9">
        <v>77.304580000000001</v>
      </c>
      <c r="AC76" s="9">
        <v>220.17929000000001</v>
      </c>
      <c r="AD76" s="9"/>
      <c r="AE76" s="9"/>
      <c r="AF76" s="2"/>
      <c r="AG76" s="2"/>
    </row>
    <row r="77" spans="1:33" x14ac:dyDescent="0.35">
      <c r="A77">
        <f t="shared" si="27"/>
        <v>75</v>
      </c>
      <c r="B77">
        <f>IF(G77="Bonds",COUNTIF($G$3:G77,"Bonds"),0)</f>
        <v>17</v>
      </c>
      <c r="C77" t="str">
        <f t="shared" si="31"/>
        <v>Braskem4377031/01/2050</v>
      </c>
      <c r="D77">
        <f t="shared" si="32"/>
        <v>6</v>
      </c>
      <c r="E77" s="9" t="s">
        <v>121</v>
      </c>
      <c r="F77" s="9" t="s">
        <v>114</v>
      </c>
      <c r="G77" s="9" t="s">
        <v>37</v>
      </c>
      <c r="H77">
        <f t="shared" si="22"/>
        <v>1</v>
      </c>
      <c r="I77" s="9"/>
      <c r="J77" s="1">
        <f t="shared" si="23"/>
        <v>14</v>
      </c>
      <c r="K77" s="2">
        <v>43770</v>
      </c>
      <c r="L77" s="2" t="s">
        <v>124</v>
      </c>
      <c r="M77" s="10">
        <f t="shared" si="24"/>
        <v>30.271232876712329</v>
      </c>
      <c r="N77" s="11">
        <f t="shared" si="25"/>
        <v>1</v>
      </c>
      <c r="O77" s="9" t="s">
        <v>39</v>
      </c>
      <c r="P77" t="str">
        <f t="shared" si="28"/>
        <v>0</v>
      </c>
      <c r="Q77" s="9"/>
      <c r="R77" s="9"/>
      <c r="S77" s="1">
        <f>IF($V77="USD",INDEX('Dólar Spot'!$B:$B,MATCH(Base!$K77,'Dólar Spot'!$A:$A,0)),"")</f>
        <v>3.9780000000000002</v>
      </c>
      <c r="T77" s="12">
        <v>750000000</v>
      </c>
      <c r="U77" s="13">
        <f t="shared" si="26"/>
        <v>29.835000000000001</v>
      </c>
      <c r="V77" s="9" t="s">
        <v>40</v>
      </c>
      <c r="W77" s="9" t="s">
        <v>35</v>
      </c>
      <c r="X77">
        <f t="shared" si="29"/>
        <v>0</v>
      </c>
      <c r="Y77" s="1" t="str" cm="1">
        <f t="array" ref="Y77">INDEX(Ratings!$B$2:$M$42,_xlfn.XMATCH(Base!F77,Ratings!$A$2:$A$42),_xlfn.XMATCH(YEAR(Base!K77),Ratings!$B$1:$M$1))</f>
        <v>BBB-</v>
      </c>
      <c r="Z77">
        <f t="shared" si="30"/>
        <v>1</v>
      </c>
      <c r="AA77">
        <f>IFERROR(IFERROR(IFERROR(INDEX('EMBI+'!$B:$B,MATCH(Base!$K77,'EMBI+'!$A:$A,0)),INDEX('EMBI+'!$B:$B,MATCH(Base!$K77+1,'EMBI+'!$A:$A,0))),INDEX('EMBI+'!$B:$B,MATCH(Base!$K77+2,'EMBI+'!$A:$A,0))),INDEX('EMBI+'!$B:$B,MATCH(Base!$K77+3,'EMBI+'!$A:$A,0)))/100</f>
        <v>2.31</v>
      </c>
      <c r="AB77" s="9">
        <v>72.63758</v>
      </c>
      <c r="AC77" s="9">
        <v>279.57488999999998</v>
      </c>
      <c r="AD77" s="9"/>
      <c r="AE77" s="9"/>
      <c r="AF77" s="2"/>
      <c r="AG77" s="2"/>
    </row>
    <row r="78" spans="1:33" x14ac:dyDescent="0.35">
      <c r="A78">
        <f t="shared" si="27"/>
        <v>76</v>
      </c>
      <c r="B78">
        <f>IF(G78="Bonds",COUNTIF($G$3:G78,"Bonds"),0)</f>
        <v>18</v>
      </c>
      <c r="C78" t="str">
        <f t="shared" si="31"/>
        <v>Braskem4403523/01/2081</v>
      </c>
      <c r="D78">
        <f t="shared" si="32"/>
        <v>6</v>
      </c>
      <c r="E78" s="9" t="s">
        <v>121</v>
      </c>
      <c r="F78" s="9" t="s">
        <v>114</v>
      </c>
      <c r="G78" s="9" t="s">
        <v>37</v>
      </c>
      <c r="H78">
        <f t="shared" si="22"/>
        <v>1</v>
      </c>
      <c r="I78" s="9"/>
      <c r="J78" s="1">
        <f t="shared" si="23"/>
        <v>15</v>
      </c>
      <c r="K78" s="2">
        <v>44035</v>
      </c>
      <c r="L78" s="2" t="s">
        <v>125</v>
      </c>
      <c r="M78" s="10">
        <f t="shared" si="24"/>
        <v>60.545205479452058</v>
      </c>
      <c r="N78" s="11">
        <f t="shared" si="25"/>
        <v>1</v>
      </c>
      <c r="O78" s="9" t="s">
        <v>39</v>
      </c>
      <c r="P78" t="str">
        <f t="shared" si="28"/>
        <v>0</v>
      </c>
      <c r="Q78" s="9"/>
      <c r="R78" s="9"/>
      <c r="S78" s="1">
        <f>IF($V78="USD",INDEX('Dólar Spot'!$B:$B,MATCH(Base!$K78,'Dólar Spot'!$A:$A,0)),"")</f>
        <v>5.1641000000000004</v>
      </c>
      <c r="T78" s="12">
        <v>600000000</v>
      </c>
      <c r="U78" s="13">
        <f t="shared" si="26"/>
        <v>30.9846</v>
      </c>
      <c r="V78" s="9" t="s">
        <v>40</v>
      </c>
      <c r="W78" s="9" t="s">
        <v>34</v>
      </c>
      <c r="X78">
        <f t="shared" si="29"/>
        <v>1</v>
      </c>
      <c r="Y78" s="1" t="str" cm="1">
        <f t="array" ref="Y78">INDEX(Ratings!$B$2:$M$42,_xlfn.XMATCH(Base!F78,Ratings!$A$2:$A$42),_xlfn.XMATCH(YEAR(Base!K78),Ratings!$B$1:$M$1))</f>
        <v>BB+</v>
      </c>
      <c r="Z78">
        <f t="shared" si="30"/>
        <v>0</v>
      </c>
      <c r="AA78">
        <f>IFERROR(IFERROR(IFERROR(INDEX('EMBI+'!$B:$B,MATCH(Base!$K78,'EMBI+'!$A:$A,0)),INDEX('EMBI+'!$B:$B,MATCH(Base!$K78+1,'EMBI+'!$A:$A,0))),INDEX('EMBI+'!$B:$B,MATCH(Base!$K78+2,'EMBI+'!$A:$A,0))),INDEX('EMBI+'!$B:$B,MATCH(Base!$K78+3,'EMBI+'!$A:$A,0)))/100</f>
        <v>3.51</v>
      </c>
      <c r="AB78" s="9">
        <v>-33.802300000000002</v>
      </c>
      <c r="AC78" s="9">
        <v>476.29426000000001</v>
      </c>
      <c r="AD78" s="9"/>
      <c r="AE78" s="9"/>
      <c r="AF78" s="2"/>
      <c r="AG78" s="2"/>
    </row>
    <row r="79" spans="1:33" x14ac:dyDescent="0.35">
      <c r="A79">
        <f t="shared" si="27"/>
        <v>77</v>
      </c>
      <c r="B79">
        <f>IF(G79="Bonds",COUNTIF($G$3:G79,"Bonds"),0)</f>
        <v>19</v>
      </c>
      <c r="C79" t="str">
        <f t="shared" si="31"/>
        <v>Braskem4301810/01/2023</v>
      </c>
      <c r="D79">
        <f t="shared" si="32"/>
        <v>6</v>
      </c>
      <c r="E79" s="9" t="s">
        <v>121</v>
      </c>
      <c r="F79" s="9" t="s">
        <v>114</v>
      </c>
      <c r="G79" s="9" t="s">
        <v>37</v>
      </c>
      <c r="H79">
        <f t="shared" si="22"/>
        <v>1</v>
      </c>
      <c r="I79" s="9"/>
      <c r="J79" s="1">
        <f t="shared" si="23"/>
        <v>16</v>
      </c>
      <c r="K79" s="2">
        <v>43018</v>
      </c>
      <c r="L79" s="2" t="s">
        <v>126</v>
      </c>
      <c r="M79" s="10">
        <f t="shared" si="24"/>
        <v>5.2547945205479456</v>
      </c>
      <c r="N79" s="11">
        <f t="shared" si="25"/>
        <v>1</v>
      </c>
      <c r="O79" s="9" t="s">
        <v>39</v>
      </c>
      <c r="P79" t="str">
        <f t="shared" si="28"/>
        <v>0</v>
      </c>
      <c r="Q79" s="9"/>
      <c r="R79" s="9"/>
      <c r="S79" s="1">
        <f>IF($V79="USD",INDEX('Dólar Spot'!$B:$B,MATCH(Base!$K79,'Dólar Spot'!$A:$A,0)),"")</f>
        <v>3.1682000000000001</v>
      </c>
      <c r="T79" s="12">
        <v>500000000</v>
      </c>
      <c r="U79" s="13">
        <f t="shared" si="26"/>
        <v>15.840999999999999</v>
      </c>
      <c r="V79" s="9" t="s">
        <v>40</v>
      </c>
      <c r="W79" s="9" t="s">
        <v>34</v>
      </c>
      <c r="X79">
        <f t="shared" si="29"/>
        <v>1</v>
      </c>
      <c r="Y79" s="1" t="str" cm="1">
        <f t="array" ref="Y79">INDEX(Ratings!$B$2:$M$42,_xlfn.XMATCH(Base!F79,Ratings!$A$2:$A$42),_xlfn.XMATCH(YEAR(Base!K79),Ratings!$B$1:$M$1))</f>
        <v>BBB-</v>
      </c>
      <c r="Z79">
        <f t="shared" si="30"/>
        <v>1</v>
      </c>
      <c r="AA79">
        <f>IFERROR(IFERROR(IFERROR(INDEX('EMBI+'!$B:$B,MATCH(Base!$K79,'EMBI+'!$A:$A,0)),INDEX('EMBI+'!$B:$B,MATCH(Base!$K79+1,'EMBI+'!$A:$A,0))),INDEX('EMBI+'!$B:$B,MATCH(Base!$K79+2,'EMBI+'!$A:$A,0))),INDEX('EMBI+'!$B:$B,MATCH(Base!$K79+3,'EMBI+'!$A:$A,0)))/100</f>
        <v>2.48</v>
      </c>
      <c r="AB79" s="9">
        <v>77.304580000000001</v>
      </c>
      <c r="AC79" s="9">
        <v>220.17929000000001</v>
      </c>
      <c r="AD79" s="9"/>
      <c r="AE79" s="9"/>
      <c r="AF79" s="2"/>
      <c r="AG79" s="2"/>
    </row>
    <row r="80" spans="1:33" x14ac:dyDescent="0.35">
      <c r="A80">
        <f t="shared" si="27"/>
        <v>78</v>
      </c>
      <c r="B80">
        <f>IF(G80="Bonds",COUNTIF($G$3:G80,"Bonds"),0)</f>
        <v>0</v>
      </c>
      <c r="C80" t="str">
        <f t="shared" si="31"/>
        <v>BRF4358544681</v>
      </c>
      <c r="D80">
        <f t="shared" si="32"/>
        <v>7</v>
      </c>
      <c r="E80" s="9" t="s">
        <v>127</v>
      </c>
      <c r="F80" s="9" t="s">
        <v>128</v>
      </c>
      <c r="G80" s="9" t="s">
        <v>29</v>
      </c>
      <c r="H80">
        <f t="shared" si="22"/>
        <v>0</v>
      </c>
      <c r="I80" s="9" t="s">
        <v>129</v>
      </c>
      <c r="J80" s="1">
        <f t="shared" si="23"/>
        <v>1</v>
      </c>
      <c r="K80" s="2">
        <v>43585</v>
      </c>
      <c r="L80" s="2">
        <v>44681</v>
      </c>
      <c r="M80" s="10">
        <f t="shared" si="24"/>
        <v>3.0027397260273974</v>
      </c>
      <c r="N80" s="11">
        <f t="shared" si="25"/>
        <v>0</v>
      </c>
      <c r="O80" s="9" t="s">
        <v>47</v>
      </c>
      <c r="P80" t="str">
        <f t="shared" si="28"/>
        <v>0</v>
      </c>
      <c r="Q80" s="12">
        <v>70000</v>
      </c>
      <c r="R80" s="9">
        <v>1000</v>
      </c>
      <c r="S80" s="1" t="str">
        <f>IF($V80="USD",INDEX('Dólar Spot'!$B:$B,MATCH(Base!$K80,'Dólar Spot'!$A:$A,0)),"")</f>
        <v/>
      </c>
      <c r="T80" s="11">
        <f>Q80*R80</f>
        <v>70000000</v>
      </c>
      <c r="U80" s="13">
        <f t="shared" si="26"/>
        <v>0.7</v>
      </c>
      <c r="V80" s="9" t="s">
        <v>44</v>
      </c>
      <c r="W80" s="9" t="s">
        <v>34</v>
      </c>
      <c r="X80">
        <f t="shared" si="29"/>
        <v>1</v>
      </c>
      <c r="Y80" s="1" t="str" cm="1">
        <f t="array" ref="Y80">INDEX(Ratings!$B$2:$M$42,_xlfn.XMATCH(Base!F80,Ratings!$A$2:$A$42),_xlfn.XMATCH(YEAR(Base!K80),Ratings!$B$1:$M$1))</f>
        <v>BB</v>
      </c>
      <c r="Z80">
        <f t="shared" si="30"/>
        <v>0</v>
      </c>
      <c r="AA80">
        <f>IFERROR(IFERROR(IFERROR(INDEX('EMBI+'!$B:$B,MATCH(Base!$K80,'EMBI+'!$A:$A,0)),INDEX('EMBI+'!$B:$B,MATCH(Base!$K80+1,'EMBI+'!$A:$A,0))),INDEX('EMBI+'!$B:$B,MATCH(Base!$K80+2,'EMBI+'!$A:$A,0))),INDEX('EMBI+'!$B:$B,MATCH(Base!$K80+3,'EMBI+'!$A:$A,0)))/100</f>
        <v>2.52</v>
      </c>
      <c r="AB80" s="9">
        <v>67.617829999999998</v>
      </c>
      <c r="AC80" s="9">
        <v>216.20444000000001</v>
      </c>
      <c r="AD80" s="9"/>
      <c r="AE80" s="9"/>
      <c r="AF80" s="2"/>
      <c r="AG80" s="2"/>
    </row>
    <row r="81" spans="1:33" x14ac:dyDescent="0.35">
      <c r="A81">
        <f t="shared" si="27"/>
        <v>79</v>
      </c>
      <c r="B81">
        <f>IF(G81="Bonds",COUNTIF($G$3:G81,"Bonds"),0)</f>
        <v>0</v>
      </c>
      <c r="C81" t="str">
        <f t="shared" si="31"/>
        <v>BRF4358546142</v>
      </c>
      <c r="D81">
        <f t="shared" si="32"/>
        <v>7</v>
      </c>
      <c r="E81" s="9" t="s">
        <v>127</v>
      </c>
      <c r="F81" s="9" t="s">
        <v>128</v>
      </c>
      <c r="G81" s="9" t="s">
        <v>29</v>
      </c>
      <c r="H81">
        <f t="shared" si="22"/>
        <v>0</v>
      </c>
      <c r="I81" s="9" t="s">
        <v>130</v>
      </c>
      <c r="J81" s="1">
        <f t="shared" si="23"/>
        <v>2</v>
      </c>
      <c r="K81" s="2">
        <v>43585</v>
      </c>
      <c r="L81" s="2">
        <v>46142</v>
      </c>
      <c r="M81" s="10">
        <f t="shared" si="24"/>
        <v>7.0054794520547947</v>
      </c>
      <c r="N81" s="11">
        <f t="shared" si="25"/>
        <v>1</v>
      </c>
      <c r="O81" s="9" t="s">
        <v>47</v>
      </c>
      <c r="P81" t="str">
        <f t="shared" si="28"/>
        <v>0</v>
      </c>
      <c r="Q81" s="12">
        <v>411732</v>
      </c>
      <c r="R81" s="9">
        <v>1000</v>
      </c>
      <c r="S81" s="1" t="str">
        <f>IF($V81="USD",INDEX('Dólar Spot'!$B:$B,MATCH(Base!$K81,'Dólar Spot'!$A:$A,0)),"")</f>
        <v/>
      </c>
      <c r="T81" s="11">
        <f>Q81*R81</f>
        <v>411732000</v>
      </c>
      <c r="U81" s="13">
        <f t="shared" si="26"/>
        <v>4.1173200000000003</v>
      </c>
      <c r="V81" s="9" t="s">
        <v>32</v>
      </c>
      <c r="W81" s="9" t="s">
        <v>34</v>
      </c>
      <c r="X81">
        <f t="shared" si="29"/>
        <v>1</v>
      </c>
      <c r="Y81" s="1" t="str" cm="1">
        <f t="array" ref="Y81">INDEX(Ratings!$B$2:$M$42,_xlfn.XMATCH(Base!F81,Ratings!$A$2:$A$42),_xlfn.XMATCH(YEAR(Base!K81),Ratings!$B$1:$M$1))</f>
        <v>BB</v>
      </c>
      <c r="Z81">
        <f t="shared" si="30"/>
        <v>0</v>
      </c>
      <c r="AA81">
        <f>IFERROR(IFERROR(IFERROR(INDEX('EMBI+'!$B:$B,MATCH(Base!$K81,'EMBI+'!$A:$A,0)),INDEX('EMBI+'!$B:$B,MATCH(Base!$K81+1,'EMBI+'!$A:$A,0))),INDEX('EMBI+'!$B:$B,MATCH(Base!$K81+2,'EMBI+'!$A:$A,0))),INDEX('EMBI+'!$B:$B,MATCH(Base!$K81+3,'EMBI+'!$A:$A,0)))/100</f>
        <v>2.52</v>
      </c>
      <c r="AB81" s="9">
        <v>67.617829999999998</v>
      </c>
      <c r="AC81" s="9">
        <v>216.20444000000001</v>
      </c>
      <c r="AD81" s="9"/>
      <c r="AE81" s="9"/>
      <c r="AF81" s="2"/>
      <c r="AG81" s="2"/>
    </row>
    <row r="82" spans="1:33" x14ac:dyDescent="0.35">
      <c r="A82">
        <f t="shared" si="27"/>
        <v>80</v>
      </c>
      <c r="B82">
        <f>IF(G82="Bonds",COUNTIF($G$3:G82,"Bonds"),0)</f>
        <v>0</v>
      </c>
      <c r="C82" t="str">
        <f t="shared" si="31"/>
        <v>BRF4358546142</v>
      </c>
      <c r="D82">
        <f t="shared" si="32"/>
        <v>7</v>
      </c>
      <c r="E82" s="9" t="s">
        <v>127</v>
      </c>
      <c r="F82" s="9" t="s">
        <v>128</v>
      </c>
      <c r="G82" s="9" t="s">
        <v>29</v>
      </c>
      <c r="H82">
        <f t="shared" si="22"/>
        <v>0</v>
      </c>
      <c r="I82" s="9" t="s">
        <v>131</v>
      </c>
      <c r="J82" s="1">
        <f t="shared" si="23"/>
        <v>3</v>
      </c>
      <c r="K82" s="2">
        <v>43585</v>
      </c>
      <c r="L82" s="2">
        <v>46142</v>
      </c>
      <c r="M82" s="10">
        <f t="shared" si="24"/>
        <v>7.0054794520547947</v>
      </c>
      <c r="N82" s="11">
        <f t="shared" si="25"/>
        <v>1</v>
      </c>
      <c r="O82" s="9" t="s">
        <v>47</v>
      </c>
      <c r="P82" t="str">
        <f t="shared" si="28"/>
        <v>0</v>
      </c>
      <c r="Q82" s="12">
        <v>268268</v>
      </c>
      <c r="R82" s="9">
        <v>1000</v>
      </c>
      <c r="S82" s="1" t="str">
        <f>IF($V82="USD",INDEX('Dólar Spot'!$B:$B,MATCH(Base!$K82,'Dólar Spot'!$A:$A,0)),"")</f>
        <v/>
      </c>
      <c r="T82" s="11">
        <f>Q82*R82</f>
        <v>268268000</v>
      </c>
      <c r="U82" s="13">
        <f t="shared" si="26"/>
        <v>2.68268</v>
      </c>
      <c r="V82" s="9" t="s">
        <v>44</v>
      </c>
      <c r="W82" s="9" t="s">
        <v>34</v>
      </c>
      <c r="X82">
        <f t="shared" si="29"/>
        <v>1</v>
      </c>
      <c r="Y82" s="1" t="str" cm="1">
        <f t="array" ref="Y82">INDEX(Ratings!$B$2:$M$42,_xlfn.XMATCH(Base!F82,Ratings!$A$2:$A$42),_xlfn.XMATCH(YEAR(Base!K82),Ratings!$B$1:$M$1))</f>
        <v>BB</v>
      </c>
      <c r="Z82">
        <f t="shared" si="30"/>
        <v>0</v>
      </c>
      <c r="AA82">
        <f>IFERROR(IFERROR(IFERROR(INDEX('EMBI+'!$B:$B,MATCH(Base!$K82,'EMBI+'!$A:$A,0)),INDEX('EMBI+'!$B:$B,MATCH(Base!$K82+1,'EMBI+'!$A:$A,0))),INDEX('EMBI+'!$B:$B,MATCH(Base!$K82+2,'EMBI+'!$A:$A,0))),INDEX('EMBI+'!$B:$B,MATCH(Base!$K82+3,'EMBI+'!$A:$A,0)))/100</f>
        <v>2.52</v>
      </c>
      <c r="AB82" s="9">
        <v>67.617829999999998</v>
      </c>
      <c r="AC82" s="9">
        <v>216.20444000000001</v>
      </c>
      <c r="AD82" s="9"/>
      <c r="AE82" s="9"/>
      <c r="AF82" s="2"/>
      <c r="AG82" s="2"/>
    </row>
    <row r="83" spans="1:33" x14ac:dyDescent="0.35">
      <c r="A83">
        <f t="shared" si="27"/>
        <v>81</v>
      </c>
      <c r="B83">
        <f>IF(G83="Bonds",COUNTIF($G$3:G83,"Bonds"),0)</f>
        <v>20</v>
      </c>
      <c r="C83" t="str">
        <f t="shared" si="31"/>
        <v>BRF4264229/09/2026</v>
      </c>
      <c r="D83">
        <f t="shared" si="32"/>
        <v>7</v>
      </c>
      <c r="E83" s="9" t="s">
        <v>132</v>
      </c>
      <c r="F83" s="9" t="s">
        <v>128</v>
      </c>
      <c r="G83" s="9" t="s">
        <v>37</v>
      </c>
      <c r="H83">
        <f t="shared" si="22"/>
        <v>1</v>
      </c>
      <c r="I83" s="9"/>
      <c r="J83" s="1">
        <f t="shared" si="23"/>
        <v>4</v>
      </c>
      <c r="K83" s="2">
        <v>42642</v>
      </c>
      <c r="L83" s="2" t="s">
        <v>133</v>
      </c>
      <c r="M83" s="10">
        <f t="shared" si="24"/>
        <v>10.005479452054795</v>
      </c>
      <c r="N83" s="11">
        <f t="shared" si="25"/>
        <v>1</v>
      </c>
      <c r="O83" s="9" t="s">
        <v>39</v>
      </c>
      <c r="P83" t="str">
        <f t="shared" si="28"/>
        <v>0</v>
      </c>
      <c r="Q83" s="9"/>
      <c r="R83" s="9"/>
      <c r="S83" s="1">
        <f>IF($V83="USD",INDEX('Dólar Spot'!$B:$B,MATCH(Base!$K83,'Dólar Spot'!$A:$A,0)),"")</f>
        <v>3.2229000000000001</v>
      </c>
      <c r="T83" s="12">
        <v>500000000</v>
      </c>
      <c r="U83" s="13">
        <f t="shared" si="26"/>
        <v>16.1145</v>
      </c>
      <c r="V83" s="9" t="s">
        <v>40</v>
      </c>
      <c r="W83" s="9" t="s">
        <v>35</v>
      </c>
      <c r="X83">
        <f t="shared" si="29"/>
        <v>0</v>
      </c>
      <c r="Y83" s="1" t="str" cm="1">
        <f t="array" ref="Y83">INDEX(Ratings!$B$2:$M$42,_xlfn.XMATCH(Base!F83,Ratings!$A$2:$A$42),_xlfn.XMATCH(YEAR(Base!K83),Ratings!$B$1:$M$1))</f>
        <v>BBB</v>
      </c>
      <c r="Z83">
        <f t="shared" si="30"/>
        <v>1</v>
      </c>
      <c r="AA83">
        <f>IFERROR(IFERROR(IFERROR(INDEX('EMBI+'!$B:$B,MATCH(Base!$K83,'EMBI+'!$A:$A,0)),INDEX('EMBI+'!$B:$B,MATCH(Base!$K83+1,'EMBI+'!$A:$A,0))),INDEX('EMBI+'!$B:$B,MATCH(Base!$K83+2,'EMBI+'!$A:$A,0))),INDEX('EMBI+'!$B:$B,MATCH(Base!$K83+3,'EMBI+'!$A:$A,0)))/100</f>
        <v>3.18</v>
      </c>
      <c r="AB83" s="9">
        <v>123.85959</v>
      </c>
      <c r="AC83" s="9">
        <v>186.09347</v>
      </c>
      <c r="AD83" s="9"/>
      <c r="AE83" s="9"/>
      <c r="AF83" s="2"/>
      <c r="AG83" s="2"/>
    </row>
    <row r="84" spans="1:33" x14ac:dyDescent="0.35">
      <c r="A84">
        <f t="shared" si="27"/>
        <v>82</v>
      </c>
      <c r="B84">
        <f>IF(G84="Bonds",COUNTIF($G$3:G84,"Bonds"),0)</f>
        <v>21</v>
      </c>
      <c r="C84" t="str">
        <f t="shared" si="31"/>
        <v>BRF4373224/01/2030</v>
      </c>
      <c r="D84">
        <f t="shared" si="32"/>
        <v>7</v>
      </c>
      <c r="E84" s="9" t="s">
        <v>134</v>
      </c>
      <c r="F84" s="9" t="s">
        <v>128</v>
      </c>
      <c r="G84" s="9" t="s">
        <v>37</v>
      </c>
      <c r="H84">
        <f t="shared" si="22"/>
        <v>1</v>
      </c>
      <c r="I84" s="9"/>
      <c r="J84" s="1">
        <f t="shared" si="23"/>
        <v>5</v>
      </c>
      <c r="K84" s="2">
        <v>43732</v>
      </c>
      <c r="L84" s="2" t="s">
        <v>135</v>
      </c>
      <c r="M84" s="10">
        <f t="shared" si="24"/>
        <v>10.342465753424657</v>
      </c>
      <c r="N84" s="11">
        <f t="shared" si="25"/>
        <v>1</v>
      </c>
      <c r="O84" s="9" t="s">
        <v>33</v>
      </c>
      <c r="P84" t="str">
        <f t="shared" si="28"/>
        <v>0</v>
      </c>
      <c r="Q84" s="9"/>
      <c r="R84" s="9"/>
      <c r="S84" s="1">
        <f>IF($V84="USD",INDEX('Dólar Spot'!$B:$B,MATCH(Base!$K84,'Dólar Spot'!$A:$A,0)),"")</f>
        <v>4.1715</v>
      </c>
      <c r="T84" s="12">
        <v>750000000</v>
      </c>
      <c r="U84" s="13">
        <f t="shared" si="26"/>
        <v>31.286249999999999</v>
      </c>
      <c r="V84" s="9" t="s">
        <v>40</v>
      </c>
      <c r="W84" s="9" t="s">
        <v>34</v>
      </c>
      <c r="X84">
        <f t="shared" si="29"/>
        <v>1</v>
      </c>
      <c r="Y84" s="1" t="str" cm="1">
        <f t="array" ref="Y84">INDEX(Ratings!$B$2:$M$42,_xlfn.XMATCH(Base!F84,Ratings!$A$2:$A$42),_xlfn.XMATCH(YEAR(Base!K84),Ratings!$B$1:$M$1))</f>
        <v>BB</v>
      </c>
      <c r="Z84">
        <f t="shared" si="30"/>
        <v>0</v>
      </c>
      <c r="AA84">
        <f>IFERROR(IFERROR(IFERROR(INDEX('EMBI+'!$B:$B,MATCH(Base!$K84,'EMBI+'!$A:$A,0)),INDEX('EMBI+'!$B:$B,MATCH(Base!$K84+1,'EMBI+'!$A:$A,0))),INDEX('EMBI+'!$B:$B,MATCH(Base!$K84+2,'EMBI+'!$A:$A,0))),INDEX('EMBI+'!$B:$B,MATCH(Base!$K84+3,'EMBI+'!$A:$A,0)))/100</f>
        <v>2.4300000000000002</v>
      </c>
      <c r="AB84" s="9">
        <v>71.499210000000005</v>
      </c>
      <c r="AC84" s="9">
        <v>210.77124000000001</v>
      </c>
      <c r="AD84" s="9"/>
      <c r="AE84" s="9"/>
      <c r="AF84" s="2"/>
      <c r="AG84" s="2"/>
    </row>
    <row r="85" spans="1:33" x14ac:dyDescent="0.35">
      <c r="A85">
        <f t="shared" si="27"/>
        <v>83</v>
      </c>
      <c r="B85">
        <f>IF(G85="Bonds",COUNTIF($G$3:G85,"Bonds"),0)</f>
        <v>22</v>
      </c>
      <c r="C85" t="str">
        <f t="shared" si="31"/>
        <v>BRF4409521/09/2050</v>
      </c>
      <c r="D85">
        <f t="shared" si="32"/>
        <v>7</v>
      </c>
      <c r="E85" s="9" t="s">
        <v>134</v>
      </c>
      <c r="F85" s="9" t="s">
        <v>128</v>
      </c>
      <c r="G85" s="9" t="s">
        <v>37</v>
      </c>
      <c r="H85">
        <f t="shared" si="22"/>
        <v>1</v>
      </c>
      <c r="I85" s="9"/>
      <c r="J85" s="1">
        <f t="shared" si="23"/>
        <v>6</v>
      </c>
      <c r="K85" s="2">
        <v>44095</v>
      </c>
      <c r="L85" s="2" t="s">
        <v>136</v>
      </c>
      <c r="M85" s="10">
        <f t="shared" si="24"/>
        <v>30.019178082191782</v>
      </c>
      <c r="N85" s="11">
        <f t="shared" si="25"/>
        <v>1</v>
      </c>
      <c r="O85" s="9" t="s">
        <v>33</v>
      </c>
      <c r="P85" t="str">
        <f t="shared" si="28"/>
        <v>0</v>
      </c>
      <c r="Q85" s="9"/>
      <c r="R85" s="9"/>
      <c r="S85" s="1">
        <f>IF($V85="USD",INDEX('Dólar Spot'!$B:$B,MATCH(Base!$K85,'Dólar Spot'!$A:$A,0)),"")</f>
        <v>5.4433999999999996</v>
      </c>
      <c r="T85" s="12">
        <v>500000000</v>
      </c>
      <c r="U85" s="13">
        <f t="shared" si="26"/>
        <v>27.216999999999999</v>
      </c>
      <c r="V85" s="9" t="s">
        <v>40</v>
      </c>
      <c r="W85" s="9" t="s">
        <v>34</v>
      </c>
      <c r="X85">
        <f t="shared" si="29"/>
        <v>1</v>
      </c>
      <c r="Y85" s="1" t="str" cm="1">
        <f t="array" ref="Y85">INDEX(Ratings!$B$2:$M$42,_xlfn.XMATCH(Base!F85,Ratings!$A$2:$A$42),_xlfn.XMATCH(YEAR(Base!K85),Ratings!$B$1:$M$1))</f>
        <v>BB</v>
      </c>
      <c r="Z85">
        <f t="shared" si="30"/>
        <v>0</v>
      </c>
      <c r="AA85">
        <f>IFERROR(IFERROR(IFERROR(INDEX('EMBI+'!$B:$B,MATCH(Base!$K85,'EMBI+'!$A:$A,0)),INDEX('EMBI+'!$B:$B,MATCH(Base!$K85+1,'EMBI+'!$A:$A,0))),INDEX('EMBI+'!$B:$B,MATCH(Base!$K85+2,'EMBI+'!$A:$A,0))),INDEX('EMBI+'!$B:$B,MATCH(Base!$K85+3,'EMBI+'!$A:$A,0)))/100</f>
        <v>3.27</v>
      </c>
      <c r="AB85" s="9">
        <v>70.869320000000002</v>
      </c>
      <c r="AC85" s="9">
        <v>260.14429000000001</v>
      </c>
      <c r="AD85" s="9"/>
      <c r="AE85" s="9"/>
      <c r="AF85" s="2"/>
      <c r="AG85" s="2"/>
    </row>
    <row r="86" spans="1:33" x14ac:dyDescent="0.35">
      <c r="A86">
        <f t="shared" si="27"/>
        <v>84</v>
      </c>
      <c r="B86">
        <f>IF(G86="Bonds",COUNTIF($G$3:G86,"Bonds"),0)</f>
        <v>23</v>
      </c>
      <c r="C86" t="str">
        <f t="shared" si="31"/>
        <v>BRF4178122/05/2024</v>
      </c>
      <c r="D86">
        <f t="shared" si="32"/>
        <v>7</v>
      </c>
      <c r="E86" s="9" t="s">
        <v>134</v>
      </c>
      <c r="F86" s="9" t="s">
        <v>128</v>
      </c>
      <c r="G86" s="9" t="s">
        <v>37</v>
      </c>
      <c r="H86">
        <f t="shared" si="22"/>
        <v>1</v>
      </c>
      <c r="I86" s="9"/>
      <c r="J86" s="1">
        <f t="shared" si="23"/>
        <v>7</v>
      </c>
      <c r="K86" s="2">
        <v>41781</v>
      </c>
      <c r="L86" s="2" t="s">
        <v>137</v>
      </c>
      <c r="M86" s="10">
        <f t="shared" si="24"/>
        <v>10.008219178082191</v>
      </c>
      <c r="N86" s="11">
        <f t="shared" si="25"/>
        <v>1</v>
      </c>
      <c r="O86" s="9" t="s">
        <v>33</v>
      </c>
      <c r="P86" t="str">
        <f t="shared" si="28"/>
        <v>0</v>
      </c>
      <c r="Q86" s="9"/>
      <c r="R86" s="9"/>
      <c r="S86" s="1">
        <f>IF($V86="USD",INDEX('Dólar Spot'!$B:$B,MATCH(Base!$K86,'Dólar Spot'!$A:$A,0)),"")</f>
        <v>2.2124999999999999</v>
      </c>
      <c r="T86" s="12">
        <v>500000000</v>
      </c>
      <c r="U86" s="13">
        <f t="shared" si="26"/>
        <v>11.0625</v>
      </c>
      <c r="V86" s="9" t="s">
        <v>40</v>
      </c>
      <c r="W86" s="9" t="s">
        <v>35</v>
      </c>
      <c r="X86">
        <f t="shared" si="29"/>
        <v>0</v>
      </c>
      <c r="Y86" s="1" t="str" cm="1">
        <f t="array" ref="Y86">INDEX(Ratings!$B$2:$M$42,_xlfn.XMATCH(Base!F86,Ratings!$A$2:$A$42),_xlfn.XMATCH(YEAR(Base!K86),Ratings!$B$1:$M$1))</f>
        <v>BBB-</v>
      </c>
      <c r="Z86">
        <f t="shared" si="30"/>
        <v>1</v>
      </c>
      <c r="AA86">
        <f>IFERROR(IFERROR(IFERROR(INDEX('EMBI+'!$B:$B,MATCH(Base!$K86,'EMBI+'!$A:$A,0)),INDEX('EMBI+'!$B:$B,MATCH(Base!$K86+1,'EMBI+'!$A:$A,0))),INDEX('EMBI+'!$B:$B,MATCH(Base!$K86+2,'EMBI+'!$A:$A,0))),INDEX('EMBI+'!$B:$B,MATCH(Base!$K86+3,'EMBI+'!$A:$A,0)))/100</f>
        <v>2.15</v>
      </c>
      <c r="AB86" s="9">
        <v>150.92785000000001</v>
      </c>
      <c r="AC86" s="9">
        <v>103.55336</v>
      </c>
      <c r="AD86" s="9"/>
      <c r="AE86" s="9"/>
      <c r="AF86" s="2"/>
      <c r="AG86" s="2"/>
    </row>
    <row r="87" spans="1:33" x14ac:dyDescent="0.35">
      <c r="A87">
        <f t="shared" si="27"/>
        <v>85</v>
      </c>
      <c r="B87">
        <f>IF(G87="Bonds",COUNTIF($G$3:G87,"Bonds"),0)</f>
        <v>24</v>
      </c>
      <c r="C87" t="str">
        <f t="shared" si="31"/>
        <v>BRF4141622/05/2023</v>
      </c>
      <c r="D87">
        <f t="shared" si="32"/>
        <v>7</v>
      </c>
      <c r="E87" s="9" t="s">
        <v>134</v>
      </c>
      <c r="F87" s="9" t="s">
        <v>128</v>
      </c>
      <c r="G87" s="9" t="s">
        <v>37</v>
      </c>
      <c r="H87">
        <f t="shared" si="22"/>
        <v>1</v>
      </c>
      <c r="I87" s="9"/>
      <c r="J87" s="1">
        <f t="shared" si="23"/>
        <v>8</v>
      </c>
      <c r="K87" s="2">
        <v>41416</v>
      </c>
      <c r="L87" s="2" t="s">
        <v>138</v>
      </c>
      <c r="M87" s="10">
        <f t="shared" si="24"/>
        <v>10.005479452054795</v>
      </c>
      <c r="N87" s="11">
        <f t="shared" si="25"/>
        <v>1</v>
      </c>
      <c r="O87" s="9" t="s">
        <v>33</v>
      </c>
      <c r="P87" t="str">
        <f t="shared" si="28"/>
        <v>0</v>
      </c>
      <c r="Q87" s="9"/>
      <c r="R87" s="9"/>
      <c r="S87" s="1">
        <f>IF($V87="USD",INDEX('Dólar Spot'!$B:$B,MATCH(Base!$K87,'Dólar Spot'!$A:$A,0)),"")</f>
        <v>2.0381</v>
      </c>
      <c r="T87" s="12">
        <v>500000000</v>
      </c>
      <c r="U87" s="13">
        <f t="shared" si="26"/>
        <v>10.1905</v>
      </c>
      <c r="V87" s="9" t="s">
        <v>40</v>
      </c>
      <c r="W87" s="9" t="s">
        <v>35</v>
      </c>
      <c r="X87">
        <f t="shared" si="29"/>
        <v>0</v>
      </c>
      <c r="Y87" s="1" t="str" cm="1">
        <f t="array" ref="Y87">INDEX(Ratings!$B$2:$M$42,_xlfn.XMATCH(Base!F87,Ratings!$A$2:$A$42),_xlfn.XMATCH(YEAR(Base!K87),Ratings!$B$1:$M$1))</f>
        <v>BBB-</v>
      </c>
      <c r="Z87">
        <f t="shared" si="30"/>
        <v>1</v>
      </c>
      <c r="AA87">
        <f>IFERROR(IFERROR(IFERROR(INDEX('EMBI+'!$B:$B,MATCH(Base!$K87,'EMBI+'!$A:$A,0)),INDEX('EMBI+'!$B:$B,MATCH(Base!$K87+1,'EMBI+'!$A:$A,0))),INDEX('EMBI+'!$B:$B,MATCH(Base!$K87+2,'EMBI+'!$A:$A,0))),INDEX('EMBI+'!$B:$B,MATCH(Base!$K87+3,'EMBI+'!$A:$A,0)))/100</f>
        <v>1.78</v>
      </c>
      <c r="AB87" s="9">
        <v>145.46091000000001</v>
      </c>
      <c r="AC87" s="9">
        <v>97.732810000000001</v>
      </c>
      <c r="AD87" s="9"/>
      <c r="AE87" s="9"/>
      <c r="AF87" s="2"/>
      <c r="AG87" s="2"/>
    </row>
    <row r="88" spans="1:33" x14ac:dyDescent="0.35">
      <c r="A88">
        <f t="shared" si="27"/>
        <v>86</v>
      </c>
      <c r="B88">
        <f>IF(G88="Bonds",COUNTIF($G$3:G88,"Bonds"),0)</f>
        <v>25</v>
      </c>
      <c r="C88" t="str">
        <f t="shared" si="31"/>
        <v>BRF4106606/06/2022</v>
      </c>
      <c r="D88">
        <f t="shared" si="32"/>
        <v>7</v>
      </c>
      <c r="E88" s="9" t="s">
        <v>134</v>
      </c>
      <c r="F88" s="9" t="s">
        <v>128</v>
      </c>
      <c r="G88" s="9" t="s">
        <v>37</v>
      </c>
      <c r="H88">
        <f t="shared" si="22"/>
        <v>1</v>
      </c>
      <c r="I88" s="9"/>
      <c r="J88" s="1">
        <f t="shared" si="23"/>
        <v>9</v>
      </c>
      <c r="K88" s="2">
        <v>41066</v>
      </c>
      <c r="L88" s="2" t="s">
        <v>139</v>
      </c>
      <c r="M88" s="10">
        <f t="shared" si="24"/>
        <v>10.005479452054795</v>
      </c>
      <c r="N88" s="11">
        <f t="shared" si="25"/>
        <v>1</v>
      </c>
      <c r="O88" s="9" t="s">
        <v>33</v>
      </c>
      <c r="P88" t="str">
        <f t="shared" si="28"/>
        <v>0</v>
      </c>
      <c r="Q88" s="9"/>
      <c r="R88" s="9"/>
      <c r="S88" s="1">
        <f>IF($V88="USD",INDEX('Dólar Spot'!$B:$B,MATCH(Base!$K88,'Dólar Spot'!$A:$A,0)),"")</f>
        <v>2.0175999999999998</v>
      </c>
      <c r="T88" s="12">
        <v>500000000</v>
      </c>
      <c r="U88" s="13">
        <f t="shared" si="26"/>
        <v>10.087999999999999</v>
      </c>
      <c r="V88" s="9" t="s">
        <v>40</v>
      </c>
      <c r="W88" s="9" t="s">
        <v>35</v>
      </c>
      <c r="X88">
        <f t="shared" si="29"/>
        <v>0</v>
      </c>
      <c r="Y88" s="1" t="str" cm="1">
        <f t="array" ref="Y88">INDEX(Ratings!$B$2:$M$42,_xlfn.XMATCH(Base!F88,Ratings!$A$2:$A$42),_xlfn.XMATCH(YEAR(Base!K88),Ratings!$B$1:$M$1))</f>
        <v>BBB-</v>
      </c>
      <c r="Z88">
        <f t="shared" si="30"/>
        <v>1</v>
      </c>
      <c r="AA88">
        <f>IFERROR(IFERROR(IFERROR(INDEX('EMBI+'!$B:$B,MATCH(Base!$K88,'EMBI+'!$A:$A,0)),INDEX('EMBI+'!$B:$B,MATCH(Base!$K88+1,'EMBI+'!$A:$A,0))),INDEX('EMBI+'!$B:$B,MATCH(Base!$K88+2,'EMBI+'!$A:$A,0))),INDEX('EMBI+'!$B:$B,MATCH(Base!$K88+3,'EMBI+'!$A:$A,0)))/100</f>
        <v>2.21</v>
      </c>
      <c r="AB88" s="9">
        <v>140.18987000000001</v>
      </c>
      <c r="AC88" s="9">
        <v>96.231639999999999</v>
      </c>
      <c r="AD88" s="9"/>
      <c r="AE88" s="9"/>
      <c r="AF88" s="2"/>
      <c r="AG88" s="2"/>
    </row>
    <row r="89" spans="1:33" x14ac:dyDescent="0.35">
      <c r="A89">
        <f t="shared" si="27"/>
        <v>87</v>
      </c>
      <c r="B89">
        <f>IF(G89="Bonds",COUNTIF($G$3:G89,"Bonds"),0)</f>
        <v>26</v>
      </c>
      <c r="C89" t="str">
        <f t="shared" si="31"/>
        <v>BRF4413021/09/2050</v>
      </c>
      <c r="D89">
        <f t="shared" si="32"/>
        <v>7</v>
      </c>
      <c r="E89" s="9" t="s">
        <v>134</v>
      </c>
      <c r="F89" s="9" t="s">
        <v>128</v>
      </c>
      <c r="G89" s="9" t="s">
        <v>37</v>
      </c>
      <c r="H89">
        <f t="shared" si="22"/>
        <v>1</v>
      </c>
      <c r="I89" s="9"/>
      <c r="J89" s="1">
        <f t="shared" si="23"/>
        <v>10</v>
      </c>
      <c r="K89" s="2">
        <v>44130</v>
      </c>
      <c r="L89" s="2" t="s">
        <v>136</v>
      </c>
      <c r="M89" s="10">
        <f t="shared" si="24"/>
        <v>29.923287671232877</v>
      </c>
      <c r="N89" s="11">
        <f t="shared" si="25"/>
        <v>1</v>
      </c>
      <c r="O89" s="9" t="s">
        <v>33</v>
      </c>
      <c r="P89" t="str">
        <f t="shared" si="28"/>
        <v>0</v>
      </c>
      <c r="Q89" s="9"/>
      <c r="R89" s="9"/>
      <c r="S89" s="1">
        <f>IF($V89="USD",INDEX('Dólar Spot'!$B:$B,MATCH(Base!$K89,'Dólar Spot'!$A:$A,0)),"")</f>
        <v>5.6322000000000001</v>
      </c>
      <c r="T89" s="12">
        <v>300000000</v>
      </c>
      <c r="U89" s="13">
        <f t="shared" si="26"/>
        <v>16.896599999999999</v>
      </c>
      <c r="V89" s="9" t="s">
        <v>40</v>
      </c>
      <c r="W89" s="9" t="s">
        <v>34</v>
      </c>
      <c r="X89">
        <f t="shared" si="29"/>
        <v>1</v>
      </c>
      <c r="Y89" s="1" t="str" cm="1">
        <f t="array" ref="Y89">INDEX(Ratings!$B$2:$M$42,_xlfn.XMATCH(Base!F89,Ratings!$A$2:$A$42),_xlfn.XMATCH(YEAR(Base!K89),Ratings!$B$1:$M$1))</f>
        <v>BB</v>
      </c>
      <c r="Z89">
        <f t="shared" si="30"/>
        <v>0</v>
      </c>
      <c r="AA89">
        <f>IFERROR(IFERROR(IFERROR(INDEX('EMBI+'!$B:$B,MATCH(Base!$K89,'EMBI+'!$A:$A,0)),INDEX('EMBI+'!$B:$B,MATCH(Base!$K89+1,'EMBI+'!$A:$A,0))),INDEX('EMBI+'!$B:$B,MATCH(Base!$K89+2,'EMBI+'!$A:$A,0))),INDEX('EMBI+'!$B:$B,MATCH(Base!$K89+3,'EMBI+'!$A:$A,0)))/100</f>
        <v>3.17</v>
      </c>
      <c r="AB89" s="9">
        <v>85.857839999999996</v>
      </c>
      <c r="AC89" s="9">
        <v>224.04426000000001</v>
      </c>
      <c r="AD89" s="9"/>
      <c r="AE89" s="9"/>
      <c r="AF89" s="2"/>
      <c r="AG89" s="2"/>
    </row>
    <row r="90" spans="1:33" x14ac:dyDescent="0.35">
      <c r="A90">
        <f t="shared" si="27"/>
        <v>88</v>
      </c>
      <c r="B90">
        <f>IF(G90="Bonds",COUNTIF($G$3:G90,"Bonds"),0)</f>
        <v>27</v>
      </c>
      <c r="C90" t="str">
        <f t="shared" si="31"/>
        <v>BRF4108606/06/2022</v>
      </c>
      <c r="D90">
        <f t="shared" si="32"/>
        <v>7</v>
      </c>
      <c r="E90" s="9" t="s">
        <v>134</v>
      </c>
      <c r="F90" s="9" t="s">
        <v>128</v>
      </c>
      <c r="G90" s="9" t="s">
        <v>37</v>
      </c>
      <c r="H90">
        <f t="shared" si="22"/>
        <v>1</v>
      </c>
      <c r="I90" s="9"/>
      <c r="J90" s="1">
        <f t="shared" si="23"/>
        <v>11</v>
      </c>
      <c r="K90" s="2">
        <v>41086</v>
      </c>
      <c r="L90" s="2" t="s">
        <v>139</v>
      </c>
      <c r="M90" s="10">
        <f t="shared" si="24"/>
        <v>9.9506849315068493</v>
      </c>
      <c r="N90" s="11">
        <f t="shared" si="25"/>
        <v>1</v>
      </c>
      <c r="O90" s="9" t="s">
        <v>39</v>
      </c>
      <c r="P90" t="str">
        <f t="shared" si="28"/>
        <v>0</v>
      </c>
      <c r="Q90" s="9"/>
      <c r="R90" s="9"/>
      <c r="S90" s="1">
        <f>IF($V90="USD",INDEX('Dólar Spot'!$B:$B,MATCH(Base!$K90,'Dólar Spot'!$A:$A,0)),"")</f>
        <v>2.0737000000000001</v>
      </c>
      <c r="T90" s="12">
        <v>250000000</v>
      </c>
      <c r="U90" s="13">
        <f t="shared" si="26"/>
        <v>5.1842499999999996</v>
      </c>
      <c r="V90" s="9" t="s">
        <v>40</v>
      </c>
      <c r="W90" s="9" t="s">
        <v>34</v>
      </c>
      <c r="X90">
        <f t="shared" si="29"/>
        <v>1</v>
      </c>
      <c r="Y90" s="1" t="str" cm="1">
        <f t="array" ref="Y90">INDEX(Ratings!$B$2:$M$42,_xlfn.XMATCH(Base!F90,Ratings!$A$2:$A$42),_xlfn.XMATCH(YEAR(Base!K90),Ratings!$B$1:$M$1))</f>
        <v>BBB-</v>
      </c>
      <c r="Z90">
        <f t="shared" si="30"/>
        <v>1</v>
      </c>
      <c r="AA90">
        <f>IFERROR(IFERROR(IFERROR(INDEX('EMBI+'!$B:$B,MATCH(Base!$K90,'EMBI+'!$A:$A,0)),INDEX('EMBI+'!$B:$B,MATCH(Base!$K90+1,'EMBI+'!$A:$A,0))),INDEX('EMBI+'!$B:$B,MATCH(Base!$K90+2,'EMBI+'!$A:$A,0))),INDEX('EMBI+'!$B:$B,MATCH(Base!$K90+3,'EMBI+'!$A:$A,0)))/100</f>
        <v>2.13</v>
      </c>
      <c r="AB90" s="9">
        <v>140.18987000000001</v>
      </c>
      <c r="AC90" s="9">
        <v>96.231639999999999</v>
      </c>
      <c r="AD90" s="9"/>
      <c r="AE90" s="9"/>
      <c r="AF90" s="2"/>
      <c r="AG90" s="2"/>
    </row>
    <row r="91" spans="1:33" x14ac:dyDescent="0.35">
      <c r="A91">
        <f t="shared" si="27"/>
        <v>89</v>
      </c>
      <c r="B91">
        <f>IF(G91="Bonds",COUNTIF($G$3:G91,"Bonds"),0)</f>
        <v>0</v>
      </c>
      <c r="C91" t="str">
        <f t="shared" si="31"/>
        <v>Cemig4136043186</v>
      </c>
      <c r="D91">
        <f t="shared" si="32"/>
        <v>8</v>
      </c>
      <c r="E91" s="9" t="s">
        <v>140</v>
      </c>
      <c r="F91" s="9" t="s">
        <v>141</v>
      </c>
      <c r="G91" s="9" t="s">
        <v>29</v>
      </c>
      <c r="H91">
        <f t="shared" si="22"/>
        <v>0</v>
      </c>
      <c r="I91" s="9" t="s">
        <v>142</v>
      </c>
      <c r="J91" s="1">
        <f t="shared" si="23"/>
        <v>1</v>
      </c>
      <c r="K91" s="2">
        <v>41360</v>
      </c>
      <c r="L91" s="2">
        <v>43186</v>
      </c>
      <c r="M91" s="10">
        <f t="shared" si="24"/>
        <v>5.0027397260273974</v>
      </c>
      <c r="N91" s="11">
        <f t="shared" si="25"/>
        <v>1</v>
      </c>
      <c r="O91" s="9" t="s">
        <v>47</v>
      </c>
      <c r="P91" t="str">
        <f t="shared" si="28"/>
        <v>0</v>
      </c>
      <c r="Q91" s="12">
        <v>7200</v>
      </c>
      <c r="R91" s="9">
        <v>10000</v>
      </c>
      <c r="S91" s="1" t="str">
        <f>IF($V91="USD",INDEX('Dólar Spot'!$B:$B,MATCH(Base!$K91,'Dólar Spot'!$A:$A,0)),"")</f>
        <v/>
      </c>
      <c r="T91" s="11">
        <f t="shared" ref="T91:T112" si="33">Q91*R91</f>
        <v>72000000</v>
      </c>
      <c r="U91" s="13">
        <f t="shared" si="26"/>
        <v>0.72</v>
      </c>
      <c r="V91" s="9" t="s">
        <v>44</v>
      </c>
      <c r="W91" s="9" t="s">
        <v>35</v>
      </c>
      <c r="X91">
        <f t="shared" si="29"/>
        <v>0</v>
      </c>
      <c r="Y91" s="1" t="str" cm="1">
        <f t="array" ref="Y91">INDEX(Ratings!$B$2:$M$42,_xlfn.XMATCH(Base!F91,Ratings!$A$2:$A$42),_xlfn.XMATCH(YEAR(Base!K91),Ratings!$B$1:$M$1))</f>
        <v>NR</v>
      </c>
      <c r="Z91">
        <f t="shared" si="30"/>
        <v>0</v>
      </c>
      <c r="AA91">
        <f>IFERROR(IFERROR(IFERROR(INDEX('EMBI+'!$B:$B,MATCH(Base!$K91,'EMBI+'!$A:$A,0)),INDEX('EMBI+'!$B:$B,MATCH(Base!$K91+1,'EMBI+'!$A:$A,0))),INDEX('EMBI+'!$B:$B,MATCH(Base!$K91+2,'EMBI+'!$A:$A,0))),INDEX('EMBI+'!$B:$B,MATCH(Base!$K91+3,'EMBI+'!$A:$A,0)))/100</f>
        <v>1.91</v>
      </c>
      <c r="AB91" s="9">
        <v>124.14467999999999</v>
      </c>
      <c r="AC91" s="9">
        <v>98.289100000000005</v>
      </c>
      <c r="AD91" s="9"/>
      <c r="AE91" s="9"/>
      <c r="AF91" s="2"/>
      <c r="AG91" s="2"/>
    </row>
    <row r="92" spans="1:33" x14ac:dyDescent="0.35">
      <c r="A92">
        <f t="shared" si="27"/>
        <v>90</v>
      </c>
      <c r="B92">
        <f>IF(G92="Bonds",COUNTIF($G$3:G92,"Bonds"),0)</f>
        <v>0</v>
      </c>
      <c r="C92" t="str">
        <f t="shared" si="31"/>
        <v>Cemig4132043146</v>
      </c>
      <c r="D92">
        <f t="shared" si="32"/>
        <v>8</v>
      </c>
      <c r="E92" s="9" t="s">
        <v>143</v>
      </c>
      <c r="F92" s="9" t="s">
        <v>141</v>
      </c>
      <c r="G92" s="9" t="s">
        <v>29</v>
      </c>
      <c r="H92">
        <f t="shared" si="22"/>
        <v>0</v>
      </c>
      <c r="I92" s="9" t="s">
        <v>144</v>
      </c>
      <c r="J92" s="1">
        <f t="shared" si="23"/>
        <v>2</v>
      </c>
      <c r="K92" s="2">
        <v>41320</v>
      </c>
      <c r="L92" s="2">
        <v>43146</v>
      </c>
      <c r="M92" s="10">
        <f t="shared" si="24"/>
        <v>5.0027397260273974</v>
      </c>
      <c r="N92" s="11">
        <f t="shared" si="25"/>
        <v>1</v>
      </c>
      <c r="O92" s="9" t="s">
        <v>47</v>
      </c>
      <c r="P92" t="str">
        <f t="shared" si="28"/>
        <v>0</v>
      </c>
      <c r="Q92" s="12">
        <v>410817</v>
      </c>
      <c r="R92" s="9">
        <v>1000</v>
      </c>
      <c r="S92" s="1" t="str">
        <f>IF($V92="USD",INDEX('Dólar Spot'!$B:$B,MATCH(Base!$K92,'Dólar Spot'!$A:$A,0)),"")</f>
        <v/>
      </c>
      <c r="T92" s="11">
        <f t="shared" si="33"/>
        <v>410817000</v>
      </c>
      <c r="U92" s="13">
        <f t="shared" si="26"/>
        <v>4.1081700000000003</v>
      </c>
      <c r="V92" s="9" t="s">
        <v>44</v>
      </c>
      <c r="W92" s="9" t="s">
        <v>35</v>
      </c>
      <c r="X92">
        <f t="shared" si="29"/>
        <v>0</v>
      </c>
      <c r="Y92" s="1" t="str" cm="1">
        <f t="array" ref="Y92">INDEX(Ratings!$B$2:$M$42,_xlfn.XMATCH(Base!F92,Ratings!$A$2:$A$42),_xlfn.XMATCH(YEAR(Base!K92),Ratings!$B$1:$M$1))</f>
        <v>NR</v>
      </c>
      <c r="Z92">
        <f t="shared" si="30"/>
        <v>0</v>
      </c>
      <c r="AA92">
        <f>IFERROR(IFERROR(IFERROR(INDEX('EMBI+'!$B:$B,MATCH(Base!$K92,'EMBI+'!$A:$A,0)),INDEX('EMBI+'!$B:$B,MATCH(Base!$K92+1,'EMBI+'!$A:$A,0))),INDEX('EMBI+'!$B:$B,MATCH(Base!$K92+2,'EMBI+'!$A:$A,0))),INDEX('EMBI+'!$B:$B,MATCH(Base!$K92+3,'EMBI+'!$A:$A,0)))/100</f>
        <v>1.58</v>
      </c>
      <c r="AB92" s="9">
        <v>124.14467999999999</v>
      </c>
      <c r="AC92" s="9">
        <v>98.289100000000005</v>
      </c>
      <c r="AD92" s="9"/>
      <c r="AE92" s="9"/>
      <c r="AF92" s="2"/>
      <c r="AG92" s="2"/>
    </row>
    <row r="93" spans="1:33" x14ac:dyDescent="0.35">
      <c r="A93">
        <f t="shared" si="27"/>
        <v>91</v>
      </c>
      <c r="B93">
        <f>IF(G93="Bonds",COUNTIF($G$3:G93,"Bonds"),0)</f>
        <v>0</v>
      </c>
      <c r="C93" t="str">
        <f t="shared" si="31"/>
        <v>Cemig4235343449</v>
      </c>
      <c r="D93">
        <f t="shared" si="32"/>
        <v>8</v>
      </c>
      <c r="E93" s="9" t="s">
        <v>143</v>
      </c>
      <c r="F93" s="9" t="s">
        <v>141</v>
      </c>
      <c r="G93" s="9" t="s">
        <v>29</v>
      </c>
      <c r="H93">
        <f t="shared" si="22"/>
        <v>0</v>
      </c>
      <c r="I93" s="9" t="s">
        <v>145</v>
      </c>
      <c r="J93" s="1">
        <f t="shared" si="23"/>
        <v>3</v>
      </c>
      <c r="K93" s="2">
        <v>42353</v>
      </c>
      <c r="L93" s="2">
        <v>43449</v>
      </c>
      <c r="M93" s="10">
        <f t="shared" si="24"/>
        <v>3.0027397260273974</v>
      </c>
      <c r="N93" s="11">
        <f t="shared" si="25"/>
        <v>0</v>
      </c>
      <c r="O93" s="9" t="s">
        <v>47</v>
      </c>
      <c r="P93" t="str">
        <f t="shared" si="28"/>
        <v>0</v>
      </c>
      <c r="Q93" s="12">
        <v>161500</v>
      </c>
      <c r="R93" s="9">
        <v>10000</v>
      </c>
      <c r="S93" s="1" t="str">
        <f>IF($V93="USD",INDEX('Dólar Spot'!$B:$B,MATCH(Base!$K93,'Dólar Spot'!$A:$A,0)),"")</f>
        <v/>
      </c>
      <c r="T93" s="11">
        <f t="shared" si="33"/>
        <v>1615000000</v>
      </c>
      <c r="U93" s="13">
        <f t="shared" si="26"/>
        <v>16.149999999999999</v>
      </c>
      <c r="V93" s="9" t="s">
        <v>44</v>
      </c>
      <c r="W93" s="9" t="s">
        <v>34</v>
      </c>
      <c r="X93">
        <f t="shared" si="29"/>
        <v>1</v>
      </c>
      <c r="Y93" s="1" t="str" cm="1">
        <f t="array" ref="Y93">INDEX(Ratings!$B$2:$M$42,_xlfn.XMATCH(Base!F93,Ratings!$A$2:$A$42),_xlfn.XMATCH(YEAR(Base!K93),Ratings!$B$1:$M$1))</f>
        <v>NR</v>
      </c>
      <c r="Z93">
        <f t="shared" si="30"/>
        <v>0</v>
      </c>
      <c r="AA93">
        <f>IFERROR(IFERROR(IFERROR(INDEX('EMBI+'!$B:$B,MATCH(Base!$K93,'EMBI+'!$A:$A,0)),INDEX('EMBI+'!$B:$B,MATCH(Base!$K93+1,'EMBI+'!$A:$A,0))),INDEX('EMBI+'!$B:$B,MATCH(Base!$K93+2,'EMBI+'!$A:$A,0))),INDEX('EMBI+'!$B:$B,MATCH(Base!$K93+3,'EMBI+'!$A:$A,0)))/100</f>
        <v>4.6500000000000004</v>
      </c>
      <c r="AB93" s="9">
        <v>129.83698000000001</v>
      </c>
      <c r="AC93" s="9">
        <v>151.66537</v>
      </c>
      <c r="AD93" s="9"/>
      <c r="AE93" s="9"/>
      <c r="AF93" s="2"/>
      <c r="AG93" s="2"/>
    </row>
    <row r="94" spans="1:33" x14ac:dyDescent="0.35">
      <c r="A94">
        <f t="shared" si="27"/>
        <v>92</v>
      </c>
      <c r="B94">
        <f>IF(G94="Bonds",COUNTIF($G$3:G94,"Bonds"),0)</f>
        <v>0</v>
      </c>
      <c r="C94" t="str">
        <f t="shared" si="31"/>
        <v>Cemig4132044242</v>
      </c>
      <c r="D94">
        <f t="shared" si="32"/>
        <v>8</v>
      </c>
      <c r="E94" s="9" t="s">
        <v>143</v>
      </c>
      <c r="F94" s="9" t="s">
        <v>141</v>
      </c>
      <c r="G94" s="9" t="s">
        <v>29</v>
      </c>
      <c r="H94">
        <f t="shared" si="22"/>
        <v>0</v>
      </c>
      <c r="I94" s="9" t="s">
        <v>146</v>
      </c>
      <c r="J94" s="1">
        <f t="shared" si="23"/>
        <v>4</v>
      </c>
      <c r="K94" s="2">
        <v>41320</v>
      </c>
      <c r="L94" s="2">
        <v>44242</v>
      </c>
      <c r="M94" s="10">
        <f t="shared" si="24"/>
        <v>8.0054794520547947</v>
      </c>
      <c r="N94" s="11">
        <f t="shared" si="25"/>
        <v>1</v>
      </c>
      <c r="O94" s="9" t="s">
        <v>47</v>
      </c>
      <c r="P94" t="str">
        <f t="shared" si="28"/>
        <v>0</v>
      </c>
      <c r="Q94" s="12">
        <v>1095508</v>
      </c>
      <c r="R94" s="9">
        <v>1000</v>
      </c>
      <c r="S94" s="1" t="str">
        <f>IF($V94="USD",INDEX('Dólar Spot'!$B:$B,MATCH(Base!$K94,'Dólar Spot'!$A:$A,0)),"")</f>
        <v/>
      </c>
      <c r="T94" s="11">
        <f t="shared" si="33"/>
        <v>1095508000</v>
      </c>
      <c r="U94" s="13">
        <f t="shared" si="26"/>
        <v>10.955080000000001</v>
      </c>
      <c r="V94" s="9" t="s">
        <v>32</v>
      </c>
      <c r="W94" s="9" t="s">
        <v>34</v>
      </c>
      <c r="X94">
        <f t="shared" si="29"/>
        <v>1</v>
      </c>
      <c r="Y94" s="1" t="str" cm="1">
        <f t="array" ref="Y94">INDEX(Ratings!$B$2:$M$42,_xlfn.XMATCH(Base!F94,Ratings!$A$2:$A$42),_xlfn.XMATCH(YEAR(Base!K94),Ratings!$B$1:$M$1))</f>
        <v>NR</v>
      </c>
      <c r="Z94">
        <f t="shared" si="30"/>
        <v>0</v>
      </c>
      <c r="AA94">
        <f>IFERROR(IFERROR(IFERROR(INDEX('EMBI+'!$B:$B,MATCH(Base!$K94,'EMBI+'!$A:$A,0)),INDEX('EMBI+'!$B:$B,MATCH(Base!$K94+1,'EMBI+'!$A:$A,0))),INDEX('EMBI+'!$B:$B,MATCH(Base!$K94+2,'EMBI+'!$A:$A,0))),INDEX('EMBI+'!$B:$B,MATCH(Base!$K94+3,'EMBI+'!$A:$A,0)))/100</f>
        <v>1.58</v>
      </c>
      <c r="AB94" s="9">
        <v>124.14467999999999</v>
      </c>
      <c r="AC94" s="9">
        <v>98.289100000000005</v>
      </c>
      <c r="AD94" s="9"/>
      <c r="AE94" s="9"/>
      <c r="AF94" s="2"/>
      <c r="AG94" s="2"/>
    </row>
    <row r="95" spans="1:33" x14ac:dyDescent="0.35">
      <c r="A95">
        <f t="shared" si="27"/>
        <v>93</v>
      </c>
      <c r="B95">
        <f>IF(G95="Bonds",COUNTIF($G$3:G95,"Bonds"),0)</f>
        <v>0</v>
      </c>
      <c r="C95" t="str">
        <f t="shared" si="31"/>
        <v>Cemig4132045703</v>
      </c>
      <c r="D95">
        <f t="shared" si="32"/>
        <v>8</v>
      </c>
      <c r="E95" s="9" t="s">
        <v>143</v>
      </c>
      <c r="F95" s="9" t="s">
        <v>141</v>
      </c>
      <c r="G95" s="9" t="s">
        <v>29</v>
      </c>
      <c r="H95">
        <f t="shared" si="22"/>
        <v>0</v>
      </c>
      <c r="I95" s="9" t="s">
        <v>147</v>
      </c>
      <c r="J95" s="1">
        <f t="shared" si="23"/>
        <v>5</v>
      </c>
      <c r="K95" s="2">
        <v>41320</v>
      </c>
      <c r="L95" s="2">
        <v>45703</v>
      </c>
      <c r="M95" s="10">
        <f t="shared" si="24"/>
        <v>12.008219178082191</v>
      </c>
      <c r="N95" s="11">
        <f t="shared" si="25"/>
        <v>1</v>
      </c>
      <c r="O95" s="9" t="s">
        <v>47</v>
      </c>
      <c r="P95" t="str">
        <f t="shared" si="28"/>
        <v>0</v>
      </c>
      <c r="Q95" s="12">
        <v>653675</v>
      </c>
      <c r="R95" s="9">
        <v>1000</v>
      </c>
      <c r="S95" s="1" t="str">
        <f>IF($V95="USD",INDEX('Dólar Spot'!$B:$B,MATCH(Base!$K95,'Dólar Spot'!$A:$A,0)),"")</f>
        <v/>
      </c>
      <c r="T95" s="11">
        <f t="shared" si="33"/>
        <v>653675000</v>
      </c>
      <c r="U95" s="13">
        <f t="shared" si="26"/>
        <v>6.5367499999999996</v>
      </c>
      <c r="V95" s="9" t="s">
        <v>32</v>
      </c>
      <c r="W95" s="9" t="s">
        <v>34</v>
      </c>
      <c r="X95">
        <f t="shared" si="29"/>
        <v>1</v>
      </c>
      <c r="Y95" s="1" t="str" cm="1">
        <f t="array" ref="Y95">INDEX(Ratings!$B$2:$M$42,_xlfn.XMATCH(Base!F95,Ratings!$A$2:$A$42),_xlfn.XMATCH(YEAR(Base!K95),Ratings!$B$1:$M$1))</f>
        <v>NR</v>
      </c>
      <c r="Z95">
        <f t="shared" si="30"/>
        <v>0</v>
      </c>
      <c r="AA95">
        <f>IFERROR(IFERROR(IFERROR(INDEX('EMBI+'!$B:$B,MATCH(Base!$K95,'EMBI+'!$A:$A,0)),INDEX('EMBI+'!$B:$B,MATCH(Base!$K95+1,'EMBI+'!$A:$A,0))),INDEX('EMBI+'!$B:$B,MATCH(Base!$K95+2,'EMBI+'!$A:$A,0))),INDEX('EMBI+'!$B:$B,MATCH(Base!$K95+3,'EMBI+'!$A:$A,0)))/100</f>
        <v>1.58</v>
      </c>
      <c r="AB95" s="9">
        <v>124.14467999999999</v>
      </c>
      <c r="AC95" s="9">
        <v>98.289100000000005</v>
      </c>
      <c r="AD95" s="9"/>
      <c r="AE95" s="9"/>
      <c r="AF95" s="2"/>
      <c r="AG95" s="2"/>
    </row>
    <row r="96" spans="1:33" x14ac:dyDescent="0.35">
      <c r="A96">
        <f t="shared" si="27"/>
        <v>94</v>
      </c>
      <c r="B96">
        <f>IF(G96="Bonds",COUNTIF($G$3:G96,"Bonds"),0)</f>
        <v>0</v>
      </c>
      <c r="C96" t="str">
        <f t="shared" si="31"/>
        <v>Cemig4308444727</v>
      </c>
      <c r="D96">
        <f t="shared" si="32"/>
        <v>8</v>
      </c>
      <c r="E96" s="9" t="s">
        <v>143</v>
      </c>
      <c r="F96" s="9" t="s">
        <v>141</v>
      </c>
      <c r="G96" s="9" t="s">
        <v>29</v>
      </c>
      <c r="H96">
        <f t="shared" si="22"/>
        <v>0</v>
      </c>
      <c r="I96" s="9" t="s">
        <v>148</v>
      </c>
      <c r="J96" s="1">
        <f t="shared" si="23"/>
        <v>6</v>
      </c>
      <c r="K96" s="2">
        <v>43084</v>
      </c>
      <c r="L96" s="2">
        <v>44727</v>
      </c>
      <c r="M96" s="10">
        <f t="shared" si="24"/>
        <v>4.5013698630136982</v>
      </c>
      <c r="N96" s="11">
        <f t="shared" si="25"/>
        <v>0</v>
      </c>
      <c r="O96" s="9" t="s">
        <v>31</v>
      </c>
      <c r="P96" t="str">
        <f t="shared" si="28"/>
        <v>1</v>
      </c>
      <c r="Q96" s="12">
        <v>157500</v>
      </c>
      <c r="R96" s="9">
        <v>10000</v>
      </c>
      <c r="S96" s="1" t="str">
        <f>IF($V96="USD",INDEX('Dólar Spot'!$B:$B,MATCH(Base!$K96,'Dólar Spot'!$A:$A,0)),"")</f>
        <v/>
      </c>
      <c r="T96" s="11">
        <f t="shared" si="33"/>
        <v>1575000000</v>
      </c>
      <c r="U96" s="13">
        <f t="shared" si="26"/>
        <v>15.75</v>
      </c>
      <c r="V96" s="9" t="s">
        <v>44</v>
      </c>
      <c r="W96" s="9" t="s">
        <v>34</v>
      </c>
      <c r="X96">
        <f t="shared" si="29"/>
        <v>1</v>
      </c>
      <c r="Y96" s="1" t="str" cm="1">
        <f t="array" ref="Y96">INDEX(Ratings!$B$2:$M$42,_xlfn.XMATCH(Base!F96,Ratings!$A$2:$A$42),_xlfn.XMATCH(YEAR(Base!K96),Ratings!$B$1:$M$1))</f>
        <v>B+</v>
      </c>
      <c r="Z96">
        <f t="shared" si="30"/>
        <v>0</v>
      </c>
      <c r="AA96">
        <f>IFERROR(IFERROR(IFERROR(INDEX('EMBI+'!$B:$B,MATCH(Base!$K96,'EMBI+'!$A:$A,0)),INDEX('EMBI+'!$B:$B,MATCH(Base!$K96+1,'EMBI+'!$A:$A,0))),INDEX('EMBI+'!$B:$B,MATCH(Base!$K96+2,'EMBI+'!$A:$A,0))),INDEX('EMBI+'!$B:$B,MATCH(Base!$K96+3,'EMBI+'!$A:$A,0)))/100</f>
        <v>2.44</v>
      </c>
      <c r="AB96" s="9">
        <v>143.25986</v>
      </c>
      <c r="AC96" s="9">
        <v>143.97696999999999</v>
      </c>
      <c r="AD96" s="9"/>
      <c r="AE96" s="9"/>
      <c r="AF96" s="2"/>
      <c r="AG96" s="2"/>
    </row>
    <row r="97" spans="1:33" x14ac:dyDescent="0.35">
      <c r="A97">
        <f t="shared" si="27"/>
        <v>95</v>
      </c>
      <c r="B97">
        <f>IF(G97="Bonds",COUNTIF($G$3:G97,"Bonds"),0)</f>
        <v>0</v>
      </c>
      <c r="C97" t="str">
        <f t="shared" si="31"/>
        <v>Cemig4343743985</v>
      </c>
      <c r="D97">
        <f t="shared" si="32"/>
        <v>8</v>
      </c>
      <c r="E97" s="9" t="s">
        <v>143</v>
      </c>
      <c r="F97" s="9" t="s">
        <v>141</v>
      </c>
      <c r="G97" s="9" t="s">
        <v>29</v>
      </c>
      <c r="H97">
        <f t="shared" si="22"/>
        <v>0</v>
      </c>
      <c r="I97" s="9" t="s">
        <v>149</v>
      </c>
      <c r="J97" s="1">
        <f t="shared" si="23"/>
        <v>7</v>
      </c>
      <c r="K97" s="2">
        <v>43437</v>
      </c>
      <c r="L97" s="2">
        <v>43985</v>
      </c>
      <c r="M97" s="10">
        <f t="shared" si="24"/>
        <v>1.5013698630136987</v>
      </c>
      <c r="N97" s="11">
        <f t="shared" si="25"/>
        <v>0</v>
      </c>
      <c r="O97" s="9" t="s">
        <v>31</v>
      </c>
      <c r="P97" t="str">
        <f t="shared" si="28"/>
        <v>1</v>
      </c>
      <c r="Q97" s="12">
        <v>550000</v>
      </c>
      <c r="R97" s="9">
        <v>1000</v>
      </c>
      <c r="S97" s="1" t="str">
        <f>IF($V97="USD",INDEX('Dólar Spot'!$B:$B,MATCH(Base!$K97,'Dólar Spot'!$A:$A,0)),"")</f>
        <v/>
      </c>
      <c r="T97" s="11">
        <f t="shared" si="33"/>
        <v>550000000</v>
      </c>
      <c r="U97" s="13">
        <f t="shared" si="26"/>
        <v>5.5</v>
      </c>
      <c r="V97" s="9" t="s">
        <v>44</v>
      </c>
      <c r="W97" s="9" t="s">
        <v>34</v>
      </c>
      <c r="X97">
        <f t="shared" si="29"/>
        <v>1</v>
      </c>
      <c r="Y97" s="1" t="str" cm="1">
        <f t="array" ref="Y97">INDEX(Ratings!$B$2:$M$42,_xlfn.XMATCH(Base!F97,Ratings!$A$2:$A$42),_xlfn.XMATCH(YEAR(Base!K97),Ratings!$B$1:$M$1))</f>
        <v>B</v>
      </c>
      <c r="Z97">
        <f t="shared" si="30"/>
        <v>0</v>
      </c>
      <c r="AA97">
        <f>IFERROR(IFERROR(IFERROR(INDEX('EMBI+'!$B:$B,MATCH(Base!$K97,'EMBI+'!$A:$A,0)),INDEX('EMBI+'!$B:$B,MATCH(Base!$K97+1,'EMBI+'!$A:$A,0))),INDEX('EMBI+'!$B:$B,MATCH(Base!$K97+2,'EMBI+'!$A:$A,0))),INDEX('EMBI+'!$B:$B,MATCH(Base!$K97+3,'EMBI+'!$A:$A,0)))/100</f>
        <v>2.67</v>
      </c>
      <c r="AB97" s="9">
        <v>145.78719000000001</v>
      </c>
      <c r="AC97" s="9">
        <v>147.71827999999999</v>
      </c>
      <c r="AD97" s="9"/>
      <c r="AE97" s="9"/>
      <c r="AF97" s="2"/>
      <c r="AG97" s="2"/>
    </row>
    <row r="98" spans="1:33" x14ac:dyDescent="0.35">
      <c r="A98">
        <f t="shared" si="27"/>
        <v>96</v>
      </c>
      <c r="B98">
        <f>IF(G98="Bonds",COUNTIF($G$3:G98,"Bonds"),0)</f>
        <v>0</v>
      </c>
      <c r="C98" t="str">
        <f t="shared" si="31"/>
        <v>Cemig4363145458</v>
      </c>
      <c r="D98">
        <f t="shared" si="32"/>
        <v>8</v>
      </c>
      <c r="E98" s="9" t="s">
        <v>143</v>
      </c>
      <c r="F98" s="9" t="s">
        <v>141</v>
      </c>
      <c r="G98" s="9" t="s">
        <v>29</v>
      </c>
      <c r="H98">
        <f t="shared" si="22"/>
        <v>0</v>
      </c>
      <c r="I98" s="9" t="s">
        <v>150</v>
      </c>
      <c r="J98" s="1">
        <f t="shared" si="23"/>
        <v>8</v>
      </c>
      <c r="K98" s="2">
        <v>43631</v>
      </c>
      <c r="L98" s="2">
        <v>45458</v>
      </c>
      <c r="M98" s="10">
        <f t="shared" si="24"/>
        <v>5.0054794520547947</v>
      </c>
      <c r="N98" s="11">
        <f t="shared" si="25"/>
        <v>1</v>
      </c>
      <c r="O98" s="9" t="s">
        <v>47</v>
      </c>
      <c r="P98" t="str">
        <f t="shared" si="28"/>
        <v>0</v>
      </c>
      <c r="Q98" s="12">
        <v>2160000</v>
      </c>
      <c r="R98" s="9">
        <v>1000</v>
      </c>
      <c r="S98" s="1" t="str">
        <f>IF($V98="USD",INDEX('Dólar Spot'!$B:$B,MATCH(Base!$K98,'Dólar Spot'!$A:$A,0)),"")</f>
        <v/>
      </c>
      <c r="T98" s="11">
        <f t="shared" si="33"/>
        <v>2160000000</v>
      </c>
      <c r="U98" s="13">
        <f t="shared" si="26"/>
        <v>21.6</v>
      </c>
      <c r="V98" s="9" t="s">
        <v>44</v>
      </c>
      <c r="W98" s="9" t="s">
        <v>34</v>
      </c>
      <c r="X98">
        <f t="shared" si="29"/>
        <v>1</v>
      </c>
      <c r="Y98" s="1" t="str" cm="1">
        <f t="array" ref="Y98">INDEX(Ratings!$B$2:$M$42,_xlfn.XMATCH(Base!F98,Ratings!$A$2:$A$42),_xlfn.XMATCH(YEAR(Base!K98),Ratings!$B$1:$M$1))</f>
        <v>B+</v>
      </c>
      <c r="Z98">
        <f t="shared" si="30"/>
        <v>0</v>
      </c>
      <c r="AA98">
        <f>IFERROR(IFERROR(IFERROR(INDEX('EMBI+'!$B:$B,MATCH(Base!$K98,'EMBI+'!$A:$A,0)),INDEX('EMBI+'!$B:$B,MATCH(Base!$K98+1,'EMBI+'!$A:$A,0))),INDEX('EMBI+'!$B:$B,MATCH(Base!$K98+2,'EMBI+'!$A:$A,0))),INDEX('EMBI+'!$B:$B,MATCH(Base!$K98+3,'EMBI+'!$A:$A,0)))/100</f>
        <v>2.52</v>
      </c>
      <c r="AB98" s="9">
        <v>174.89511999999999</v>
      </c>
      <c r="AC98" s="9">
        <v>138.76389</v>
      </c>
      <c r="AD98" s="9"/>
      <c r="AE98" s="9"/>
      <c r="AF98" s="2"/>
      <c r="AG98" s="2"/>
    </row>
    <row r="99" spans="1:33" x14ac:dyDescent="0.35">
      <c r="A99">
        <f t="shared" si="27"/>
        <v>97</v>
      </c>
      <c r="B99">
        <f>IF(G99="Bonds",COUNTIF($G$3:G99,"Bonds"),0)</f>
        <v>0</v>
      </c>
      <c r="C99" t="str">
        <f t="shared" si="31"/>
        <v>Cemig4363146188</v>
      </c>
      <c r="D99">
        <f t="shared" si="32"/>
        <v>8</v>
      </c>
      <c r="E99" s="9" t="s">
        <v>143</v>
      </c>
      <c r="F99" s="9" t="s">
        <v>141</v>
      </c>
      <c r="G99" s="9" t="s">
        <v>29</v>
      </c>
      <c r="H99">
        <f t="shared" si="22"/>
        <v>0</v>
      </c>
      <c r="I99" s="9" t="s">
        <v>151</v>
      </c>
      <c r="J99" s="1">
        <f t="shared" si="23"/>
        <v>9</v>
      </c>
      <c r="K99" s="2">
        <v>43631</v>
      </c>
      <c r="L99" s="2">
        <v>46188</v>
      </c>
      <c r="M99" s="10">
        <f t="shared" si="24"/>
        <v>7.0054794520547947</v>
      </c>
      <c r="N99" s="11">
        <f t="shared" si="25"/>
        <v>1</v>
      </c>
      <c r="O99" s="9" t="s">
        <v>47</v>
      </c>
      <c r="P99" t="str">
        <f t="shared" si="28"/>
        <v>0</v>
      </c>
      <c r="Q99" s="12">
        <v>1500000</v>
      </c>
      <c r="R99" s="9">
        <v>1000</v>
      </c>
      <c r="S99" s="1" t="str">
        <f>IF($V99="USD",INDEX('Dólar Spot'!$B:$B,MATCH(Base!$K99,'Dólar Spot'!$A:$A,0)),"")</f>
        <v/>
      </c>
      <c r="T99" s="11">
        <f t="shared" si="33"/>
        <v>1500000000</v>
      </c>
      <c r="U99" s="13">
        <f t="shared" si="26"/>
        <v>15</v>
      </c>
      <c r="V99" s="9" t="s">
        <v>32</v>
      </c>
      <c r="W99" s="9" t="s">
        <v>35</v>
      </c>
      <c r="X99">
        <f t="shared" si="29"/>
        <v>0</v>
      </c>
      <c r="Y99" s="1" t="str" cm="1">
        <f t="array" ref="Y99">INDEX(Ratings!$B$2:$M$42,_xlfn.XMATCH(Base!F99,Ratings!$A$2:$A$42),_xlfn.XMATCH(YEAR(Base!K99),Ratings!$B$1:$M$1))</f>
        <v>B+</v>
      </c>
      <c r="Z99">
        <f t="shared" si="30"/>
        <v>0</v>
      </c>
      <c r="AA99">
        <f>IFERROR(IFERROR(IFERROR(INDEX('EMBI+'!$B:$B,MATCH(Base!$K99,'EMBI+'!$A:$A,0)),INDEX('EMBI+'!$B:$B,MATCH(Base!$K99+1,'EMBI+'!$A:$A,0))),INDEX('EMBI+'!$B:$B,MATCH(Base!$K99+2,'EMBI+'!$A:$A,0))),INDEX('EMBI+'!$B:$B,MATCH(Base!$K99+3,'EMBI+'!$A:$A,0)))/100</f>
        <v>2.52</v>
      </c>
      <c r="AB99" s="9">
        <v>174.89511999999999</v>
      </c>
      <c r="AC99" s="9">
        <v>138.76389</v>
      </c>
      <c r="AD99" s="9"/>
      <c r="AE99" s="9"/>
      <c r="AF99" s="2"/>
      <c r="AG99" s="2"/>
    </row>
    <row r="100" spans="1:33" x14ac:dyDescent="0.35">
      <c r="A100">
        <f t="shared" si="27"/>
        <v>98</v>
      </c>
      <c r="B100">
        <f>IF(G100="Bonds",COUNTIF($G$3:G100,"Bonds"),0)</f>
        <v>0</v>
      </c>
      <c r="C100" t="str">
        <f t="shared" si="31"/>
        <v>Cemig4472746553</v>
      </c>
      <c r="D100">
        <f t="shared" si="32"/>
        <v>8</v>
      </c>
      <c r="E100" s="9" t="s">
        <v>143</v>
      </c>
      <c r="F100" s="9" t="s">
        <v>141</v>
      </c>
      <c r="G100" s="9" t="s">
        <v>29</v>
      </c>
      <c r="H100">
        <f t="shared" si="22"/>
        <v>0</v>
      </c>
      <c r="I100" s="9"/>
      <c r="J100" s="1">
        <f t="shared" si="23"/>
        <v>10</v>
      </c>
      <c r="K100" s="2">
        <v>44727</v>
      </c>
      <c r="L100" s="2">
        <v>46553</v>
      </c>
      <c r="M100" s="10">
        <f t="shared" si="24"/>
        <v>5.0027397260273974</v>
      </c>
      <c r="N100" s="11">
        <f t="shared" si="25"/>
        <v>1</v>
      </c>
      <c r="O100" s="9" t="s">
        <v>47</v>
      </c>
      <c r="P100" t="str">
        <f t="shared" si="28"/>
        <v>0</v>
      </c>
      <c r="Q100" s="12">
        <v>500000</v>
      </c>
      <c r="R100" s="9">
        <v>1000</v>
      </c>
      <c r="S100" s="1" t="str">
        <f>IF($V100="USD",INDEX('Dólar Spot'!$B:$B,MATCH(Base!$K100,'Dólar Spot'!$A:$A,0)),"")</f>
        <v/>
      </c>
      <c r="T100" s="11">
        <f t="shared" si="33"/>
        <v>500000000</v>
      </c>
      <c r="U100" s="13">
        <f t="shared" si="26"/>
        <v>5</v>
      </c>
      <c r="V100" s="9" t="s">
        <v>44</v>
      </c>
      <c r="W100" s="9" t="s">
        <v>34</v>
      </c>
      <c r="X100">
        <f t="shared" si="29"/>
        <v>1</v>
      </c>
      <c r="Y100" s="1" t="str" cm="1">
        <f t="array" ref="Y100">INDEX(Ratings!$B$2:$M$42,_xlfn.XMATCH(Base!F100,Ratings!$A$2:$A$42),_xlfn.XMATCH(YEAR(Base!K100),Ratings!$B$1:$M$1))</f>
        <v>BB-</v>
      </c>
      <c r="Z100">
        <f t="shared" si="30"/>
        <v>0</v>
      </c>
      <c r="AA100">
        <f>IFERROR(IFERROR(IFERROR(INDEX('EMBI+'!$B:$B,MATCH(Base!$K100,'EMBI+'!$A:$A,0)),INDEX('EMBI+'!$B:$B,MATCH(Base!$K100+1,'EMBI+'!$A:$A,0))),INDEX('EMBI+'!$B:$B,MATCH(Base!$K100+2,'EMBI+'!$A:$A,0))),INDEX('EMBI+'!$B:$B,MATCH(Base!$K100+3,'EMBI+'!$A:$A,0)))/100</f>
        <v>3.36</v>
      </c>
      <c r="AB100" s="9">
        <v>203.63513</v>
      </c>
      <c r="AC100" s="9">
        <v>111.84845</v>
      </c>
      <c r="AD100" s="9"/>
      <c r="AE100" s="9"/>
      <c r="AF100" s="2"/>
      <c r="AG100" s="2"/>
    </row>
    <row r="101" spans="1:33" x14ac:dyDescent="0.35">
      <c r="A101">
        <f t="shared" si="27"/>
        <v>99</v>
      </c>
      <c r="B101">
        <f>IF(G101="Bonds",COUNTIF($G$3:G101,"Bonds"),0)</f>
        <v>0</v>
      </c>
      <c r="C101" t="str">
        <f t="shared" si="31"/>
        <v>Cemig4472747284</v>
      </c>
      <c r="D101">
        <f t="shared" si="32"/>
        <v>8</v>
      </c>
      <c r="E101" s="9" t="s">
        <v>143</v>
      </c>
      <c r="F101" s="9" t="s">
        <v>141</v>
      </c>
      <c r="G101" s="9" t="s">
        <v>29</v>
      </c>
      <c r="H101">
        <f t="shared" si="22"/>
        <v>0</v>
      </c>
      <c r="I101" s="9"/>
      <c r="J101" s="1">
        <f t="shared" si="23"/>
        <v>11</v>
      </c>
      <c r="K101" s="2">
        <v>44727</v>
      </c>
      <c r="L101" s="2">
        <v>47284</v>
      </c>
      <c r="M101" s="10">
        <f t="shared" si="24"/>
        <v>7.0054794520547947</v>
      </c>
      <c r="N101" s="11">
        <f t="shared" si="25"/>
        <v>1</v>
      </c>
      <c r="O101" s="9" t="s">
        <v>47</v>
      </c>
      <c r="P101" t="str">
        <f t="shared" si="28"/>
        <v>0</v>
      </c>
      <c r="Q101" s="12">
        <v>500000</v>
      </c>
      <c r="R101" s="9">
        <v>1000</v>
      </c>
      <c r="S101" s="1" t="str">
        <f>IF($V101="USD",INDEX('Dólar Spot'!$B:$B,MATCH(Base!$K101,'Dólar Spot'!$A:$A,0)),"")</f>
        <v/>
      </c>
      <c r="T101" s="11">
        <f t="shared" si="33"/>
        <v>500000000</v>
      </c>
      <c r="U101" s="13">
        <f t="shared" si="26"/>
        <v>5</v>
      </c>
      <c r="V101" s="9" t="s">
        <v>32</v>
      </c>
      <c r="W101" s="9" t="s">
        <v>35</v>
      </c>
      <c r="X101">
        <f t="shared" si="29"/>
        <v>0</v>
      </c>
      <c r="Y101" s="1" t="str" cm="1">
        <f t="array" ref="Y101">INDEX(Ratings!$B$2:$M$42,_xlfn.XMATCH(Base!F101,Ratings!$A$2:$A$42),_xlfn.XMATCH(YEAR(Base!K101),Ratings!$B$1:$M$1))</f>
        <v>BB-</v>
      </c>
      <c r="Z101">
        <f t="shared" si="30"/>
        <v>0</v>
      </c>
      <c r="AA101">
        <f>IFERROR(IFERROR(IFERROR(INDEX('EMBI+'!$B:$B,MATCH(Base!$K101,'EMBI+'!$A:$A,0)),INDEX('EMBI+'!$B:$B,MATCH(Base!$K101+1,'EMBI+'!$A:$A,0))),INDEX('EMBI+'!$B:$B,MATCH(Base!$K101+2,'EMBI+'!$A:$A,0))),INDEX('EMBI+'!$B:$B,MATCH(Base!$K101+3,'EMBI+'!$A:$A,0)))/100</f>
        <v>3.36</v>
      </c>
      <c r="AB101" s="9">
        <v>203.63513</v>
      </c>
      <c r="AC101" s="9">
        <v>111.84845</v>
      </c>
      <c r="AD101" s="9"/>
      <c r="AE101" s="9"/>
      <c r="AF101" s="2"/>
      <c r="AG101" s="2"/>
    </row>
    <row r="102" spans="1:33" x14ac:dyDescent="0.35">
      <c r="A102">
        <f t="shared" si="27"/>
        <v>100</v>
      </c>
      <c r="B102">
        <f>IF(G102="Bonds",COUNTIF($G$3:G102,"Bonds"),0)</f>
        <v>0</v>
      </c>
      <c r="C102" t="str">
        <f t="shared" si="31"/>
        <v>Cemig4095442781</v>
      </c>
      <c r="D102">
        <f t="shared" si="32"/>
        <v>8</v>
      </c>
      <c r="E102" s="9" t="s">
        <v>152</v>
      </c>
      <c r="F102" s="9" t="s">
        <v>141</v>
      </c>
      <c r="G102" s="9" t="s">
        <v>29</v>
      </c>
      <c r="H102">
        <f t="shared" si="22"/>
        <v>0</v>
      </c>
      <c r="I102" s="9" t="s">
        <v>153</v>
      </c>
      <c r="J102" s="1">
        <f t="shared" si="23"/>
        <v>12</v>
      </c>
      <c r="K102" s="2">
        <v>40954</v>
      </c>
      <c r="L102" s="2">
        <v>42781</v>
      </c>
      <c r="M102" s="10">
        <f t="shared" si="24"/>
        <v>5.0054794520547947</v>
      </c>
      <c r="N102" s="11">
        <f t="shared" si="25"/>
        <v>1</v>
      </c>
      <c r="O102" s="9" t="s">
        <v>47</v>
      </c>
      <c r="P102" t="str">
        <f t="shared" si="28"/>
        <v>0</v>
      </c>
      <c r="Q102" s="12">
        <v>480000</v>
      </c>
      <c r="R102" s="9">
        <v>1000</v>
      </c>
      <c r="S102" s="1" t="str">
        <f>IF($V102="USD",INDEX('Dólar Spot'!$B:$B,MATCH(Base!$K102,'Dólar Spot'!$A:$A,0)),"")</f>
        <v/>
      </c>
      <c r="T102" s="11">
        <f t="shared" si="33"/>
        <v>480000000</v>
      </c>
      <c r="U102" s="13">
        <f t="shared" si="26"/>
        <v>4.8</v>
      </c>
      <c r="V102" s="9" t="s">
        <v>44</v>
      </c>
      <c r="W102" s="9" t="s">
        <v>34</v>
      </c>
      <c r="X102">
        <f t="shared" si="29"/>
        <v>1</v>
      </c>
      <c r="Y102" s="1" t="str" cm="1">
        <f t="array" ref="Y102">INDEX(Ratings!$B$2:$M$42,_xlfn.XMATCH(Base!F102,Ratings!$A$2:$A$42),_xlfn.XMATCH(YEAR(Base!K102),Ratings!$B$1:$M$1))</f>
        <v>NR</v>
      </c>
      <c r="Z102">
        <f t="shared" si="30"/>
        <v>0</v>
      </c>
      <c r="AA102">
        <f>IFERROR(IFERROR(IFERROR(INDEX('EMBI+'!$B:$B,MATCH(Base!$K102,'EMBI+'!$A:$A,0)),INDEX('EMBI+'!$B:$B,MATCH(Base!$K102+1,'EMBI+'!$A:$A,0))),INDEX('EMBI+'!$B:$B,MATCH(Base!$K102+2,'EMBI+'!$A:$A,0))),INDEX('EMBI+'!$B:$B,MATCH(Base!$K102+3,'EMBI+'!$A:$A,0)))/100</f>
        <v>2.0499999999999998</v>
      </c>
      <c r="AB102" s="9">
        <v>123.74223000000001</v>
      </c>
      <c r="AC102" s="9">
        <v>154.21188000000001</v>
      </c>
      <c r="AD102" s="9"/>
      <c r="AE102" s="9"/>
      <c r="AF102" s="2"/>
      <c r="AG102" s="2"/>
    </row>
    <row r="103" spans="1:33" x14ac:dyDescent="0.35">
      <c r="A103">
        <f t="shared" si="27"/>
        <v>101</v>
      </c>
      <c r="B103">
        <f>IF(G103="Bonds",COUNTIF($G$3:G103,"Bonds"),0)</f>
        <v>0</v>
      </c>
      <c r="C103" t="str">
        <f t="shared" si="31"/>
        <v>Cemig4163142727</v>
      </c>
      <c r="D103">
        <f t="shared" si="32"/>
        <v>8</v>
      </c>
      <c r="E103" s="9" t="s">
        <v>152</v>
      </c>
      <c r="F103" s="9" t="s">
        <v>141</v>
      </c>
      <c r="G103" s="9" t="s">
        <v>29</v>
      </c>
      <c r="H103">
        <f t="shared" si="22"/>
        <v>0</v>
      </c>
      <c r="I103" s="9" t="s">
        <v>154</v>
      </c>
      <c r="J103" s="1">
        <f t="shared" si="23"/>
        <v>13</v>
      </c>
      <c r="K103" s="2">
        <v>41631</v>
      </c>
      <c r="L103" s="2">
        <v>42727</v>
      </c>
      <c r="M103" s="10">
        <f t="shared" si="24"/>
        <v>3.0027397260273974</v>
      </c>
      <c r="N103" s="11">
        <f t="shared" si="25"/>
        <v>0</v>
      </c>
      <c r="O103" s="9" t="s">
        <v>47</v>
      </c>
      <c r="P103" t="str">
        <f t="shared" si="28"/>
        <v>0</v>
      </c>
      <c r="Q103" s="12">
        <v>50000</v>
      </c>
      <c r="R103" s="9">
        <v>10000</v>
      </c>
      <c r="S103" s="1" t="str">
        <f>IF($V103="USD",INDEX('Dólar Spot'!$B:$B,MATCH(Base!$K103,'Dólar Spot'!$A:$A,0)),"")</f>
        <v/>
      </c>
      <c r="T103" s="11">
        <f t="shared" si="33"/>
        <v>500000000</v>
      </c>
      <c r="U103" s="13">
        <f t="shared" si="26"/>
        <v>5</v>
      </c>
      <c r="V103" s="9" t="s">
        <v>44</v>
      </c>
      <c r="W103" s="9" t="s">
        <v>35</v>
      </c>
      <c r="X103">
        <f t="shared" si="29"/>
        <v>0</v>
      </c>
      <c r="Y103" s="1" t="str" cm="1">
        <f t="array" ref="Y103">INDEX(Ratings!$B$2:$M$42,_xlfn.XMATCH(Base!F103,Ratings!$A$2:$A$42),_xlfn.XMATCH(YEAR(Base!K103),Ratings!$B$1:$M$1))</f>
        <v>NR</v>
      </c>
      <c r="Z103">
        <f t="shared" si="30"/>
        <v>0</v>
      </c>
      <c r="AA103">
        <f>IFERROR(IFERROR(IFERROR(INDEX('EMBI+'!$B:$B,MATCH(Base!$K103,'EMBI+'!$A:$A,0)),INDEX('EMBI+'!$B:$B,MATCH(Base!$K103+1,'EMBI+'!$A:$A,0))),INDEX('EMBI+'!$B:$B,MATCH(Base!$K103+2,'EMBI+'!$A:$A,0))),INDEX('EMBI+'!$B:$B,MATCH(Base!$K103+3,'EMBI+'!$A:$A,0)))/100</f>
        <v>2.29</v>
      </c>
      <c r="AB103" s="9">
        <v>126.38357000000001</v>
      </c>
      <c r="AC103" s="9">
        <v>94.573639999999997</v>
      </c>
      <c r="AD103" s="9"/>
      <c r="AE103" s="9"/>
      <c r="AF103" s="2"/>
      <c r="AG103" s="2"/>
    </row>
    <row r="104" spans="1:33" x14ac:dyDescent="0.35">
      <c r="A104">
        <f t="shared" si="27"/>
        <v>102</v>
      </c>
      <c r="B104">
        <f>IF(G104="Bonds",COUNTIF($G$3:G104,"Bonds"),0)</f>
        <v>0</v>
      </c>
      <c r="C104" t="str">
        <f t="shared" si="31"/>
        <v>Cemig4198343444</v>
      </c>
      <c r="D104">
        <f t="shared" si="32"/>
        <v>8</v>
      </c>
      <c r="E104" s="9" t="s">
        <v>152</v>
      </c>
      <c r="F104" s="9" t="s">
        <v>141</v>
      </c>
      <c r="G104" s="9" t="s">
        <v>29</v>
      </c>
      <c r="H104">
        <f t="shared" si="22"/>
        <v>0</v>
      </c>
      <c r="I104" s="9" t="s">
        <v>155</v>
      </c>
      <c r="J104" s="1">
        <f t="shared" si="23"/>
        <v>14</v>
      </c>
      <c r="K104" s="2">
        <v>41983</v>
      </c>
      <c r="L104" s="2">
        <v>43444</v>
      </c>
      <c r="M104" s="10">
        <f t="shared" si="24"/>
        <v>4.0027397260273974</v>
      </c>
      <c r="N104" s="11">
        <f t="shared" si="25"/>
        <v>0</v>
      </c>
      <c r="O104" s="9" t="s">
        <v>47</v>
      </c>
      <c r="P104" t="str">
        <f t="shared" si="28"/>
        <v>0</v>
      </c>
      <c r="Q104" s="12">
        <v>140000</v>
      </c>
      <c r="R104" s="9">
        <v>10000</v>
      </c>
      <c r="S104" s="1" t="str">
        <f>IF($V104="USD",INDEX('Dólar Spot'!$B:$B,MATCH(Base!$K104,'Dólar Spot'!$A:$A,0)),"")</f>
        <v/>
      </c>
      <c r="T104" s="11">
        <f t="shared" si="33"/>
        <v>1400000000</v>
      </c>
      <c r="U104" s="13">
        <f t="shared" si="26"/>
        <v>14</v>
      </c>
      <c r="V104" s="9" t="s">
        <v>44</v>
      </c>
      <c r="W104" s="9" t="s">
        <v>35</v>
      </c>
      <c r="X104">
        <f t="shared" si="29"/>
        <v>0</v>
      </c>
      <c r="Y104" s="1" t="str" cm="1">
        <f t="array" ref="Y104">INDEX(Ratings!$B$2:$M$42,_xlfn.XMATCH(Base!F104,Ratings!$A$2:$A$42),_xlfn.XMATCH(YEAR(Base!K104),Ratings!$B$1:$M$1))</f>
        <v>NR</v>
      </c>
      <c r="Z104">
        <f t="shared" si="30"/>
        <v>0</v>
      </c>
      <c r="AA104">
        <f>IFERROR(IFERROR(IFERROR(INDEX('EMBI+'!$B:$B,MATCH(Base!$K104,'EMBI+'!$A:$A,0)),INDEX('EMBI+'!$B:$B,MATCH(Base!$K104+1,'EMBI+'!$A:$A,0))),INDEX('EMBI+'!$B:$B,MATCH(Base!$K104+2,'EMBI+'!$A:$A,0))),INDEX('EMBI+'!$B:$B,MATCH(Base!$K104+3,'EMBI+'!$A:$A,0)))/100</f>
        <v>2.8</v>
      </c>
      <c r="AB104" s="9">
        <v>112.80911</v>
      </c>
      <c r="AC104" s="9">
        <v>135.08738</v>
      </c>
      <c r="AD104" s="9"/>
      <c r="AE104" s="9"/>
      <c r="AF104" s="2"/>
      <c r="AG104" s="2"/>
    </row>
    <row r="105" spans="1:33" x14ac:dyDescent="0.35">
      <c r="A105">
        <f t="shared" si="27"/>
        <v>103</v>
      </c>
      <c r="B105">
        <f>IF(G105="Bonds",COUNTIF($G$3:G105,"Bonds"),0)</f>
        <v>0</v>
      </c>
      <c r="C105" t="str">
        <f t="shared" si="31"/>
        <v>Cemig4220043296</v>
      </c>
      <c r="D105">
        <f t="shared" si="32"/>
        <v>8</v>
      </c>
      <c r="E105" s="9" t="s">
        <v>152</v>
      </c>
      <c r="F105" s="9" t="s">
        <v>141</v>
      </c>
      <c r="G105" s="9" t="s">
        <v>29</v>
      </c>
      <c r="H105">
        <f t="shared" si="22"/>
        <v>0</v>
      </c>
      <c r="I105" s="9" t="s">
        <v>156</v>
      </c>
      <c r="J105" s="1">
        <f t="shared" si="23"/>
        <v>15</v>
      </c>
      <c r="K105" s="2">
        <v>42200</v>
      </c>
      <c r="L105" s="2">
        <v>43296</v>
      </c>
      <c r="M105" s="10">
        <f t="shared" si="24"/>
        <v>3.0027397260273974</v>
      </c>
      <c r="N105" s="11">
        <f t="shared" si="25"/>
        <v>0</v>
      </c>
      <c r="O105" s="9" t="s">
        <v>47</v>
      </c>
      <c r="P105" t="str">
        <f t="shared" si="28"/>
        <v>0</v>
      </c>
      <c r="Q105" s="12">
        <v>97275</v>
      </c>
      <c r="R105" s="9">
        <v>10000</v>
      </c>
      <c r="S105" s="1" t="str">
        <f>IF($V105="USD",INDEX('Dólar Spot'!$B:$B,MATCH(Base!$K105,'Dólar Spot'!$A:$A,0)),"")</f>
        <v/>
      </c>
      <c r="T105" s="11">
        <f t="shared" si="33"/>
        <v>972750000</v>
      </c>
      <c r="U105" s="13">
        <f t="shared" si="26"/>
        <v>9.7274999999999991</v>
      </c>
      <c r="V105" s="9" t="s">
        <v>44</v>
      </c>
      <c r="W105" s="9" t="s">
        <v>35</v>
      </c>
      <c r="X105">
        <f t="shared" si="29"/>
        <v>0</v>
      </c>
      <c r="Y105" s="1" t="str" cm="1">
        <f t="array" ref="Y105">INDEX(Ratings!$B$2:$M$42,_xlfn.XMATCH(Base!F105,Ratings!$A$2:$A$42),_xlfn.XMATCH(YEAR(Base!K105),Ratings!$B$1:$M$1))</f>
        <v>NR</v>
      </c>
      <c r="Z105">
        <f t="shared" si="30"/>
        <v>0</v>
      </c>
      <c r="AA105">
        <f>IFERROR(IFERROR(IFERROR(INDEX('EMBI+'!$B:$B,MATCH(Base!$K105,'EMBI+'!$A:$A,0)),INDEX('EMBI+'!$B:$B,MATCH(Base!$K105+1,'EMBI+'!$A:$A,0))),INDEX('EMBI+'!$B:$B,MATCH(Base!$K105+2,'EMBI+'!$A:$A,0))),INDEX('EMBI+'!$B:$B,MATCH(Base!$K105+3,'EMBI+'!$A:$A,0)))/100</f>
        <v>3.06</v>
      </c>
      <c r="AB105" s="9">
        <v>141.08432999999999</v>
      </c>
      <c r="AC105" s="9">
        <v>130.36974000000001</v>
      </c>
      <c r="AD105" s="9"/>
      <c r="AE105" s="9"/>
      <c r="AF105" s="2"/>
      <c r="AG105" s="2"/>
    </row>
    <row r="106" spans="1:33" x14ac:dyDescent="0.35">
      <c r="A106">
        <f t="shared" si="27"/>
        <v>104</v>
      </c>
      <c r="B106">
        <f>IF(G106="Bonds",COUNTIF($G$3:G106,"Bonds"),0)</f>
        <v>0</v>
      </c>
      <c r="C106" t="str">
        <f t="shared" si="31"/>
        <v>Cemig4272744553</v>
      </c>
      <c r="D106">
        <f t="shared" si="32"/>
        <v>8</v>
      </c>
      <c r="E106" s="9" t="s">
        <v>152</v>
      </c>
      <c r="F106" s="9" t="s">
        <v>141</v>
      </c>
      <c r="G106" s="9" t="s">
        <v>29</v>
      </c>
      <c r="H106">
        <f t="shared" si="22"/>
        <v>0</v>
      </c>
      <c r="I106" s="9" t="s">
        <v>157</v>
      </c>
      <c r="J106" s="1">
        <f t="shared" si="23"/>
        <v>16</v>
      </c>
      <c r="K106" s="2">
        <v>42727</v>
      </c>
      <c r="L106" s="2">
        <v>44553</v>
      </c>
      <c r="M106" s="10">
        <f t="shared" si="24"/>
        <v>5.0027397260273974</v>
      </c>
      <c r="N106" s="11">
        <f t="shared" si="25"/>
        <v>1</v>
      </c>
      <c r="O106" s="9" t="s">
        <v>31</v>
      </c>
      <c r="P106" t="str">
        <f t="shared" si="28"/>
        <v>1</v>
      </c>
      <c r="Q106" s="12">
        <v>224000</v>
      </c>
      <c r="R106" s="9">
        <v>10000</v>
      </c>
      <c r="S106" s="1" t="str">
        <f>IF($V106="USD",INDEX('Dólar Spot'!$B:$B,MATCH(Base!$K106,'Dólar Spot'!$A:$A,0)),"")</f>
        <v/>
      </c>
      <c r="T106" s="11">
        <f t="shared" si="33"/>
        <v>2240000000</v>
      </c>
      <c r="U106" s="13">
        <f t="shared" si="26"/>
        <v>22.4</v>
      </c>
      <c r="V106" s="9" t="s">
        <v>44</v>
      </c>
      <c r="W106" s="9" t="s">
        <v>34</v>
      </c>
      <c r="X106">
        <f t="shared" si="29"/>
        <v>1</v>
      </c>
      <c r="Y106" s="1" t="str" cm="1">
        <f t="array" ref="Y106">INDEX(Ratings!$B$2:$M$42,_xlfn.XMATCH(Base!F106,Ratings!$A$2:$A$42),_xlfn.XMATCH(YEAR(Base!K106),Ratings!$B$1:$M$1))</f>
        <v>NR</v>
      </c>
      <c r="Z106">
        <f t="shared" si="30"/>
        <v>0</v>
      </c>
      <c r="AA106">
        <f>IFERROR(IFERROR(IFERROR(INDEX('EMBI+'!$B:$B,MATCH(Base!$K106,'EMBI+'!$A:$A,0)),INDEX('EMBI+'!$B:$B,MATCH(Base!$K106+1,'EMBI+'!$A:$A,0))),INDEX('EMBI+'!$B:$B,MATCH(Base!$K106+2,'EMBI+'!$A:$A,0))),INDEX('EMBI+'!$B:$B,MATCH(Base!$K106+3,'EMBI+'!$A:$A,0)))/100</f>
        <v>3.25</v>
      </c>
      <c r="AB106" s="9">
        <v>129.30280999999999</v>
      </c>
      <c r="AC106" s="9">
        <v>151.7928</v>
      </c>
      <c r="AD106" s="9"/>
      <c r="AE106" s="9"/>
      <c r="AF106" s="2"/>
      <c r="AG106" s="2"/>
    </row>
    <row r="107" spans="1:33" x14ac:dyDescent="0.35">
      <c r="A107">
        <f t="shared" si="27"/>
        <v>105</v>
      </c>
      <c r="B107">
        <f>IF(G107="Bonds",COUNTIF($G$3:G107,"Bonds"),0)</f>
        <v>0</v>
      </c>
      <c r="C107" t="str">
        <f t="shared" si="31"/>
        <v>Cemig4095443511</v>
      </c>
      <c r="D107">
        <f t="shared" si="32"/>
        <v>8</v>
      </c>
      <c r="E107" s="9" t="s">
        <v>152</v>
      </c>
      <c r="F107" s="9" t="s">
        <v>141</v>
      </c>
      <c r="G107" s="9" t="s">
        <v>29</v>
      </c>
      <c r="H107">
        <f t="shared" si="22"/>
        <v>0</v>
      </c>
      <c r="I107" s="9" t="s">
        <v>158</v>
      </c>
      <c r="J107" s="1">
        <f t="shared" si="23"/>
        <v>17</v>
      </c>
      <c r="K107" s="2">
        <v>40954</v>
      </c>
      <c r="L107" s="2">
        <v>43511</v>
      </c>
      <c r="M107" s="10">
        <f t="shared" si="24"/>
        <v>7.0054794520547947</v>
      </c>
      <c r="N107" s="11">
        <f t="shared" si="25"/>
        <v>1</v>
      </c>
      <c r="O107" s="9" t="s">
        <v>47</v>
      </c>
      <c r="P107" t="str">
        <f t="shared" si="28"/>
        <v>0</v>
      </c>
      <c r="Q107" s="12">
        <v>200000</v>
      </c>
      <c r="R107" s="9">
        <v>1000</v>
      </c>
      <c r="S107" s="1" t="str">
        <f>IF($V107="USD",INDEX('Dólar Spot'!$B:$B,MATCH(Base!$K107,'Dólar Spot'!$A:$A,0)),"")</f>
        <v/>
      </c>
      <c r="T107" s="11">
        <f t="shared" si="33"/>
        <v>200000000</v>
      </c>
      <c r="U107" s="13">
        <f t="shared" si="26"/>
        <v>2</v>
      </c>
      <c r="V107" s="9" t="s">
        <v>32</v>
      </c>
      <c r="W107" s="9" t="s">
        <v>34</v>
      </c>
      <c r="X107">
        <f t="shared" si="29"/>
        <v>1</v>
      </c>
      <c r="Y107" s="1" t="str" cm="1">
        <f t="array" ref="Y107">INDEX(Ratings!$B$2:$M$42,_xlfn.XMATCH(Base!F107,Ratings!$A$2:$A$42),_xlfn.XMATCH(YEAR(Base!K107),Ratings!$B$1:$M$1))</f>
        <v>NR</v>
      </c>
      <c r="Z107">
        <f t="shared" si="30"/>
        <v>0</v>
      </c>
      <c r="AA107">
        <f>IFERROR(IFERROR(IFERROR(INDEX('EMBI+'!$B:$B,MATCH(Base!$K107,'EMBI+'!$A:$A,0)),INDEX('EMBI+'!$B:$B,MATCH(Base!$K107+1,'EMBI+'!$A:$A,0))),INDEX('EMBI+'!$B:$B,MATCH(Base!$K107+2,'EMBI+'!$A:$A,0))),INDEX('EMBI+'!$B:$B,MATCH(Base!$K107+3,'EMBI+'!$A:$A,0)))/100</f>
        <v>2.0499999999999998</v>
      </c>
      <c r="AB107" s="9">
        <v>123.74223000000001</v>
      </c>
      <c r="AC107" s="9">
        <v>154.21188000000001</v>
      </c>
      <c r="AD107" s="9"/>
      <c r="AE107" s="9"/>
      <c r="AF107" s="2"/>
      <c r="AG107" s="2"/>
    </row>
    <row r="108" spans="1:33" x14ac:dyDescent="0.35">
      <c r="A108">
        <f t="shared" si="27"/>
        <v>106</v>
      </c>
      <c r="B108">
        <f>IF(G108="Bonds",COUNTIF($G$3:G108,"Bonds"),0)</f>
        <v>0</v>
      </c>
      <c r="C108" t="str">
        <f t="shared" si="31"/>
        <v>Cemig4220044027</v>
      </c>
      <c r="D108">
        <f t="shared" si="32"/>
        <v>8</v>
      </c>
      <c r="E108" s="9" t="s">
        <v>152</v>
      </c>
      <c r="F108" s="9" t="s">
        <v>141</v>
      </c>
      <c r="G108" s="9" t="s">
        <v>29</v>
      </c>
      <c r="H108">
        <f t="shared" si="22"/>
        <v>0</v>
      </c>
      <c r="I108" s="9" t="s">
        <v>159</v>
      </c>
      <c r="J108" s="1">
        <f t="shared" si="23"/>
        <v>18</v>
      </c>
      <c r="K108" s="2">
        <v>42200</v>
      </c>
      <c r="L108" s="2">
        <v>44027</v>
      </c>
      <c r="M108" s="10">
        <f t="shared" si="24"/>
        <v>5.0054794520547947</v>
      </c>
      <c r="N108" s="11">
        <f t="shared" si="25"/>
        <v>1</v>
      </c>
      <c r="O108" s="9" t="s">
        <v>47</v>
      </c>
      <c r="P108" t="str">
        <f t="shared" si="28"/>
        <v>0</v>
      </c>
      <c r="Q108" s="12">
        <v>2725</v>
      </c>
      <c r="R108" s="9">
        <v>10000</v>
      </c>
      <c r="S108" s="1" t="str">
        <f>IF($V108="USD",INDEX('Dólar Spot'!$B:$B,MATCH(Base!$K108,'Dólar Spot'!$A:$A,0)),"")</f>
        <v/>
      </c>
      <c r="T108" s="11">
        <f t="shared" si="33"/>
        <v>27250000</v>
      </c>
      <c r="U108" s="13">
        <f t="shared" si="26"/>
        <v>0.27250000000000002</v>
      </c>
      <c r="V108" s="9" t="s">
        <v>32</v>
      </c>
      <c r="W108" s="9" t="s">
        <v>35</v>
      </c>
      <c r="X108">
        <f t="shared" si="29"/>
        <v>0</v>
      </c>
      <c r="Y108" s="1" t="str" cm="1">
        <f t="array" ref="Y108">INDEX(Ratings!$B$2:$M$42,_xlfn.XMATCH(Base!F108,Ratings!$A$2:$A$42),_xlfn.XMATCH(YEAR(Base!K108),Ratings!$B$1:$M$1))</f>
        <v>NR</v>
      </c>
      <c r="Z108">
        <f t="shared" si="30"/>
        <v>0</v>
      </c>
      <c r="AA108">
        <f>IFERROR(IFERROR(IFERROR(INDEX('EMBI+'!$B:$B,MATCH(Base!$K108,'EMBI+'!$A:$A,0)),INDEX('EMBI+'!$B:$B,MATCH(Base!$K108+1,'EMBI+'!$A:$A,0))),INDEX('EMBI+'!$B:$B,MATCH(Base!$K108+2,'EMBI+'!$A:$A,0))),INDEX('EMBI+'!$B:$B,MATCH(Base!$K108+3,'EMBI+'!$A:$A,0)))/100</f>
        <v>3.06</v>
      </c>
      <c r="AB108" s="9">
        <v>141.08432999999999</v>
      </c>
      <c r="AC108" s="9">
        <v>130.36974000000001</v>
      </c>
      <c r="AD108" s="9"/>
      <c r="AE108" s="9"/>
      <c r="AF108" s="2"/>
      <c r="AG108" s="2"/>
    </row>
    <row r="109" spans="1:33" x14ac:dyDescent="0.35">
      <c r="A109">
        <f t="shared" si="27"/>
        <v>107</v>
      </c>
      <c r="B109">
        <f>IF(G109="Bonds",COUNTIF($G$3:G109,"Bonds"),0)</f>
        <v>0</v>
      </c>
      <c r="C109" t="str">
        <f t="shared" si="31"/>
        <v>Cemig4095444607</v>
      </c>
      <c r="D109">
        <f t="shared" si="32"/>
        <v>8</v>
      </c>
      <c r="E109" s="9" t="s">
        <v>152</v>
      </c>
      <c r="F109" s="9" t="s">
        <v>141</v>
      </c>
      <c r="G109" s="9" t="s">
        <v>29</v>
      </c>
      <c r="H109">
        <f t="shared" si="22"/>
        <v>0</v>
      </c>
      <c r="I109" s="9" t="s">
        <v>160</v>
      </c>
      <c r="J109" s="1">
        <f t="shared" si="23"/>
        <v>19</v>
      </c>
      <c r="K109" s="2">
        <v>40954</v>
      </c>
      <c r="L109" s="2">
        <v>44607</v>
      </c>
      <c r="M109" s="10">
        <f t="shared" si="24"/>
        <v>10.008219178082191</v>
      </c>
      <c r="N109" s="11">
        <f t="shared" si="25"/>
        <v>1</v>
      </c>
      <c r="O109" s="9" t="s">
        <v>47</v>
      </c>
      <c r="P109" t="str">
        <f t="shared" si="28"/>
        <v>0</v>
      </c>
      <c r="Q109" s="12">
        <v>670000</v>
      </c>
      <c r="R109" s="9">
        <v>1000</v>
      </c>
      <c r="S109" s="1" t="str">
        <f>IF($V109="USD",INDEX('Dólar Spot'!$B:$B,MATCH(Base!$K109,'Dólar Spot'!$A:$A,0)),"")</f>
        <v/>
      </c>
      <c r="T109" s="11">
        <f t="shared" si="33"/>
        <v>670000000</v>
      </c>
      <c r="U109" s="13">
        <f t="shared" si="26"/>
        <v>6.7</v>
      </c>
      <c r="V109" s="9" t="s">
        <v>32</v>
      </c>
      <c r="W109" s="9" t="s">
        <v>34</v>
      </c>
      <c r="X109">
        <f t="shared" si="29"/>
        <v>1</v>
      </c>
      <c r="Y109" s="1" t="str" cm="1">
        <f t="array" ref="Y109">INDEX(Ratings!$B$2:$M$42,_xlfn.XMATCH(Base!F109,Ratings!$A$2:$A$42),_xlfn.XMATCH(YEAR(Base!K109),Ratings!$B$1:$M$1))</f>
        <v>NR</v>
      </c>
      <c r="Z109">
        <f t="shared" si="30"/>
        <v>0</v>
      </c>
      <c r="AA109">
        <f>IFERROR(IFERROR(IFERROR(INDEX('EMBI+'!$B:$B,MATCH(Base!$K109,'EMBI+'!$A:$A,0)),INDEX('EMBI+'!$B:$B,MATCH(Base!$K109+1,'EMBI+'!$A:$A,0))),INDEX('EMBI+'!$B:$B,MATCH(Base!$K109+2,'EMBI+'!$A:$A,0))),INDEX('EMBI+'!$B:$B,MATCH(Base!$K109+3,'EMBI+'!$A:$A,0)))/100</f>
        <v>2.0499999999999998</v>
      </c>
      <c r="AB109" s="9">
        <v>123.74223000000001</v>
      </c>
      <c r="AC109" s="9">
        <v>154.21188000000001</v>
      </c>
      <c r="AD109" s="9"/>
      <c r="AE109" s="9"/>
      <c r="AF109" s="2"/>
      <c r="AG109" s="2"/>
    </row>
    <row r="110" spans="1:33" x14ac:dyDescent="0.35">
      <c r="A110">
        <f t="shared" si="27"/>
        <v>108</v>
      </c>
      <c r="B110">
        <f>IF(G110="Bonds",COUNTIF($G$3:G110,"Bonds"),0)</f>
        <v>0</v>
      </c>
      <c r="C110" t="str">
        <f t="shared" si="31"/>
        <v>Cemig4491046736</v>
      </c>
      <c r="D110">
        <f t="shared" si="32"/>
        <v>8</v>
      </c>
      <c r="E110" s="9" t="s">
        <v>152</v>
      </c>
      <c r="F110" s="9" t="s">
        <v>141</v>
      </c>
      <c r="G110" s="9" t="s">
        <v>29</v>
      </c>
      <c r="H110">
        <f t="shared" si="22"/>
        <v>0</v>
      </c>
      <c r="I110" s="9"/>
      <c r="J110" s="1">
        <f t="shared" si="23"/>
        <v>20</v>
      </c>
      <c r="K110" s="2">
        <v>44910</v>
      </c>
      <c r="L110" s="2">
        <v>46736</v>
      </c>
      <c r="M110" s="10">
        <f t="shared" si="24"/>
        <v>5.0027397260273974</v>
      </c>
      <c r="N110" s="11">
        <f t="shared" si="25"/>
        <v>1</v>
      </c>
      <c r="O110" s="9" t="s">
        <v>47</v>
      </c>
      <c r="P110" t="str">
        <f t="shared" si="28"/>
        <v>0</v>
      </c>
      <c r="Q110" s="12">
        <v>700000</v>
      </c>
      <c r="R110" s="9">
        <v>1000</v>
      </c>
      <c r="S110" s="1" t="str">
        <f>IF($V110="USD",INDEX('Dólar Spot'!$B:$B,MATCH(Base!$K110,'Dólar Spot'!$A:$A,0)),"")</f>
        <v/>
      </c>
      <c r="T110" s="11">
        <f t="shared" si="33"/>
        <v>700000000</v>
      </c>
      <c r="U110" s="13">
        <f t="shared" si="26"/>
        <v>7</v>
      </c>
      <c r="V110" s="9" t="s">
        <v>44</v>
      </c>
      <c r="W110" s="9" t="s">
        <v>34</v>
      </c>
      <c r="X110">
        <f t="shared" si="29"/>
        <v>1</v>
      </c>
      <c r="Y110" s="1" t="str" cm="1">
        <f t="array" ref="Y110">INDEX(Ratings!$B$2:$M$42,_xlfn.XMATCH(Base!F110,Ratings!$A$2:$A$42),_xlfn.XMATCH(YEAR(Base!K110),Ratings!$B$1:$M$1))</f>
        <v>BB-</v>
      </c>
      <c r="Z110">
        <f t="shared" si="30"/>
        <v>0</v>
      </c>
      <c r="AA110">
        <f>IFERROR(IFERROR(IFERROR(INDEX('EMBI+'!$B:$B,MATCH(Base!$K110,'EMBI+'!$A:$A,0)),INDEX('EMBI+'!$B:$B,MATCH(Base!$K110+1,'EMBI+'!$A:$A,0))),INDEX('EMBI+'!$B:$B,MATCH(Base!$K110+2,'EMBI+'!$A:$A,0))),INDEX('EMBI+'!$B:$B,MATCH(Base!$K110+3,'EMBI+'!$A:$A,0)))/100</f>
        <v>2.67</v>
      </c>
      <c r="AB110" s="9">
        <v>217.77356</v>
      </c>
      <c r="AC110" s="9">
        <v>105.79498</v>
      </c>
      <c r="AD110" s="9"/>
      <c r="AE110" s="9"/>
      <c r="AF110" s="2"/>
      <c r="AG110" s="2"/>
    </row>
    <row r="111" spans="1:33" x14ac:dyDescent="0.35">
      <c r="A111">
        <f t="shared" si="27"/>
        <v>109</v>
      </c>
      <c r="B111">
        <f>IF(G111="Bonds",COUNTIF($G$3:G111,"Bonds"),0)</f>
        <v>0</v>
      </c>
      <c r="C111" t="str">
        <f t="shared" si="31"/>
        <v>Cemig4491047467</v>
      </c>
      <c r="D111">
        <f t="shared" si="32"/>
        <v>8</v>
      </c>
      <c r="E111" s="9" t="s">
        <v>152</v>
      </c>
      <c r="F111" s="9" t="s">
        <v>141</v>
      </c>
      <c r="G111" s="9" t="s">
        <v>29</v>
      </c>
      <c r="H111">
        <f t="shared" si="22"/>
        <v>0</v>
      </c>
      <c r="I111" s="9"/>
      <c r="J111" s="1">
        <f t="shared" si="23"/>
        <v>21</v>
      </c>
      <c r="K111" s="2">
        <v>44910</v>
      </c>
      <c r="L111" s="2">
        <v>47467</v>
      </c>
      <c r="M111" s="10">
        <f t="shared" si="24"/>
        <v>7.0054794520547947</v>
      </c>
      <c r="N111" s="11">
        <f t="shared" si="25"/>
        <v>1</v>
      </c>
      <c r="O111" s="9" t="s">
        <v>47</v>
      </c>
      <c r="P111" t="str">
        <f t="shared" si="28"/>
        <v>0</v>
      </c>
      <c r="Q111" s="12">
        <v>300000</v>
      </c>
      <c r="R111" s="9">
        <v>1000</v>
      </c>
      <c r="S111" s="1" t="str">
        <f>IF($V111="USD",INDEX('Dólar Spot'!$B:$B,MATCH(Base!$K111,'Dólar Spot'!$A:$A,0)),"")</f>
        <v/>
      </c>
      <c r="T111" s="11">
        <f t="shared" si="33"/>
        <v>300000000</v>
      </c>
      <c r="U111" s="13">
        <f t="shared" si="26"/>
        <v>3</v>
      </c>
      <c r="V111" s="9" t="s">
        <v>32</v>
      </c>
      <c r="W111" s="9" t="s">
        <v>35</v>
      </c>
      <c r="X111">
        <f t="shared" si="29"/>
        <v>0</v>
      </c>
      <c r="Y111" s="1" t="str" cm="1">
        <f t="array" ref="Y111">INDEX(Ratings!$B$2:$M$42,_xlfn.XMATCH(Base!F111,Ratings!$A$2:$A$42),_xlfn.XMATCH(YEAR(Base!K111),Ratings!$B$1:$M$1))</f>
        <v>BB-</v>
      </c>
      <c r="Z111">
        <f t="shared" si="30"/>
        <v>0</v>
      </c>
      <c r="AA111">
        <f>IFERROR(IFERROR(IFERROR(INDEX('EMBI+'!$B:$B,MATCH(Base!$K111,'EMBI+'!$A:$A,0)),INDEX('EMBI+'!$B:$B,MATCH(Base!$K111+1,'EMBI+'!$A:$A,0))),INDEX('EMBI+'!$B:$B,MATCH(Base!$K111+2,'EMBI+'!$A:$A,0))),INDEX('EMBI+'!$B:$B,MATCH(Base!$K111+3,'EMBI+'!$A:$A,0)))/100</f>
        <v>2.67</v>
      </c>
      <c r="AB111" s="9">
        <v>217.77356</v>
      </c>
      <c r="AC111" s="9">
        <v>105.79498</v>
      </c>
      <c r="AD111" s="9"/>
      <c r="AE111" s="9"/>
      <c r="AF111" s="2"/>
      <c r="AG111" s="2"/>
    </row>
    <row r="112" spans="1:33" x14ac:dyDescent="0.35">
      <c r="A112">
        <f t="shared" si="27"/>
        <v>110</v>
      </c>
      <c r="B112">
        <f>IF(G112="Bonds",COUNTIF($G$3:G112,"Bonds"),0)</f>
        <v>0</v>
      </c>
      <c r="C112" t="str">
        <f t="shared" si="31"/>
        <v>Cemig4284743577</v>
      </c>
      <c r="D112">
        <f t="shared" si="32"/>
        <v>8</v>
      </c>
      <c r="E112" s="9" t="s">
        <v>161</v>
      </c>
      <c r="F112" s="9" t="s">
        <v>141</v>
      </c>
      <c r="G112" s="9" t="s">
        <v>29</v>
      </c>
      <c r="H112">
        <f t="shared" si="22"/>
        <v>0</v>
      </c>
      <c r="I112" s="9" t="s">
        <v>162</v>
      </c>
      <c r="J112" s="1">
        <f t="shared" si="23"/>
        <v>22</v>
      </c>
      <c r="K112" s="2">
        <v>42847</v>
      </c>
      <c r="L112" s="2">
        <v>43577</v>
      </c>
      <c r="M112" s="10">
        <f t="shared" si="24"/>
        <v>2</v>
      </c>
      <c r="N112" s="11">
        <f t="shared" si="25"/>
        <v>0</v>
      </c>
      <c r="O112" s="9" t="s">
        <v>31</v>
      </c>
      <c r="P112" t="str">
        <f t="shared" si="28"/>
        <v>1</v>
      </c>
      <c r="Q112" s="12">
        <v>2700</v>
      </c>
      <c r="R112" s="9">
        <v>10000</v>
      </c>
      <c r="S112" s="1" t="str">
        <f>IF($V112="USD",INDEX('Dólar Spot'!$B:$B,MATCH(Base!$K112,'Dólar Spot'!$A:$A,0)),"")</f>
        <v/>
      </c>
      <c r="T112" s="11">
        <f t="shared" si="33"/>
        <v>27000000</v>
      </c>
      <c r="U112" s="13">
        <f t="shared" si="26"/>
        <v>0.27</v>
      </c>
      <c r="V112" s="9" t="s">
        <v>44</v>
      </c>
      <c r="W112" s="9" t="s">
        <v>35</v>
      </c>
      <c r="X112">
        <f t="shared" si="29"/>
        <v>0</v>
      </c>
      <c r="Y112" s="1" t="str" cm="1">
        <f t="array" ref="Y112">INDEX(Ratings!$B$2:$M$42,_xlfn.XMATCH(Base!F112,Ratings!$A$2:$A$42),_xlfn.XMATCH(YEAR(Base!K112),Ratings!$B$1:$M$1))</f>
        <v>B+</v>
      </c>
      <c r="Z112">
        <f t="shared" si="30"/>
        <v>0</v>
      </c>
      <c r="AA112">
        <f>IFERROR(IFERROR(IFERROR(INDEX('EMBI+'!$B:$B,MATCH(Base!$K112,'EMBI+'!$A:$A,0)),INDEX('EMBI+'!$B:$B,MATCH(Base!$K112+1,'EMBI+'!$A:$A,0))),INDEX('EMBI+'!$B:$B,MATCH(Base!$K112+2,'EMBI+'!$A:$A,0))),INDEX('EMBI+'!$B:$B,MATCH(Base!$K112+3,'EMBI+'!$A:$A,0)))/100</f>
        <v>2.63</v>
      </c>
      <c r="AB112" s="9">
        <v>132.88768999999999</v>
      </c>
      <c r="AC112" s="9">
        <v>147.27936</v>
      </c>
      <c r="AD112" s="9"/>
      <c r="AE112" s="9"/>
      <c r="AF112" s="2"/>
      <c r="AG112" s="2"/>
    </row>
    <row r="113" spans="1:33" x14ac:dyDescent="0.35">
      <c r="A113">
        <f t="shared" si="27"/>
        <v>111</v>
      </c>
      <c r="B113">
        <f>IF(G113="Bonds",COUNTIF($G$3:G113,"Bonds"),0)</f>
        <v>28</v>
      </c>
      <c r="C113" t="str">
        <f t="shared" si="31"/>
        <v>Cemig4307405/12/2024</v>
      </c>
      <c r="D113">
        <f t="shared" si="32"/>
        <v>8</v>
      </c>
      <c r="E113" s="9" t="s">
        <v>163</v>
      </c>
      <c r="F113" s="9" t="s">
        <v>141</v>
      </c>
      <c r="G113" s="9" t="s">
        <v>37</v>
      </c>
      <c r="H113">
        <f t="shared" si="22"/>
        <v>1</v>
      </c>
      <c r="I113" s="9"/>
      <c r="J113" s="1">
        <f t="shared" si="23"/>
        <v>23</v>
      </c>
      <c r="K113" s="2">
        <v>43074</v>
      </c>
      <c r="L113" s="2" t="s">
        <v>164</v>
      </c>
      <c r="M113" s="10">
        <f t="shared" si="24"/>
        <v>7.0054794520547947</v>
      </c>
      <c r="N113" s="11">
        <f t="shared" si="25"/>
        <v>1</v>
      </c>
      <c r="O113" s="9" t="s">
        <v>39</v>
      </c>
      <c r="P113" t="str">
        <f t="shared" si="28"/>
        <v>0</v>
      </c>
      <c r="Q113" s="9"/>
      <c r="R113" s="9"/>
      <c r="S113" s="1">
        <f>IF($V113="USD",INDEX('Dólar Spot'!$B:$B,MATCH(Base!$K113,'Dólar Spot'!$A:$A,0)),"")</f>
        <v>3.2315999999999998</v>
      </c>
      <c r="T113" s="12">
        <v>1000000000</v>
      </c>
      <c r="U113" s="13">
        <f t="shared" si="26"/>
        <v>32.316000000000003</v>
      </c>
      <c r="V113" s="9" t="s">
        <v>40</v>
      </c>
      <c r="W113" s="9" t="s">
        <v>34</v>
      </c>
      <c r="X113">
        <f t="shared" si="29"/>
        <v>1</v>
      </c>
      <c r="Y113" s="1" t="str" cm="1">
        <f t="array" ref="Y113">INDEX(Ratings!$B$2:$M$42,_xlfn.XMATCH(Base!F113,Ratings!$A$2:$A$42),_xlfn.XMATCH(YEAR(Base!K113),Ratings!$B$1:$M$1))</f>
        <v>B+</v>
      </c>
      <c r="Z113">
        <f t="shared" si="30"/>
        <v>0</v>
      </c>
      <c r="AA113">
        <f>IFERROR(IFERROR(IFERROR(INDEX('EMBI+'!$B:$B,MATCH(Base!$K113,'EMBI+'!$A:$A,0)),INDEX('EMBI+'!$B:$B,MATCH(Base!$K113+1,'EMBI+'!$A:$A,0))),INDEX('EMBI+'!$B:$B,MATCH(Base!$K113+2,'EMBI+'!$A:$A,0))),INDEX('EMBI+'!$B:$B,MATCH(Base!$K113+3,'EMBI+'!$A:$A,0)))/100</f>
        <v>2.36</v>
      </c>
      <c r="AB113" s="9">
        <v>143.25986</v>
      </c>
      <c r="AC113" s="9">
        <v>143.97696999999999</v>
      </c>
      <c r="AD113" s="9"/>
      <c r="AE113" s="9"/>
      <c r="AF113" s="2"/>
      <c r="AG113" s="2"/>
    </row>
    <row r="114" spans="1:33" x14ac:dyDescent="0.35">
      <c r="A114">
        <f t="shared" si="27"/>
        <v>112</v>
      </c>
      <c r="B114">
        <f>IF(G114="Bonds",COUNTIF($G$3:G114,"Bonds"),0)</f>
        <v>29</v>
      </c>
      <c r="C114" t="str">
        <f t="shared" si="31"/>
        <v>Cemig4329905/12/2024</v>
      </c>
      <c r="D114">
        <f t="shared" si="32"/>
        <v>8</v>
      </c>
      <c r="E114" s="9" t="s">
        <v>163</v>
      </c>
      <c r="F114" s="9" t="s">
        <v>141</v>
      </c>
      <c r="G114" s="9" t="s">
        <v>37</v>
      </c>
      <c r="H114">
        <f t="shared" si="22"/>
        <v>1</v>
      </c>
      <c r="I114" s="9"/>
      <c r="J114" s="1">
        <f t="shared" si="23"/>
        <v>24</v>
      </c>
      <c r="K114" s="2">
        <v>43299</v>
      </c>
      <c r="L114" s="2" t="s">
        <v>164</v>
      </c>
      <c r="M114" s="10">
        <f t="shared" si="24"/>
        <v>6.3890410958904109</v>
      </c>
      <c r="N114" s="11">
        <f t="shared" si="25"/>
        <v>1</v>
      </c>
      <c r="O114" s="9" t="s">
        <v>39</v>
      </c>
      <c r="P114" t="str">
        <f t="shared" si="28"/>
        <v>0</v>
      </c>
      <c r="Q114" s="9"/>
      <c r="R114" s="9"/>
      <c r="S114" s="1">
        <f>IF($V114="USD",INDEX('Dólar Spot'!$B:$B,MATCH(Base!$K114,'Dólar Spot'!$A:$A,0)),"")</f>
        <v>3.8468</v>
      </c>
      <c r="T114" s="12">
        <v>500000000</v>
      </c>
      <c r="U114" s="13">
        <f t="shared" si="26"/>
        <v>19.234000000000002</v>
      </c>
      <c r="V114" s="9" t="s">
        <v>40</v>
      </c>
      <c r="W114" s="9" t="s">
        <v>34</v>
      </c>
      <c r="X114">
        <f t="shared" si="29"/>
        <v>1</v>
      </c>
      <c r="Y114" s="1" t="str" cm="1">
        <f t="array" ref="Y114">INDEX(Ratings!$B$2:$M$42,_xlfn.XMATCH(Base!F114,Ratings!$A$2:$A$42),_xlfn.XMATCH(YEAR(Base!K114),Ratings!$B$1:$M$1))</f>
        <v>B</v>
      </c>
      <c r="Z114">
        <f t="shared" si="30"/>
        <v>0</v>
      </c>
      <c r="AA114">
        <f>IFERROR(IFERROR(IFERROR(INDEX('EMBI+'!$B:$B,MATCH(Base!$K114,'EMBI+'!$A:$A,0)),INDEX('EMBI+'!$B:$B,MATCH(Base!$K114+1,'EMBI+'!$A:$A,0))),INDEX('EMBI+'!$B:$B,MATCH(Base!$K114+2,'EMBI+'!$A:$A,0))),INDEX('EMBI+'!$B:$B,MATCH(Base!$K114+3,'EMBI+'!$A:$A,0)))/100</f>
        <v>2.92</v>
      </c>
      <c r="AB114" s="9">
        <v>147.24206000000001</v>
      </c>
      <c r="AC114" s="9">
        <v>146.04053999999999</v>
      </c>
      <c r="AD114" s="9"/>
      <c r="AE114" s="9"/>
      <c r="AF114" s="2"/>
      <c r="AG114" s="2"/>
    </row>
    <row r="115" spans="1:33" x14ac:dyDescent="0.35">
      <c r="A115">
        <f t="shared" si="27"/>
        <v>113</v>
      </c>
      <c r="B115">
        <f>IF(G115="Bonds",COUNTIF($G$3:G115,"Bonds"),0)</f>
        <v>0</v>
      </c>
      <c r="C115" t="str">
        <f t="shared" si="31"/>
        <v>Cia Brasileira de Alumínio4454547284</v>
      </c>
      <c r="D115">
        <f t="shared" si="32"/>
        <v>9</v>
      </c>
      <c r="E115" s="9" t="s">
        <v>165</v>
      </c>
      <c r="F115" s="9" t="s">
        <v>166</v>
      </c>
      <c r="G115" s="9" t="s">
        <v>29</v>
      </c>
      <c r="H115">
        <f t="shared" si="22"/>
        <v>0</v>
      </c>
      <c r="I115" s="9" t="s">
        <v>167</v>
      </c>
      <c r="J115" s="1">
        <f t="shared" si="23"/>
        <v>1</v>
      </c>
      <c r="K115" s="2">
        <v>44545</v>
      </c>
      <c r="L115" s="2">
        <v>47284</v>
      </c>
      <c r="M115" s="10">
        <f t="shared" si="24"/>
        <v>7.5041095890410956</v>
      </c>
      <c r="N115" s="11">
        <f t="shared" si="25"/>
        <v>1</v>
      </c>
      <c r="O115" s="9" t="s">
        <v>47</v>
      </c>
      <c r="P115" t="str">
        <f t="shared" si="28"/>
        <v>0</v>
      </c>
      <c r="Q115" s="12">
        <v>230000</v>
      </c>
      <c r="R115" s="9">
        <v>1000</v>
      </c>
      <c r="S115" s="1" t="str">
        <f>IF($V115="USD",INDEX('Dólar Spot'!$B:$B,MATCH(Base!$K115,'Dólar Spot'!$A:$A,0)),"")</f>
        <v/>
      </c>
      <c r="T115" s="11">
        <f>Q115*R115</f>
        <v>230000000</v>
      </c>
      <c r="U115" s="13">
        <f t="shared" si="26"/>
        <v>2.2999999999999998</v>
      </c>
      <c r="V115" s="9" t="s">
        <v>44</v>
      </c>
      <c r="W115" s="9" t="s">
        <v>34</v>
      </c>
      <c r="X115">
        <f t="shared" si="29"/>
        <v>1</v>
      </c>
      <c r="Y115" s="1" t="str" cm="1">
        <f t="array" ref="Y115">INDEX(Ratings!$B$2:$M$42,_xlfn.XMATCH(Base!F115,Ratings!$A$2:$A$42),_xlfn.XMATCH(YEAR(Base!K115),Ratings!$B$1:$M$1))</f>
        <v>NR</v>
      </c>
      <c r="Z115">
        <f t="shared" si="30"/>
        <v>0</v>
      </c>
      <c r="AA115">
        <f>IFERROR(IFERROR(IFERROR(INDEX('EMBI+'!$B:$B,MATCH(Base!$K115,'EMBI+'!$A:$A,0)),INDEX('EMBI+'!$B:$B,MATCH(Base!$K115+1,'EMBI+'!$A:$A,0))),INDEX('EMBI+'!$B:$B,MATCH(Base!$K115+2,'EMBI+'!$A:$A,0))),INDEX('EMBI+'!$B:$B,MATCH(Base!$K115+3,'EMBI+'!$A:$A,0)))/100</f>
        <v>3.39</v>
      </c>
      <c r="AB115" s="9">
        <v>45.007989999999999</v>
      </c>
      <c r="AC115" s="9">
        <v>31.507539999999999</v>
      </c>
      <c r="AD115" s="9"/>
      <c r="AE115" s="9"/>
      <c r="AF115" s="2"/>
      <c r="AG115" s="2"/>
    </row>
    <row r="116" spans="1:33" x14ac:dyDescent="0.35">
      <c r="A116">
        <f t="shared" si="27"/>
        <v>114</v>
      </c>
      <c r="B116">
        <f>IF(G116="Bonds",COUNTIF($G$3:G116,"Bonds"),0)</f>
        <v>30</v>
      </c>
      <c r="C116" t="str">
        <f t="shared" si="31"/>
        <v>Cia Brasileira de Alumínio4180717/06/2024</v>
      </c>
      <c r="D116">
        <f t="shared" si="32"/>
        <v>9</v>
      </c>
      <c r="E116" s="9" t="s">
        <v>168</v>
      </c>
      <c r="F116" s="9" t="s">
        <v>166</v>
      </c>
      <c r="G116" s="9" t="s">
        <v>37</v>
      </c>
      <c r="H116">
        <f t="shared" si="22"/>
        <v>1</v>
      </c>
      <c r="I116" s="9"/>
      <c r="J116" s="1">
        <f t="shared" si="23"/>
        <v>2</v>
      </c>
      <c r="K116" s="2">
        <v>41807</v>
      </c>
      <c r="L116" s="2" t="s">
        <v>169</v>
      </c>
      <c r="M116" s="10">
        <f t="shared" si="24"/>
        <v>10.008219178082191</v>
      </c>
      <c r="N116" s="11">
        <f t="shared" si="25"/>
        <v>1</v>
      </c>
      <c r="O116" s="9" t="s">
        <v>39</v>
      </c>
      <c r="P116" t="str">
        <f t="shared" si="28"/>
        <v>0</v>
      </c>
      <c r="Q116" s="9"/>
      <c r="R116" s="9"/>
      <c r="S116" s="1">
        <f>IF($V116="USD",INDEX('Dólar Spot'!$B:$B,MATCH(Base!$K116,'Dólar Spot'!$A:$A,0)),"")</f>
        <v>2.2480000000000002</v>
      </c>
      <c r="T116" s="12">
        <v>400000000</v>
      </c>
      <c r="U116" s="13">
        <f t="shared" si="26"/>
        <v>8.9920000000000009</v>
      </c>
      <c r="V116" s="9" t="s">
        <v>40</v>
      </c>
      <c r="W116" s="9" t="s">
        <v>35</v>
      </c>
      <c r="X116">
        <f t="shared" si="29"/>
        <v>0</v>
      </c>
      <c r="Y116" s="1" t="str" cm="1">
        <f t="array" ref="Y116">INDEX(Ratings!$B$2:$M$42,_xlfn.XMATCH(Base!F116,Ratings!$A$2:$A$42),_xlfn.XMATCH(YEAR(Base!K116),Ratings!$B$1:$M$1))</f>
        <v>BBB</v>
      </c>
      <c r="Z116">
        <f t="shared" si="30"/>
        <v>1</v>
      </c>
      <c r="AA116">
        <f>IFERROR(IFERROR(IFERROR(INDEX('EMBI+'!$B:$B,MATCH(Base!$K116,'EMBI+'!$A:$A,0)),INDEX('EMBI+'!$B:$B,MATCH(Base!$K116+1,'EMBI+'!$A:$A,0))),INDEX('EMBI+'!$B:$B,MATCH(Base!$K116+2,'EMBI+'!$A:$A,0))),INDEX('EMBI+'!$B:$B,MATCH(Base!$K116+3,'EMBI+'!$A:$A,0)))/100</f>
        <v>2.0699999999999998</v>
      </c>
      <c r="AB116" s="9">
        <v>55.47616</v>
      </c>
      <c r="AC116" s="9">
        <f>2.28616+25.88869</f>
        <v>28.174849999999999</v>
      </c>
      <c r="AD116" s="9"/>
      <c r="AE116" s="9"/>
      <c r="AF116" s="2"/>
      <c r="AG116" s="2"/>
    </row>
    <row r="117" spans="1:33" x14ac:dyDescent="0.35">
      <c r="A117">
        <f t="shared" si="27"/>
        <v>115</v>
      </c>
      <c r="B117">
        <f>IF(G117="Bonds",COUNTIF($G$3:G117,"Bonds"),0)</f>
        <v>0</v>
      </c>
      <c r="C117" t="str">
        <f t="shared" si="31"/>
        <v>Cielo4210743203</v>
      </c>
      <c r="D117">
        <f t="shared" si="32"/>
        <v>10</v>
      </c>
      <c r="E117" s="9" t="s">
        <v>170</v>
      </c>
      <c r="F117" s="9" t="s">
        <v>171</v>
      </c>
      <c r="G117" s="9" t="s">
        <v>29</v>
      </c>
      <c r="H117">
        <f t="shared" si="22"/>
        <v>0</v>
      </c>
      <c r="I117" s="9" t="s">
        <v>172</v>
      </c>
      <c r="J117" s="1">
        <f t="shared" si="23"/>
        <v>1</v>
      </c>
      <c r="K117" s="2">
        <v>42107</v>
      </c>
      <c r="L117" s="2">
        <v>43203</v>
      </c>
      <c r="M117" s="10">
        <f t="shared" si="24"/>
        <v>3.0027397260273974</v>
      </c>
      <c r="N117" s="11">
        <f t="shared" si="25"/>
        <v>0</v>
      </c>
      <c r="O117" s="9" t="s">
        <v>47</v>
      </c>
      <c r="P117" t="str">
        <f t="shared" si="28"/>
        <v>0</v>
      </c>
      <c r="Q117" s="12">
        <v>460000</v>
      </c>
      <c r="R117" s="9">
        <v>10000</v>
      </c>
      <c r="S117" s="1" t="str">
        <f>IF($V117="USD",INDEX('Dólar Spot'!$B:$B,MATCH(Base!$K117,'Dólar Spot'!$A:$A,0)),"")</f>
        <v/>
      </c>
      <c r="T117" s="11">
        <f>Q117*R117</f>
        <v>4600000000</v>
      </c>
      <c r="U117" s="13">
        <f t="shared" si="26"/>
        <v>46</v>
      </c>
      <c r="V117" s="9" t="s">
        <v>44</v>
      </c>
      <c r="W117" s="9" t="s">
        <v>34</v>
      </c>
      <c r="X117">
        <f t="shared" si="29"/>
        <v>1</v>
      </c>
      <c r="Y117" s="1" t="str" cm="1">
        <f t="array" ref="Y117">INDEX(Ratings!$B$2:$M$42,_xlfn.XMATCH(Base!F117,Ratings!$A$2:$A$42),_xlfn.XMATCH(YEAR(Base!K117),Ratings!$B$1:$M$1))</f>
        <v>BBB+</v>
      </c>
      <c r="Z117">
        <f t="shared" si="30"/>
        <v>1</v>
      </c>
      <c r="AA117">
        <f>IFERROR(IFERROR(IFERROR(INDEX('EMBI+'!$B:$B,MATCH(Base!$K117,'EMBI+'!$A:$A,0)),INDEX('EMBI+'!$B:$B,MATCH(Base!$K117+1,'EMBI+'!$A:$A,0))),INDEX('EMBI+'!$B:$B,MATCH(Base!$K117+2,'EMBI+'!$A:$A,0))),INDEX('EMBI+'!$B:$B,MATCH(Base!$K117+3,'EMBI+'!$A:$A,0)))/100</f>
        <v>2.91</v>
      </c>
      <c r="AB117" s="9">
        <v>48.94415</v>
      </c>
      <c r="AC117" s="9">
        <v>113.96051</v>
      </c>
      <c r="AD117" s="9"/>
      <c r="AE117" s="9"/>
      <c r="AF117" s="2"/>
      <c r="AG117" s="2"/>
    </row>
    <row r="118" spans="1:33" x14ac:dyDescent="0.35">
      <c r="A118">
        <f t="shared" si="27"/>
        <v>116</v>
      </c>
      <c r="B118">
        <f>IF(G118="Bonds",COUNTIF($G$3:G118,"Bonds"),0)</f>
        <v>0</v>
      </c>
      <c r="C118" t="str">
        <f t="shared" si="31"/>
        <v>Cielo4363444412</v>
      </c>
      <c r="D118">
        <f t="shared" si="32"/>
        <v>10</v>
      </c>
      <c r="E118" s="9" t="s">
        <v>170</v>
      </c>
      <c r="F118" s="9" t="s">
        <v>171</v>
      </c>
      <c r="G118" s="9" t="s">
        <v>29</v>
      </c>
      <c r="H118">
        <f t="shared" si="22"/>
        <v>0</v>
      </c>
      <c r="I118" s="9" t="s">
        <v>173</v>
      </c>
      <c r="J118" s="1">
        <f t="shared" si="23"/>
        <v>2</v>
      </c>
      <c r="K118" s="2">
        <v>43634</v>
      </c>
      <c r="L118" s="2">
        <v>44412</v>
      </c>
      <c r="M118" s="10">
        <f t="shared" si="24"/>
        <v>2.1315068493150684</v>
      </c>
      <c r="N118" s="11">
        <f t="shared" si="25"/>
        <v>0</v>
      </c>
      <c r="O118" s="9" t="s">
        <v>47</v>
      </c>
      <c r="P118" t="str">
        <f t="shared" si="28"/>
        <v>0</v>
      </c>
      <c r="Q118" s="12">
        <v>3000000</v>
      </c>
      <c r="R118" s="9">
        <v>1000</v>
      </c>
      <c r="S118" s="1" t="str">
        <f>IF($V118="USD",INDEX('Dólar Spot'!$B:$B,MATCH(Base!$K118,'Dólar Spot'!$A:$A,0)),"")</f>
        <v/>
      </c>
      <c r="T118" s="11">
        <f>Q118*R118</f>
        <v>3000000000</v>
      </c>
      <c r="U118" s="13">
        <f t="shared" si="26"/>
        <v>30</v>
      </c>
      <c r="V118" s="9" t="s">
        <v>44</v>
      </c>
      <c r="W118" s="9" t="s">
        <v>34</v>
      </c>
      <c r="X118">
        <f t="shared" si="29"/>
        <v>1</v>
      </c>
      <c r="Y118" s="1" t="str" cm="1">
        <f t="array" ref="Y118">INDEX(Ratings!$B$2:$M$42,_xlfn.XMATCH(Base!F118,Ratings!$A$2:$A$42),_xlfn.XMATCH(YEAR(Base!K118),Ratings!$B$1:$M$1))</f>
        <v>BB+</v>
      </c>
      <c r="Z118">
        <f t="shared" si="30"/>
        <v>0</v>
      </c>
      <c r="AA118">
        <f>IFERROR(IFERROR(IFERROR(INDEX('EMBI+'!$B:$B,MATCH(Base!$K118,'EMBI+'!$A:$A,0)),INDEX('EMBI+'!$B:$B,MATCH(Base!$K118+1,'EMBI+'!$A:$A,0))),INDEX('EMBI+'!$B:$B,MATCH(Base!$K118+2,'EMBI+'!$A:$A,0))),INDEX('EMBI+'!$B:$B,MATCH(Base!$K118+3,'EMBI+'!$A:$A,0)))/100</f>
        <v>2.4700000000000002</v>
      </c>
      <c r="AB118" s="9">
        <v>127.91132</v>
      </c>
      <c r="AC118" s="9">
        <f>23.72939+82.26033</f>
        <v>105.98971999999999</v>
      </c>
      <c r="AD118" s="9"/>
      <c r="AE118" s="9"/>
      <c r="AF118" s="2"/>
      <c r="AG118" s="2"/>
    </row>
    <row r="119" spans="1:33" x14ac:dyDescent="0.35">
      <c r="A119">
        <f t="shared" si="27"/>
        <v>117</v>
      </c>
      <c r="B119">
        <f>IF(G119="Bonds",COUNTIF($G$3:G119,"Bonds"),0)</f>
        <v>0</v>
      </c>
      <c r="C119" t="str">
        <f t="shared" si="31"/>
        <v>Cielo4482445920</v>
      </c>
      <c r="D119">
        <f t="shared" si="32"/>
        <v>10</v>
      </c>
      <c r="E119" s="9" t="s">
        <v>170</v>
      </c>
      <c r="F119" s="9" t="s">
        <v>171</v>
      </c>
      <c r="G119" s="9" t="s">
        <v>29</v>
      </c>
      <c r="H119">
        <f t="shared" si="22"/>
        <v>0</v>
      </c>
      <c r="I119" s="9"/>
      <c r="J119" s="1">
        <f t="shared" si="23"/>
        <v>3</v>
      </c>
      <c r="K119" s="2">
        <v>44824</v>
      </c>
      <c r="L119" s="2">
        <v>45920</v>
      </c>
      <c r="M119" s="10">
        <f t="shared" si="24"/>
        <v>3.0027397260273974</v>
      </c>
      <c r="N119" s="11">
        <f t="shared" si="25"/>
        <v>0</v>
      </c>
      <c r="O119" s="9" t="s">
        <v>47</v>
      </c>
      <c r="P119" t="str">
        <f t="shared" si="28"/>
        <v>0</v>
      </c>
      <c r="Q119" s="12">
        <v>3000000</v>
      </c>
      <c r="R119" s="9">
        <v>1000</v>
      </c>
      <c r="S119" s="1" t="str">
        <f>IF($V119="USD",INDEX('Dólar Spot'!$B:$B,MATCH(Base!$K119,'Dólar Spot'!$A:$A,0)),"")</f>
        <v/>
      </c>
      <c r="T119" s="11">
        <f t="shared" ref="T119" si="34">Q119*R119</f>
        <v>3000000000</v>
      </c>
      <c r="U119" s="13">
        <f t="shared" si="26"/>
        <v>30</v>
      </c>
      <c r="V119" s="9" t="s">
        <v>44</v>
      </c>
      <c r="W119" s="9" t="s">
        <v>34</v>
      </c>
      <c r="X119">
        <f t="shared" si="29"/>
        <v>1</v>
      </c>
      <c r="Y119" s="1" t="str" cm="1">
        <f t="array" ref="Y119">INDEX(Ratings!$B$2:$M$42,_xlfn.XMATCH(Base!F119,Ratings!$A$2:$A$42),_xlfn.XMATCH(YEAR(Base!K119),Ratings!$B$1:$M$1))</f>
        <v>BB</v>
      </c>
      <c r="Z119">
        <f t="shared" si="30"/>
        <v>0</v>
      </c>
      <c r="AA119">
        <f>IFERROR(IFERROR(IFERROR(INDEX('EMBI+'!$B:$B,MATCH(Base!$K119,'EMBI+'!$A:$A,0)),INDEX('EMBI+'!$B:$B,MATCH(Base!$K119+1,'EMBI+'!$A:$A,0))),INDEX('EMBI+'!$B:$B,MATCH(Base!$K119+2,'EMBI+'!$A:$A,0))),INDEX('EMBI+'!$B:$B,MATCH(Base!$K119+3,'EMBI+'!$A:$A,0)))/100</f>
        <v>2.7</v>
      </c>
      <c r="AB119" s="9">
        <v>108.54682</v>
      </c>
      <c r="AC119" s="9">
        <v>65.753569999999996</v>
      </c>
      <c r="AD119" s="9"/>
      <c r="AE119" s="9"/>
      <c r="AF119" s="2"/>
      <c r="AG119" s="2"/>
    </row>
    <row r="120" spans="1:33" x14ac:dyDescent="0.35">
      <c r="A120">
        <f t="shared" si="27"/>
        <v>118</v>
      </c>
      <c r="B120">
        <f>IF(G120="Bonds",COUNTIF($G$3:G120,"Bonds"),0)</f>
        <v>31</v>
      </c>
      <c r="C120" t="str">
        <f t="shared" si="31"/>
        <v>Cielo4122916/11/2022</v>
      </c>
      <c r="D120">
        <f t="shared" si="32"/>
        <v>10</v>
      </c>
      <c r="E120" s="9" t="s">
        <v>174</v>
      </c>
      <c r="F120" s="9" t="s">
        <v>171</v>
      </c>
      <c r="G120" s="9" t="s">
        <v>37</v>
      </c>
      <c r="H120">
        <f t="shared" si="22"/>
        <v>1</v>
      </c>
      <c r="I120" s="9"/>
      <c r="J120" s="1">
        <f t="shared" si="23"/>
        <v>4</v>
      </c>
      <c r="K120" s="2">
        <v>41229</v>
      </c>
      <c r="L120" s="2" t="s">
        <v>175</v>
      </c>
      <c r="M120" s="10">
        <f t="shared" si="24"/>
        <v>10.005479452054795</v>
      </c>
      <c r="N120" s="11">
        <f t="shared" si="25"/>
        <v>1</v>
      </c>
      <c r="O120" s="9" t="s">
        <v>33</v>
      </c>
      <c r="P120" t="str">
        <f t="shared" si="28"/>
        <v>0</v>
      </c>
      <c r="Q120" s="9"/>
      <c r="R120" s="9"/>
      <c r="S120" s="1">
        <f>IF($V120="USD",INDEX('Dólar Spot'!$B:$B,MATCH(Base!$K120,'Dólar Spot'!$A:$A,0)),"")</f>
        <v>2.0706000000000002</v>
      </c>
      <c r="T120" s="12">
        <v>470000000</v>
      </c>
      <c r="U120" s="13">
        <f t="shared" si="26"/>
        <v>9.7318200000000008</v>
      </c>
      <c r="V120" s="9" t="s">
        <v>40</v>
      </c>
      <c r="W120" s="9" t="s">
        <v>35</v>
      </c>
      <c r="X120">
        <f t="shared" si="29"/>
        <v>0</v>
      </c>
      <c r="Y120" s="1" t="str" cm="1">
        <f t="array" ref="Y120">INDEX(Ratings!$B$2:$M$42,_xlfn.XMATCH(Base!F120,Ratings!$A$2:$A$42),_xlfn.XMATCH(YEAR(Base!K120),Ratings!$B$1:$M$1))</f>
        <v>BBB+</v>
      </c>
      <c r="Z120">
        <f t="shared" si="30"/>
        <v>1</v>
      </c>
      <c r="AA120">
        <f>IFERROR(IFERROR(IFERROR(INDEX('EMBI+'!$B:$B,MATCH(Base!$K120,'EMBI+'!$A:$A,0)),INDEX('EMBI+'!$B:$B,MATCH(Base!$K120+1,'EMBI+'!$A:$A,0))),INDEX('EMBI+'!$B:$B,MATCH(Base!$K120+2,'EMBI+'!$A:$A,0))),INDEX('EMBI+'!$B:$B,MATCH(Base!$K120+3,'EMBI+'!$A:$A,0)))/100</f>
        <v>1.65</v>
      </c>
      <c r="AB120" s="9">
        <v>22.771730000000002</v>
      </c>
      <c r="AC120" s="9">
        <v>21.141380000000002</v>
      </c>
      <c r="AD120" s="9"/>
      <c r="AE120" s="9"/>
      <c r="AF120" s="2"/>
      <c r="AG120" s="2"/>
    </row>
    <row r="121" spans="1:33" x14ac:dyDescent="0.35">
      <c r="A121">
        <f t="shared" si="27"/>
        <v>119</v>
      </c>
      <c r="B121">
        <f>IF(G121="Bonds",COUNTIF($G$3:G121,"Bonds"),0)</f>
        <v>32</v>
      </c>
      <c r="C121" t="str">
        <f t="shared" si="31"/>
        <v>Cielo4122916/11/2022</v>
      </c>
      <c r="D121">
        <f t="shared" si="32"/>
        <v>10</v>
      </c>
      <c r="E121" s="9" t="s">
        <v>176</v>
      </c>
      <c r="F121" s="9" t="s">
        <v>171</v>
      </c>
      <c r="G121" s="9" t="s">
        <v>37</v>
      </c>
      <c r="H121">
        <f t="shared" si="22"/>
        <v>1</v>
      </c>
      <c r="I121" s="9"/>
      <c r="J121" s="1">
        <f t="shared" si="23"/>
        <v>5</v>
      </c>
      <c r="K121" s="2">
        <v>41229</v>
      </c>
      <c r="L121" s="2" t="s">
        <v>175</v>
      </c>
      <c r="M121" s="10">
        <f t="shared" si="24"/>
        <v>10.005479452054795</v>
      </c>
      <c r="N121" s="11">
        <f t="shared" si="25"/>
        <v>1</v>
      </c>
      <c r="O121" s="9" t="s">
        <v>39</v>
      </c>
      <c r="P121" t="str">
        <f t="shared" si="28"/>
        <v>0</v>
      </c>
      <c r="Q121" s="9"/>
      <c r="R121" s="9"/>
      <c r="S121" s="1">
        <f>IF($V121="USD",INDEX('Dólar Spot'!$B:$B,MATCH(Base!$K121,'Dólar Spot'!$A:$A,0)),"")</f>
        <v>2.0706000000000002</v>
      </c>
      <c r="T121" s="12">
        <v>405000000</v>
      </c>
      <c r="U121" s="13">
        <f t="shared" si="26"/>
        <v>8.3859300000000019</v>
      </c>
      <c r="V121" s="9" t="s">
        <v>40</v>
      </c>
      <c r="W121" s="9" t="s">
        <v>35</v>
      </c>
      <c r="X121">
        <f t="shared" si="29"/>
        <v>0</v>
      </c>
      <c r="Y121" s="1" t="str" cm="1">
        <f t="array" ref="Y121">INDEX(Ratings!$B$2:$M$42,_xlfn.XMATCH(Base!F121,Ratings!$A$2:$A$42),_xlfn.XMATCH(YEAR(Base!K121),Ratings!$B$1:$M$1))</f>
        <v>BBB+</v>
      </c>
      <c r="Z121">
        <f t="shared" si="30"/>
        <v>1</v>
      </c>
      <c r="AA121">
        <f>IFERROR(IFERROR(IFERROR(INDEX('EMBI+'!$B:$B,MATCH(Base!$K121,'EMBI+'!$A:$A,0)),INDEX('EMBI+'!$B:$B,MATCH(Base!$K121+1,'EMBI+'!$A:$A,0))),INDEX('EMBI+'!$B:$B,MATCH(Base!$K121+2,'EMBI+'!$A:$A,0))),INDEX('EMBI+'!$B:$B,MATCH(Base!$K121+3,'EMBI+'!$A:$A,0)))/100</f>
        <v>1.65</v>
      </c>
      <c r="AB121" s="9">
        <v>22.771730000000002</v>
      </c>
      <c r="AC121" s="9">
        <v>21.141380000000002</v>
      </c>
      <c r="AD121" s="9"/>
      <c r="AE121" s="9"/>
      <c r="AF121" s="2"/>
      <c r="AG121" s="2"/>
    </row>
    <row r="122" spans="1:33" x14ac:dyDescent="0.35">
      <c r="A122">
        <f t="shared" si="27"/>
        <v>120</v>
      </c>
      <c r="B122">
        <f>IF(G122="Bonds",COUNTIF($G$3:G122,"Bonds"),0)</f>
        <v>0</v>
      </c>
      <c r="C122" t="str">
        <f t="shared" si="31"/>
        <v>Cosan4118343374</v>
      </c>
      <c r="D122">
        <f t="shared" si="32"/>
        <v>11</v>
      </c>
      <c r="E122" s="9" t="s">
        <v>177</v>
      </c>
      <c r="F122" s="9" t="s">
        <v>178</v>
      </c>
      <c r="G122" s="9" t="s">
        <v>29</v>
      </c>
      <c r="H122">
        <f t="shared" si="22"/>
        <v>0</v>
      </c>
      <c r="I122" s="9" t="s">
        <v>179</v>
      </c>
      <c r="J122" s="1">
        <f t="shared" si="23"/>
        <v>1</v>
      </c>
      <c r="K122" s="2">
        <v>41183</v>
      </c>
      <c r="L122" s="2">
        <v>43374</v>
      </c>
      <c r="M122" s="10">
        <f t="shared" si="24"/>
        <v>6.0027397260273974</v>
      </c>
      <c r="N122" s="11">
        <f t="shared" si="25"/>
        <v>1</v>
      </c>
      <c r="O122" s="9" t="s">
        <v>47</v>
      </c>
      <c r="P122" t="str">
        <f t="shared" si="28"/>
        <v>0</v>
      </c>
      <c r="Q122" s="12">
        <v>1900</v>
      </c>
      <c r="R122" s="9">
        <v>1000000</v>
      </c>
      <c r="S122" s="1" t="str">
        <f>IF($V122="USD",INDEX('Dólar Spot'!$B:$B,MATCH(Base!$K122,'Dólar Spot'!$A:$A,0)),"")</f>
        <v/>
      </c>
      <c r="T122" s="11">
        <f t="shared" ref="T122:T130" si="35">Q122*R122</f>
        <v>1900000000</v>
      </c>
      <c r="U122" s="13">
        <f t="shared" si="26"/>
        <v>19</v>
      </c>
      <c r="V122" s="9" t="s">
        <v>44</v>
      </c>
      <c r="W122" s="9" t="s">
        <v>34</v>
      </c>
      <c r="X122">
        <f t="shared" si="29"/>
        <v>1</v>
      </c>
      <c r="Y122" s="1" t="str" cm="1">
        <f t="array" ref="Y122">INDEX(Ratings!$B$2:$M$42,_xlfn.XMATCH(Base!F122,Ratings!$A$2:$A$42),_xlfn.XMATCH(YEAR(Base!K122),Ratings!$B$1:$M$1))</f>
        <v>BB+</v>
      </c>
      <c r="Z122">
        <f t="shared" si="30"/>
        <v>0</v>
      </c>
      <c r="AA122">
        <f>IFERROR(IFERROR(IFERROR(INDEX('EMBI+'!$B:$B,MATCH(Base!$K122,'EMBI+'!$A:$A,0)),INDEX('EMBI+'!$B:$B,MATCH(Base!$K122+1,'EMBI+'!$A:$A,0))),INDEX('EMBI+'!$B:$B,MATCH(Base!$K122+2,'EMBI+'!$A:$A,0))),INDEX('EMBI+'!$B:$B,MATCH(Base!$K122+3,'EMBI+'!$A:$A,0)))/100</f>
        <v>1.62</v>
      </c>
      <c r="AB122" s="9">
        <v>94.087209999999999</v>
      </c>
      <c r="AC122" s="9">
        <v>56.999760000000002</v>
      </c>
      <c r="AD122" s="9"/>
      <c r="AE122" s="9"/>
      <c r="AF122" s="2"/>
      <c r="AG122" s="2"/>
    </row>
    <row r="123" spans="1:33" x14ac:dyDescent="0.35">
      <c r="A123">
        <f t="shared" si="27"/>
        <v>121</v>
      </c>
      <c r="B123">
        <f>IF(G123="Bonds",COUNTIF($G$3:G123,"Bonds"),0)</f>
        <v>0</v>
      </c>
      <c r="C123" t="str">
        <f t="shared" si="31"/>
        <v>Cosan4118344105</v>
      </c>
      <c r="D123">
        <f t="shared" si="32"/>
        <v>11</v>
      </c>
      <c r="E123" s="9" t="s">
        <v>177</v>
      </c>
      <c r="F123" s="9" t="s">
        <v>178</v>
      </c>
      <c r="G123" s="9" t="s">
        <v>29</v>
      </c>
      <c r="H123">
        <f t="shared" si="22"/>
        <v>0</v>
      </c>
      <c r="I123" s="9" t="s">
        <v>180</v>
      </c>
      <c r="J123" s="1">
        <f t="shared" si="23"/>
        <v>2</v>
      </c>
      <c r="K123" s="2">
        <v>41183</v>
      </c>
      <c r="L123" s="2">
        <v>44105</v>
      </c>
      <c r="M123" s="10">
        <f t="shared" si="24"/>
        <v>8.0054794520547947</v>
      </c>
      <c r="N123" s="11">
        <f t="shared" si="25"/>
        <v>1</v>
      </c>
      <c r="O123" s="9" t="s">
        <v>47</v>
      </c>
      <c r="P123" t="str">
        <f t="shared" si="28"/>
        <v>0</v>
      </c>
      <c r="Q123" s="12">
        <v>1400</v>
      </c>
      <c r="R123" s="9">
        <v>1000000</v>
      </c>
      <c r="S123" s="1" t="str">
        <f>IF($V123="USD",INDEX('Dólar Spot'!$B:$B,MATCH(Base!$K123,'Dólar Spot'!$A:$A,0)),"")</f>
        <v/>
      </c>
      <c r="T123" s="11">
        <f t="shared" si="35"/>
        <v>1400000000</v>
      </c>
      <c r="U123" s="13">
        <f t="shared" si="26"/>
        <v>14</v>
      </c>
      <c r="V123" s="9" t="s">
        <v>44</v>
      </c>
      <c r="W123" s="9" t="s">
        <v>34</v>
      </c>
      <c r="X123">
        <f t="shared" si="29"/>
        <v>1</v>
      </c>
      <c r="Y123" s="1" t="str" cm="1">
        <f t="array" ref="Y123">INDEX(Ratings!$B$2:$M$42,_xlfn.XMATCH(Base!F123,Ratings!$A$2:$A$42),_xlfn.XMATCH(YEAR(Base!K123),Ratings!$B$1:$M$1))</f>
        <v>BB+</v>
      </c>
      <c r="Z123">
        <f t="shared" si="30"/>
        <v>0</v>
      </c>
      <c r="AA123">
        <f>IFERROR(IFERROR(IFERROR(INDEX('EMBI+'!$B:$B,MATCH(Base!$K123,'EMBI+'!$A:$A,0)),INDEX('EMBI+'!$B:$B,MATCH(Base!$K123+1,'EMBI+'!$A:$A,0))),INDEX('EMBI+'!$B:$B,MATCH(Base!$K123+2,'EMBI+'!$A:$A,0))),INDEX('EMBI+'!$B:$B,MATCH(Base!$K123+3,'EMBI+'!$A:$A,0)))/100</f>
        <v>1.62</v>
      </c>
      <c r="AB123" s="9">
        <v>94.087209999999999</v>
      </c>
      <c r="AC123" s="9">
        <v>56.999760000000002</v>
      </c>
      <c r="AD123" s="9"/>
      <c r="AE123" s="9"/>
      <c r="AF123" s="2"/>
      <c r="AG123" s="2"/>
    </row>
    <row r="124" spans="1:33" x14ac:dyDescent="0.35">
      <c r="A124">
        <f t="shared" si="27"/>
        <v>122</v>
      </c>
      <c r="B124">
        <f>IF(G124="Bonds",COUNTIF($G$3:G124,"Bonds"),0)</f>
        <v>0</v>
      </c>
      <c r="C124" t="str">
        <f t="shared" si="31"/>
        <v>Cosan4352444255</v>
      </c>
      <c r="D124">
        <f t="shared" si="32"/>
        <v>11</v>
      </c>
      <c r="E124" s="9" t="s">
        <v>177</v>
      </c>
      <c r="F124" s="9" t="s">
        <v>178</v>
      </c>
      <c r="G124" s="9" t="s">
        <v>29</v>
      </c>
      <c r="H124">
        <f t="shared" si="22"/>
        <v>0</v>
      </c>
      <c r="I124" s="9" t="s">
        <v>181</v>
      </c>
      <c r="J124" s="1">
        <f t="shared" si="23"/>
        <v>3</v>
      </c>
      <c r="K124" s="2">
        <v>43524</v>
      </c>
      <c r="L124" s="2">
        <v>44255</v>
      </c>
      <c r="M124" s="10">
        <f t="shared" si="24"/>
        <v>2.0027397260273974</v>
      </c>
      <c r="N124" s="11">
        <f t="shared" si="25"/>
        <v>0</v>
      </c>
      <c r="O124" s="9" t="s">
        <v>47</v>
      </c>
      <c r="P124" t="str">
        <f t="shared" si="28"/>
        <v>0</v>
      </c>
      <c r="Q124" s="12">
        <v>1700000</v>
      </c>
      <c r="R124" s="9">
        <v>1000</v>
      </c>
      <c r="S124" s="1" t="str">
        <f>IF($V124="USD",INDEX('Dólar Spot'!$B:$B,MATCH(Base!$K124,'Dólar Spot'!$A:$A,0)),"")</f>
        <v/>
      </c>
      <c r="T124" s="11">
        <f t="shared" si="35"/>
        <v>1700000000</v>
      </c>
      <c r="U124" s="13">
        <f t="shared" si="26"/>
        <v>17</v>
      </c>
      <c r="V124" s="9" t="s">
        <v>44</v>
      </c>
      <c r="W124" s="9" t="s">
        <v>34</v>
      </c>
      <c r="X124">
        <f t="shared" si="29"/>
        <v>1</v>
      </c>
      <c r="Y124" s="1" t="str" cm="1">
        <f t="array" ref="Y124">INDEX(Ratings!$B$2:$M$42,_xlfn.XMATCH(Base!F124,Ratings!$A$2:$A$42),_xlfn.XMATCH(YEAR(Base!K124),Ratings!$B$1:$M$1))</f>
        <v>BB</v>
      </c>
      <c r="Z124">
        <f t="shared" si="30"/>
        <v>0</v>
      </c>
      <c r="AA124">
        <f>IFERROR(IFERROR(IFERROR(INDEX('EMBI+'!$B:$B,MATCH(Base!$K124,'EMBI+'!$A:$A,0)),INDEX('EMBI+'!$B:$B,MATCH(Base!$K124+1,'EMBI+'!$A:$A,0))),INDEX('EMBI+'!$B:$B,MATCH(Base!$K124+2,'EMBI+'!$A:$A,0))),INDEX('EMBI+'!$B:$B,MATCH(Base!$K124+3,'EMBI+'!$A:$A,0)))/100</f>
        <v>2.35</v>
      </c>
      <c r="AB124" s="9">
        <v>94.44847</v>
      </c>
      <c r="AC124" s="9">
        <v>116.88155999999999</v>
      </c>
      <c r="AD124" s="9"/>
      <c r="AE124" s="9"/>
      <c r="AF124" s="2"/>
      <c r="AG124" s="2"/>
    </row>
    <row r="125" spans="1:33" x14ac:dyDescent="0.35">
      <c r="A125">
        <f t="shared" si="27"/>
        <v>123</v>
      </c>
      <c r="B125">
        <f>IF(G125="Bonds",COUNTIF($G$3:G125,"Bonds"),0)</f>
        <v>0</v>
      </c>
      <c r="C125" t="str">
        <f t="shared" si="31"/>
        <v>Cosan4439246980</v>
      </c>
      <c r="D125">
        <f t="shared" si="32"/>
        <v>11</v>
      </c>
      <c r="E125" s="9" t="s">
        <v>177</v>
      </c>
      <c r="F125" s="9" t="s">
        <v>178</v>
      </c>
      <c r="G125" s="9" t="s">
        <v>29</v>
      </c>
      <c r="H125">
        <f t="shared" si="22"/>
        <v>0</v>
      </c>
      <c r="I125" s="9" t="s">
        <v>182</v>
      </c>
      <c r="J125" s="1">
        <f t="shared" si="23"/>
        <v>4</v>
      </c>
      <c r="K125" s="2">
        <v>44392</v>
      </c>
      <c r="L125" s="2">
        <v>46980</v>
      </c>
      <c r="M125" s="10">
        <f t="shared" si="24"/>
        <v>7.0904109589041093</v>
      </c>
      <c r="N125" s="11">
        <f t="shared" si="25"/>
        <v>1</v>
      </c>
      <c r="O125" s="9" t="s">
        <v>47</v>
      </c>
      <c r="P125" t="str">
        <f t="shared" si="28"/>
        <v>0</v>
      </c>
      <c r="Q125" s="12">
        <v>750000</v>
      </c>
      <c r="R125" s="9">
        <v>1000</v>
      </c>
      <c r="S125" s="1" t="str">
        <f>IF($V125="USD",INDEX('Dólar Spot'!$B:$B,MATCH(Base!$K125,'Dólar Spot'!$A:$A,0)),"")</f>
        <v/>
      </c>
      <c r="T125" s="11">
        <f t="shared" si="35"/>
        <v>750000000</v>
      </c>
      <c r="U125" s="13">
        <f t="shared" si="26"/>
        <v>7.5</v>
      </c>
      <c r="V125" s="9" t="s">
        <v>44</v>
      </c>
      <c r="W125" s="9" t="s">
        <v>34</v>
      </c>
      <c r="X125">
        <f t="shared" si="29"/>
        <v>1</v>
      </c>
      <c r="Y125" s="1" t="str" cm="1">
        <f t="array" ref="Y125">INDEX(Ratings!$B$2:$M$42,_xlfn.XMATCH(Base!F125,Ratings!$A$2:$A$42),_xlfn.XMATCH(YEAR(Base!K125),Ratings!$B$1:$M$1))</f>
        <v>BB</v>
      </c>
      <c r="Z125">
        <f t="shared" si="30"/>
        <v>0</v>
      </c>
      <c r="AA125">
        <f>IFERROR(IFERROR(IFERROR(INDEX('EMBI+'!$B:$B,MATCH(Base!$K125,'EMBI+'!$A:$A,0)),INDEX('EMBI+'!$B:$B,MATCH(Base!$K125+1,'EMBI+'!$A:$A,0))),INDEX('EMBI+'!$B:$B,MATCH(Base!$K125+2,'EMBI+'!$A:$A,0))),INDEX('EMBI+'!$B:$B,MATCH(Base!$K125+3,'EMBI+'!$A:$A,0)))/100</f>
        <v>2.92</v>
      </c>
      <c r="AB125" s="9">
        <v>103.15922999999999</v>
      </c>
      <c r="AC125" s="9">
        <v>387.28708999999998</v>
      </c>
      <c r="AD125" s="9"/>
      <c r="AE125" s="9"/>
      <c r="AF125" s="2"/>
      <c r="AG125" s="2"/>
    </row>
    <row r="126" spans="1:33" x14ac:dyDescent="0.35">
      <c r="A126">
        <f t="shared" si="27"/>
        <v>124</v>
      </c>
      <c r="B126">
        <f>IF(G126="Bonds",COUNTIF($G$3:G126,"Bonds"),0)</f>
        <v>0</v>
      </c>
      <c r="C126" t="str">
        <f t="shared" si="31"/>
        <v>Cosan4439248075</v>
      </c>
      <c r="D126">
        <f t="shared" si="32"/>
        <v>11</v>
      </c>
      <c r="E126" s="9" t="s">
        <v>177</v>
      </c>
      <c r="F126" s="9" t="s">
        <v>178</v>
      </c>
      <c r="G126" s="9" t="s">
        <v>29</v>
      </c>
      <c r="H126">
        <f t="shared" si="22"/>
        <v>0</v>
      </c>
      <c r="I126" s="9" t="s">
        <v>183</v>
      </c>
      <c r="J126" s="1">
        <f t="shared" si="23"/>
        <v>5</v>
      </c>
      <c r="K126" s="2">
        <v>44392</v>
      </c>
      <c r="L126" s="2">
        <v>48075</v>
      </c>
      <c r="M126" s="10">
        <f t="shared" si="24"/>
        <v>10.09041095890411</v>
      </c>
      <c r="N126" s="11">
        <f t="shared" si="25"/>
        <v>1</v>
      </c>
      <c r="O126" s="9" t="s">
        <v>47</v>
      </c>
      <c r="P126" t="str">
        <f t="shared" si="28"/>
        <v>0</v>
      </c>
      <c r="Q126" s="12">
        <v>900000</v>
      </c>
      <c r="R126" s="9">
        <v>1000</v>
      </c>
      <c r="S126" s="1" t="str">
        <f>IF($V126="USD",INDEX('Dólar Spot'!$B:$B,MATCH(Base!$K126,'Dólar Spot'!$A:$A,0)),"")</f>
        <v/>
      </c>
      <c r="T126" s="11">
        <f t="shared" si="35"/>
        <v>900000000</v>
      </c>
      <c r="U126" s="13">
        <f t="shared" si="26"/>
        <v>9</v>
      </c>
      <c r="V126" s="9" t="s">
        <v>44</v>
      </c>
      <c r="W126" s="9" t="s">
        <v>34</v>
      </c>
      <c r="X126">
        <f t="shared" si="29"/>
        <v>1</v>
      </c>
      <c r="Y126" s="1" t="str" cm="1">
        <f t="array" ref="Y126">INDEX(Ratings!$B$2:$M$42,_xlfn.XMATCH(Base!F126,Ratings!$A$2:$A$42),_xlfn.XMATCH(YEAR(Base!K126),Ratings!$B$1:$M$1))</f>
        <v>BB</v>
      </c>
      <c r="Z126">
        <f t="shared" si="30"/>
        <v>0</v>
      </c>
      <c r="AA126">
        <f>IFERROR(IFERROR(IFERROR(INDEX('EMBI+'!$B:$B,MATCH(Base!$K126,'EMBI+'!$A:$A,0)),INDEX('EMBI+'!$B:$B,MATCH(Base!$K126+1,'EMBI+'!$A:$A,0))),INDEX('EMBI+'!$B:$B,MATCH(Base!$K126+2,'EMBI+'!$A:$A,0))),INDEX('EMBI+'!$B:$B,MATCH(Base!$K126+3,'EMBI+'!$A:$A,0)))/100</f>
        <v>2.92</v>
      </c>
      <c r="AB126" s="9">
        <v>103.15922999999999</v>
      </c>
      <c r="AC126" s="9">
        <v>387.28708999999998</v>
      </c>
      <c r="AD126" s="9"/>
      <c r="AE126" s="9"/>
      <c r="AF126" s="2"/>
      <c r="AG126" s="2"/>
    </row>
    <row r="127" spans="1:33" x14ac:dyDescent="0.35">
      <c r="A127">
        <f t="shared" si="27"/>
        <v>125</v>
      </c>
      <c r="B127">
        <f>IF(G127="Bonds",COUNTIF($G$3:G127,"Bonds"),0)</f>
        <v>0</v>
      </c>
      <c r="C127" t="str">
        <f t="shared" si="31"/>
        <v>Cosan4439248075</v>
      </c>
      <c r="D127">
        <f t="shared" si="32"/>
        <v>11</v>
      </c>
      <c r="E127" s="9" t="s">
        <v>177</v>
      </c>
      <c r="F127" s="9" t="s">
        <v>178</v>
      </c>
      <c r="G127" s="9" t="s">
        <v>29</v>
      </c>
      <c r="H127">
        <f t="shared" si="22"/>
        <v>0</v>
      </c>
      <c r="I127" s="9" t="s">
        <v>184</v>
      </c>
      <c r="J127" s="1">
        <f t="shared" si="23"/>
        <v>6</v>
      </c>
      <c r="K127" s="2">
        <v>44392</v>
      </c>
      <c r="L127" s="2">
        <v>48075</v>
      </c>
      <c r="M127" s="10">
        <f t="shared" si="24"/>
        <v>10.09041095890411</v>
      </c>
      <c r="N127" s="11">
        <f t="shared" si="25"/>
        <v>1</v>
      </c>
      <c r="O127" s="9" t="s">
        <v>47</v>
      </c>
      <c r="P127" t="str">
        <f t="shared" si="28"/>
        <v>0</v>
      </c>
      <c r="Q127" s="12">
        <v>350000</v>
      </c>
      <c r="R127" s="9">
        <v>1000</v>
      </c>
      <c r="S127" s="1" t="str">
        <f>IF($V127="USD",INDEX('Dólar Spot'!$B:$B,MATCH(Base!$K127,'Dólar Spot'!$A:$A,0)),"")</f>
        <v/>
      </c>
      <c r="T127" s="11">
        <f t="shared" si="35"/>
        <v>350000000</v>
      </c>
      <c r="U127" s="13">
        <f t="shared" si="26"/>
        <v>3.5</v>
      </c>
      <c r="V127" s="9" t="s">
        <v>32</v>
      </c>
      <c r="W127" s="9" t="s">
        <v>34</v>
      </c>
      <c r="X127">
        <f t="shared" si="29"/>
        <v>1</v>
      </c>
      <c r="Y127" s="1" t="str" cm="1">
        <f t="array" ref="Y127">INDEX(Ratings!$B$2:$M$42,_xlfn.XMATCH(Base!F127,Ratings!$A$2:$A$42),_xlfn.XMATCH(YEAR(Base!K127),Ratings!$B$1:$M$1))</f>
        <v>BB</v>
      </c>
      <c r="Z127">
        <f t="shared" si="30"/>
        <v>0</v>
      </c>
      <c r="AA127">
        <f>IFERROR(IFERROR(IFERROR(INDEX('EMBI+'!$B:$B,MATCH(Base!$K127,'EMBI+'!$A:$A,0)),INDEX('EMBI+'!$B:$B,MATCH(Base!$K127+1,'EMBI+'!$A:$A,0))),INDEX('EMBI+'!$B:$B,MATCH(Base!$K127+2,'EMBI+'!$A:$A,0))),INDEX('EMBI+'!$B:$B,MATCH(Base!$K127+3,'EMBI+'!$A:$A,0)))/100</f>
        <v>2.92</v>
      </c>
      <c r="AB127" s="9">
        <v>103.15922999999999</v>
      </c>
      <c r="AC127" s="9">
        <v>387.28708999999998</v>
      </c>
      <c r="AD127" s="9"/>
      <c r="AE127" s="9"/>
      <c r="AF127" s="2"/>
      <c r="AG127" s="2"/>
    </row>
    <row r="128" spans="1:33" x14ac:dyDescent="0.35">
      <c r="A128">
        <f t="shared" si="27"/>
        <v>126</v>
      </c>
      <c r="B128">
        <f>IF(G128="Bonds",COUNTIF($G$3:G128,"Bonds"),0)</f>
        <v>0</v>
      </c>
      <c r="C128" t="str">
        <f t="shared" si="31"/>
        <v>Cosan4406845894</v>
      </c>
      <c r="D128">
        <f t="shared" si="32"/>
        <v>11</v>
      </c>
      <c r="E128" s="9" t="s">
        <v>177</v>
      </c>
      <c r="F128" s="9" t="s">
        <v>178</v>
      </c>
      <c r="G128" s="9" t="s">
        <v>29</v>
      </c>
      <c r="H128">
        <f t="shared" si="22"/>
        <v>0</v>
      </c>
      <c r="I128" s="9" t="s">
        <v>185</v>
      </c>
      <c r="J128" s="1">
        <f t="shared" si="23"/>
        <v>7</v>
      </c>
      <c r="K128" s="2">
        <v>44068</v>
      </c>
      <c r="L128" s="2">
        <v>45894</v>
      </c>
      <c r="M128" s="10">
        <f t="shared" si="24"/>
        <v>5.0027397260273974</v>
      </c>
      <c r="N128" s="11">
        <f t="shared" si="25"/>
        <v>1</v>
      </c>
      <c r="O128" s="9" t="s">
        <v>47</v>
      </c>
      <c r="P128" t="str">
        <f t="shared" si="28"/>
        <v>0</v>
      </c>
      <c r="Q128" s="12">
        <v>1740000</v>
      </c>
      <c r="R128" s="9">
        <v>1000</v>
      </c>
      <c r="S128" s="1" t="str">
        <f>IF($V128="USD",INDEX('Dólar Spot'!$B:$B,MATCH(Base!$K128,'Dólar Spot'!$A:$A,0)),"")</f>
        <v/>
      </c>
      <c r="T128" s="11">
        <f t="shared" si="35"/>
        <v>1740000000</v>
      </c>
      <c r="U128" s="13">
        <f t="shared" si="26"/>
        <v>17.399999999999999</v>
      </c>
      <c r="V128" s="9" t="s">
        <v>44</v>
      </c>
      <c r="W128" s="9" t="s">
        <v>34</v>
      </c>
      <c r="X128">
        <f t="shared" si="29"/>
        <v>1</v>
      </c>
      <c r="Y128" s="1" t="str" cm="1">
        <f t="array" ref="Y128">INDEX(Ratings!$B$2:$M$42,_xlfn.XMATCH(Base!F128,Ratings!$A$2:$A$42),_xlfn.XMATCH(YEAR(Base!K128),Ratings!$B$1:$M$1))</f>
        <v>BB</v>
      </c>
      <c r="Z128">
        <f t="shared" si="30"/>
        <v>0</v>
      </c>
      <c r="AA128">
        <f>IFERROR(IFERROR(IFERROR(INDEX('EMBI+'!$B:$B,MATCH(Base!$K128,'EMBI+'!$A:$A,0)),INDEX('EMBI+'!$B:$B,MATCH(Base!$K128+1,'EMBI+'!$A:$A,0))),INDEX('EMBI+'!$B:$B,MATCH(Base!$K128+2,'EMBI+'!$A:$A,0))),INDEX('EMBI+'!$B:$B,MATCH(Base!$K128+3,'EMBI+'!$A:$A,0)))/100</f>
        <v>3.34</v>
      </c>
      <c r="AB128" s="9">
        <v>106.59650999999999</v>
      </c>
      <c r="AC128" s="9">
        <v>165.62415999999999</v>
      </c>
      <c r="AD128" s="9"/>
      <c r="AE128" s="9"/>
      <c r="AF128" s="2"/>
      <c r="AG128" s="2"/>
    </row>
    <row r="129" spans="1:33" x14ac:dyDescent="0.35">
      <c r="A129">
        <f t="shared" si="27"/>
        <v>127</v>
      </c>
      <c r="B129">
        <f>IF(G129="Bonds",COUNTIF($G$3:G129,"Bonds"),0)</f>
        <v>0</v>
      </c>
      <c r="C129" t="str">
        <f t="shared" si="31"/>
        <v>Cosan4468646878</v>
      </c>
      <c r="D129">
        <f t="shared" si="32"/>
        <v>11</v>
      </c>
      <c r="E129" s="9" t="s">
        <v>177</v>
      </c>
      <c r="F129" s="9" t="s">
        <v>178</v>
      </c>
      <c r="G129" s="9" t="s">
        <v>29</v>
      </c>
      <c r="H129">
        <f t="shared" si="22"/>
        <v>0</v>
      </c>
      <c r="I129" s="9"/>
      <c r="J129" s="1">
        <f t="shared" si="23"/>
        <v>8</v>
      </c>
      <c r="K129" s="2">
        <v>44686</v>
      </c>
      <c r="L129" s="2">
        <v>46878</v>
      </c>
      <c r="M129" s="10">
        <f t="shared" si="24"/>
        <v>6.0054794520547947</v>
      </c>
      <c r="N129" s="11">
        <f t="shared" si="25"/>
        <v>1</v>
      </c>
      <c r="O129" s="9" t="s">
        <v>47</v>
      </c>
      <c r="P129" t="str">
        <f t="shared" si="28"/>
        <v>0</v>
      </c>
      <c r="Q129" s="12">
        <v>400000</v>
      </c>
      <c r="R129" s="9">
        <v>1000</v>
      </c>
      <c r="S129" s="1" t="str">
        <f>IF($V129="USD",INDEX('Dólar Spot'!$B:$B,MATCH(Base!$K129,'Dólar Spot'!$A:$A,0)),"")</f>
        <v/>
      </c>
      <c r="T129" s="11">
        <f t="shared" si="35"/>
        <v>400000000</v>
      </c>
      <c r="U129" s="13">
        <f t="shared" si="26"/>
        <v>4</v>
      </c>
      <c r="V129" s="9" t="s">
        <v>44</v>
      </c>
      <c r="W129" s="9" t="s">
        <v>34</v>
      </c>
      <c r="X129">
        <f t="shared" si="29"/>
        <v>1</v>
      </c>
      <c r="Y129" s="1" t="str" cm="1">
        <f t="array" ref="Y129">INDEX(Ratings!$B$2:$M$42,_xlfn.XMATCH(Base!F129,Ratings!$A$2:$A$42),_xlfn.XMATCH(YEAR(Base!K129),Ratings!$B$1:$M$1))</f>
        <v>BB</v>
      </c>
      <c r="Z129">
        <f t="shared" si="30"/>
        <v>0</v>
      </c>
      <c r="AA129">
        <f>IFERROR(IFERROR(IFERROR(INDEX('EMBI+'!$B:$B,MATCH(Base!$K129,'EMBI+'!$A:$A,0)),INDEX('EMBI+'!$B:$B,MATCH(Base!$K129+1,'EMBI+'!$A:$A,0))),INDEX('EMBI+'!$B:$B,MATCH(Base!$K129+2,'EMBI+'!$A:$A,0))),INDEX('EMBI+'!$B:$B,MATCH(Base!$K129+3,'EMBI+'!$A:$A,0)))/100</f>
        <v>2.99</v>
      </c>
      <c r="AB129" s="9">
        <v>156.47431</v>
      </c>
      <c r="AC129" s="9">
        <v>433.49331000000001</v>
      </c>
      <c r="AD129" s="9"/>
      <c r="AE129" s="9"/>
      <c r="AF129" s="2"/>
      <c r="AG129" s="2"/>
    </row>
    <row r="130" spans="1:33" x14ac:dyDescent="0.35">
      <c r="A130">
        <f t="shared" si="27"/>
        <v>128</v>
      </c>
      <c r="B130">
        <f>IF(G130="Bonds",COUNTIF($G$3:G130,"Bonds"),0)</f>
        <v>0</v>
      </c>
      <c r="C130" t="str">
        <f t="shared" si="31"/>
        <v>Cosan4468648339</v>
      </c>
      <c r="D130">
        <f t="shared" si="32"/>
        <v>11</v>
      </c>
      <c r="E130" s="9" t="s">
        <v>177</v>
      </c>
      <c r="F130" s="9" t="s">
        <v>178</v>
      </c>
      <c r="G130" s="9" t="s">
        <v>29</v>
      </c>
      <c r="H130">
        <f t="shared" si="22"/>
        <v>0</v>
      </c>
      <c r="I130" s="9"/>
      <c r="J130" s="1">
        <f t="shared" si="23"/>
        <v>9</v>
      </c>
      <c r="K130" s="2">
        <v>44686</v>
      </c>
      <c r="L130" s="2">
        <v>48339</v>
      </c>
      <c r="M130" s="10">
        <f t="shared" si="24"/>
        <v>10.008219178082191</v>
      </c>
      <c r="N130" s="11">
        <f t="shared" si="25"/>
        <v>1</v>
      </c>
      <c r="O130" s="9" t="s">
        <v>47</v>
      </c>
      <c r="P130" t="str">
        <f t="shared" si="28"/>
        <v>0</v>
      </c>
      <c r="Q130" s="12">
        <v>1100000</v>
      </c>
      <c r="R130" s="9">
        <v>1000</v>
      </c>
      <c r="S130" s="1" t="str">
        <f>IF($V130="USD",INDEX('Dólar Spot'!$B:$B,MATCH(Base!$K130,'Dólar Spot'!$A:$A,0)),"")</f>
        <v/>
      </c>
      <c r="T130" s="11">
        <f t="shared" si="35"/>
        <v>1100000000</v>
      </c>
      <c r="U130" s="13">
        <f t="shared" si="26"/>
        <v>11</v>
      </c>
      <c r="V130" s="9" t="s">
        <v>44</v>
      </c>
      <c r="W130" s="9" t="s">
        <v>34</v>
      </c>
      <c r="X130">
        <f t="shared" si="29"/>
        <v>1</v>
      </c>
      <c r="Y130" s="1" t="str" cm="1">
        <f t="array" ref="Y130">INDEX(Ratings!$B$2:$M$42,_xlfn.XMATCH(Base!F130,Ratings!$A$2:$A$42),_xlfn.XMATCH(YEAR(Base!K130),Ratings!$B$1:$M$1))</f>
        <v>BB</v>
      </c>
      <c r="Z130">
        <f t="shared" si="30"/>
        <v>0</v>
      </c>
      <c r="AA130">
        <f>IFERROR(IFERROR(IFERROR(INDEX('EMBI+'!$B:$B,MATCH(Base!$K130,'EMBI+'!$A:$A,0)),INDEX('EMBI+'!$B:$B,MATCH(Base!$K130+1,'EMBI+'!$A:$A,0))),INDEX('EMBI+'!$B:$B,MATCH(Base!$K130+2,'EMBI+'!$A:$A,0))),INDEX('EMBI+'!$B:$B,MATCH(Base!$K130+3,'EMBI+'!$A:$A,0)))/100</f>
        <v>2.99</v>
      </c>
      <c r="AB130" s="9">
        <v>156.47431</v>
      </c>
      <c r="AC130" s="9">
        <v>433.49331000000001</v>
      </c>
      <c r="AD130" s="9"/>
      <c r="AE130" s="9"/>
      <c r="AF130" s="2"/>
      <c r="AG130" s="2"/>
    </row>
    <row r="131" spans="1:33" x14ac:dyDescent="0.35">
      <c r="A131">
        <f t="shared" si="27"/>
        <v>129</v>
      </c>
      <c r="B131">
        <f>IF(G131="Bonds",COUNTIF($G$3:G131,"Bonds"),0)</f>
        <v>33</v>
      </c>
      <c r="C131" t="str">
        <f t="shared" si="31"/>
        <v>Cosan4299820/09/2024</v>
      </c>
      <c r="D131">
        <f t="shared" si="32"/>
        <v>11</v>
      </c>
      <c r="E131" s="9" t="s">
        <v>186</v>
      </c>
      <c r="F131" s="9" t="s">
        <v>178</v>
      </c>
      <c r="G131" s="9" t="s">
        <v>37</v>
      </c>
      <c r="H131">
        <f t="shared" ref="H131:H194" si="36">IF(G131="Bonds",1,0)</f>
        <v>1</v>
      </c>
      <c r="I131" s="9"/>
      <c r="J131" s="1">
        <f t="shared" ref="J131:J194" si="37">IF(F131=F130,J130+1,1)</f>
        <v>10</v>
      </c>
      <c r="K131" s="2">
        <v>42998</v>
      </c>
      <c r="L131" s="2" t="s">
        <v>187</v>
      </c>
      <c r="M131" s="10">
        <f t="shared" ref="M131:M194" si="38">(L131-K131)/365</f>
        <v>7.0054794520547947</v>
      </c>
      <c r="N131" s="11">
        <f t="shared" ref="N131:N194" si="39">IF(M131&gt;5,1,0)</f>
        <v>1</v>
      </c>
      <c r="O131" s="9" t="s">
        <v>33</v>
      </c>
      <c r="P131" t="str">
        <f t="shared" si="28"/>
        <v>0</v>
      </c>
      <c r="Q131" s="9"/>
      <c r="R131" s="9"/>
      <c r="S131" s="1">
        <f>IF($V131="USD",INDEX('Dólar Spot'!$B:$B,MATCH(Base!$K131,'Dólar Spot'!$A:$A,0)),"")</f>
        <v>3.1274999999999999</v>
      </c>
      <c r="T131" s="12">
        <v>203636000</v>
      </c>
      <c r="U131" s="13">
        <f t="shared" ref="U131:U194" si="40">IF(V131="USD",T131*S131/100000000,Q131*R131/100000000)</f>
        <v>6.3687158999999998</v>
      </c>
      <c r="V131" s="9" t="s">
        <v>40</v>
      </c>
      <c r="W131" s="9" t="s">
        <v>34</v>
      </c>
      <c r="X131">
        <f t="shared" si="29"/>
        <v>1</v>
      </c>
      <c r="Y131" s="1" t="str" cm="1">
        <f t="array" ref="Y131">INDEX(Ratings!$B$2:$M$42,_xlfn.XMATCH(Base!F131,Ratings!$A$2:$A$42),_xlfn.XMATCH(YEAR(Base!K131),Ratings!$B$1:$M$1))</f>
        <v>BB+</v>
      </c>
      <c r="Z131">
        <f t="shared" si="30"/>
        <v>0</v>
      </c>
      <c r="AA131">
        <f>IFERROR(IFERROR(IFERROR(INDEX('EMBI+'!$B:$B,MATCH(Base!$K131,'EMBI+'!$A:$A,0)),INDEX('EMBI+'!$B:$B,MATCH(Base!$K131+1,'EMBI+'!$A:$A,0))),INDEX('EMBI+'!$B:$B,MATCH(Base!$K131+2,'EMBI+'!$A:$A,0))),INDEX('EMBI+'!$B:$B,MATCH(Base!$K131+3,'EMBI+'!$A:$A,0)))/100</f>
        <v>2.54</v>
      </c>
      <c r="AB131" s="9">
        <v>94.366110000000006</v>
      </c>
      <c r="AC131" s="9">
        <v>89.196070000000006</v>
      </c>
      <c r="AD131" s="9"/>
      <c r="AE131" s="9"/>
      <c r="AF131" s="2"/>
      <c r="AG131" s="2"/>
    </row>
    <row r="132" spans="1:33" x14ac:dyDescent="0.35">
      <c r="A132">
        <f t="shared" ref="A132:A195" si="41">+A131+1</f>
        <v>130</v>
      </c>
      <c r="B132">
        <f>IF(G132="Bonds",COUNTIF($G$3:G132,"Bonds"),0)</f>
        <v>34</v>
      </c>
      <c r="C132" t="str">
        <f t="shared" si="31"/>
        <v>Cosan4254120/01/2027</v>
      </c>
      <c r="D132">
        <f t="shared" si="32"/>
        <v>11</v>
      </c>
      <c r="E132" s="9" t="s">
        <v>188</v>
      </c>
      <c r="F132" s="9" t="s">
        <v>178</v>
      </c>
      <c r="G132" s="9" t="s">
        <v>37</v>
      </c>
      <c r="H132">
        <f t="shared" si="36"/>
        <v>1</v>
      </c>
      <c r="I132" s="9"/>
      <c r="J132" s="1">
        <f t="shared" si="37"/>
        <v>11</v>
      </c>
      <c r="K132" s="2">
        <v>42541</v>
      </c>
      <c r="L132" s="2" t="s">
        <v>189</v>
      </c>
      <c r="M132" s="10">
        <f t="shared" si="38"/>
        <v>10.591780821917808</v>
      </c>
      <c r="N132" s="11">
        <f t="shared" si="39"/>
        <v>1</v>
      </c>
      <c r="O132" s="9" t="s">
        <v>39</v>
      </c>
      <c r="P132" t="str">
        <f t="shared" ref="P132:P195" si="42">IF(OR(O132="Real",O132="Flutuante",O132="SR SECURED"),"1","0")</f>
        <v>0</v>
      </c>
      <c r="Q132" s="9"/>
      <c r="R132" s="9"/>
      <c r="S132" s="1">
        <f>IF($V132="USD",INDEX('Dólar Spot'!$B:$B,MATCH(Base!$K132,'Dólar Spot'!$A:$A,0)),"")</f>
        <v>3.3828999999999998</v>
      </c>
      <c r="T132" s="12">
        <v>500000000</v>
      </c>
      <c r="U132" s="13">
        <f t="shared" si="40"/>
        <v>16.9145</v>
      </c>
      <c r="V132" s="9" t="s">
        <v>40</v>
      </c>
      <c r="W132" s="9" t="s">
        <v>34</v>
      </c>
      <c r="X132">
        <f t="shared" ref="X132:X195" si="43">IF(OR(W132="N",W132="AT MATURITY"),0,1)</f>
        <v>1</v>
      </c>
      <c r="Y132" s="1" t="str" cm="1">
        <f t="array" ref="Y132">INDEX(Ratings!$B$2:$M$42,_xlfn.XMATCH(Base!F132,Ratings!$A$2:$A$42),_xlfn.XMATCH(YEAR(Base!K132),Ratings!$B$1:$M$1))</f>
        <v>BB+</v>
      </c>
      <c r="Z132">
        <f t="shared" ref="Z132:Z195" si="44">IF(AND(Y132&lt;&gt;"BBB-",Y132&lt;&gt;"BBB",Y132&lt;&gt;"BBB+"),0,1)</f>
        <v>0</v>
      </c>
      <c r="AA132">
        <f>IFERROR(IFERROR(IFERROR(INDEX('EMBI+'!$B:$B,MATCH(Base!$K132,'EMBI+'!$A:$A,0)),INDEX('EMBI+'!$B:$B,MATCH(Base!$K132+1,'EMBI+'!$A:$A,0))),INDEX('EMBI+'!$B:$B,MATCH(Base!$K132+2,'EMBI+'!$A:$A,0))),INDEX('EMBI+'!$B:$B,MATCH(Base!$K132+3,'EMBI+'!$A:$A,0)))/100</f>
        <v>3.8</v>
      </c>
      <c r="AB132" s="9">
        <v>86.474289999999996</v>
      </c>
      <c r="AC132" s="9">
        <v>82.441999999999993</v>
      </c>
      <c r="AD132" s="9"/>
      <c r="AE132" s="9"/>
      <c r="AF132" s="2"/>
      <c r="AG132" s="2"/>
    </row>
    <row r="133" spans="1:33" x14ac:dyDescent="0.35">
      <c r="A133">
        <f t="shared" si="41"/>
        <v>131</v>
      </c>
      <c r="B133">
        <f>IF(G133="Bonds",COUNTIF($G$3:G133,"Bonds"),0)</f>
        <v>35</v>
      </c>
      <c r="C133" t="str">
        <f t="shared" ref="C133:C196" si="45">F133&amp;K133&amp;L133</f>
        <v>Cosan4134714/03/2023</v>
      </c>
      <c r="D133">
        <f t="shared" ref="D133:D196" si="46">IF(F133&lt;&gt;F132,D132+1,D132)</f>
        <v>11</v>
      </c>
      <c r="E133" s="9" t="s">
        <v>188</v>
      </c>
      <c r="F133" s="9" t="s">
        <v>178</v>
      </c>
      <c r="G133" s="9" t="s">
        <v>37</v>
      </c>
      <c r="H133">
        <f t="shared" si="36"/>
        <v>1</v>
      </c>
      <c r="I133" s="9"/>
      <c r="J133" s="1">
        <f t="shared" si="37"/>
        <v>12</v>
      </c>
      <c r="K133" s="2">
        <v>41347</v>
      </c>
      <c r="L133" s="2" t="s">
        <v>190</v>
      </c>
      <c r="M133" s="10">
        <f t="shared" si="38"/>
        <v>10.005479452054795</v>
      </c>
      <c r="N133" s="11">
        <f t="shared" si="39"/>
        <v>1</v>
      </c>
      <c r="O133" s="9" t="s">
        <v>39</v>
      </c>
      <c r="P133" t="str">
        <f t="shared" si="42"/>
        <v>0</v>
      </c>
      <c r="Q133" s="9"/>
      <c r="R133" s="9"/>
      <c r="S133" s="1">
        <f>IF($V133="USD",INDEX('Dólar Spot'!$B:$B,MATCH(Base!$K133,'Dólar Spot'!$A:$A,0)),"")</f>
        <v>1.9671000000000001</v>
      </c>
      <c r="T133" s="12">
        <v>500000000</v>
      </c>
      <c r="U133" s="13">
        <f t="shared" si="40"/>
        <v>9.8354999999999997</v>
      </c>
      <c r="V133" s="9" t="s">
        <v>40</v>
      </c>
      <c r="W133" s="9" t="s">
        <v>34</v>
      </c>
      <c r="X133">
        <f t="shared" si="43"/>
        <v>1</v>
      </c>
      <c r="Y133" s="1" t="str" cm="1">
        <f t="array" ref="Y133">INDEX(Ratings!$B$2:$M$42,_xlfn.XMATCH(Base!F133,Ratings!$A$2:$A$42),_xlfn.XMATCH(YEAR(Base!K133),Ratings!$B$1:$M$1))</f>
        <v>BB+</v>
      </c>
      <c r="Z133">
        <f t="shared" si="44"/>
        <v>0</v>
      </c>
      <c r="AA133">
        <f>IFERROR(IFERROR(IFERROR(INDEX('EMBI+'!$B:$B,MATCH(Base!$K133,'EMBI+'!$A:$A,0)),INDEX('EMBI+'!$B:$B,MATCH(Base!$K133+1,'EMBI+'!$A:$A,0))),INDEX('EMBI+'!$B:$B,MATCH(Base!$K133+2,'EMBI+'!$A:$A,0))),INDEX('EMBI+'!$B:$B,MATCH(Base!$K133+3,'EMBI+'!$A:$A,0)))/100</f>
        <v>1.74</v>
      </c>
      <c r="AB133" s="9">
        <v>97.939189999999996</v>
      </c>
      <c r="AC133" s="9">
        <v>116.12638</v>
      </c>
      <c r="AD133" s="9"/>
      <c r="AE133" s="9"/>
      <c r="AF133" s="2"/>
      <c r="AG133" s="2"/>
    </row>
    <row r="134" spans="1:33" x14ac:dyDescent="0.35">
      <c r="A134">
        <f t="shared" si="41"/>
        <v>132</v>
      </c>
      <c r="B134">
        <f>IF(G134="Bonds",COUNTIF($G$3:G134,"Bonds"),0)</f>
        <v>36</v>
      </c>
      <c r="C134" t="str">
        <f t="shared" si="45"/>
        <v>Cosan4256920/01/2027</v>
      </c>
      <c r="D134">
        <f t="shared" si="46"/>
        <v>11</v>
      </c>
      <c r="E134" s="9" t="s">
        <v>188</v>
      </c>
      <c r="F134" s="9" t="s">
        <v>178</v>
      </c>
      <c r="G134" s="9" t="s">
        <v>37</v>
      </c>
      <c r="H134">
        <f t="shared" si="36"/>
        <v>1</v>
      </c>
      <c r="I134" s="9"/>
      <c r="J134" s="1">
        <f t="shared" si="37"/>
        <v>13</v>
      </c>
      <c r="K134" s="2">
        <v>42569</v>
      </c>
      <c r="L134" s="2" t="s">
        <v>189</v>
      </c>
      <c r="M134" s="10">
        <f t="shared" si="38"/>
        <v>10.515068493150684</v>
      </c>
      <c r="N134" s="11">
        <f t="shared" si="39"/>
        <v>1</v>
      </c>
      <c r="O134" s="9" t="s">
        <v>39</v>
      </c>
      <c r="P134" t="str">
        <f t="shared" si="42"/>
        <v>0</v>
      </c>
      <c r="Q134" s="9"/>
      <c r="R134" s="9"/>
      <c r="S134" s="1">
        <f>IF($V134="USD",INDEX('Dólar Spot'!$B:$B,MATCH(Base!$K134,'Dólar Spot'!$A:$A,0)),"")</f>
        <v>3.2627999999999999</v>
      </c>
      <c r="T134" s="12">
        <v>150000000</v>
      </c>
      <c r="U134" s="13">
        <f t="shared" si="40"/>
        <v>4.8941999999999997</v>
      </c>
      <c r="V134" s="9" t="s">
        <v>40</v>
      </c>
      <c r="W134" s="9" t="s">
        <v>34</v>
      </c>
      <c r="X134">
        <f t="shared" si="43"/>
        <v>1</v>
      </c>
      <c r="Y134" s="1" t="str" cm="1">
        <f t="array" ref="Y134">INDEX(Ratings!$B$2:$M$42,_xlfn.XMATCH(Base!F134,Ratings!$A$2:$A$42),_xlfn.XMATCH(YEAR(Base!K134),Ratings!$B$1:$M$1))</f>
        <v>BB+</v>
      </c>
      <c r="Z134">
        <f t="shared" si="44"/>
        <v>0</v>
      </c>
      <c r="AA134">
        <f>IFERROR(IFERROR(IFERROR(INDEX('EMBI+'!$B:$B,MATCH(Base!$K134,'EMBI+'!$A:$A,0)),INDEX('EMBI+'!$B:$B,MATCH(Base!$K134+1,'EMBI+'!$A:$A,0))),INDEX('EMBI+'!$B:$B,MATCH(Base!$K134+2,'EMBI+'!$A:$A,0))),INDEX('EMBI+'!$B:$B,MATCH(Base!$K134+3,'EMBI+'!$A:$A,0)))/100</f>
        <v>3.32</v>
      </c>
      <c r="AB134" s="9">
        <v>86.474289999999996</v>
      </c>
      <c r="AC134" s="9">
        <v>82.441999999999993</v>
      </c>
      <c r="AD134" s="9"/>
      <c r="AE134" s="9"/>
      <c r="AF134" s="2"/>
      <c r="AG134" s="2"/>
    </row>
    <row r="135" spans="1:33" x14ac:dyDescent="0.35">
      <c r="A135">
        <f t="shared" si="41"/>
        <v>133</v>
      </c>
      <c r="B135">
        <f>IF(G135="Bonds",COUNTIF($G$3:G135,"Bonds"),0)</f>
        <v>37</v>
      </c>
      <c r="C135" t="str">
        <f t="shared" si="45"/>
        <v>Cosan4367720/09/2029</v>
      </c>
      <c r="D135">
        <f t="shared" si="46"/>
        <v>11</v>
      </c>
      <c r="E135" s="9" t="s">
        <v>191</v>
      </c>
      <c r="F135" s="9" t="s">
        <v>178</v>
      </c>
      <c r="G135" s="9" t="s">
        <v>37</v>
      </c>
      <c r="H135">
        <f t="shared" si="36"/>
        <v>1</v>
      </c>
      <c r="I135" s="9"/>
      <c r="J135" s="1">
        <f t="shared" si="37"/>
        <v>14</v>
      </c>
      <c r="K135" s="2">
        <v>43677</v>
      </c>
      <c r="L135" s="2" t="s">
        <v>192</v>
      </c>
      <c r="M135" s="10">
        <f t="shared" si="38"/>
        <v>10.147945205479452</v>
      </c>
      <c r="N135" s="11">
        <f t="shared" si="39"/>
        <v>1</v>
      </c>
      <c r="O135" s="9" t="s">
        <v>33</v>
      </c>
      <c r="P135" t="str">
        <f t="shared" si="42"/>
        <v>0</v>
      </c>
      <c r="Q135" s="9"/>
      <c r="R135" s="9"/>
      <c r="S135" s="1">
        <f>IF($V135="USD",INDEX('Dólar Spot'!$B:$B,MATCH(Base!$K135,'Dólar Spot'!$A:$A,0)),"")</f>
        <v>3.7643</v>
      </c>
      <c r="T135" s="12">
        <v>750000000</v>
      </c>
      <c r="U135" s="13">
        <f t="shared" si="40"/>
        <v>28.232250000000001</v>
      </c>
      <c r="V135" s="9" t="s">
        <v>40</v>
      </c>
      <c r="W135" s="9" t="s">
        <v>34</v>
      </c>
      <c r="X135">
        <f t="shared" si="43"/>
        <v>1</v>
      </c>
      <c r="Y135" s="1" t="str" cm="1">
        <f t="array" ref="Y135">INDEX(Ratings!$B$2:$M$42,_xlfn.XMATCH(Base!F135,Ratings!$A$2:$A$42),_xlfn.XMATCH(YEAR(Base!K135),Ratings!$B$1:$M$1))</f>
        <v>BB</v>
      </c>
      <c r="Z135">
        <f t="shared" si="44"/>
        <v>0</v>
      </c>
      <c r="AA135">
        <f>IFERROR(IFERROR(IFERROR(INDEX('EMBI+'!$B:$B,MATCH(Base!$K135,'EMBI+'!$A:$A,0)),INDEX('EMBI+'!$B:$B,MATCH(Base!$K135+1,'EMBI+'!$A:$A,0))),INDEX('EMBI+'!$B:$B,MATCH(Base!$K135+2,'EMBI+'!$A:$A,0))),INDEX('EMBI+'!$B:$B,MATCH(Base!$K135+3,'EMBI+'!$A:$A,0)))/100</f>
        <v>2.12</v>
      </c>
      <c r="AB135" s="9">
        <v>95.878659999999996</v>
      </c>
      <c r="AC135" s="9">
        <v>117.46637</v>
      </c>
      <c r="AD135" s="9"/>
      <c r="AE135" s="9"/>
      <c r="AF135" s="2"/>
      <c r="AG135" s="2"/>
    </row>
    <row r="136" spans="1:33" x14ac:dyDescent="0.35">
      <c r="A136">
        <f t="shared" si="41"/>
        <v>134</v>
      </c>
      <c r="B136">
        <f>IF(G136="Bonds",COUNTIF($G$3:G136,"Bonds"),0)</f>
        <v>0</v>
      </c>
      <c r="C136" t="str">
        <f t="shared" si="45"/>
        <v>CSN4439248044</v>
      </c>
      <c r="D136">
        <f t="shared" si="46"/>
        <v>12</v>
      </c>
      <c r="E136" s="9" t="s">
        <v>193</v>
      </c>
      <c r="F136" s="9" t="s">
        <v>194</v>
      </c>
      <c r="G136" s="9" t="s">
        <v>29</v>
      </c>
      <c r="H136">
        <f t="shared" si="36"/>
        <v>0</v>
      </c>
      <c r="I136" s="9" t="s">
        <v>195</v>
      </c>
      <c r="J136" s="1">
        <f t="shared" si="37"/>
        <v>1</v>
      </c>
      <c r="K136" s="2">
        <v>44392</v>
      </c>
      <c r="L136" s="2">
        <v>48044</v>
      </c>
      <c r="M136" s="10">
        <f t="shared" si="38"/>
        <v>10.005479452054795</v>
      </c>
      <c r="N136" s="11">
        <f t="shared" si="39"/>
        <v>1</v>
      </c>
      <c r="O136" s="9" t="s">
        <v>47</v>
      </c>
      <c r="P136" t="str">
        <f t="shared" si="42"/>
        <v>0</v>
      </c>
      <c r="Q136" s="12">
        <v>576448</v>
      </c>
      <c r="R136" s="9">
        <v>1000</v>
      </c>
      <c r="S136" s="1" t="str">
        <f>IF($V136="USD",INDEX('Dólar Spot'!$B:$B,MATCH(Base!$K136,'Dólar Spot'!$A:$A,0)),"")</f>
        <v/>
      </c>
      <c r="T136" s="11">
        <f>Q136*R136</f>
        <v>576448000</v>
      </c>
      <c r="U136" s="13">
        <f t="shared" si="40"/>
        <v>5.7644799999999998</v>
      </c>
      <c r="V136" s="9" t="s">
        <v>32</v>
      </c>
      <c r="W136" s="9" t="s">
        <v>35</v>
      </c>
      <c r="X136">
        <f t="shared" si="43"/>
        <v>0</v>
      </c>
      <c r="Y136" s="1" t="str" cm="1">
        <f t="array" ref="Y136">INDEX(Ratings!$B$2:$M$42,_xlfn.XMATCH(Base!F136,Ratings!$A$2:$A$42),_xlfn.XMATCH(YEAR(Base!K136),Ratings!$B$1:$M$1))</f>
        <v>BB</v>
      </c>
      <c r="Z136">
        <f t="shared" si="44"/>
        <v>0</v>
      </c>
      <c r="AA136">
        <f>IFERROR(IFERROR(IFERROR(INDEX('EMBI+'!$B:$B,MATCH(Base!$K136,'EMBI+'!$A:$A,0)),INDEX('EMBI+'!$B:$B,MATCH(Base!$K136+1,'EMBI+'!$A:$A,0))),INDEX('EMBI+'!$B:$B,MATCH(Base!$K136+2,'EMBI+'!$A:$A,0))),INDEX('EMBI+'!$B:$B,MATCH(Base!$K136+3,'EMBI+'!$A:$A,0)))/100</f>
        <v>2.92</v>
      </c>
      <c r="AB136" s="9">
        <v>217.16693000000001</v>
      </c>
      <c r="AC136" s="9">
        <v>345.9828</v>
      </c>
      <c r="AD136" s="9"/>
      <c r="AE136" s="9"/>
      <c r="AF136" s="2"/>
      <c r="AG136" s="2"/>
    </row>
    <row r="137" spans="1:33" x14ac:dyDescent="0.35">
      <c r="A137">
        <f t="shared" si="41"/>
        <v>135</v>
      </c>
      <c r="B137">
        <f>IF(G137="Bonds",COUNTIF($G$3:G137,"Bonds"),0)</f>
        <v>0</v>
      </c>
      <c r="C137" t="str">
        <f t="shared" si="45"/>
        <v>CSN4439249871</v>
      </c>
      <c r="D137">
        <f t="shared" si="46"/>
        <v>12</v>
      </c>
      <c r="E137" s="9" t="s">
        <v>193</v>
      </c>
      <c r="F137" s="9" t="s">
        <v>194</v>
      </c>
      <c r="G137" s="9" t="s">
        <v>29</v>
      </c>
      <c r="H137">
        <f t="shared" si="36"/>
        <v>0</v>
      </c>
      <c r="I137" s="9" t="s">
        <v>196</v>
      </c>
      <c r="J137" s="1">
        <f t="shared" si="37"/>
        <v>2</v>
      </c>
      <c r="K137" s="2">
        <v>44392</v>
      </c>
      <c r="L137" s="2">
        <v>49871</v>
      </c>
      <c r="M137" s="10">
        <f t="shared" si="38"/>
        <v>15.010958904109589</v>
      </c>
      <c r="N137" s="11">
        <f t="shared" si="39"/>
        <v>1</v>
      </c>
      <c r="O137" s="9" t="s">
        <v>47</v>
      </c>
      <c r="P137" t="str">
        <f t="shared" si="42"/>
        <v>0</v>
      </c>
      <c r="Q137" s="12">
        <v>423552</v>
      </c>
      <c r="R137" s="9">
        <v>1000</v>
      </c>
      <c r="S137" s="1" t="str">
        <f>IF($V137="USD",INDEX('Dólar Spot'!$B:$B,MATCH(Base!$K137,'Dólar Spot'!$A:$A,0)),"")</f>
        <v/>
      </c>
      <c r="T137" s="11">
        <f>Q137*R137</f>
        <v>423552000</v>
      </c>
      <c r="U137" s="13">
        <f t="shared" si="40"/>
        <v>4.2355200000000002</v>
      </c>
      <c r="V137" s="9" t="s">
        <v>32</v>
      </c>
      <c r="W137" s="9" t="s">
        <v>35</v>
      </c>
      <c r="X137">
        <f t="shared" si="43"/>
        <v>0</v>
      </c>
      <c r="Y137" s="1" t="str" cm="1">
        <f t="array" ref="Y137">INDEX(Ratings!$B$2:$M$42,_xlfn.XMATCH(Base!F137,Ratings!$A$2:$A$42),_xlfn.XMATCH(YEAR(Base!K137),Ratings!$B$1:$M$1))</f>
        <v>BB</v>
      </c>
      <c r="Z137">
        <f t="shared" si="44"/>
        <v>0</v>
      </c>
      <c r="AA137">
        <f>IFERROR(IFERROR(IFERROR(INDEX('EMBI+'!$B:$B,MATCH(Base!$K137,'EMBI+'!$A:$A,0)),INDEX('EMBI+'!$B:$B,MATCH(Base!$K137+1,'EMBI+'!$A:$A,0))),INDEX('EMBI+'!$B:$B,MATCH(Base!$K137+2,'EMBI+'!$A:$A,0))),INDEX('EMBI+'!$B:$B,MATCH(Base!$K137+3,'EMBI+'!$A:$A,0)))/100</f>
        <v>2.92</v>
      </c>
      <c r="AB137" s="9">
        <v>217.16693000000001</v>
      </c>
      <c r="AC137" s="9">
        <v>345.9828</v>
      </c>
      <c r="AD137" s="9"/>
      <c r="AE137" s="9"/>
      <c r="AF137" s="2"/>
      <c r="AG137" s="2"/>
    </row>
    <row r="138" spans="1:33" x14ac:dyDescent="0.35">
      <c r="A138">
        <f t="shared" si="41"/>
        <v>136</v>
      </c>
      <c r="B138">
        <f>IF(G138="Bonds",COUNTIF($G$3:G138,"Bonds"),0)</f>
        <v>0</v>
      </c>
      <c r="C138" t="str">
        <f t="shared" si="45"/>
        <v>CSN4475448410</v>
      </c>
      <c r="D138">
        <f t="shared" si="46"/>
        <v>12</v>
      </c>
      <c r="E138" s="9" t="s">
        <v>193</v>
      </c>
      <c r="F138" s="9" t="s">
        <v>194</v>
      </c>
      <c r="G138" s="9" t="s">
        <v>29</v>
      </c>
      <c r="H138">
        <f t="shared" si="36"/>
        <v>0</v>
      </c>
      <c r="I138" s="9"/>
      <c r="J138" s="1">
        <f t="shared" si="37"/>
        <v>3</v>
      </c>
      <c r="K138" s="2">
        <v>44754</v>
      </c>
      <c r="L138" s="2">
        <v>48410</v>
      </c>
      <c r="M138" s="10">
        <f t="shared" si="38"/>
        <v>10.016438356164384</v>
      </c>
      <c r="N138" s="11">
        <f t="shared" si="39"/>
        <v>1</v>
      </c>
      <c r="O138" s="9" t="s">
        <v>47</v>
      </c>
      <c r="P138" t="str">
        <f t="shared" si="42"/>
        <v>0</v>
      </c>
      <c r="Q138" s="12">
        <v>745000</v>
      </c>
      <c r="R138" s="9">
        <v>1000</v>
      </c>
      <c r="S138" s="1" t="str">
        <f>IF($V138="USD",INDEX('Dólar Spot'!$B:$B,MATCH(Base!$K138,'Dólar Spot'!$A:$A,0)),"")</f>
        <v/>
      </c>
      <c r="T138" s="11">
        <f t="shared" ref="T138:T139" si="47">Q138*R138</f>
        <v>745000000</v>
      </c>
      <c r="U138" s="13">
        <f t="shared" si="40"/>
        <v>7.45</v>
      </c>
      <c r="V138" s="9" t="s">
        <v>32</v>
      </c>
      <c r="W138" s="9" t="s">
        <v>35</v>
      </c>
      <c r="X138">
        <f t="shared" si="43"/>
        <v>0</v>
      </c>
      <c r="Y138" s="1" t="str" cm="1">
        <f t="array" ref="Y138">INDEX(Ratings!$B$2:$M$42,_xlfn.XMATCH(Base!F138,Ratings!$A$2:$A$42),_xlfn.XMATCH(YEAR(Base!K138),Ratings!$B$1:$M$1))</f>
        <v>BB</v>
      </c>
      <c r="Z138">
        <f t="shared" si="44"/>
        <v>0</v>
      </c>
      <c r="AA138">
        <f>IFERROR(IFERROR(IFERROR(INDEX('EMBI+'!$B:$B,MATCH(Base!$K138,'EMBI+'!$A:$A,0)),INDEX('EMBI+'!$B:$B,MATCH(Base!$K138+1,'EMBI+'!$A:$A,0))),INDEX('EMBI+'!$B:$B,MATCH(Base!$K138+2,'EMBI+'!$A:$A,0))),INDEX('EMBI+'!$B:$B,MATCH(Base!$K138+3,'EMBI+'!$A:$A,0)))/100</f>
        <v>3.67</v>
      </c>
      <c r="AB138" s="9">
        <v>212.65483</v>
      </c>
      <c r="AC138" s="9">
        <v>347.51497999999998</v>
      </c>
      <c r="AD138" s="9"/>
      <c r="AE138" s="9"/>
      <c r="AF138" s="2"/>
      <c r="AG138" s="2"/>
    </row>
    <row r="139" spans="1:33" x14ac:dyDescent="0.35">
      <c r="A139">
        <f t="shared" si="41"/>
        <v>137</v>
      </c>
      <c r="B139">
        <f>IF(G139="Bonds",COUNTIF($G$3:G139,"Bonds"),0)</f>
        <v>0</v>
      </c>
      <c r="C139" t="str">
        <f t="shared" si="45"/>
        <v>CSN4475450236</v>
      </c>
      <c r="D139">
        <f t="shared" si="46"/>
        <v>12</v>
      </c>
      <c r="E139" s="9" t="s">
        <v>193</v>
      </c>
      <c r="F139" s="9" t="s">
        <v>194</v>
      </c>
      <c r="G139" s="9" t="s">
        <v>29</v>
      </c>
      <c r="H139">
        <f t="shared" si="36"/>
        <v>0</v>
      </c>
      <c r="I139" s="9"/>
      <c r="J139" s="1">
        <f t="shared" si="37"/>
        <v>4</v>
      </c>
      <c r="K139" s="2">
        <v>44754</v>
      </c>
      <c r="L139" s="2">
        <v>50236</v>
      </c>
      <c r="M139" s="10">
        <f t="shared" si="38"/>
        <v>15.019178082191781</v>
      </c>
      <c r="N139" s="11">
        <f t="shared" si="39"/>
        <v>1</v>
      </c>
      <c r="O139" s="9" t="s">
        <v>47</v>
      </c>
      <c r="P139" t="str">
        <f t="shared" si="42"/>
        <v>0</v>
      </c>
      <c r="Q139" s="12">
        <v>665000</v>
      </c>
      <c r="R139" s="9">
        <v>1000</v>
      </c>
      <c r="S139" s="1" t="str">
        <f>IF($V139="USD",INDEX('Dólar Spot'!$B:$B,MATCH(Base!$K139,'Dólar Spot'!$A:$A,0)),"")</f>
        <v/>
      </c>
      <c r="T139" s="11">
        <f t="shared" si="47"/>
        <v>665000000</v>
      </c>
      <c r="U139" s="13">
        <f t="shared" si="40"/>
        <v>6.65</v>
      </c>
      <c r="V139" s="9" t="s">
        <v>32</v>
      </c>
      <c r="W139" s="9" t="s">
        <v>35</v>
      </c>
      <c r="X139">
        <f t="shared" si="43"/>
        <v>0</v>
      </c>
      <c r="Y139" s="1" t="str" cm="1">
        <f t="array" ref="Y139">INDEX(Ratings!$B$2:$M$42,_xlfn.XMATCH(Base!F139,Ratings!$A$2:$A$42),_xlfn.XMATCH(YEAR(Base!K139),Ratings!$B$1:$M$1))</f>
        <v>BB</v>
      </c>
      <c r="Z139">
        <f t="shared" si="44"/>
        <v>0</v>
      </c>
      <c r="AA139">
        <f>IFERROR(IFERROR(IFERROR(INDEX('EMBI+'!$B:$B,MATCH(Base!$K139,'EMBI+'!$A:$A,0)),INDEX('EMBI+'!$B:$B,MATCH(Base!$K139+1,'EMBI+'!$A:$A,0))),INDEX('EMBI+'!$B:$B,MATCH(Base!$K139+2,'EMBI+'!$A:$A,0))),INDEX('EMBI+'!$B:$B,MATCH(Base!$K139+3,'EMBI+'!$A:$A,0)))/100</f>
        <v>3.67</v>
      </c>
      <c r="AB139" s="9">
        <v>212.65483</v>
      </c>
      <c r="AC139" s="9">
        <v>347.51497999999998</v>
      </c>
      <c r="AD139" s="9"/>
      <c r="AE139" s="9"/>
      <c r="AF139" s="2"/>
      <c r="AG139" s="2"/>
    </row>
    <row r="140" spans="1:33" x14ac:dyDescent="0.35">
      <c r="A140">
        <f t="shared" si="41"/>
        <v>138</v>
      </c>
      <c r="B140">
        <f>IF(G140="Bonds",COUNTIF($G$3:G140,"Bonds"),0)</f>
        <v>38</v>
      </c>
      <c r="C140" t="str">
        <f t="shared" si="45"/>
        <v>CSN4385828/01/2028</v>
      </c>
      <c r="D140">
        <f t="shared" si="46"/>
        <v>12</v>
      </c>
      <c r="E140" s="9" t="s">
        <v>197</v>
      </c>
      <c r="F140" s="9" t="s">
        <v>194</v>
      </c>
      <c r="G140" s="9" t="s">
        <v>37</v>
      </c>
      <c r="H140">
        <f t="shared" si="36"/>
        <v>1</v>
      </c>
      <c r="I140" s="9"/>
      <c r="J140" s="1">
        <f t="shared" si="37"/>
        <v>5</v>
      </c>
      <c r="K140" s="2">
        <v>43858</v>
      </c>
      <c r="L140" s="2" t="s">
        <v>198</v>
      </c>
      <c r="M140" s="10">
        <f t="shared" si="38"/>
        <v>8.0054794520547947</v>
      </c>
      <c r="N140" s="11">
        <f t="shared" si="39"/>
        <v>1</v>
      </c>
      <c r="O140" s="9" t="s">
        <v>39</v>
      </c>
      <c r="P140" t="str">
        <f t="shared" si="42"/>
        <v>0</v>
      </c>
      <c r="Q140" s="9"/>
      <c r="R140" s="9"/>
      <c r="S140" s="1">
        <f>IF($V140="USD",INDEX('Dólar Spot'!$B:$B,MATCH(Base!$K140,'Dólar Spot'!$A:$A,0)),"")</f>
        <v>4.2058</v>
      </c>
      <c r="T140" s="12">
        <v>1000000000</v>
      </c>
      <c r="U140" s="13">
        <f t="shared" si="40"/>
        <v>42.058</v>
      </c>
      <c r="V140" s="9" t="s">
        <v>40</v>
      </c>
      <c r="W140" s="9" t="s">
        <v>34</v>
      </c>
      <c r="X140">
        <f t="shared" si="43"/>
        <v>1</v>
      </c>
      <c r="Y140" s="1" t="str" cm="1">
        <f t="array" ref="Y140">INDEX(Ratings!$B$2:$M$42,_xlfn.XMATCH(Base!F140,Ratings!$A$2:$A$42),_xlfn.XMATCH(YEAR(Base!K140),Ratings!$B$1:$M$1))</f>
        <v>B</v>
      </c>
      <c r="Z140">
        <f t="shared" si="44"/>
        <v>0</v>
      </c>
      <c r="AA140">
        <f>IFERROR(IFERROR(IFERROR(INDEX('EMBI+'!$B:$B,MATCH(Base!$K140,'EMBI+'!$A:$A,0)),INDEX('EMBI+'!$B:$B,MATCH(Base!$K140+1,'EMBI+'!$A:$A,0))),INDEX('EMBI+'!$B:$B,MATCH(Base!$K140+2,'EMBI+'!$A:$A,0))),INDEX('EMBI+'!$B:$B,MATCH(Base!$K140+3,'EMBI+'!$A:$A,0)))/100</f>
        <v>2.27</v>
      </c>
      <c r="AB140" s="9">
        <v>101.74544</v>
      </c>
      <c r="AC140" s="9">
        <v>279.67036000000002</v>
      </c>
      <c r="AD140" s="9"/>
      <c r="AE140" s="9"/>
      <c r="AF140" s="2"/>
      <c r="AG140" s="2"/>
    </row>
    <row r="141" spans="1:33" x14ac:dyDescent="0.35">
      <c r="A141">
        <f t="shared" si="41"/>
        <v>139</v>
      </c>
      <c r="B141">
        <f>IF(G141="Bonds",COUNTIF($G$3:G141,"Bonds"),0)</f>
        <v>39</v>
      </c>
      <c r="C141" t="str">
        <f t="shared" si="45"/>
        <v>CSN4415128/01/2028</v>
      </c>
      <c r="D141">
        <f t="shared" si="46"/>
        <v>12</v>
      </c>
      <c r="E141" s="9" t="s">
        <v>197</v>
      </c>
      <c r="F141" s="9" t="s">
        <v>194</v>
      </c>
      <c r="G141" s="9" t="s">
        <v>37</v>
      </c>
      <c r="H141">
        <f t="shared" si="36"/>
        <v>1</v>
      </c>
      <c r="I141" s="9"/>
      <c r="J141" s="1">
        <f t="shared" si="37"/>
        <v>6</v>
      </c>
      <c r="K141" s="2">
        <v>44151</v>
      </c>
      <c r="L141" s="2" t="s">
        <v>198</v>
      </c>
      <c r="M141" s="10">
        <f t="shared" si="38"/>
        <v>7.2027397260273975</v>
      </c>
      <c r="N141" s="11">
        <f t="shared" si="39"/>
        <v>1</v>
      </c>
      <c r="O141" s="9" t="s">
        <v>39</v>
      </c>
      <c r="P141" t="str">
        <f t="shared" si="42"/>
        <v>0</v>
      </c>
      <c r="Q141" s="9"/>
      <c r="R141" s="9"/>
      <c r="S141" s="1">
        <f>IF($V141="USD",INDEX('Dólar Spot'!$B:$B,MATCH(Base!$K141,'Dólar Spot'!$A:$A,0)),"")</f>
        <v>5.4192</v>
      </c>
      <c r="T141" s="12">
        <v>300000000</v>
      </c>
      <c r="U141" s="13">
        <f t="shared" si="40"/>
        <v>16.2576</v>
      </c>
      <c r="V141" s="9" t="s">
        <v>40</v>
      </c>
      <c r="W141" s="9" t="s">
        <v>34</v>
      </c>
      <c r="X141">
        <f t="shared" si="43"/>
        <v>1</v>
      </c>
      <c r="Y141" s="1" t="str" cm="1">
        <f t="array" ref="Y141">INDEX(Ratings!$B$2:$M$42,_xlfn.XMATCH(Base!F141,Ratings!$A$2:$A$42),_xlfn.XMATCH(YEAR(Base!K141),Ratings!$B$1:$M$1))</f>
        <v>B</v>
      </c>
      <c r="Z141">
        <f t="shared" si="44"/>
        <v>0</v>
      </c>
      <c r="AA141">
        <f>IFERROR(IFERROR(IFERROR(INDEX('EMBI+'!$B:$B,MATCH(Base!$K141,'EMBI+'!$A:$A,0)),INDEX('EMBI+'!$B:$B,MATCH(Base!$K141+1,'EMBI+'!$A:$A,0))),INDEX('EMBI+'!$B:$B,MATCH(Base!$K141+2,'EMBI+'!$A:$A,0))),INDEX('EMBI+'!$B:$B,MATCH(Base!$K141+3,'EMBI+'!$A:$A,0)))/100</f>
        <v>2.76</v>
      </c>
      <c r="AB141" s="9">
        <v>99.134510000000006</v>
      </c>
      <c r="AC141" s="9">
        <v>352.70652999999999</v>
      </c>
      <c r="AD141" s="9"/>
      <c r="AE141" s="9"/>
      <c r="AF141" s="2"/>
      <c r="AG141" s="2"/>
    </row>
    <row r="142" spans="1:33" x14ac:dyDescent="0.35">
      <c r="A142">
        <f t="shared" si="41"/>
        <v>140</v>
      </c>
      <c r="B142">
        <f>IF(G142="Bonds",COUNTIF($G$3:G142,"Bonds"),0)</f>
        <v>40</v>
      </c>
      <c r="C142" t="str">
        <f t="shared" si="45"/>
        <v>CSN4435710/06/2031</v>
      </c>
      <c r="D142">
        <f t="shared" si="46"/>
        <v>12</v>
      </c>
      <c r="E142" s="9" t="s">
        <v>199</v>
      </c>
      <c r="F142" s="9" t="s">
        <v>194</v>
      </c>
      <c r="G142" s="9" t="s">
        <v>37</v>
      </c>
      <c r="H142">
        <f t="shared" si="36"/>
        <v>1</v>
      </c>
      <c r="I142" s="9"/>
      <c r="J142" s="1">
        <f t="shared" si="37"/>
        <v>7</v>
      </c>
      <c r="K142" s="2">
        <v>44357</v>
      </c>
      <c r="L142" s="2" t="s">
        <v>200</v>
      </c>
      <c r="M142" s="10">
        <f t="shared" si="38"/>
        <v>10.005479452054795</v>
      </c>
      <c r="N142" s="11">
        <f t="shared" si="39"/>
        <v>1</v>
      </c>
      <c r="O142" s="9" t="s">
        <v>39</v>
      </c>
      <c r="P142" t="str">
        <f t="shared" si="42"/>
        <v>0</v>
      </c>
      <c r="Q142" s="9"/>
      <c r="R142" s="9"/>
      <c r="S142" s="1">
        <f>IF($V142="USD",INDEX('Dólar Spot'!$B:$B,MATCH(Base!$K142,'Dólar Spot'!$A:$A,0)),"")</f>
        <v>5.0635000000000003</v>
      </c>
      <c r="T142" s="12">
        <v>850000000</v>
      </c>
      <c r="U142" s="13">
        <f t="shared" si="40"/>
        <v>43.039749999999998</v>
      </c>
      <c r="V142" s="9" t="s">
        <v>40</v>
      </c>
      <c r="W142" s="9" t="s">
        <v>34</v>
      </c>
      <c r="X142">
        <f t="shared" si="43"/>
        <v>1</v>
      </c>
      <c r="Y142" s="1" t="str" cm="1">
        <f t="array" ref="Y142">INDEX(Ratings!$B$2:$M$42,_xlfn.XMATCH(Base!F142,Ratings!$A$2:$A$42),_xlfn.XMATCH(YEAR(Base!K142),Ratings!$B$1:$M$1))</f>
        <v>BB</v>
      </c>
      <c r="Z142">
        <f t="shared" si="44"/>
        <v>0</v>
      </c>
      <c r="AA142">
        <f>IFERROR(IFERROR(IFERROR(INDEX('EMBI+'!$B:$B,MATCH(Base!$K142,'EMBI+'!$A:$A,0)),INDEX('EMBI+'!$B:$B,MATCH(Base!$K142+1,'EMBI+'!$A:$A,0))),INDEX('EMBI+'!$B:$B,MATCH(Base!$K142+2,'EMBI+'!$A:$A,0))),INDEX('EMBI+'!$B:$B,MATCH(Base!$K142+3,'EMBI+'!$A:$A,0)))/100</f>
        <v>2.66</v>
      </c>
      <c r="AB142" s="9">
        <v>217.16693000000001</v>
      </c>
      <c r="AC142" s="9">
        <v>345.9828</v>
      </c>
      <c r="AD142" s="9"/>
      <c r="AE142" s="9"/>
      <c r="AF142" s="2"/>
      <c r="AG142" s="2"/>
    </row>
    <row r="143" spans="1:33" x14ac:dyDescent="0.35">
      <c r="A143">
        <f t="shared" si="41"/>
        <v>141</v>
      </c>
      <c r="B143">
        <f>IF(G143="Bonds",COUNTIF($G$3:G143,"Bonds"),0)</f>
        <v>41</v>
      </c>
      <c r="C143" t="str">
        <f t="shared" si="45"/>
        <v>CSN4357217/04/2026</v>
      </c>
      <c r="D143">
        <f t="shared" si="46"/>
        <v>12</v>
      </c>
      <c r="E143" s="9" t="s">
        <v>199</v>
      </c>
      <c r="F143" s="9" t="s">
        <v>194</v>
      </c>
      <c r="G143" s="9" t="s">
        <v>37</v>
      </c>
      <c r="H143">
        <f t="shared" si="36"/>
        <v>1</v>
      </c>
      <c r="I143" s="9"/>
      <c r="J143" s="1">
        <f t="shared" si="37"/>
        <v>8</v>
      </c>
      <c r="K143" s="2">
        <v>43572</v>
      </c>
      <c r="L143" s="2" t="s">
        <v>201</v>
      </c>
      <c r="M143" s="10">
        <f t="shared" si="38"/>
        <v>7.0054794520547947</v>
      </c>
      <c r="N143" s="11">
        <f t="shared" si="39"/>
        <v>1</v>
      </c>
      <c r="O143" s="9" t="s">
        <v>39</v>
      </c>
      <c r="P143" t="str">
        <f t="shared" si="42"/>
        <v>0</v>
      </c>
      <c r="Q143" s="9"/>
      <c r="R143" s="9"/>
      <c r="S143" s="1">
        <f>IF($V143="USD",INDEX('Dólar Spot'!$B:$B,MATCH(Base!$K143,'Dólar Spot'!$A:$A,0)),"")</f>
        <v>3.9218999999999999</v>
      </c>
      <c r="T143" s="12">
        <v>600000000</v>
      </c>
      <c r="U143" s="13">
        <f t="shared" si="40"/>
        <v>23.531400000000001</v>
      </c>
      <c r="V143" s="9" t="s">
        <v>40</v>
      </c>
      <c r="W143" s="9" t="s">
        <v>34</v>
      </c>
      <c r="X143">
        <f t="shared" si="43"/>
        <v>1</v>
      </c>
      <c r="Y143" s="1" t="str" cm="1">
        <f t="array" ref="Y143">INDEX(Ratings!$B$2:$M$42,_xlfn.XMATCH(Base!F143,Ratings!$A$2:$A$42),_xlfn.XMATCH(YEAR(Base!K143),Ratings!$B$1:$M$1))</f>
        <v>B</v>
      </c>
      <c r="Z143">
        <f t="shared" si="44"/>
        <v>0</v>
      </c>
      <c r="AA143">
        <f>IFERROR(IFERROR(IFERROR(INDEX('EMBI+'!$B:$B,MATCH(Base!$K143,'EMBI+'!$A:$A,0)),INDEX('EMBI+'!$B:$B,MATCH(Base!$K143+1,'EMBI+'!$A:$A,0))),INDEX('EMBI+'!$B:$B,MATCH(Base!$K143+2,'EMBI+'!$A:$A,0))),INDEX('EMBI+'!$B:$B,MATCH(Base!$K143+3,'EMBI+'!$A:$A,0)))/100</f>
        <v>2.4900000000000002</v>
      </c>
      <c r="AB143" s="9">
        <v>88.453460000000007</v>
      </c>
      <c r="AC143" s="9">
        <v>283.02694000000002</v>
      </c>
      <c r="AD143" s="9"/>
      <c r="AE143" s="9"/>
      <c r="AF143" s="2"/>
      <c r="AG143" s="2"/>
    </row>
    <row r="144" spans="1:33" x14ac:dyDescent="0.35">
      <c r="A144">
        <f t="shared" si="41"/>
        <v>142</v>
      </c>
      <c r="B144">
        <f>IF(G144="Bonds",COUNTIF($G$3:G144,"Bonds"),0)</f>
        <v>42</v>
      </c>
      <c r="C144" t="str">
        <f t="shared" si="45"/>
        <v>CSN4314013/02/2023</v>
      </c>
      <c r="D144">
        <f t="shared" si="46"/>
        <v>12</v>
      </c>
      <c r="E144" s="9" t="s">
        <v>199</v>
      </c>
      <c r="F144" s="9" t="s">
        <v>194</v>
      </c>
      <c r="G144" s="9" t="s">
        <v>37</v>
      </c>
      <c r="H144">
        <f t="shared" si="36"/>
        <v>1</v>
      </c>
      <c r="I144" s="9"/>
      <c r="J144" s="1">
        <f t="shared" si="37"/>
        <v>9</v>
      </c>
      <c r="K144" s="2">
        <v>43140</v>
      </c>
      <c r="L144" s="2" t="s">
        <v>202</v>
      </c>
      <c r="M144" s="10">
        <f t="shared" si="38"/>
        <v>5.0136986301369859</v>
      </c>
      <c r="N144" s="11">
        <f t="shared" si="39"/>
        <v>1</v>
      </c>
      <c r="O144" s="9" t="s">
        <v>39</v>
      </c>
      <c r="P144" t="str">
        <f t="shared" si="42"/>
        <v>0</v>
      </c>
      <c r="Q144" s="9"/>
      <c r="R144" s="9"/>
      <c r="S144" s="1">
        <f>IF($V144="USD",INDEX('Dólar Spot'!$B:$B,MATCH(Base!$K144,'Dólar Spot'!$A:$A,0)),"")</f>
        <v>3.2814999999999999</v>
      </c>
      <c r="T144" s="12">
        <v>350000000</v>
      </c>
      <c r="U144" s="13">
        <f t="shared" si="40"/>
        <v>11.485250000000001</v>
      </c>
      <c r="V144" s="9" t="s">
        <v>40</v>
      </c>
      <c r="W144" s="9" t="s">
        <v>34</v>
      </c>
      <c r="X144">
        <f t="shared" si="43"/>
        <v>1</v>
      </c>
      <c r="Y144" s="1" t="str" cm="1">
        <f t="array" ref="Y144">INDEX(Ratings!$B$2:$M$42,_xlfn.XMATCH(Base!F144,Ratings!$A$2:$A$42),_xlfn.XMATCH(YEAR(Base!K144),Ratings!$B$1:$M$1))</f>
        <v>B-</v>
      </c>
      <c r="Z144">
        <f t="shared" si="44"/>
        <v>0</v>
      </c>
      <c r="AA144">
        <f>IFERROR(IFERROR(IFERROR(INDEX('EMBI+'!$B:$B,MATCH(Base!$K144,'EMBI+'!$A:$A,0)),INDEX('EMBI+'!$B:$B,MATCH(Base!$K144+1,'EMBI+'!$A:$A,0))),INDEX('EMBI+'!$B:$B,MATCH(Base!$K144+2,'EMBI+'!$A:$A,0))),INDEX('EMBI+'!$B:$B,MATCH(Base!$K144+3,'EMBI+'!$A:$A,0)))/100</f>
        <v>2.56</v>
      </c>
      <c r="AB144" s="9">
        <v>70.27373</v>
      </c>
      <c r="AC144" s="9">
        <v>295.10843999999997</v>
      </c>
      <c r="AD144" s="9"/>
      <c r="AE144" s="9"/>
      <c r="AF144" s="2"/>
      <c r="AG144" s="2"/>
    </row>
    <row r="145" spans="1:33" x14ac:dyDescent="0.35">
      <c r="A145">
        <f t="shared" si="41"/>
        <v>143</v>
      </c>
      <c r="B145">
        <f>IF(G145="Bonds",COUNTIF($G$3:G145,"Bonds"),0)</f>
        <v>43</v>
      </c>
      <c r="C145" t="str">
        <f t="shared" si="45"/>
        <v>CSN4364813/02/2023</v>
      </c>
      <c r="D145">
        <f t="shared" si="46"/>
        <v>12</v>
      </c>
      <c r="E145" s="9" t="s">
        <v>199</v>
      </c>
      <c r="F145" s="9" t="s">
        <v>194</v>
      </c>
      <c r="G145" s="9" t="s">
        <v>37</v>
      </c>
      <c r="H145">
        <f t="shared" si="36"/>
        <v>1</v>
      </c>
      <c r="I145" s="9"/>
      <c r="J145" s="1">
        <f t="shared" si="37"/>
        <v>10</v>
      </c>
      <c r="K145" s="2">
        <v>43648</v>
      </c>
      <c r="L145" s="2" t="s">
        <v>202</v>
      </c>
      <c r="M145" s="10">
        <f t="shared" si="38"/>
        <v>3.6219178082191781</v>
      </c>
      <c r="N145" s="11">
        <f t="shared" si="39"/>
        <v>0</v>
      </c>
      <c r="O145" s="9" t="s">
        <v>39</v>
      </c>
      <c r="P145" t="str">
        <f t="shared" si="42"/>
        <v>0</v>
      </c>
      <c r="Q145" s="9"/>
      <c r="R145" s="9"/>
      <c r="S145" s="1">
        <f>IF($V145="USD",INDEX('Dólar Spot'!$B:$B,MATCH(Base!$K145,'Dólar Spot'!$A:$A,0)),"")</f>
        <v>3.8557999999999999</v>
      </c>
      <c r="T145" s="12">
        <v>175000000</v>
      </c>
      <c r="U145" s="13">
        <f t="shared" si="40"/>
        <v>6.7476500000000001</v>
      </c>
      <c r="V145" s="9" t="s">
        <v>40</v>
      </c>
      <c r="W145" s="9" t="s">
        <v>34</v>
      </c>
      <c r="X145">
        <f t="shared" si="43"/>
        <v>1</v>
      </c>
      <c r="Y145" s="1" t="str" cm="1">
        <f t="array" ref="Y145">INDEX(Ratings!$B$2:$M$42,_xlfn.XMATCH(Base!F145,Ratings!$A$2:$A$42),_xlfn.XMATCH(YEAR(Base!K145),Ratings!$B$1:$M$1))</f>
        <v>B</v>
      </c>
      <c r="Z145">
        <f t="shared" si="44"/>
        <v>0</v>
      </c>
      <c r="AA145">
        <f>IFERROR(IFERROR(IFERROR(INDEX('EMBI+'!$B:$B,MATCH(Base!$K145,'EMBI+'!$A:$A,0)),INDEX('EMBI+'!$B:$B,MATCH(Base!$K145+1,'EMBI+'!$A:$A,0))),INDEX('EMBI+'!$B:$B,MATCH(Base!$K145+2,'EMBI+'!$A:$A,0))),INDEX('EMBI+'!$B:$B,MATCH(Base!$K145+3,'EMBI+'!$A:$A,0)))/100</f>
        <v>2.38</v>
      </c>
      <c r="AB145" s="9">
        <v>110.35925</v>
      </c>
      <c r="AC145" s="9">
        <v>285.15568000000002</v>
      </c>
      <c r="AD145" s="9"/>
      <c r="AE145" s="9"/>
      <c r="AF145" s="2"/>
      <c r="AG145" s="2"/>
    </row>
    <row r="146" spans="1:33" x14ac:dyDescent="0.35">
      <c r="A146">
        <f t="shared" si="41"/>
        <v>144</v>
      </c>
      <c r="B146">
        <f>IF(G146="Bonds",COUNTIF($G$3:G146,"Bonds"),0)</f>
        <v>44</v>
      </c>
      <c r="C146" t="str">
        <f t="shared" si="45"/>
        <v>CSN4094221/07/2020</v>
      </c>
      <c r="D146">
        <f t="shared" si="46"/>
        <v>12</v>
      </c>
      <c r="E146" s="9" t="s">
        <v>199</v>
      </c>
      <c r="F146" s="9" t="s">
        <v>194</v>
      </c>
      <c r="G146" s="9" t="s">
        <v>37</v>
      </c>
      <c r="H146">
        <f t="shared" si="36"/>
        <v>1</v>
      </c>
      <c r="I146" s="9"/>
      <c r="J146" s="1">
        <f t="shared" si="37"/>
        <v>11</v>
      </c>
      <c r="K146" s="2">
        <v>40942</v>
      </c>
      <c r="L146" s="2" t="s">
        <v>203</v>
      </c>
      <c r="M146" s="10">
        <f t="shared" si="38"/>
        <v>8.4684931506849317</v>
      </c>
      <c r="N146" s="11">
        <f t="shared" si="39"/>
        <v>1</v>
      </c>
      <c r="O146" s="9" t="s">
        <v>39</v>
      </c>
      <c r="P146" t="str">
        <f t="shared" si="42"/>
        <v>0</v>
      </c>
      <c r="Q146" s="9"/>
      <c r="R146" s="9"/>
      <c r="S146" s="1">
        <f>IF($V146="USD",INDEX('Dólar Spot'!$B:$B,MATCH(Base!$K146,'Dólar Spot'!$A:$A,0)),"")</f>
        <v>1.7216</v>
      </c>
      <c r="T146" s="12">
        <v>200000000</v>
      </c>
      <c r="U146" s="13">
        <f t="shared" si="40"/>
        <v>3.4432</v>
      </c>
      <c r="V146" s="9" t="s">
        <v>40</v>
      </c>
      <c r="W146" s="9" t="s">
        <v>34</v>
      </c>
      <c r="X146">
        <f t="shared" si="43"/>
        <v>1</v>
      </c>
      <c r="Y146" s="1" t="str" cm="1">
        <f t="array" ref="Y146">INDEX(Ratings!$B$2:$M$42,_xlfn.XMATCH(Base!F146,Ratings!$A$2:$A$42),_xlfn.XMATCH(YEAR(Base!K146),Ratings!$B$1:$M$1))</f>
        <v>BBB-</v>
      </c>
      <c r="Z146">
        <f t="shared" si="44"/>
        <v>1</v>
      </c>
      <c r="AA146">
        <f>IFERROR(IFERROR(IFERROR(INDEX('EMBI+'!$B:$B,MATCH(Base!$K146,'EMBI+'!$A:$A,0)),INDEX('EMBI+'!$B:$B,MATCH(Base!$K146+1,'EMBI+'!$A:$A,0))),INDEX('EMBI+'!$B:$B,MATCH(Base!$K146+2,'EMBI+'!$A:$A,0))),INDEX('EMBI+'!$B:$B,MATCH(Base!$K146+3,'EMBI+'!$A:$A,0)))/100</f>
        <v>2.0699999999999998</v>
      </c>
      <c r="AB146" s="9">
        <v>79.85821</v>
      </c>
      <c r="AC146" s="9">
        <v>278.88587999999999</v>
      </c>
      <c r="AD146" s="9"/>
      <c r="AE146" s="9"/>
      <c r="AF146" s="2"/>
      <c r="AG146" s="2"/>
    </row>
    <row r="147" spans="1:33" x14ac:dyDescent="0.35">
      <c r="A147">
        <f t="shared" si="41"/>
        <v>145</v>
      </c>
      <c r="B147">
        <f>IF(G147="Bonds",COUNTIF($G$3:G147,"Bonds"),0)</f>
        <v>45</v>
      </c>
      <c r="C147" t="str">
        <f t="shared" si="45"/>
        <v>CSN4357213/02/2023</v>
      </c>
      <c r="D147">
        <f t="shared" si="46"/>
        <v>12</v>
      </c>
      <c r="E147" s="9" t="s">
        <v>199</v>
      </c>
      <c r="F147" s="9" t="s">
        <v>194</v>
      </c>
      <c r="G147" s="9" t="s">
        <v>37</v>
      </c>
      <c r="H147">
        <f t="shared" si="36"/>
        <v>1</v>
      </c>
      <c r="I147" s="9"/>
      <c r="J147" s="1">
        <f t="shared" si="37"/>
        <v>12</v>
      </c>
      <c r="K147" s="2">
        <v>43572</v>
      </c>
      <c r="L147" s="2" t="s">
        <v>202</v>
      </c>
      <c r="M147" s="10">
        <f t="shared" si="38"/>
        <v>3.8301369863013699</v>
      </c>
      <c r="N147" s="11">
        <f t="shared" si="39"/>
        <v>0</v>
      </c>
      <c r="O147" s="9" t="s">
        <v>39</v>
      </c>
      <c r="P147" t="str">
        <f t="shared" si="42"/>
        <v>0</v>
      </c>
      <c r="Q147" s="9"/>
      <c r="R147" s="9"/>
      <c r="S147" s="1">
        <f>IF($V147="USD",INDEX('Dólar Spot'!$B:$B,MATCH(Base!$K147,'Dólar Spot'!$A:$A,0)),"")</f>
        <v>3.9218999999999999</v>
      </c>
      <c r="T147" s="12">
        <v>400000000</v>
      </c>
      <c r="U147" s="13">
        <f t="shared" si="40"/>
        <v>15.6876</v>
      </c>
      <c r="V147" s="9" t="s">
        <v>40</v>
      </c>
      <c r="W147" s="9" t="s">
        <v>34</v>
      </c>
      <c r="X147">
        <f t="shared" si="43"/>
        <v>1</v>
      </c>
      <c r="Y147" s="1" t="str" cm="1">
        <f t="array" ref="Y147">INDEX(Ratings!$B$2:$M$42,_xlfn.XMATCH(Base!F147,Ratings!$A$2:$A$42),_xlfn.XMATCH(YEAR(Base!K147),Ratings!$B$1:$M$1))</f>
        <v>B</v>
      </c>
      <c r="Z147">
        <f t="shared" si="44"/>
        <v>0</v>
      </c>
      <c r="AA147">
        <f>IFERROR(IFERROR(IFERROR(INDEX('EMBI+'!$B:$B,MATCH(Base!$K147,'EMBI+'!$A:$A,0)),INDEX('EMBI+'!$B:$B,MATCH(Base!$K147+1,'EMBI+'!$A:$A,0))),INDEX('EMBI+'!$B:$B,MATCH(Base!$K147+2,'EMBI+'!$A:$A,0))),INDEX('EMBI+'!$B:$B,MATCH(Base!$K147+3,'EMBI+'!$A:$A,0)))/100</f>
        <v>2.4900000000000002</v>
      </c>
      <c r="AB147" s="9">
        <v>88.453460000000007</v>
      </c>
      <c r="AC147" s="9">
        <v>283.02694000000002</v>
      </c>
      <c r="AD147" s="9"/>
      <c r="AE147" s="9"/>
      <c r="AF147" s="2"/>
      <c r="AG147" s="2"/>
    </row>
    <row r="148" spans="1:33" x14ac:dyDescent="0.35">
      <c r="A148">
        <f t="shared" si="41"/>
        <v>146</v>
      </c>
      <c r="B148">
        <f>IF(G148="Bonds",COUNTIF($G$3:G148,"Bonds"),0)</f>
        <v>46</v>
      </c>
      <c r="C148" t="str">
        <f t="shared" si="45"/>
        <v>CSN4459548312</v>
      </c>
      <c r="D148">
        <f t="shared" si="46"/>
        <v>12</v>
      </c>
      <c r="E148" s="9" t="s">
        <v>199</v>
      </c>
      <c r="F148" s="9" t="s">
        <v>194</v>
      </c>
      <c r="G148" s="9" t="s">
        <v>37</v>
      </c>
      <c r="H148">
        <f t="shared" si="36"/>
        <v>1</v>
      </c>
      <c r="I148" s="9"/>
      <c r="J148" s="1">
        <f t="shared" si="37"/>
        <v>13</v>
      </c>
      <c r="K148" s="2">
        <v>44595</v>
      </c>
      <c r="L148" s="2">
        <v>48312</v>
      </c>
      <c r="M148" s="10">
        <f t="shared" si="38"/>
        <v>10.183561643835617</v>
      </c>
      <c r="N148" s="11">
        <f t="shared" si="39"/>
        <v>1</v>
      </c>
      <c r="O148" s="9" t="s">
        <v>39</v>
      </c>
      <c r="P148" t="str">
        <f t="shared" si="42"/>
        <v>0</v>
      </c>
      <c r="Q148" s="9"/>
      <c r="R148" s="9"/>
      <c r="S148" s="1">
        <f>IF($V148="USD",INDEX('Dólar Spot'!$B:$B,MATCH(Base!$K148,'Dólar Spot'!$A:$A,0)),"")</f>
        <v>5.2839</v>
      </c>
      <c r="T148" s="12">
        <v>500000000</v>
      </c>
      <c r="U148" s="13">
        <f t="shared" si="40"/>
        <v>26.419499999999999</v>
      </c>
      <c r="V148" s="9" t="s">
        <v>40</v>
      </c>
      <c r="W148" s="9" t="s">
        <v>34</v>
      </c>
      <c r="X148">
        <f t="shared" si="43"/>
        <v>1</v>
      </c>
      <c r="Y148" s="1" t="str" cm="1">
        <f t="array" ref="Y148">INDEX(Ratings!$B$2:$M$42,_xlfn.XMATCH(Base!F148,Ratings!$A$2:$A$42),_xlfn.XMATCH(YEAR(Base!K148),Ratings!$B$1:$M$1))</f>
        <v>BB</v>
      </c>
      <c r="Z148">
        <f t="shared" si="44"/>
        <v>0</v>
      </c>
      <c r="AA148">
        <f>IFERROR(IFERROR(IFERROR(INDEX('EMBI+'!$B:$B,MATCH(Base!$K148,'EMBI+'!$A:$A,0)),INDEX('EMBI+'!$B:$B,MATCH(Base!$K148+1,'EMBI+'!$A:$A,0))),INDEX('EMBI+'!$B:$B,MATCH(Base!$K148+2,'EMBI+'!$A:$A,0))),INDEX('EMBI+'!$B:$B,MATCH(Base!$K148+3,'EMBI+'!$A:$A,0)))/100</f>
        <v>3.25</v>
      </c>
      <c r="AB148" s="9">
        <v>203.14998</v>
      </c>
      <c r="AC148" s="9">
        <v>325.07522</v>
      </c>
      <c r="AD148" s="9"/>
      <c r="AE148" s="9"/>
      <c r="AF148" s="2"/>
      <c r="AG148" s="2"/>
    </row>
    <row r="149" spans="1:33" x14ac:dyDescent="0.35">
      <c r="A149">
        <f t="shared" si="41"/>
        <v>147</v>
      </c>
      <c r="B149">
        <f>IF(G149="Bonds",COUNTIF($G$3:G149,"Bonds"),0)</f>
        <v>0</v>
      </c>
      <c r="C149" t="str">
        <f t="shared" si="45"/>
        <v>Eldorado4445945555</v>
      </c>
      <c r="D149">
        <f t="shared" si="46"/>
        <v>13</v>
      </c>
      <c r="E149" s="9" t="s">
        <v>204</v>
      </c>
      <c r="F149" s="9" t="s">
        <v>205</v>
      </c>
      <c r="G149" s="9" t="s">
        <v>29</v>
      </c>
      <c r="H149">
        <f t="shared" si="36"/>
        <v>0</v>
      </c>
      <c r="I149" s="9" t="s">
        <v>206</v>
      </c>
      <c r="J149" s="1">
        <f t="shared" si="37"/>
        <v>1</v>
      </c>
      <c r="K149" s="2">
        <v>44459</v>
      </c>
      <c r="L149" s="2">
        <v>45555</v>
      </c>
      <c r="M149" s="10">
        <f t="shared" si="38"/>
        <v>3.0027397260273974</v>
      </c>
      <c r="N149" s="11">
        <f t="shared" si="39"/>
        <v>0</v>
      </c>
      <c r="O149" s="9" t="s">
        <v>47</v>
      </c>
      <c r="P149" t="str">
        <f t="shared" si="42"/>
        <v>0</v>
      </c>
      <c r="Q149" s="12">
        <v>700000</v>
      </c>
      <c r="R149" s="9">
        <v>1000</v>
      </c>
      <c r="S149" s="1" t="str">
        <f>IF($V149="USD",INDEX('Dólar Spot'!$B:$B,MATCH(Base!$K149,'Dólar Spot'!$A:$A,0)),"")</f>
        <v/>
      </c>
      <c r="T149" s="11">
        <f>Q149*R149</f>
        <v>700000000</v>
      </c>
      <c r="U149" s="13">
        <f t="shared" si="40"/>
        <v>7</v>
      </c>
      <c r="V149" s="9" t="s">
        <v>44</v>
      </c>
      <c r="W149" s="9" t="s">
        <v>34</v>
      </c>
      <c r="X149">
        <f t="shared" si="43"/>
        <v>1</v>
      </c>
      <c r="Y149" s="1" t="str" cm="1">
        <f t="array" ref="Y149">INDEX(Ratings!$B$2:$M$42,_xlfn.XMATCH(Base!F149,Ratings!$A$2:$A$42),_xlfn.XMATCH(YEAR(Base!K149),Ratings!$B$1:$M$1))</f>
        <v>BB-</v>
      </c>
      <c r="Z149">
        <f t="shared" si="44"/>
        <v>0</v>
      </c>
      <c r="AA149">
        <f>IFERROR(IFERROR(IFERROR(INDEX('EMBI+'!$B:$B,MATCH(Base!$K149,'EMBI+'!$A:$A,0)),INDEX('EMBI+'!$B:$B,MATCH(Base!$K149+1,'EMBI+'!$A:$A,0))),INDEX('EMBI+'!$B:$B,MATCH(Base!$K149+2,'EMBI+'!$A:$A,0))),INDEX('EMBI+'!$B:$B,MATCH(Base!$K149+3,'EMBI+'!$A:$A,0)))/100</f>
        <v>3.22</v>
      </c>
      <c r="AB149" s="9">
        <v>51.619970000000002</v>
      </c>
      <c r="AC149" s="9">
        <f>33.40468+37.75322</f>
        <v>71.157899999999998</v>
      </c>
      <c r="AD149" s="9"/>
      <c r="AE149" s="9"/>
      <c r="AF149" s="2"/>
      <c r="AG149" s="2"/>
    </row>
    <row r="150" spans="1:33" x14ac:dyDescent="0.35">
      <c r="A150">
        <f t="shared" si="41"/>
        <v>148</v>
      </c>
      <c r="B150">
        <f>IF(G150="Bonds",COUNTIF($G$3:G150,"Bonds"),0)</f>
        <v>0</v>
      </c>
      <c r="C150" t="str">
        <f t="shared" si="45"/>
        <v>Eldorado4124446722</v>
      </c>
      <c r="D150">
        <f t="shared" si="46"/>
        <v>13</v>
      </c>
      <c r="E150" s="9" t="s">
        <v>204</v>
      </c>
      <c r="F150" s="9" t="s">
        <v>205</v>
      </c>
      <c r="G150" s="9" t="s">
        <v>29</v>
      </c>
      <c r="H150">
        <f t="shared" si="36"/>
        <v>0</v>
      </c>
      <c r="I150" s="9" t="s">
        <v>207</v>
      </c>
      <c r="J150" s="1">
        <f t="shared" si="37"/>
        <v>2</v>
      </c>
      <c r="K150" s="2">
        <v>41244</v>
      </c>
      <c r="L150" s="2">
        <v>46722</v>
      </c>
      <c r="M150" s="10">
        <f t="shared" si="38"/>
        <v>15.008219178082191</v>
      </c>
      <c r="N150" s="11">
        <f t="shared" si="39"/>
        <v>1</v>
      </c>
      <c r="O150" s="9" t="s">
        <v>47</v>
      </c>
      <c r="P150" t="str">
        <f t="shared" si="42"/>
        <v>0</v>
      </c>
      <c r="Q150" s="12">
        <v>940000</v>
      </c>
      <c r="R150" s="9">
        <v>1000</v>
      </c>
      <c r="S150" s="1" t="str">
        <f>IF($V150="USD",INDEX('Dólar Spot'!$B:$B,MATCH(Base!$K150,'Dólar Spot'!$A:$A,0)),"")</f>
        <v/>
      </c>
      <c r="T150" s="11">
        <f>Q150*R150</f>
        <v>940000000</v>
      </c>
      <c r="U150" s="13">
        <f t="shared" si="40"/>
        <v>9.4</v>
      </c>
      <c r="V150" s="9" t="s">
        <v>32</v>
      </c>
      <c r="W150" s="9" t="s">
        <v>34</v>
      </c>
      <c r="X150">
        <f t="shared" si="43"/>
        <v>1</v>
      </c>
      <c r="Y150" s="1" t="str" cm="1">
        <f t="array" ref="Y150">INDEX(Ratings!$B$2:$M$42,_xlfn.XMATCH(Base!F150,Ratings!$A$2:$A$42),_xlfn.XMATCH(YEAR(Base!K150),Ratings!$B$1:$M$1))</f>
        <v>NR</v>
      </c>
      <c r="Z150">
        <f t="shared" si="44"/>
        <v>0</v>
      </c>
      <c r="AA150">
        <f>IFERROR(IFERROR(IFERROR(INDEX('EMBI+'!$B:$B,MATCH(Base!$K150,'EMBI+'!$A:$A,0)),INDEX('EMBI+'!$B:$B,MATCH(Base!$K150+1,'EMBI+'!$A:$A,0))),INDEX('EMBI+'!$B:$B,MATCH(Base!$K150+2,'EMBI+'!$A:$A,0))),INDEX('EMBI+'!$B:$B,MATCH(Base!$K150+3,'EMBI+'!$A:$A,0)))/100</f>
        <v>1.55</v>
      </c>
      <c r="AB150" s="9">
        <v>17.351479999999999</v>
      </c>
      <c r="AC150" s="9">
        <f>40.59132+6.28613</f>
        <v>46.877450000000003</v>
      </c>
      <c r="AD150" s="9"/>
      <c r="AE150" s="9"/>
      <c r="AF150" s="2"/>
      <c r="AG150" s="2"/>
    </row>
    <row r="151" spans="1:33" x14ac:dyDescent="0.35">
      <c r="A151">
        <f t="shared" si="41"/>
        <v>149</v>
      </c>
      <c r="B151">
        <f>IF(G151="Bonds",COUNTIF($G$3:G151,"Bonds"),0)</f>
        <v>47</v>
      </c>
      <c r="C151" t="str">
        <f t="shared" si="45"/>
        <v>Eldorado4253716/06/2021</v>
      </c>
      <c r="D151">
        <f t="shared" si="46"/>
        <v>13</v>
      </c>
      <c r="E151" s="9" t="s">
        <v>208</v>
      </c>
      <c r="F151" s="9" t="s">
        <v>205</v>
      </c>
      <c r="G151" s="9" t="s">
        <v>37</v>
      </c>
      <c r="H151">
        <f t="shared" si="36"/>
        <v>1</v>
      </c>
      <c r="I151" s="9"/>
      <c r="J151" s="1">
        <f t="shared" si="37"/>
        <v>3</v>
      </c>
      <c r="K151" s="2">
        <v>42537</v>
      </c>
      <c r="L151" s="2" t="s">
        <v>209</v>
      </c>
      <c r="M151" s="10">
        <f t="shared" si="38"/>
        <v>5.0027397260273974</v>
      </c>
      <c r="N151" s="11">
        <f t="shared" si="39"/>
        <v>1</v>
      </c>
      <c r="O151" s="9" t="s">
        <v>39</v>
      </c>
      <c r="P151" t="str">
        <f t="shared" si="42"/>
        <v>0</v>
      </c>
      <c r="Q151" s="9"/>
      <c r="R151" s="9"/>
      <c r="S151" s="1">
        <f>IF($V151="USD",INDEX('Dólar Spot'!$B:$B,MATCH(Base!$K151,'Dólar Spot'!$A:$A,0)),"")</f>
        <v>3.4897999999999998</v>
      </c>
      <c r="T151" s="12">
        <v>350000000</v>
      </c>
      <c r="U151" s="13">
        <f t="shared" si="40"/>
        <v>12.2143</v>
      </c>
      <c r="V151" s="9" t="s">
        <v>40</v>
      </c>
      <c r="W151" s="9" t="s">
        <v>34</v>
      </c>
      <c r="X151">
        <f t="shared" si="43"/>
        <v>1</v>
      </c>
      <c r="Y151" s="1" t="str" cm="1">
        <f t="array" ref="Y151">INDEX(Ratings!$B$2:$M$42,_xlfn.XMATCH(Base!F151,Ratings!$A$2:$A$42),_xlfn.XMATCH(YEAR(Base!K151),Ratings!$B$1:$M$1))</f>
        <v>B+</v>
      </c>
      <c r="Z151">
        <f t="shared" si="44"/>
        <v>0</v>
      </c>
      <c r="AA151">
        <f>IFERROR(IFERROR(IFERROR(INDEX('EMBI+'!$B:$B,MATCH(Base!$K151,'EMBI+'!$A:$A,0)),INDEX('EMBI+'!$B:$B,MATCH(Base!$K151+1,'EMBI+'!$A:$A,0))),INDEX('EMBI+'!$B:$B,MATCH(Base!$K151+2,'EMBI+'!$A:$A,0))),INDEX('EMBI+'!$B:$B,MATCH(Base!$K151+3,'EMBI+'!$A:$A,0)))/100</f>
        <v>3.99</v>
      </c>
      <c r="AB151" s="9">
        <v>13.23746</v>
      </c>
      <c r="AC151" s="9">
        <f>23.64186+67.02349</f>
        <v>90.665349999999989</v>
      </c>
      <c r="AD151" s="9"/>
      <c r="AE151" s="9"/>
      <c r="AF151" s="2"/>
      <c r="AG151" s="2"/>
    </row>
    <row r="152" spans="1:33" x14ac:dyDescent="0.35">
      <c r="A152">
        <f t="shared" si="41"/>
        <v>150</v>
      </c>
      <c r="B152">
        <f>IF(G152="Bonds",COUNTIF($G$3:G152,"Bonds"),0)</f>
        <v>0</v>
      </c>
      <c r="C152" t="str">
        <f t="shared" si="45"/>
        <v>Eletrobras4358044676</v>
      </c>
      <c r="D152">
        <f t="shared" si="46"/>
        <v>14</v>
      </c>
      <c r="E152" s="9" t="s">
        <v>210</v>
      </c>
      <c r="F152" s="9" t="s">
        <v>211</v>
      </c>
      <c r="G152" s="9" t="s">
        <v>29</v>
      </c>
      <c r="H152">
        <f t="shared" si="36"/>
        <v>0</v>
      </c>
      <c r="I152" s="9" t="s">
        <v>212</v>
      </c>
      <c r="J152" s="1">
        <f t="shared" si="37"/>
        <v>1</v>
      </c>
      <c r="K152" s="2">
        <v>43580</v>
      </c>
      <c r="L152" s="2">
        <v>44676</v>
      </c>
      <c r="M152" s="10">
        <f t="shared" si="38"/>
        <v>3.0027397260273974</v>
      </c>
      <c r="N152" s="11">
        <f t="shared" si="39"/>
        <v>0</v>
      </c>
      <c r="O152" s="9" t="s">
        <v>47</v>
      </c>
      <c r="P152" t="str">
        <f t="shared" si="42"/>
        <v>0</v>
      </c>
      <c r="Q152" s="12">
        <v>1100000</v>
      </c>
      <c r="R152" s="9">
        <v>1000</v>
      </c>
      <c r="S152" s="1" t="str">
        <f>IF($V152="USD",INDEX('Dólar Spot'!$B:$B,MATCH(Base!$K152,'Dólar Spot'!$A:$A,0)),"")</f>
        <v/>
      </c>
      <c r="T152" s="11">
        <f t="shared" ref="T152:T157" si="48">Q152*R152</f>
        <v>1100000000</v>
      </c>
      <c r="U152" s="13">
        <f t="shared" si="40"/>
        <v>11</v>
      </c>
      <c r="V152" s="9" t="s">
        <v>44</v>
      </c>
      <c r="W152" s="9" t="s">
        <v>34</v>
      </c>
      <c r="X152">
        <f t="shared" si="43"/>
        <v>1</v>
      </c>
      <c r="Y152" s="1" t="str" cm="1">
        <f t="array" ref="Y152">INDEX(Ratings!$B$2:$M$42,_xlfn.XMATCH(Base!F152,Ratings!$A$2:$A$42),_xlfn.XMATCH(YEAR(Base!K152),Ratings!$B$1:$M$1))</f>
        <v>BB-</v>
      </c>
      <c r="Z152">
        <f t="shared" si="44"/>
        <v>0</v>
      </c>
      <c r="AA152">
        <f>IFERROR(IFERROR(IFERROR(INDEX('EMBI+'!$B:$B,MATCH(Base!$K152,'EMBI+'!$A:$A,0)),INDEX('EMBI+'!$B:$B,MATCH(Base!$K152+1,'EMBI+'!$A:$A,0))),INDEX('EMBI+'!$B:$B,MATCH(Base!$K152+2,'EMBI+'!$A:$A,0))),INDEX('EMBI+'!$B:$B,MATCH(Base!$K152+3,'EMBI+'!$A:$A,0)))/100</f>
        <v>2.52</v>
      </c>
      <c r="AB152" s="9">
        <v>569.65237000000002</v>
      </c>
      <c r="AC152" s="9">
        <v>554.81133</v>
      </c>
      <c r="AD152" s="9"/>
      <c r="AE152" s="9"/>
      <c r="AF152" s="2"/>
      <c r="AG152" s="2"/>
    </row>
    <row r="153" spans="1:33" x14ac:dyDescent="0.35">
      <c r="A153">
        <f t="shared" si="41"/>
        <v>151</v>
      </c>
      <c r="B153">
        <f>IF(G153="Bonds",COUNTIF($G$3:G153,"Bonds"),0)</f>
        <v>0</v>
      </c>
      <c r="C153" t="str">
        <f t="shared" si="45"/>
        <v>Eletrobras4430146127</v>
      </c>
      <c r="D153">
        <f t="shared" si="46"/>
        <v>14</v>
      </c>
      <c r="E153" s="9" t="s">
        <v>210</v>
      </c>
      <c r="F153" s="9" t="s">
        <v>211</v>
      </c>
      <c r="G153" s="9" t="s">
        <v>29</v>
      </c>
      <c r="H153">
        <f t="shared" si="36"/>
        <v>0</v>
      </c>
      <c r="I153" s="9" t="s">
        <v>213</v>
      </c>
      <c r="J153" s="1">
        <f t="shared" si="37"/>
        <v>2</v>
      </c>
      <c r="K153" s="2">
        <v>44301</v>
      </c>
      <c r="L153" s="2">
        <v>46127</v>
      </c>
      <c r="M153" s="10">
        <f t="shared" si="38"/>
        <v>5.0027397260273974</v>
      </c>
      <c r="N153" s="11">
        <f t="shared" si="39"/>
        <v>1</v>
      </c>
      <c r="O153" s="9" t="s">
        <v>47</v>
      </c>
      <c r="P153" t="str">
        <f t="shared" si="42"/>
        <v>0</v>
      </c>
      <c r="Q153" s="12">
        <v>1200000</v>
      </c>
      <c r="R153" s="9">
        <v>1000</v>
      </c>
      <c r="S153" s="1" t="str">
        <f>IF($V153="USD",INDEX('Dólar Spot'!$B:$B,MATCH(Base!$K153,'Dólar Spot'!$A:$A,0)),"")</f>
        <v/>
      </c>
      <c r="T153" s="11">
        <f t="shared" si="48"/>
        <v>1200000000</v>
      </c>
      <c r="U153" s="13">
        <f t="shared" si="40"/>
        <v>12</v>
      </c>
      <c r="V153" s="9" t="s">
        <v>44</v>
      </c>
      <c r="W153" s="9" t="s">
        <v>35</v>
      </c>
      <c r="X153">
        <f t="shared" si="43"/>
        <v>0</v>
      </c>
      <c r="Y153" s="1" t="str" cm="1">
        <f t="array" ref="Y153">INDEX(Ratings!$B$2:$M$42,_xlfn.XMATCH(Base!F153,Ratings!$A$2:$A$42),_xlfn.XMATCH(YEAR(Base!K153),Ratings!$B$1:$M$1))</f>
        <v>BB-</v>
      </c>
      <c r="Z153">
        <f t="shared" si="44"/>
        <v>0</v>
      </c>
      <c r="AA153">
        <f>IFERROR(IFERROR(IFERROR(INDEX('EMBI+'!$B:$B,MATCH(Base!$K153,'EMBI+'!$A:$A,0)),INDEX('EMBI+'!$B:$B,MATCH(Base!$K153+1,'EMBI+'!$A:$A,0))),INDEX('EMBI+'!$B:$B,MATCH(Base!$K153+2,'EMBI+'!$A:$A,0))),INDEX('EMBI+'!$B:$B,MATCH(Base!$K153+3,'EMBI+'!$A:$A,0)))/100</f>
        <v>2.9</v>
      </c>
      <c r="AB153" s="9">
        <v>728.15673000000004</v>
      </c>
      <c r="AC153" s="9">
        <v>476.15017999999998</v>
      </c>
      <c r="AD153" s="9"/>
      <c r="AE153" s="9"/>
      <c r="AF153" s="2"/>
      <c r="AG153" s="2"/>
    </row>
    <row r="154" spans="1:33" x14ac:dyDescent="0.35">
      <c r="A154">
        <f t="shared" si="41"/>
        <v>152</v>
      </c>
      <c r="B154">
        <f>IF(G154="Bonds",COUNTIF($G$3:G154,"Bonds"),0)</f>
        <v>0</v>
      </c>
      <c r="C154" t="str">
        <f t="shared" si="45"/>
        <v>Eletrobras4358045407</v>
      </c>
      <c r="D154">
        <f t="shared" si="46"/>
        <v>14</v>
      </c>
      <c r="E154" s="9" t="s">
        <v>210</v>
      </c>
      <c r="F154" s="9" t="s">
        <v>211</v>
      </c>
      <c r="G154" s="9" t="s">
        <v>29</v>
      </c>
      <c r="H154">
        <f t="shared" si="36"/>
        <v>0</v>
      </c>
      <c r="I154" s="9" t="s">
        <v>214</v>
      </c>
      <c r="J154" s="1">
        <f t="shared" si="37"/>
        <v>3</v>
      </c>
      <c r="K154" s="2">
        <v>43580</v>
      </c>
      <c r="L154" s="2">
        <v>45407</v>
      </c>
      <c r="M154" s="10">
        <f t="shared" si="38"/>
        <v>5.0054794520547947</v>
      </c>
      <c r="N154" s="11">
        <f t="shared" si="39"/>
        <v>1</v>
      </c>
      <c r="O154" s="9" t="s">
        <v>47</v>
      </c>
      <c r="P154" t="str">
        <f t="shared" si="42"/>
        <v>0</v>
      </c>
      <c r="Q154" s="12">
        <v>2200000</v>
      </c>
      <c r="R154" s="9">
        <v>1000</v>
      </c>
      <c r="S154" s="1" t="str">
        <f>IF($V154="USD",INDEX('Dólar Spot'!$B:$B,MATCH(Base!$K154,'Dólar Spot'!$A:$A,0)),"")</f>
        <v/>
      </c>
      <c r="T154" s="11">
        <f t="shared" si="48"/>
        <v>2200000000</v>
      </c>
      <c r="U154" s="13">
        <f t="shared" si="40"/>
        <v>22</v>
      </c>
      <c r="V154" s="9" t="s">
        <v>44</v>
      </c>
      <c r="W154" s="9" t="s">
        <v>34</v>
      </c>
      <c r="X154">
        <f t="shared" si="43"/>
        <v>1</v>
      </c>
      <c r="Y154" s="1" t="str" cm="1">
        <f t="array" ref="Y154">INDEX(Ratings!$B$2:$M$42,_xlfn.XMATCH(Base!F154,Ratings!$A$2:$A$42),_xlfn.XMATCH(YEAR(Base!K154),Ratings!$B$1:$M$1))</f>
        <v>BB-</v>
      </c>
      <c r="Z154">
        <f t="shared" si="44"/>
        <v>0</v>
      </c>
      <c r="AA154">
        <f>IFERROR(IFERROR(IFERROR(INDEX('EMBI+'!$B:$B,MATCH(Base!$K154,'EMBI+'!$A:$A,0)),INDEX('EMBI+'!$B:$B,MATCH(Base!$K154+1,'EMBI+'!$A:$A,0))),INDEX('EMBI+'!$B:$B,MATCH(Base!$K154+2,'EMBI+'!$A:$A,0))),INDEX('EMBI+'!$B:$B,MATCH(Base!$K154+3,'EMBI+'!$A:$A,0)))/100</f>
        <v>2.52</v>
      </c>
      <c r="AB154" s="9">
        <v>569.65237000000002</v>
      </c>
      <c r="AC154" s="9">
        <v>554.81133</v>
      </c>
      <c r="AD154" s="9"/>
      <c r="AE154" s="9"/>
      <c r="AF154" s="2"/>
      <c r="AG154" s="2"/>
    </row>
    <row r="155" spans="1:33" x14ac:dyDescent="0.35">
      <c r="A155">
        <f t="shared" si="41"/>
        <v>153</v>
      </c>
      <c r="B155">
        <f>IF(G155="Bonds",COUNTIF($G$3:G155,"Bonds"),0)</f>
        <v>0</v>
      </c>
      <c r="C155" t="str">
        <f t="shared" si="45"/>
        <v>Eletrobras4430147953</v>
      </c>
      <c r="D155">
        <f t="shared" si="46"/>
        <v>14</v>
      </c>
      <c r="E155" s="9" t="s">
        <v>210</v>
      </c>
      <c r="F155" s="9" t="s">
        <v>211</v>
      </c>
      <c r="G155" s="9" t="s">
        <v>29</v>
      </c>
      <c r="H155">
        <f t="shared" si="36"/>
        <v>0</v>
      </c>
      <c r="I155" s="9" t="s">
        <v>215</v>
      </c>
      <c r="J155" s="1">
        <f t="shared" si="37"/>
        <v>4</v>
      </c>
      <c r="K155" s="2">
        <v>44301</v>
      </c>
      <c r="L155" s="2">
        <v>47953</v>
      </c>
      <c r="M155" s="10">
        <f t="shared" si="38"/>
        <v>10.005479452054795</v>
      </c>
      <c r="N155" s="11">
        <f t="shared" si="39"/>
        <v>1</v>
      </c>
      <c r="O155" s="9" t="s">
        <v>47</v>
      </c>
      <c r="P155" t="str">
        <f t="shared" si="42"/>
        <v>0</v>
      </c>
      <c r="Q155" s="12">
        <v>1500000</v>
      </c>
      <c r="R155" s="9">
        <v>1000</v>
      </c>
      <c r="S155" s="1" t="str">
        <f>IF($V155="USD",INDEX('Dólar Spot'!$B:$B,MATCH(Base!$K155,'Dólar Spot'!$A:$A,0)),"")</f>
        <v/>
      </c>
      <c r="T155" s="11">
        <f t="shared" si="48"/>
        <v>1500000000</v>
      </c>
      <c r="U155" s="13">
        <f t="shared" si="40"/>
        <v>15</v>
      </c>
      <c r="V155" s="9" t="s">
        <v>32</v>
      </c>
      <c r="W155" s="9" t="s">
        <v>35</v>
      </c>
      <c r="X155">
        <f t="shared" si="43"/>
        <v>0</v>
      </c>
      <c r="Y155" s="1" t="str" cm="1">
        <f t="array" ref="Y155">INDEX(Ratings!$B$2:$M$42,_xlfn.XMATCH(Base!F155,Ratings!$A$2:$A$42),_xlfn.XMATCH(YEAR(Base!K155),Ratings!$B$1:$M$1))</f>
        <v>BB-</v>
      </c>
      <c r="Z155">
        <f t="shared" si="44"/>
        <v>0</v>
      </c>
      <c r="AA155">
        <f>IFERROR(IFERROR(IFERROR(INDEX('EMBI+'!$B:$B,MATCH(Base!$K155,'EMBI+'!$A:$A,0)),INDEX('EMBI+'!$B:$B,MATCH(Base!$K155+1,'EMBI+'!$A:$A,0))),INDEX('EMBI+'!$B:$B,MATCH(Base!$K155+2,'EMBI+'!$A:$A,0))),INDEX('EMBI+'!$B:$B,MATCH(Base!$K155+3,'EMBI+'!$A:$A,0)))/100</f>
        <v>2.9</v>
      </c>
      <c r="AB155" s="9">
        <v>728.15673000000004</v>
      </c>
      <c r="AC155" s="9">
        <v>476.15017999999998</v>
      </c>
      <c r="AD155" s="9"/>
      <c r="AE155" s="9"/>
      <c r="AF155" s="2"/>
      <c r="AG155" s="2"/>
    </row>
    <row r="156" spans="1:33" x14ac:dyDescent="0.35">
      <c r="A156">
        <f t="shared" si="41"/>
        <v>154</v>
      </c>
      <c r="B156">
        <f>IF(G156="Bonds",COUNTIF($G$3:G156,"Bonds"),0)</f>
        <v>0</v>
      </c>
      <c r="C156" t="str">
        <f t="shared" si="45"/>
        <v>Eletrobras4358046137</v>
      </c>
      <c r="D156">
        <f t="shared" si="46"/>
        <v>14</v>
      </c>
      <c r="E156" s="9" t="s">
        <v>210</v>
      </c>
      <c r="F156" s="9" t="s">
        <v>211</v>
      </c>
      <c r="G156" s="9" t="s">
        <v>29</v>
      </c>
      <c r="H156">
        <f t="shared" si="36"/>
        <v>0</v>
      </c>
      <c r="I156" s="9" t="s">
        <v>216</v>
      </c>
      <c r="J156" s="1">
        <f t="shared" si="37"/>
        <v>5</v>
      </c>
      <c r="K156" s="2">
        <v>43580</v>
      </c>
      <c r="L156" s="2">
        <v>46137</v>
      </c>
      <c r="M156" s="10">
        <f t="shared" si="38"/>
        <v>7.0054794520547947</v>
      </c>
      <c r="N156" s="11">
        <f t="shared" si="39"/>
        <v>1</v>
      </c>
      <c r="O156" s="9" t="s">
        <v>47</v>
      </c>
      <c r="P156" t="str">
        <f t="shared" si="42"/>
        <v>0</v>
      </c>
      <c r="Q156" s="12">
        <v>1000000</v>
      </c>
      <c r="R156" s="9">
        <v>1000</v>
      </c>
      <c r="S156" s="1" t="str">
        <f>IF($V156="USD",INDEX('Dólar Spot'!$B:$B,MATCH(Base!$K156,'Dólar Spot'!$A:$A,0)),"")</f>
        <v/>
      </c>
      <c r="T156" s="11">
        <f t="shared" si="48"/>
        <v>1000000000</v>
      </c>
      <c r="U156" s="13">
        <f t="shared" si="40"/>
        <v>10</v>
      </c>
      <c r="V156" s="9" t="s">
        <v>44</v>
      </c>
      <c r="W156" s="9" t="s">
        <v>34</v>
      </c>
      <c r="X156">
        <f t="shared" si="43"/>
        <v>1</v>
      </c>
      <c r="Y156" s="1" t="str" cm="1">
        <f t="array" ref="Y156">INDEX(Ratings!$B$2:$M$42,_xlfn.XMATCH(Base!F156,Ratings!$A$2:$A$42),_xlfn.XMATCH(YEAR(Base!K156),Ratings!$B$1:$M$1))</f>
        <v>BB-</v>
      </c>
      <c r="Z156">
        <f t="shared" si="44"/>
        <v>0</v>
      </c>
      <c r="AA156">
        <f>IFERROR(IFERROR(IFERROR(INDEX('EMBI+'!$B:$B,MATCH(Base!$K156,'EMBI+'!$A:$A,0)),INDEX('EMBI+'!$B:$B,MATCH(Base!$K156+1,'EMBI+'!$A:$A,0))),INDEX('EMBI+'!$B:$B,MATCH(Base!$K156+2,'EMBI+'!$A:$A,0))),INDEX('EMBI+'!$B:$B,MATCH(Base!$K156+3,'EMBI+'!$A:$A,0)))/100</f>
        <v>2.52</v>
      </c>
      <c r="AB156" s="9">
        <v>569.65237000000002</v>
      </c>
      <c r="AC156" s="9">
        <v>554.81133</v>
      </c>
      <c r="AD156" s="9"/>
      <c r="AE156" s="9"/>
      <c r="AF156" s="2"/>
      <c r="AG156" s="2"/>
    </row>
    <row r="157" spans="1:33" x14ac:dyDescent="0.35">
      <c r="A157">
        <f t="shared" si="41"/>
        <v>155</v>
      </c>
      <c r="B157">
        <f>IF(G157="Bonds",COUNTIF($G$3:G157,"Bonds"),0)</f>
        <v>0</v>
      </c>
      <c r="C157" t="str">
        <f t="shared" si="45"/>
        <v>Eletrobras4358047253</v>
      </c>
      <c r="D157">
        <f t="shared" si="46"/>
        <v>14</v>
      </c>
      <c r="E157" s="9" t="s">
        <v>210</v>
      </c>
      <c r="F157" s="9" t="s">
        <v>211</v>
      </c>
      <c r="G157" s="9" t="s">
        <v>29</v>
      </c>
      <c r="H157">
        <f t="shared" si="36"/>
        <v>0</v>
      </c>
      <c r="I157" s="9" t="s">
        <v>217</v>
      </c>
      <c r="J157" s="1">
        <f t="shared" si="37"/>
        <v>6</v>
      </c>
      <c r="K157" s="2">
        <v>43580</v>
      </c>
      <c r="L157" s="2">
        <v>47253</v>
      </c>
      <c r="M157" s="10">
        <f t="shared" si="38"/>
        <v>10.063013698630137</v>
      </c>
      <c r="N157" s="11">
        <f t="shared" si="39"/>
        <v>1</v>
      </c>
      <c r="O157" s="9" t="s">
        <v>47</v>
      </c>
      <c r="P157" t="str">
        <f t="shared" si="42"/>
        <v>0</v>
      </c>
      <c r="Q157" s="12">
        <v>700000</v>
      </c>
      <c r="R157" s="9">
        <v>1000</v>
      </c>
      <c r="S157" s="1" t="str">
        <f>IF($V157="USD",INDEX('Dólar Spot'!$B:$B,MATCH(Base!$K157,'Dólar Spot'!$A:$A,0)),"")</f>
        <v/>
      </c>
      <c r="T157" s="11">
        <f t="shared" si="48"/>
        <v>700000000</v>
      </c>
      <c r="U157" s="13">
        <f t="shared" si="40"/>
        <v>7</v>
      </c>
      <c r="V157" s="9" t="s">
        <v>32</v>
      </c>
      <c r="W157" s="9" t="s">
        <v>35</v>
      </c>
      <c r="X157">
        <f t="shared" si="43"/>
        <v>0</v>
      </c>
      <c r="Y157" s="1" t="str" cm="1">
        <f t="array" ref="Y157">INDEX(Ratings!$B$2:$M$42,_xlfn.XMATCH(Base!F157,Ratings!$A$2:$A$42),_xlfn.XMATCH(YEAR(Base!K157),Ratings!$B$1:$M$1))</f>
        <v>BB-</v>
      </c>
      <c r="Z157">
        <f t="shared" si="44"/>
        <v>0</v>
      </c>
      <c r="AA157">
        <f>IFERROR(IFERROR(IFERROR(INDEX('EMBI+'!$B:$B,MATCH(Base!$K157,'EMBI+'!$A:$A,0)),INDEX('EMBI+'!$B:$B,MATCH(Base!$K157+1,'EMBI+'!$A:$A,0))),INDEX('EMBI+'!$B:$B,MATCH(Base!$K157+2,'EMBI+'!$A:$A,0))),INDEX('EMBI+'!$B:$B,MATCH(Base!$K157+3,'EMBI+'!$A:$A,0)))/100</f>
        <v>2.52</v>
      </c>
      <c r="AB157" s="9">
        <v>569.65237000000002</v>
      </c>
      <c r="AC157" s="9">
        <v>554.81133</v>
      </c>
      <c r="AD157" s="9"/>
      <c r="AE157" s="9"/>
      <c r="AF157" s="2"/>
      <c r="AG157" s="2"/>
    </row>
    <row r="158" spans="1:33" x14ac:dyDescent="0.35">
      <c r="A158">
        <f t="shared" si="41"/>
        <v>156</v>
      </c>
      <c r="B158">
        <f>IF(G158="Bonds",COUNTIF($G$3:G158,"Bonds"),0)</f>
        <v>48</v>
      </c>
      <c r="C158" t="str">
        <f t="shared" si="45"/>
        <v>Eletrobras4386504/02/2030</v>
      </c>
      <c r="D158">
        <f t="shared" si="46"/>
        <v>14</v>
      </c>
      <c r="E158" s="9" t="s">
        <v>218</v>
      </c>
      <c r="F158" s="9" t="s">
        <v>211</v>
      </c>
      <c r="G158" s="9" t="s">
        <v>37</v>
      </c>
      <c r="H158">
        <f t="shared" si="36"/>
        <v>1</v>
      </c>
      <c r="I158" s="9"/>
      <c r="J158" s="1">
        <f t="shared" si="37"/>
        <v>7</v>
      </c>
      <c r="K158" s="2">
        <v>43865</v>
      </c>
      <c r="L158" s="2" t="s">
        <v>219</v>
      </c>
      <c r="M158" s="10">
        <f t="shared" si="38"/>
        <v>10.008219178082191</v>
      </c>
      <c r="N158" s="11">
        <f t="shared" si="39"/>
        <v>1</v>
      </c>
      <c r="O158" s="9" t="s">
        <v>33</v>
      </c>
      <c r="P158" t="str">
        <f t="shared" si="42"/>
        <v>0</v>
      </c>
      <c r="Q158" s="9"/>
      <c r="R158" s="9"/>
      <c r="S158" s="1">
        <f>IF($V158="USD",INDEX('Dólar Spot'!$B:$B,MATCH(Base!$K158,'Dólar Spot'!$A:$A,0)),"")</f>
        <v>4.2374999999999998</v>
      </c>
      <c r="T158" s="12">
        <v>750000000</v>
      </c>
      <c r="U158" s="13">
        <f t="shared" si="40"/>
        <v>31.78125</v>
      </c>
      <c r="V158" s="9" t="s">
        <v>40</v>
      </c>
      <c r="W158" s="9" t="s">
        <v>35</v>
      </c>
      <c r="X158">
        <f t="shared" si="43"/>
        <v>0</v>
      </c>
      <c r="Y158" s="1" t="str" cm="1">
        <f t="array" ref="Y158">INDEX(Ratings!$B$2:$M$42,_xlfn.XMATCH(Base!F158,Ratings!$A$2:$A$42),_xlfn.XMATCH(YEAR(Base!K158),Ratings!$B$1:$M$1))</f>
        <v>BB-</v>
      </c>
      <c r="Z158">
        <f t="shared" si="44"/>
        <v>0</v>
      </c>
      <c r="AA158">
        <f>IFERROR(IFERROR(IFERROR(INDEX('EMBI+'!$B:$B,MATCH(Base!$K158,'EMBI+'!$A:$A,0)),INDEX('EMBI+'!$B:$B,MATCH(Base!$K158+1,'EMBI+'!$A:$A,0))),INDEX('EMBI+'!$B:$B,MATCH(Base!$K158+2,'EMBI+'!$A:$A,0))),INDEX('EMBI+'!$B:$B,MATCH(Base!$K158+3,'EMBI+'!$A:$A,0)))/100</f>
        <v>2.19</v>
      </c>
      <c r="AB158" s="9">
        <v>709.06800999999996</v>
      </c>
      <c r="AC158" s="9">
        <v>491.06830000000002</v>
      </c>
      <c r="AD158" s="9"/>
      <c r="AE158" s="9"/>
      <c r="AF158" s="2"/>
      <c r="AG158" s="2"/>
    </row>
    <row r="159" spans="1:33" x14ac:dyDescent="0.35">
      <c r="A159">
        <f t="shared" si="41"/>
        <v>157</v>
      </c>
      <c r="B159">
        <f>IF(G159="Bonds",COUNTIF($G$3:G159,"Bonds"),0)</f>
        <v>49</v>
      </c>
      <c r="C159" t="str">
        <f t="shared" si="45"/>
        <v>Eletrobras4386504/02/2025</v>
      </c>
      <c r="D159">
        <f t="shared" si="46"/>
        <v>14</v>
      </c>
      <c r="E159" s="9" t="s">
        <v>218</v>
      </c>
      <c r="F159" s="9" t="s">
        <v>211</v>
      </c>
      <c r="G159" s="9" t="s">
        <v>37</v>
      </c>
      <c r="H159">
        <f t="shared" si="36"/>
        <v>1</v>
      </c>
      <c r="I159" s="9"/>
      <c r="J159" s="1">
        <f t="shared" si="37"/>
        <v>8</v>
      </c>
      <c r="K159" s="2">
        <v>43865</v>
      </c>
      <c r="L159" s="2" t="s">
        <v>220</v>
      </c>
      <c r="M159" s="10">
        <f t="shared" si="38"/>
        <v>5.0054794520547947</v>
      </c>
      <c r="N159" s="11">
        <f t="shared" si="39"/>
        <v>1</v>
      </c>
      <c r="O159" s="9" t="s">
        <v>33</v>
      </c>
      <c r="P159" t="str">
        <f t="shared" si="42"/>
        <v>0</v>
      </c>
      <c r="Q159" s="9"/>
      <c r="R159" s="9"/>
      <c r="S159" s="1">
        <f>IF($V159="USD",INDEX('Dólar Spot'!$B:$B,MATCH(Base!$K159,'Dólar Spot'!$A:$A,0)),"")</f>
        <v>4.2374999999999998</v>
      </c>
      <c r="T159" s="12">
        <v>500000000</v>
      </c>
      <c r="U159" s="13">
        <f t="shared" si="40"/>
        <v>21.1875</v>
      </c>
      <c r="V159" s="9" t="s">
        <v>40</v>
      </c>
      <c r="W159" s="9" t="s">
        <v>35</v>
      </c>
      <c r="X159">
        <f t="shared" si="43"/>
        <v>0</v>
      </c>
      <c r="Y159" s="1" t="str" cm="1">
        <f t="array" ref="Y159">INDEX(Ratings!$B$2:$M$42,_xlfn.XMATCH(Base!F159,Ratings!$A$2:$A$42),_xlfn.XMATCH(YEAR(Base!K159),Ratings!$B$1:$M$1))</f>
        <v>BB-</v>
      </c>
      <c r="Z159">
        <f t="shared" si="44"/>
        <v>0</v>
      </c>
      <c r="AA159">
        <f>IFERROR(IFERROR(IFERROR(INDEX('EMBI+'!$B:$B,MATCH(Base!$K159,'EMBI+'!$A:$A,0)),INDEX('EMBI+'!$B:$B,MATCH(Base!$K159+1,'EMBI+'!$A:$A,0))),INDEX('EMBI+'!$B:$B,MATCH(Base!$K159+2,'EMBI+'!$A:$A,0))),INDEX('EMBI+'!$B:$B,MATCH(Base!$K159+3,'EMBI+'!$A:$A,0)))/100</f>
        <v>2.19</v>
      </c>
      <c r="AB159" s="9">
        <v>709.06800999999996</v>
      </c>
      <c r="AC159" s="9">
        <v>491.06830000000002</v>
      </c>
      <c r="AD159" s="9"/>
      <c r="AE159" s="9"/>
      <c r="AF159" s="2"/>
      <c r="AG159" s="2"/>
    </row>
    <row r="160" spans="1:33" x14ac:dyDescent="0.35">
      <c r="A160">
        <f t="shared" si="41"/>
        <v>158</v>
      </c>
      <c r="B160">
        <f>IF(G160="Bonds",COUNTIF($G$3:G160,"Bonds"),0)</f>
        <v>50</v>
      </c>
      <c r="C160" t="str">
        <f t="shared" si="45"/>
        <v>Eletrobras4084327/10/2021</v>
      </c>
      <c r="D160">
        <f t="shared" si="46"/>
        <v>14</v>
      </c>
      <c r="E160" s="9" t="s">
        <v>218</v>
      </c>
      <c r="F160" s="9" t="s">
        <v>211</v>
      </c>
      <c r="G160" s="9" t="s">
        <v>37</v>
      </c>
      <c r="H160">
        <f t="shared" si="36"/>
        <v>1</v>
      </c>
      <c r="I160" s="9"/>
      <c r="J160" s="1">
        <f t="shared" si="37"/>
        <v>9</v>
      </c>
      <c r="K160" s="2">
        <v>40843</v>
      </c>
      <c r="L160" s="2" t="s">
        <v>221</v>
      </c>
      <c r="M160" s="10">
        <f t="shared" si="38"/>
        <v>10.008219178082191</v>
      </c>
      <c r="N160" s="11">
        <f t="shared" si="39"/>
        <v>1</v>
      </c>
      <c r="O160" s="9" t="s">
        <v>33</v>
      </c>
      <c r="P160" t="str">
        <f t="shared" si="42"/>
        <v>0</v>
      </c>
      <c r="Q160" s="9"/>
      <c r="R160" s="9"/>
      <c r="S160" s="1">
        <f>IF($V160="USD",INDEX('Dólar Spot'!$B:$B,MATCH(Base!$K160,'Dólar Spot'!$A:$A,0)),"")</f>
        <v>1.7316</v>
      </c>
      <c r="T160" s="12">
        <v>1750000000</v>
      </c>
      <c r="U160" s="13">
        <f t="shared" si="40"/>
        <v>30.303000000000001</v>
      </c>
      <c r="V160" s="9" t="s">
        <v>40</v>
      </c>
      <c r="W160" s="9" t="s">
        <v>35</v>
      </c>
      <c r="X160">
        <f t="shared" si="43"/>
        <v>0</v>
      </c>
      <c r="Y160" s="1" t="str" cm="1">
        <f t="array" ref="Y160">INDEX(Ratings!$B$2:$M$42,_xlfn.XMATCH(Base!F160,Ratings!$A$2:$A$42),_xlfn.XMATCH(YEAR(Base!K160),Ratings!$B$1:$M$1))</f>
        <v>BBB</v>
      </c>
      <c r="Z160">
        <f t="shared" si="44"/>
        <v>1</v>
      </c>
      <c r="AA160">
        <f>IFERROR(IFERROR(IFERROR(INDEX('EMBI+'!$B:$B,MATCH(Base!$K160,'EMBI+'!$A:$A,0)),INDEX('EMBI+'!$B:$B,MATCH(Base!$K160+1,'EMBI+'!$A:$A,0))),INDEX('EMBI+'!$B:$B,MATCH(Base!$K160+2,'EMBI+'!$A:$A,0))),INDEX('EMBI+'!$B:$B,MATCH(Base!$K160+3,'EMBI+'!$A:$A,0)))/100</f>
        <v>1.97</v>
      </c>
      <c r="AB160" s="9">
        <v>775.00905</v>
      </c>
      <c r="AC160" s="9">
        <v>401.76722999999998</v>
      </c>
      <c r="AD160" s="9"/>
      <c r="AE160" s="9"/>
      <c r="AF160" s="2"/>
      <c r="AG160" s="2"/>
    </row>
    <row r="161" spans="1:33" x14ac:dyDescent="0.35">
      <c r="A161">
        <f t="shared" si="41"/>
        <v>159</v>
      </c>
      <c r="B161">
        <f>IF(G161="Bonds",COUNTIF($G$3:G161,"Bonds"),0)</f>
        <v>0</v>
      </c>
      <c r="C161" t="str">
        <f t="shared" si="45"/>
        <v>Equatorial4271944545</v>
      </c>
      <c r="D161">
        <f t="shared" si="46"/>
        <v>15</v>
      </c>
      <c r="E161" s="9" t="s">
        <v>222</v>
      </c>
      <c r="F161" s="9" t="s">
        <v>223</v>
      </c>
      <c r="G161" s="9" t="s">
        <v>29</v>
      </c>
      <c r="H161">
        <f t="shared" si="36"/>
        <v>0</v>
      </c>
      <c r="I161" s="9" t="s">
        <v>224</v>
      </c>
      <c r="J161" s="1">
        <f t="shared" si="37"/>
        <v>1</v>
      </c>
      <c r="K161" s="2">
        <v>42719</v>
      </c>
      <c r="L161" s="2">
        <v>44545</v>
      </c>
      <c r="M161" s="10">
        <f t="shared" si="38"/>
        <v>5.0027397260273974</v>
      </c>
      <c r="N161" s="11">
        <f t="shared" si="39"/>
        <v>1</v>
      </c>
      <c r="O161" s="9" t="s">
        <v>47</v>
      </c>
      <c r="P161" t="str">
        <f t="shared" si="42"/>
        <v>0</v>
      </c>
      <c r="Q161" s="12">
        <v>199069</v>
      </c>
      <c r="R161" s="9">
        <v>1000</v>
      </c>
      <c r="S161" s="1" t="str">
        <f>IF($V161="USD",INDEX('Dólar Spot'!$B:$B,MATCH(Base!$K161,'Dólar Spot'!$A:$A,0)),"")</f>
        <v/>
      </c>
      <c r="T161" s="11">
        <f t="shared" ref="T161:T164" si="49">Q161*R161</f>
        <v>199069000</v>
      </c>
      <c r="U161" s="13">
        <f t="shared" si="40"/>
        <v>1.9906900000000001</v>
      </c>
      <c r="V161" s="9" t="s">
        <v>32</v>
      </c>
      <c r="W161" s="9" t="s">
        <v>34</v>
      </c>
      <c r="X161">
        <f t="shared" si="43"/>
        <v>1</v>
      </c>
      <c r="Y161" s="1" t="str" cm="1">
        <f t="array" ref="Y161">INDEX(Ratings!$B$2:$M$42,_xlfn.XMATCH(Base!F161,Ratings!$A$2:$A$42),_xlfn.XMATCH(YEAR(Base!K161),Ratings!$B$1:$M$1))</f>
        <v>NR</v>
      </c>
      <c r="Z161">
        <f t="shared" si="44"/>
        <v>0</v>
      </c>
      <c r="AA161">
        <f>IFERROR(IFERROR(IFERROR(INDEX('EMBI+'!$B:$B,MATCH(Base!$K161,'EMBI+'!$A:$A,0)),INDEX('EMBI+'!$B:$B,MATCH(Base!$K161+1,'EMBI+'!$A:$A,0))),INDEX('EMBI+'!$B:$B,MATCH(Base!$K161+2,'EMBI+'!$A:$A,0))),INDEX('EMBI+'!$B:$B,MATCH(Base!$K161+3,'EMBI+'!$A:$A,0)))/100</f>
        <v>3.32</v>
      </c>
      <c r="AB161" s="9">
        <v>40.239980000000003</v>
      </c>
      <c r="AC161" s="9">
        <v>48.343310000000002</v>
      </c>
      <c r="AD161" s="9"/>
      <c r="AE161" s="9"/>
      <c r="AF161" s="2"/>
      <c r="AG161" s="2"/>
    </row>
    <row r="162" spans="1:33" x14ac:dyDescent="0.35">
      <c r="A162">
        <f t="shared" si="41"/>
        <v>160</v>
      </c>
      <c r="B162">
        <f>IF(G162="Bonds",COUNTIF($G$3:G162,"Bonds"),0)</f>
        <v>0</v>
      </c>
      <c r="C162" t="str">
        <f t="shared" si="45"/>
        <v>Equatorial4271943814</v>
      </c>
      <c r="D162">
        <f t="shared" si="46"/>
        <v>15</v>
      </c>
      <c r="E162" s="9" t="s">
        <v>222</v>
      </c>
      <c r="F162" s="9" t="s">
        <v>223</v>
      </c>
      <c r="G162" s="9" t="s">
        <v>29</v>
      </c>
      <c r="H162">
        <f t="shared" si="36"/>
        <v>0</v>
      </c>
      <c r="I162" s="9" t="s">
        <v>225</v>
      </c>
      <c r="J162" s="1">
        <f t="shared" si="37"/>
        <v>2</v>
      </c>
      <c r="K162" s="2">
        <v>42719</v>
      </c>
      <c r="L162" s="2">
        <v>43814</v>
      </c>
      <c r="M162" s="10">
        <f t="shared" si="38"/>
        <v>3</v>
      </c>
      <c r="N162" s="11">
        <f t="shared" si="39"/>
        <v>0</v>
      </c>
      <c r="O162" s="9" t="s">
        <v>47</v>
      </c>
      <c r="P162" t="str">
        <f t="shared" si="42"/>
        <v>0</v>
      </c>
      <c r="Q162" s="12">
        <v>50000</v>
      </c>
      <c r="R162" s="9">
        <v>10000</v>
      </c>
      <c r="S162" s="1" t="str">
        <f>IF($V162="USD",INDEX('Dólar Spot'!$B:$B,MATCH(Base!$K162,'Dólar Spot'!$A:$A,0)),"")</f>
        <v/>
      </c>
      <c r="T162" s="11">
        <f t="shared" si="49"/>
        <v>500000000</v>
      </c>
      <c r="U162" s="13">
        <f t="shared" si="40"/>
        <v>5</v>
      </c>
      <c r="V162" s="9" t="s">
        <v>44</v>
      </c>
      <c r="W162" s="9" t="s">
        <v>34</v>
      </c>
      <c r="X162">
        <f t="shared" si="43"/>
        <v>1</v>
      </c>
      <c r="Y162" s="1" t="str" cm="1">
        <f t="array" ref="Y162">INDEX(Ratings!$B$2:$M$42,_xlfn.XMATCH(Base!F162,Ratings!$A$2:$A$42),_xlfn.XMATCH(YEAR(Base!K162),Ratings!$B$1:$M$1))</f>
        <v>NR</v>
      </c>
      <c r="Z162">
        <f t="shared" si="44"/>
        <v>0</v>
      </c>
      <c r="AA162">
        <f>IFERROR(IFERROR(IFERROR(INDEX('EMBI+'!$B:$B,MATCH(Base!$K162,'EMBI+'!$A:$A,0)),INDEX('EMBI+'!$B:$B,MATCH(Base!$K162+1,'EMBI+'!$A:$A,0))),INDEX('EMBI+'!$B:$B,MATCH(Base!$K162+2,'EMBI+'!$A:$A,0))),INDEX('EMBI+'!$B:$B,MATCH(Base!$K162+3,'EMBI+'!$A:$A,0)))/100</f>
        <v>3.32</v>
      </c>
      <c r="AB162" s="9">
        <v>40.239980000000003</v>
      </c>
      <c r="AC162" s="9">
        <v>48.343310000000002</v>
      </c>
      <c r="AD162" s="9"/>
      <c r="AE162" s="9"/>
      <c r="AF162" s="2"/>
      <c r="AG162" s="2"/>
    </row>
    <row r="163" spans="1:33" x14ac:dyDescent="0.35">
      <c r="A163">
        <f t="shared" si="41"/>
        <v>161</v>
      </c>
      <c r="B163">
        <f>IF(G163="Bonds",COUNTIF($G$3:G163,"Bonds"),0)</f>
        <v>0</v>
      </c>
      <c r="C163" t="str">
        <f t="shared" si="45"/>
        <v>Equatorial4271945275</v>
      </c>
      <c r="D163">
        <f t="shared" si="46"/>
        <v>15</v>
      </c>
      <c r="E163" s="9" t="s">
        <v>222</v>
      </c>
      <c r="F163" s="9" t="s">
        <v>223</v>
      </c>
      <c r="G163" s="9" t="s">
        <v>29</v>
      </c>
      <c r="H163">
        <f t="shared" si="36"/>
        <v>0</v>
      </c>
      <c r="I163" s="9" t="s">
        <v>226</v>
      </c>
      <c r="J163" s="1">
        <f t="shared" si="37"/>
        <v>3</v>
      </c>
      <c r="K163" s="2">
        <v>42719</v>
      </c>
      <c r="L163" s="2">
        <v>45275</v>
      </c>
      <c r="M163" s="10">
        <f t="shared" si="38"/>
        <v>7.0027397260273974</v>
      </c>
      <c r="N163" s="11">
        <f t="shared" si="39"/>
        <v>1</v>
      </c>
      <c r="O163" s="9" t="s">
        <v>47</v>
      </c>
      <c r="P163" t="str">
        <f t="shared" si="42"/>
        <v>0</v>
      </c>
      <c r="Q163" s="12">
        <v>100931</v>
      </c>
      <c r="R163" s="9">
        <v>1000</v>
      </c>
      <c r="S163" s="1" t="str">
        <f>IF($V163="USD",INDEX('Dólar Spot'!$B:$B,MATCH(Base!$K163,'Dólar Spot'!$A:$A,0)),"")</f>
        <v/>
      </c>
      <c r="T163" s="11">
        <f t="shared" si="49"/>
        <v>100931000</v>
      </c>
      <c r="U163" s="13">
        <f t="shared" si="40"/>
        <v>1.0093099999999999</v>
      </c>
      <c r="V163" s="9" t="s">
        <v>32</v>
      </c>
      <c r="W163" s="9" t="s">
        <v>34</v>
      </c>
      <c r="X163">
        <f t="shared" si="43"/>
        <v>1</v>
      </c>
      <c r="Y163" s="1" t="str" cm="1">
        <f t="array" ref="Y163">INDEX(Ratings!$B$2:$M$42,_xlfn.XMATCH(Base!F163,Ratings!$A$2:$A$42),_xlfn.XMATCH(YEAR(Base!K163),Ratings!$B$1:$M$1))</f>
        <v>NR</v>
      </c>
      <c r="Z163">
        <f t="shared" si="44"/>
        <v>0</v>
      </c>
      <c r="AA163">
        <f>IFERROR(IFERROR(IFERROR(INDEX('EMBI+'!$B:$B,MATCH(Base!$K163,'EMBI+'!$A:$A,0)),INDEX('EMBI+'!$B:$B,MATCH(Base!$K163+1,'EMBI+'!$A:$A,0))),INDEX('EMBI+'!$B:$B,MATCH(Base!$K163+2,'EMBI+'!$A:$A,0))),INDEX('EMBI+'!$B:$B,MATCH(Base!$K163+3,'EMBI+'!$A:$A,0)))/100</f>
        <v>3.32</v>
      </c>
      <c r="AB163" s="9">
        <v>40.239980000000003</v>
      </c>
      <c r="AC163" s="9">
        <v>48.343310000000002</v>
      </c>
      <c r="AD163" s="9"/>
      <c r="AE163" s="9"/>
      <c r="AF163" s="2"/>
      <c r="AG163" s="2"/>
    </row>
    <row r="164" spans="1:33" x14ac:dyDescent="0.35">
      <c r="A164">
        <f t="shared" si="41"/>
        <v>162</v>
      </c>
      <c r="B164">
        <f>IF(G164="Bonds",COUNTIF($G$3:G164,"Bonds"),0)</f>
        <v>0</v>
      </c>
      <c r="C164" t="str">
        <f t="shared" si="45"/>
        <v>Equatorial4469646888</v>
      </c>
      <c r="D164">
        <f t="shared" si="46"/>
        <v>15</v>
      </c>
      <c r="E164" s="9" t="s">
        <v>227</v>
      </c>
      <c r="F164" s="9" t="s">
        <v>223</v>
      </c>
      <c r="G164" s="9" t="s">
        <v>29</v>
      </c>
      <c r="H164">
        <f t="shared" si="36"/>
        <v>0</v>
      </c>
      <c r="I164" s="9"/>
      <c r="J164" s="1">
        <f t="shared" si="37"/>
        <v>4</v>
      </c>
      <c r="K164" s="2">
        <v>44696</v>
      </c>
      <c r="L164" s="2">
        <v>46888</v>
      </c>
      <c r="M164" s="10">
        <f t="shared" si="38"/>
        <v>6.0054794520547947</v>
      </c>
      <c r="N164" s="11">
        <f t="shared" si="39"/>
        <v>1</v>
      </c>
      <c r="O164" s="9" t="s">
        <v>47</v>
      </c>
      <c r="P164" t="str">
        <f t="shared" si="42"/>
        <v>0</v>
      </c>
      <c r="Q164" s="12">
        <v>1350000000</v>
      </c>
      <c r="R164" s="9">
        <v>1</v>
      </c>
      <c r="S164" s="1" t="str">
        <f>IF($V164="USD",INDEX('Dólar Spot'!$B:$B,MATCH(Base!$K164,'Dólar Spot'!$A:$A,0)),"")</f>
        <v/>
      </c>
      <c r="T164" s="11">
        <f t="shared" si="49"/>
        <v>1350000000</v>
      </c>
      <c r="U164" s="13">
        <f t="shared" si="40"/>
        <v>13.5</v>
      </c>
      <c r="V164" s="9" t="s">
        <v>44</v>
      </c>
      <c r="W164" s="9" t="s">
        <v>34</v>
      </c>
      <c r="X164">
        <f t="shared" si="43"/>
        <v>1</v>
      </c>
      <c r="Y164" s="1" t="str" cm="1">
        <f t="array" ref="Y164">INDEX(Ratings!$B$2:$M$42,_xlfn.XMATCH(Base!F164,Ratings!$A$2:$A$42),_xlfn.XMATCH(YEAR(Base!K164),Ratings!$B$1:$M$1))</f>
        <v>NR</v>
      </c>
      <c r="Z164">
        <f t="shared" si="44"/>
        <v>0</v>
      </c>
      <c r="AA164">
        <f>IFERROR(IFERROR(IFERROR(INDEX('EMBI+'!$B:$B,MATCH(Base!$K164,'EMBI+'!$A:$A,0)),INDEX('EMBI+'!$B:$B,MATCH(Base!$K164+1,'EMBI+'!$A:$A,0))),INDEX('EMBI+'!$B:$B,MATCH(Base!$K164+2,'EMBI+'!$A:$A,0))),INDEX('EMBI+'!$B:$B,MATCH(Base!$K164+3,'EMBI+'!$A:$A,0)))/100</f>
        <v>3.19</v>
      </c>
      <c r="AB164" s="9">
        <v>160.81200999999999</v>
      </c>
      <c r="AC164" s="9">
        <v>315.58839</v>
      </c>
      <c r="AD164" s="9"/>
      <c r="AE164" s="9"/>
      <c r="AF164" s="2"/>
      <c r="AG164" s="2"/>
    </row>
    <row r="165" spans="1:33" x14ac:dyDescent="0.35">
      <c r="A165">
        <f t="shared" si="41"/>
        <v>163</v>
      </c>
      <c r="B165">
        <f>IF(G165="Bonds",COUNTIF($G$3:G165,"Bonds"),0)</f>
        <v>51</v>
      </c>
      <c r="C165" t="str">
        <f t="shared" si="45"/>
        <v>Equatorial4069703/06/2016</v>
      </c>
      <c r="D165">
        <f t="shared" si="46"/>
        <v>15</v>
      </c>
      <c r="E165" s="9" t="s">
        <v>227</v>
      </c>
      <c r="F165" s="9" t="s">
        <v>223</v>
      </c>
      <c r="G165" s="9" t="s">
        <v>37</v>
      </c>
      <c r="H165">
        <f t="shared" si="36"/>
        <v>1</v>
      </c>
      <c r="I165" s="9"/>
      <c r="J165" s="1">
        <f t="shared" si="37"/>
        <v>5</v>
      </c>
      <c r="K165" s="2">
        <v>40697</v>
      </c>
      <c r="L165" s="2" t="s">
        <v>228</v>
      </c>
      <c r="M165" s="10">
        <f t="shared" si="38"/>
        <v>5.0054794520547947</v>
      </c>
      <c r="N165" s="11">
        <f t="shared" si="39"/>
        <v>1</v>
      </c>
      <c r="O165" s="9" t="s">
        <v>33</v>
      </c>
      <c r="P165" t="str">
        <f t="shared" si="42"/>
        <v>0</v>
      </c>
      <c r="Q165" s="9"/>
      <c r="R165" s="9"/>
      <c r="S165" s="1">
        <f>IF($V165="USD",INDEX('Dólar Spot'!$B:$B,MATCH(Base!$K165,'Dólar Spot'!$A:$A,0)),"")</f>
        <v>1.5736000000000001</v>
      </c>
      <c r="T165" s="12">
        <v>250000000</v>
      </c>
      <c r="U165" s="13">
        <f t="shared" si="40"/>
        <v>3.9340000000000002</v>
      </c>
      <c r="V165" s="9" t="s">
        <v>40</v>
      </c>
      <c r="W165" s="9" t="s">
        <v>34</v>
      </c>
      <c r="X165">
        <f t="shared" si="43"/>
        <v>1</v>
      </c>
      <c r="Y165" s="1" t="str" cm="1">
        <f t="array" ref="Y165">INDEX(Ratings!$B$2:$M$42,_xlfn.XMATCH(Base!F165,Ratings!$A$2:$A$42),_xlfn.XMATCH(YEAR(Base!K165),Ratings!$B$1:$M$1))</f>
        <v>B</v>
      </c>
      <c r="Z165">
        <f t="shared" si="44"/>
        <v>0</v>
      </c>
      <c r="AA165">
        <f>IFERROR(IFERROR(IFERROR(INDEX('EMBI+'!$B:$B,MATCH(Base!$K165,'EMBI+'!$A:$A,0)),INDEX('EMBI+'!$B:$B,MATCH(Base!$K165+1,'EMBI+'!$A:$A,0))),INDEX('EMBI+'!$B:$B,MATCH(Base!$K165+2,'EMBI+'!$A:$A,0))),INDEX('EMBI+'!$B:$B,MATCH(Base!$K165+3,'EMBI+'!$A:$A,0)))/100</f>
        <v>1.75</v>
      </c>
      <c r="AB165" s="9">
        <v>8.7857900000000004</v>
      </c>
      <c r="AC165" s="9">
        <v>13.178380000000001</v>
      </c>
      <c r="AD165" s="9"/>
      <c r="AE165" s="9"/>
      <c r="AF165" s="2"/>
      <c r="AG165" s="2"/>
    </row>
    <row r="166" spans="1:33" x14ac:dyDescent="0.35">
      <c r="A166">
        <f t="shared" si="41"/>
        <v>164</v>
      </c>
      <c r="B166">
        <f>IF(G166="Bonds",COUNTIF($G$3:G166,"Bonds"),0)</f>
        <v>0</v>
      </c>
      <c r="C166" t="str">
        <f t="shared" si="45"/>
        <v>Gerdau4342544886</v>
      </c>
      <c r="D166">
        <f t="shared" si="46"/>
        <v>16</v>
      </c>
      <c r="E166" s="9" t="s">
        <v>229</v>
      </c>
      <c r="F166" s="9" t="s">
        <v>230</v>
      </c>
      <c r="G166" s="9" t="s">
        <v>29</v>
      </c>
      <c r="H166">
        <f t="shared" si="36"/>
        <v>0</v>
      </c>
      <c r="I166" s="9" t="s">
        <v>231</v>
      </c>
      <c r="J166" s="1">
        <f t="shared" si="37"/>
        <v>1</v>
      </c>
      <c r="K166" s="2">
        <v>43425</v>
      </c>
      <c r="L166" s="2">
        <v>44886</v>
      </c>
      <c r="M166" s="10">
        <f t="shared" si="38"/>
        <v>4.0027397260273974</v>
      </c>
      <c r="N166" s="11">
        <f t="shared" si="39"/>
        <v>0</v>
      </c>
      <c r="O166" s="9" t="s">
        <v>47</v>
      </c>
      <c r="P166" t="str">
        <f t="shared" si="42"/>
        <v>0</v>
      </c>
      <c r="Q166" s="12">
        <v>1500000</v>
      </c>
      <c r="R166" s="9">
        <v>1000</v>
      </c>
      <c r="S166" s="1" t="str">
        <f>IF($V166="USD",INDEX('Dólar Spot'!$B:$B,MATCH(Base!$K166,'Dólar Spot'!$A:$A,0)),"")</f>
        <v/>
      </c>
      <c r="T166" s="11">
        <f>Q166*R166</f>
        <v>1500000000</v>
      </c>
      <c r="U166" s="13">
        <f t="shared" si="40"/>
        <v>15</v>
      </c>
      <c r="V166" s="9" t="s">
        <v>44</v>
      </c>
      <c r="W166" s="9" t="s">
        <v>34</v>
      </c>
      <c r="X166">
        <f t="shared" si="43"/>
        <v>1</v>
      </c>
      <c r="Y166" s="1" t="str" cm="1">
        <f t="array" ref="Y166">INDEX(Ratings!$B$2:$M$42,_xlfn.XMATCH(Base!F166,Ratings!$A$2:$A$42),_xlfn.XMATCH(YEAR(Base!K166),Ratings!$B$1:$M$1))</f>
        <v>BBB-</v>
      </c>
      <c r="Z166">
        <f t="shared" si="44"/>
        <v>1</v>
      </c>
      <c r="AA166">
        <f>IFERROR(IFERROR(IFERROR(INDEX('EMBI+'!$B:$B,MATCH(Base!$K166,'EMBI+'!$A:$A,0)),INDEX('EMBI+'!$B:$B,MATCH(Base!$K166+1,'EMBI+'!$A:$A,0))),INDEX('EMBI+'!$B:$B,MATCH(Base!$K166+2,'EMBI+'!$A:$A,0))),INDEX('EMBI+'!$B:$B,MATCH(Base!$K166+3,'EMBI+'!$A:$A,0)))/100</f>
        <v>2.71</v>
      </c>
      <c r="AB166" s="9">
        <v>257.30604</v>
      </c>
      <c r="AC166" s="9">
        <v>149.06713999999999</v>
      </c>
      <c r="AD166" s="9"/>
      <c r="AE166" s="9"/>
      <c r="AF166" s="2"/>
      <c r="AG166" s="2"/>
    </row>
    <row r="167" spans="1:33" x14ac:dyDescent="0.35">
      <c r="A167">
        <f t="shared" si="41"/>
        <v>165</v>
      </c>
      <c r="B167">
        <f>IF(G167="Bonds",COUNTIF($G$3:G167,"Bonds"),0)</f>
        <v>0</v>
      </c>
      <c r="C167" t="str">
        <f t="shared" si="45"/>
        <v>Gerdau4359145052</v>
      </c>
      <c r="D167">
        <f t="shared" si="46"/>
        <v>16</v>
      </c>
      <c r="E167" s="9" t="s">
        <v>229</v>
      </c>
      <c r="F167" s="9" t="s">
        <v>230</v>
      </c>
      <c r="G167" s="9" t="s">
        <v>29</v>
      </c>
      <c r="H167">
        <f t="shared" si="36"/>
        <v>0</v>
      </c>
      <c r="I167" s="9" t="s">
        <v>232</v>
      </c>
      <c r="J167" s="1">
        <f t="shared" si="37"/>
        <v>2</v>
      </c>
      <c r="K167" s="2">
        <v>43591</v>
      </c>
      <c r="L167" s="2">
        <v>45052</v>
      </c>
      <c r="M167" s="10">
        <f t="shared" si="38"/>
        <v>4.0027397260273974</v>
      </c>
      <c r="N167" s="11">
        <f t="shared" si="39"/>
        <v>0</v>
      </c>
      <c r="O167" s="9" t="s">
        <v>47</v>
      </c>
      <c r="P167" t="str">
        <f t="shared" si="42"/>
        <v>0</v>
      </c>
      <c r="Q167" s="12">
        <v>600000</v>
      </c>
      <c r="R167" s="9">
        <v>1000</v>
      </c>
      <c r="S167" s="1" t="str">
        <f>IF($V167="USD",INDEX('Dólar Spot'!$B:$B,MATCH(Base!$K167,'Dólar Spot'!$A:$A,0)),"")</f>
        <v/>
      </c>
      <c r="T167" s="11">
        <f>Q167*R167</f>
        <v>600000000</v>
      </c>
      <c r="U167" s="13">
        <f t="shared" si="40"/>
        <v>6</v>
      </c>
      <c r="V167" s="9" t="s">
        <v>44</v>
      </c>
      <c r="W167" s="9" t="s">
        <v>34</v>
      </c>
      <c r="X167">
        <f t="shared" si="43"/>
        <v>1</v>
      </c>
      <c r="Y167" s="1" t="str" cm="1">
        <f t="array" ref="Y167">INDEX(Ratings!$B$2:$M$42,_xlfn.XMATCH(Base!F167,Ratings!$A$2:$A$42),_xlfn.XMATCH(YEAR(Base!K167),Ratings!$B$1:$M$1))</f>
        <v>BBB-</v>
      </c>
      <c r="Z167">
        <f t="shared" si="44"/>
        <v>1</v>
      </c>
      <c r="AA167">
        <f>IFERROR(IFERROR(IFERROR(INDEX('EMBI+'!$B:$B,MATCH(Base!$K167,'EMBI+'!$A:$A,0)),INDEX('EMBI+'!$B:$B,MATCH(Base!$K167+1,'EMBI+'!$A:$A,0))),INDEX('EMBI+'!$B:$B,MATCH(Base!$K167+2,'EMBI+'!$A:$A,0))),INDEX('EMBI+'!$B:$B,MATCH(Base!$K167+3,'EMBI+'!$A:$A,0)))/100</f>
        <v>2.5</v>
      </c>
      <c r="AB167" s="9">
        <v>262.35574000000003</v>
      </c>
      <c r="AC167" s="9">
        <v>149.93030999999999</v>
      </c>
      <c r="AD167" s="9"/>
      <c r="AE167" s="9"/>
      <c r="AF167" s="2"/>
      <c r="AG167" s="2"/>
    </row>
    <row r="168" spans="1:33" x14ac:dyDescent="0.35">
      <c r="A168">
        <f t="shared" si="41"/>
        <v>166</v>
      </c>
      <c r="B168">
        <f>IF(G168="Bonds",COUNTIF($G$3:G168,"Bonds"),0)</f>
        <v>0</v>
      </c>
      <c r="C168" t="str">
        <f t="shared" si="45"/>
        <v>Gerdau4359146148</v>
      </c>
      <c r="D168">
        <f t="shared" si="46"/>
        <v>16</v>
      </c>
      <c r="E168" s="9" t="s">
        <v>229</v>
      </c>
      <c r="F168" s="9" t="s">
        <v>230</v>
      </c>
      <c r="G168" s="9" t="s">
        <v>29</v>
      </c>
      <c r="H168">
        <f t="shared" si="36"/>
        <v>0</v>
      </c>
      <c r="I168" s="9" t="s">
        <v>233</v>
      </c>
      <c r="J168" s="1">
        <f t="shared" si="37"/>
        <v>3</v>
      </c>
      <c r="K168" s="2">
        <v>43591</v>
      </c>
      <c r="L168" s="2">
        <v>46148</v>
      </c>
      <c r="M168" s="10">
        <f t="shared" si="38"/>
        <v>7.0054794520547947</v>
      </c>
      <c r="N168" s="11">
        <f t="shared" si="39"/>
        <v>1</v>
      </c>
      <c r="O168" s="9" t="s">
        <v>47</v>
      </c>
      <c r="P168" t="str">
        <f t="shared" si="42"/>
        <v>0</v>
      </c>
      <c r="Q168" s="12">
        <v>800000</v>
      </c>
      <c r="R168" s="9">
        <v>1000</v>
      </c>
      <c r="S168" s="1" t="str">
        <f>IF($V168="USD",INDEX('Dólar Spot'!$B:$B,MATCH(Base!$K168,'Dólar Spot'!$A:$A,0)),"")</f>
        <v/>
      </c>
      <c r="T168" s="11">
        <f>Q168*R168</f>
        <v>800000000</v>
      </c>
      <c r="U168" s="13">
        <f t="shared" si="40"/>
        <v>8</v>
      </c>
      <c r="V168" s="9" t="s">
        <v>44</v>
      </c>
      <c r="W168" s="9" t="s">
        <v>34</v>
      </c>
      <c r="X168">
        <f t="shared" si="43"/>
        <v>1</v>
      </c>
      <c r="Y168" s="1" t="str" cm="1">
        <f t="array" ref="Y168">INDEX(Ratings!$B$2:$M$42,_xlfn.XMATCH(Base!F168,Ratings!$A$2:$A$42),_xlfn.XMATCH(YEAR(Base!K168),Ratings!$B$1:$M$1))</f>
        <v>BBB-</v>
      </c>
      <c r="Z168">
        <f t="shared" si="44"/>
        <v>1</v>
      </c>
      <c r="AA168">
        <f>IFERROR(IFERROR(IFERROR(INDEX('EMBI+'!$B:$B,MATCH(Base!$K168,'EMBI+'!$A:$A,0)),INDEX('EMBI+'!$B:$B,MATCH(Base!$K168+1,'EMBI+'!$A:$A,0))),INDEX('EMBI+'!$B:$B,MATCH(Base!$K168+2,'EMBI+'!$A:$A,0))),INDEX('EMBI+'!$B:$B,MATCH(Base!$K168+3,'EMBI+'!$A:$A,0)))/100</f>
        <v>2.5</v>
      </c>
      <c r="AB168" s="9">
        <v>262.35574000000003</v>
      </c>
      <c r="AC168" s="9">
        <v>149.93030999999999</v>
      </c>
      <c r="AD168" s="9"/>
      <c r="AE168" s="9"/>
      <c r="AF168" s="2"/>
      <c r="AG168" s="2"/>
    </row>
    <row r="169" spans="1:33" x14ac:dyDescent="0.35">
      <c r="A169">
        <f t="shared" si="41"/>
        <v>167</v>
      </c>
      <c r="B169">
        <f>IF(G169="Bonds",COUNTIF($G$3:G169,"Bonds"),0)</f>
        <v>52</v>
      </c>
      <c r="C169" t="str">
        <f t="shared" si="45"/>
        <v>Gerdau4303224/10/2027</v>
      </c>
      <c r="D169">
        <f t="shared" si="46"/>
        <v>16</v>
      </c>
      <c r="E169" s="9" t="s">
        <v>234</v>
      </c>
      <c r="F169" s="9" t="s">
        <v>230</v>
      </c>
      <c r="G169" s="9" t="s">
        <v>37</v>
      </c>
      <c r="H169">
        <f t="shared" si="36"/>
        <v>1</v>
      </c>
      <c r="I169" s="9"/>
      <c r="J169" s="1">
        <f t="shared" si="37"/>
        <v>4</v>
      </c>
      <c r="K169" s="2">
        <v>43032</v>
      </c>
      <c r="L169" s="2" t="s">
        <v>235</v>
      </c>
      <c r="M169" s="10">
        <f t="shared" si="38"/>
        <v>10.005479452054795</v>
      </c>
      <c r="N169" s="11">
        <f t="shared" si="39"/>
        <v>1</v>
      </c>
      <c r="O169" s="9" t="s">
        <v>39</v>
      </c>
      <c r="P169" t="str">
        <f t="shared" si="42"/>
        <v>0</v>
      </c>
      <c r="Q169" s="9"/>
      <c r="R169" s="9"/>
      <c r="S169" s="1">
        <f>IF($V169="USD",INDEX('Dólar Spot'!$B:$B,MATCH(Base!$K169,'Dólar Spot'!$A:$A,0)),"")</f>
        <v>3.2464</v>
      </c>
      <c r="T169" s="12">
        <v>650000000</v>
      </c>
      <c r="U169" s="13">
        <f t="shared" si="40"/>
        <v>21.101600000000001</v>
      </c>
      <c r="V169" s="9" t="s">
        <v>40</v>
      </c>
      <c r="W169" s="9" t="s">
        <v>35</v>
      </c>
      <c r="X169">
        <f t="shared" si="43"/>
        <v>0</v>
      </c>
      <c r="Y169" s="1" t="str" cm="1">
        <f t="array" ref="Y169">INDEX(Ratings!$B$2:$M$42,_xlfn.XMATCH(Base!F169,Ratings!$A$2:$A$42),_xlfn.XMATCH(YEAR(Base!K169),Ratings!$B$1:$M$1))</f>
        <v>BBB-</v>
      </c>
      <c r="Z169">
        <f t="shared" si="44"/>
        <v>1</v>
      </c>
      <c r="AA169">
        <f>IFERROR(IFERROR(IFERROR(INDEX('EMBI+'!$B:$B,MATCH(Base!$K169,'EMBI+'!$A:$A,0)),INDEX('EMBI+'!$B:$B,MATCH(Base!$K169+1,'EMBI+'!$A:$A,0))),INDEX('EMBI+'!$B:$B,MATCH(Base!$K169+2,'EMBI+'!$A:$A,0))),INDEX('EMBI+'!$B:$B,MATCH(Base!$K169+3,'EMBI+'!$A:$A,0)))/100</f>
        <v>2.34</v>
      </c>
      <c r="AB169" s="9">
        <v>246.40181000000001</v>
      </c>
      <c r="AC169" s="9">
        <v>186.73930999999999</v>
      </c>
      <c r="AD169" s="9"/>
      <c r="AE169" s="9"/>
      <c r="AF169" s="2"/>
      <c r="AG169" s="2"/>
    </row>
    <row r="170" spans="1:33" x14ac:dyDescent="0.35">
      <c r="A170">
        <f t="shared" si="41"/>
        <v>168</v>
      </c>
      <c r="B170">
        <f>IF(G170="Bonds",COUNTIF($G$3:G170,"Bonds"),0)</f>
        <v>53</v>
      </c>
      <c r="C170" t="str">
        <f t="shared" si="45"/>
        <v>Gerdau4137915/04/2023</v>
      </c>
      <c r="D170">
        <f t="shared" si="46"/>
        <v>16</v>
      </c>
      <c r="E170" s="9" t="s">
        <v>234</v>
      </c>
      <c r="F170" s="9" t="s">
        <v>230</v>
      </c>
      <c r="G170" s="9" t="s">
        <v>37</v>
      </c>
      <c r="H170">
        <f t="shared" si="36"/>
        <v>1</v>
      </c>
      <c r="I170" s="9"/>
      <c r="J170" s="1">
        <f t="shared" si="37"/>
        <v>5</v>
      </c>
      <c r="K170" s="2">
        <v>41379</v>
      </c>
      <c r="L170" s="2" t="s">
        <v>236</v>
      </c>
      <c r="M170" s="10">
        <f t="shared" si="38"/>
        <v>10.005479452054795</v>
      </c>
      <c r="N170" s="11">
        <f t="shared" si="39"/>
        <v>1</v>
      </c>
      <c r="O170" s="9" t="s">
        <v>39</v>
      </c>
      <c r="P170" t="str">
        <f t="shared" si="42"/>
        <v>0</v>
      </c>
      <c r="Q170" s="9"/>
      <c r="R170" s="9"/>
      <c r="S170" s="1">
        <f>IF($V170="USD",INDEX('Dólar Spot'!$B:$B,MATCH(Base!$K170,'Dólar Spot'!$A:$A,0)),"")</f>
        <v>1.9783999999999999</v>
      </c>
      <c r="T170" s="12">
        <v>750000000</v>
      </c>
      <c r="U170" s="13">
        <f t="shared" si="40"/>
        <v>14.837999999999999</v>
      </c>
      <c r="V170" s="9" t="s">
        <v>40</v>
      </c>
      <c r="W170" s="9" t="s">
        <v>35</v>
      </c>
      <c r="X170">
        <f t="shared" si="43"/>
        <v>0</v>
      </c>
      <c r="Y170" s="1" t="str" cm="1">
        <f t="array" ref="Y170">INDEX(Ratings!$B$2:$M$42,_xlfn.XMATCH(Base!F170,Ratings!$A$2:$A$42),_xlfn.XMATCH(YEAR(Base!K170),Ratings!$B$1:$M$1))</f>
        <v>BBB-</v>
      </c>
      <c r="Z170">
        <f t="shared" si="44"/>
        <v>1</v>
      </c>
      <c r="AA170">
        <f>IFERROR(IFERROR(IFERROR(INDEX('EMBI+'!$B:$B,MATCH(Base!$K170,'EMBI+'!$A:$A,0)),INDEX('EMBI+'!$B:$B,MATCH(Base!$K170+1,'EMBI+'!$A:$A,0))),INDEX('EMBI+'!$B:$B,MATCH(Base!$K170+2,'EMBI+'!$A:$A,0))),INDEX('EMBI+'!$B:$B,MATCH(Base!$K170+3,'EMBI+'!$A:$A,0)))/100</f>
        <v>1.74</v>
      </c>
      <c r="AB170" s="9">
        <v>270.16795000000002</v>
      </c>
      <c r="AC170" s="9">
        <v>149.42765</v>
      </c>
      <c r="AD170" s="9"/>
      <c r="AE170" s="9"/>
      <c r="AF170" s="2"/>
      <c r="AG170" s="2"/>
    </row>
    <row r="171" spans="1:33" x14ac:dyDescent="0.35">
      <c r="A171">
        <f t="shared" si="41"/>
        <v>169</v>
      </c>
      <c r="B171">
        <f>IF(G171="Bonds",COUNTIF($G$3:G171,"Bonds"),0)</f>
        <v>54</v>
      </c>
      <c r="C171" t="str">
        <f t="shared" si="45"/>
        <v>Gerdau4174516/04/2044</v>
      </c>
      <c r="D171">
        <f t="shared" si="46"/>
        <v>16</v>
      </c>
      <c r="E171" s="9" t="s">
        <v>237</v>
      </c>
      <c r="F171" s="9" t="s">
        <v>230</v>
      </c>
      <c r="G171" s="9" t="s">
        <v>37</v>
      </c>
      <c r="H171">
        <f t="shared" si="36"/>
        <v>1</v>
      </c>
      <c r="I171" s="9"/>
      <c r="J171" s="1">
        <f t="shared" si="37"/>
        <v>6</v>
      </c>
      <c r="K171" s="2">
        <v>41745</v>
      </c>
      <c r="L171" s="2" t="s">
        <v>238</v>
      </c>
      <c r="M171" s="10">
        <f t="shared" si="38"/>
        <v>30.021917808219179</v>
      </c>
      <c r="N171" s="11">
        <f t="shared" si="39"/>
        <v>1</v>
      </c>
      <c r="O171" s="9" t="s">
        <v>39</v>
      </c>
      <c r="P171" t="str">
        <f t="shared" si="42"/>
        <v>0</v>
      </c>
      <c r="Q171" s="9"/>
      <c r="R171" s="9"/>
      <c r="S171" s="1">
        <f>IF($V171="USD",INDEX('Dólar Spot'!$B:$B,MATCH(Base!$K171,'Dólar Spot'!$A:$A,0)),"")</f>
        <v>2.2336</v>
      </c>
      <c r="T171" s="12">
        <v>500000000</v>
      </c>
      <c r="U171" s="13">
        <f t="shared" si="40"/>
        <v>11.167999999999999</v>
      </c>
      <c r="V171" s="9" t="s">
        <v>40</v>
      </c>
      <c r="W171" s="9" t="s">
        <v>34</v>
      </c>
      <c r="X171">
        <f t="shared" si="43"/>
        <v>1</v>
      </c>
      <c r="Y171" s="1" t="str" cm="1">
        <f t="array" ref="Y171">INDEX(Ratings!$B$2:$M$42,_xlfn.XMATCH(Base!F171,Ratings!$A$2:$A$42),_xlfn.XMATCH(YEAR(Base!K171),Ratings!$B$1:$M$1))</f>
        <v>BBB-</v>
      </c>
      <c r="Z171">
        <f t="shared" si="44"/>
        <v>1</v>
      </c>
      <c r="AA171">
        <f>IFERROR(IFERROR(IFERROR(INDEX('EMBI+'!$B:$B,MATCH(Base!$K171,'EMBI+'!$A:$A,0)),INDEX('EMBI+'!$B:$B,MATCH(Base!$K171+1,'EMBI+'!$A:$A,0))),INDEX('EMBI+'!$B:$B,MATCH(Base!$K171+2,'EMBI+'!$A:$A,0))),INDEX('EMBI+'!$B:$B,MATCH(Base!$K171+3,'EMBI+'!$A:$A,0)))/100</f>
        <v>2.21</v>
      </c>
      <c r="AB171" s="9">
        <v>299.61013000000003</v>
      </c>
      <c r="AC171" s="9">
        <v>167.59388999999999</v>
      </c>
      <c r="AD171" s="9"/>
      <c r="AE171" s="9"/>
      <c r="AF171" s="2"/>
      <c r="AG171" s="2"/>
    </row>
    <row r="172" spans="1:33" x14ac:dyDescent="0.35">
      <c r="A172">
        <f t="shared" si="41"/>
        <v>170</v>
      </c>
      <c r="B172">
        <f>IF(G172="Bonds",COUNTIF($G$3:G172,"Bonds"),0)</f>
        <v>55</v>
      </c>
      <c r="C172" t="str">
        <f t="shared" si="45"/>
        <v>Gerdau4176829/04/2024</v>
      </c>
      <c r="D172">
        <f t="shared" si="46"/>
        <v>16</v>
      </c>
      <c r="E172" s="9" t="s">
        <v>237</v>
      </c>
      <c r="F172" s="9" t="s">
        <v>230</v>
      </c>
      <c r="G172" s="9" t="s">
        <v>37</v>
      </c>
      <c r="H172">
        <f t="shared" si="36"/>
        <v>1</v>
      </c>
      <c r="I172" s="9"/>
      <c r="J172" s="1">
        <f t="shared" si="37"/>
        <v>7</v>
      </c>
      <c r="K172" s="2">
        <v>41768</v>
      </c>
      <c r="L172" s="2" t="s">
        <v>239</v>
      </c>
      <c r="M172" s="10">
        <f t="shared" si="38"/>
        <v>9.9808219178082194</v>
      </c>
      <c r="N172" s="11">
        <f t="shared" si="39"/>
        <v>1</v>
      </c>
      <c r="O172" s="9" t="s">
        <v>39</v>
      </c>
      <c r="P172" t="str">
        <f t="shared" si="42"/>
        <v>0</v>
      </c>
      <c r="Q172" s="9"/>
      <c r="R172" s="9"/>
      <c r="S172" s="1">
        <f>IF($V172="USD",INDEX('Dólar Spot'!$B:$B,MATCH(Base!$K172,'Dólar Spot'!$A:$A,0)),"")</f>
        <v>2.2185999999999999</v>
      </c>
      <c r="T172" s="12">
        <v>600000000</v>
      </c>
      <c r="U172" s="13">
        <f t="shared" si="40"/>
        <v>13.3116</v>
      </c>
      <c r="V172" s="9" t="s">
        <v>40</v>
      </c>
      <c r="W172" s="9" t="s">
        <v>34</v>
      </c>
      <c r="X172">
        <f t="shared" si="43"/>
        <v>1</v>
      </c>
      <c r="Y172" s="1" t="str" cm="1">
        <f t="array" ref="Y172">INDEX(Ratings!$B$2:$M$42,_xlfn.XMATCH(Base!F172,Ratings!$A$2:$A$42),_xlfn.XMATCH(YEAR(Base!K172),Ratings!$B$1:$M$1))</f>
        <v>BBB-</v>
      </c>
      <c r="Z172">
        <f t="shared" si="44"/>
        <v>1</v>
      </c>
      <c r="AA172">
        <f>IFERROR(IFERROR(IFERROR(INDEX('EMBI+'!$B:$B,MATCH(Base!$K172,'EMBI+'!$A:$A,0)),INDEX('EMBI+'!$B:$B,MATCH(Base!$K172+1,'EMBI+'!$A:$A,0))),INDEX('EMBI+'!$B:$B,MATCH(Base!$K172+2,'EMBI+'!$A:$A,0))),INDEX('EMBI+'!$B:$B,MATCH(Base!$K172+3,'EMBI+'!$A:$A,0)))/100</f>
        <v>2.0499999999999998</v>
      </c>
      <c r="AB172" s="9">
        <v>299.61013000000003</v>
      </c>
      <c r="AC172" s="9">
        <v>167.59388999999999</v>
      </c>
      <c r="AD172" s="9"/>
      <c r="AE172" s="9"/>
      <c r="AF172" s="2"/>
      <c r="AG172" s="2"/>
    </row>
    <row r="173" spans="1:33" x14ac:dyDescent="0.35">
      <c r="A173">
        <f t="shared" si="41"/>
        <v>171</v>
      </c>
      <c r="B173">
        <f>IF(G173="Bonds",COUNTIF($G$3:G173,"Bonds"),0)</f>
        <v>56</v>
      </c>
      <c r="C173" t="str">
        <f t="shared" si="45"/>
        <v>Gerdau4175829/04/2024</v>
      </c>
      <c r="D173">
        <f t="shared" si="46"/>
        <v>16</v>
      </c>
      <c r="E173" s="9" t="s">
        <v>240</v>
      </c>
      <c r="F173" s="9" t="s">
        <v>230</v>
      </c>
      <c r="G173" s="9" t="s">
        <v>37</v>
      </c>
      <c r="H173">
        <f t="shared" si="36"/>
        <v>1</v>
      </c>
      <c r="I173" s="9"/>
      <c r="J173" s="1">
        <f t="shared" si="37"/>
        <v>8</v>
      </c>
      <c r="K173" s="2">
        <v>41758</v>
      </c>
      <c r="L173" s="2" t="s">
        <v>239</v>
      </c>
      <c r="M173" s="10">
        <f t="shared" si="38"/>
        <v>10.008219178082191</v>
      </c>
      <c r="N173" s="11">
        <f t="shared" si="39"/>
        <v>1</v>
      </c>
      <c r="O173" s="9" t="s">
        <v>39</v>
      </c>
      <c r="P173" t="str">
        <f t="shared" si="42"/>
        <v>0</v>
      </c>
      <c r="Q173" s="9"/>
      <c r="R173" s="9"/>
      <c r="S173" s="1">
        <f>IF($V173="USD",INDEX('Dólar Spot'!$B:$B,MATCH(Base!$K173,'Dólar Spot'!$A:$A,0)),"")</f>
        <v>2.2193000000000001</v>
      </c>
      <c r="T173" s="12">
        <v>600000000</v>
      </c>
      <c r="U173" s="13">
        <f t="shared" si="40"/>
        <v>13.315799999999999</v>
      </c>
      <c r="V173" s="9" t="s">
        <v>40</v>
      </c>
      <c r="W173" s="9" t="s">
        <v>34</v>
      </c>
      <c r="X173">
        <f t="shared" si="43"/>
        <v>1</v>
      </c>
      <c r="Y173" s="1" t="str" cm="1">
        <f t="array" ref="Y173">INDEX(Ratings!$B$2:$M$42,_xlfn.XMATCH(Base!F173,Ratings!$A$2:$A$42),_xlfn.XMATCH(YEAR(Base!K173),Ratings!$B$1:$M$1))</f>
        <v>BBB-</v>
      </c>
      <c r="Z173">
        <f t="shared" si="44"/>
        <v>1</v>
      </c>
      <c r="AA173">
        <f>IFERROR(IFERROR(IFERROR(INDEX('EMBI+'!$B:$B,MATCH(Base!$K173,'EMBI+'!$A:$A,0)),INDEX('EMBI+'!$B:$B,MATCH(Base!$K173+1,'EMBI+'!$A:$A,0))),INDEX('EMBI+'!$B:$B,MATCH(Base!$K173+2,'EMBI+'!$A:$A,0))),INDEX('EMBI+'!$B:$B,MATCH(Base!$K173+3,'EMBI+'!$A:$A,0)))/100</f>
        <v>2.14</v>
      </c>
      <c r="AB173" s="9">
        <v>299.61013000000003</v>
      </c>
      <c r="AC173" s="9">
        <v>167.59388999999999</v>
      </c>
      <c r="AD173" s="9"/>
      <c r="AE173" s="9"/>
      <c r="AF173" s="2"/>
      <c r="AG173" s="2"/>
    </row>
    <row r="174" spans="1:33" x14ac:dyDescent="0.35">
      <c r="A174">
        <f t="shared" si="41"/>
        <v>172</v>
      </c>
      <c r="B174">
        <f>IF(G174="Bonds",COUNTIF($G$3:G174,"Bonds"),0)</f>
        <v>57</v>
      </c>
      <c r="C174" t="str">
        <f t="shared" si="45"/>
        <v>Gerdau4379021/01/2030</v>
      </c>
      <c r="D174">
        <f t="shared" si="46"/>
        <v>16</v>
      </c>
      <c r="E174" s="9" t="s">
        <v>241</v>
      </c>
      <c r="F174" s="9" t="s">
        <v>230</v>
      </c>
      <c r="G174" s="9" t="s">
        <v>37</v>
      </c>
      <c r="H174">
        <f t="shared" si="36"/>
        <v>1</v>
      </c>
      <c r="I174" s="9"/>
      <c r="J174" s="1">
        <f t="shared" si="37"/>
        <v>9</v>
      </c>
      <c r="K174" s="2">
        <v>43790</v>
      </c>
      <c r="L174" s="2" t="s">
        <v>242</v>
      </c>
      <c r="M174" s="10">
        <f t="shared" si="38"/>
        <v>10.175342465753424</v>
      </c>
      <c r="N174" s="11">
        <f t="shared" si="39"/>
        <v>1</v>
      </c>
      <c r="O174" s="9" t="s">
        <v>39</v>
      </c>
      <c r="P174" t="str">
        <f t="shared" si="42"/>
        <v>0</v>
      </c>
      <c r="Q174" s="9"/>
      <c r="R174" s="9"/>
      <c r="S174" s="1">
        <f>IF($V174="USD",INDEX('Dólar Spot'!$B:$B,MATCH(Base!$K174,'Dólar Spot'!$A:$A,0)),"")</f>
        <v>4.2005999999999997</v>
      </c>
      <c r="T174" s="12">
        <v>500000000</v>
      </c>
      <c r="U174" s="13">
        <f t="shared" si="40"/>
        <v>21.002999999999997</v>
      </c>
      <c r="V174" s="9" t="s">
        <v>40</v>
      </c>
      <c r="W174" s="9" t="s">
        <v>34</v>
      </c>
      <c r="X174">
        <f t="shared" si="43"/>
        <v>1</v>
      </c>
      <c r="Y174" s="1" t="str" cm="1">
        <f t="array" ref="Y174">INDEX(Ratings!$B$2:$M$42,_xlfn.XMATCH(Base!F174,Ratings!$A$2:$A$42),_xlfn.XMATCH(YEAR(Base!K174),Ratings!$B$1:$M$1))</f>
        <v>BBB-</v>
      </c>
      <c r="Z174">
        <f t="shared" si="44"/>
        <v>1</v>
      </c>
      <c r="AA174">
        <f>IFERROR(IFERROR(IFERROR(INDEX('EMBI+'!$B:$B,MATCH(Base!$K174,'EMBI+'!$A:$A,0)),INDEX('EMBI+'!$B:$B,MATCH(Base!$K174+1,'EMBI+'!$A:$A,0))),INDEX('EMBI+'!$B:$B,MATCH(Base!$K174+2,'EMBI+'!$A:$A,0))),INDEX('EMBI+'!$B:$B,MATCH(Base!$K174+3,'EMBI+'!$A:$A,0)))/100</f>
        <v>2.4500000000000002</v>
      </c>
      <c r="AB174" s="9">
        <v>269.55700999999999</v>
      </c>
      <c r="AC174" s="9">
        <v>160.49867</v>
      </c>
      <c r="AD174" s="9"/>
      <c r="AE174" s="9"/>
      <c r="AF174" s="2"/>
      <c r="AG174" s="2"/>
    </row>
    <row r="175" spans="1:33" x14ac:dyDescent="0.35">
      <c r="A175">
        <f t="shared" si="41"/>
        <v>173</v>
      </c>
      <c r="B175">
        <f>IF(G175="Bonds",COUNTIF($G$3:G175,"Bonds"),0)</f>
        <v>0</v>
      </c>
      <c r="C175" t="str">
        <f t="shared" si="45"/>
        <v>Gol Linhas Aéreas4070442896</v>
      </c>
      <c r="D175">
        <f t="shared" si="46"/>
        <v>17</v>
      </c>
      <c r="E175" s="9" t="s">
        <v>243</v>
      </c>
      <c r="F175" s="9" t="s">
        <v>244</v>
      </c>
      <c r="G175" s="9" t="s">
        <v>29</v>
      </c>
      <c r="H175">
        <f t="shared" si="36"/>
        <v>0</v>
      </c>
      <c r="I175" s="9" t="s">
        <v>245</v>
      </c>
      <c r="J175" s="1">
        <f t="shared" si="37"/>
        <v>1</v>
      </c>
      <c r="K175" s="2">
        <v>40704</v>
      </c>
      <c r="L175" s="2">
        <v>42896</v>
      </c>
      <c r="M175" s="10">
        <f t="shared" si="38"/>
        <v>6.0054794520547947</v>
      </c>
      <c r="N175" s="11">
        <f t="shared" si="39"/>
        <v>1</v>
      </c>
      <c r="O175" s="9" t="s">
        <v>47</v>
      </c>
      <c r="P175" t="str">
        <f t="shared" si="42"/>
        <v>0</v>
      </c>
      <c r="Q175" s="12">
        <v>500</v>
      </c>
      <c r="R175" s="9">
        <v>1000000</v>
      </c>
      <c r="S175" s="1" t="str">
        <f>IF($V175="USD",INDEX('Dólar Spot'!$B:$B,MATCH(Base!$K175,'Dólar Spot'!$A:$A,0)),"")</f>
        <v/>
      </c>
      <c r="T175" s="11">
        <f>Q175*R175</f>
        <v>500000000</v>
      </c>
      <c r="U175" s="13">
        <f t="shared" si="40"/>
        <v>5</v>
      </c>
      <c r="V175" s="9" t="s">
        <v>44</v>
      </c>
      <c r="W175" s="9" t="s">
        <v>34</v>
      </c>
      <c r="X175">
        <f t="shared" si="43"/>
        <v>1</v>
      </c>
      <c r="Y175" s="1" t="str" cm="1">
        <f t="array" ref="Y175">INDEX(Ratings!$B$2:$M$42,_xlfn.XMATCH(Base!F175,Ratings!$A$2:$A$42),_xlfn.XMATCH(YEAR(Base!K175),Ratings!$B$1:$M$1))</f>
        <v>BB-</v>
      </c>
      <c r="Z175">
        <f t="shared" si="44"/>
        <v>0</v>
      </c>
      <c r="AA175">
        <f>IFERROR(IFERROR(IFERROR(INDEX('EMBI+'!$B:$B,MATCH(Base!$K175,'EMBI+'!$A:$A,0)),INDEX('EMBI+'!$B:$B,MATCH(Base!$K175+1,'EMBI+'!$A:$A,0))),INDEX('EMBI+'!$B:$B,MATCH(Base!$K175+2,'EMBI+'!$A:$A,0))),INDEX('EMBI+'!$B:$B,MATCH(Base!$K175+3,'EMBI+'!$A:$A,0)))/100</f>
        <v>1.77</v>
      </c>
      <c r="AB175" s="9">
        <v>26.046489999999999</v>
      </c>
      <c r="AC175" s="9">
        <v>40.42154</v>
      </c>
      <c r="AD175" s="9"/>
      <c r="AE175" s="9"/>
      <c r="AF175" s="2"/>
      <c r="AG175" s="2"/>
    </row>
    <row r="176" spans="1:33" x14ac:dyDescent="0.35">
      <c r="A176">
        <f t="shared" si="41"/>
        <v>174</v>
      </c>
      <c r="B176">
        <f>IF(G176="Bonds",COUNTIF($G$3:G176,"Bonds"),0)</f>
        <v>0</v>
      </c>
      <c r="C176" t="str">
        <f t="shared" si="45"/>
        <v>Gol Linhas Aéreas4227643737</v>
      </c>
      <c r="D176">
        <f t="shared" si="46"/>
        <v>17</v>
      </c>
      <c r="E176" s="9" t="s">
        <v>243</v>
      </c>
      <c r="F176" s="9" t="s">
        <v>244</v>
      </c>
      <c r="G176" s="9" t="s">
        <v>29</v>
      </c>
      <c r="H176">
        <f t="shared" si="36"/>
        <v>0</v>
      </c>
      <c r="I176" s="9" t="s">
        <v>246</v>
      </c>
      <c r="J176" s="1">
        <f t="shared" si="37"/>
        <v>2</v>
      </c>
      <c r="K176" s="2">
        <v>42276</v>
      </c>
      <c r="L176" s="2">
        <v>43737</v>
      </c>
      <c r="M176" s="10">
        <f t="shared" si="38"/>
        <v>4.0027397260273974</v>
      </c>
      <c r="N176" s="11">
        <f t="shared" si="39"/>
        <v>0</v>
      </c>
      <c r="O176" s="9" t="s">
        <v>47</v>
      </c>
      <c r="P176" t="str">
        <f t="shared" si="42"/>
        <v>0</v>
      </c>
      <c r="Q176" s="12">
        <v>105000</v>
      </c>
      <c r="R176" s="9">
        <v>10000</v>
      </c>
      <c r="S176" s="1" t="str">
        <f>IF($V176="USD",INDEX('Dólar Spot'!$B:$B,MATCH(Base!$K176,'Dólar Spot'!$A:$A,0)),"")</f>
        <v/>
      </c>
      <c r="T176" s="11">
        <f>Q176*R176</f>
        <v>1050000000</v>
      </c>
      <c r="U176" s="13">
        <f t="shared" si="40"/>
        <v>10.5</v>
      </c>
      <c r="V176" s="9" t="s">
        <v>44</v>
      </c>
      <c r="W176" s="9" t="s">
        <v>34</v>
      </c>
      <c r="X176">
        <f t="shared" si="43"/>
        <v>1</v>
      </c>
      <c r="Y176" s="1" t="str" cm="1">
        <f t="array" ref="Y176">INDEX(Ratings!$B$2:$M$42,_xlfn.XMATCH(Base!F176,Ratings!$A$2:$A$42),_xlfn.XMATCH(YEAR(Base!K176),Ratings!$B$1:$M$1))</f>
        <v>B-</v>
      </c>
      <c r="Z176">
        <f t="shared" si="44"/>
        <v>0</v>
      </c>
      <c r="AA176">
        <f>IFERROR(IFERROR(IFERROR(INDEX('EMBI+'!$B:$B,MATCH(Base!$K176,'EMBI+'!$A:$A,0)),INDEX('EMBI+'!$B:$B,MATCH(Base!$K176+1,'EMBI+'!$A:$A,0))),INDEX('EMBI+'!$B:$B,MATCH(Base!$K176+2,'EMBI+'!$A:$A,0))),INDEX('EMBI+'!$B:$B,MATCH(Base!$K176+3,'EMBI+'!$A:$A,0)))/100</f>
        <v>4.8499999999999996</v>
      </c>
      <c r="AB176" s="9">
        <v>-34.013489999999997</v>
      </c>
      <c r="AC176" s="9">
        <v>94.891469999999998</v>
      </c>
      <c r="AD176" s="9"/>
      <c r="AE176" s="9"/>
      <c r="AF176" s="2"/>
      <c r="AG176" s="2"/>
    </row>
    <row r="177" spans="1:33" x14ac:dyDescent="0.35">
      <c r="A177">
        <f t="shared" si="41"/>
        <v>175</v>
      </c>
      <c r="B177">
        <f>IF(G177="Bonds",COUNTIF($G$3:G177,"Bonds"),0)</f>
        <v>0</v>
      </c>
      <c r="C177" t="str">
        <f t="shared" si="45"/>
        <v>Gol Linhas Aéreas4340145592</v>
      </c>
      <c r="D177">
        <f t="shared" si="46"/>
        <v>17</v>
      </c>
      <c r="E177" s="9" t="s">
        <v>243</v>
      </c>
      <c r="F177" s="9" t="s">
        <v>244</v>
      </c>
      <c r="G177" s="9" t="s">
        <v>29</v>
      </c>
      <c r="H177">
        <f t="shared" si="36"/>
        <v>0</v>
      </c>
      <c r="I177" s="9" t="s">
        <v>247</v>
      </c>
      <c r="J177" s="1">
        <f t="shared" si="37"/>
        <v>3</v>
      </c>
      <c r="K177" s="2">
        <v>43401</v>
      </c>
      <c r="L177" s="2">
        <v>45592</v>
      </c>
      <c r="M177" s="10">
        <f t="shared" si="38"/>
        <v>6.0027397260273974</v>
      </c>
      <c r="N177" s="11">
        <f t="shared" si="39"/>
        <v>1</v>
      </c>
      <c r="O177" s="9" t="s">
        <v>47</v>
      </c>
      <c r="P177" t="str">
        <f t="shared" si="42"/>
        <v>0</v>
      </c>
      <c r="Q177" s="12">
        <v>22187</v>
      </c>
      <c r="R177" s="9">
        <v>10000</v>
      </c>
      <c r="S177" s="1" t="str">
        <f>IF($V177="USD",INDEX('Dólar Spot'!$B:$B,MATCH(Base!$K177,'Dólar Spot'!$A:$A,0)),"")</f>
        <v/>
      </c>
      <c r="T177" s="11">
        <f>Q177*R177</f>
        <v>221870000</v>
      </c>
      <c r="U177" s="13">
        <f t="shared" si="40"/>
        <v>2.2187000000000001</v>
      </c>
      <c r="V177" s="9" t="s">
        <v>44</v>
      </c>
      <c r="W177" s="9" t="s">
        <v>34</v>
      </c>
      <c r="X177">
        <f t="shared" si="43"/>
        <v>1</v>
      </c>
      <c r="Y177" s="1" t="str" cm="1">
        <f t="array" ref="Y177">INDEX(Ratings!$B$2:$M$42,_xlfn.XMATCH(Base!F177,Ratings!$A$2:$A$42),_xlfn.XMATCH(YEAR(Base!K177),Ratings!$B$1:$M$1))</f>
        <v>B</v>
      </c>
      <c r="Z177">
        <f t="shared" si="44"/>
        <v>0</v>
      </c>
      <c r="AA177">
        <f>IFERROR(IFERROR(IFERROR(INDEX('EMBI+'!$B:$B,MATCH(Base!$K177,'EMBI+'!$A:$A,0)),INDEX('EMBI+'!$B:$B,MATCH(Base!$K177+1,'EMBI+'!$A:$A,0))),INDEX('EMBI+'!$B:$B,MATCH(Base!$K177+2,'EMBI+'!$A:$A,0))),INDEX('EMBI+'!$B:$B,MATCH(Base!$K177+3,'EMBI+'!$A:$A,0)))/100</f>
        <v>2.67</v>
      </c>
      <c r="AB177" s="9">
        <v>-49.699890000000003</v>
      </c>
      <c r="AC177" s="9">
        <v>80.042439999999999</v>
      </c>
      <c r="AD177" s="9"/>
      <c r="AE177" s="9"/>
      <c r="AF177" s="2"/>
      <c r="AG177" s="2"/>
    </row>
    <row r="178" spans="1:33" x14ac:dyDescent="0.35">
      <c r="A178">
        <f t="shared" si="41"/>
        <v>176</v>
      </c>
      <c r="B178">
        <f>IF(G178="Bonds",COUNTIF($G$3:G178,"Bonds"),0)</f>
        <v>0</v>
      </c>
      <c r="C178" t="str">
        <f t="shared" si="45"/>
        <v>Gol Linhas Aéreas4449645592</v>
      </c>
      <c r="D178">
        <f t="shared" si="46"/>
        <v>17</v>
      </c>
      <c r="E178" s="9" t="s">
        <v>243</v>
      </c>
      <c r="F178" s="9" t="s">
        <v>244</v>
      </c>
      <c r="G178" s="9" t="s">
        <v>29</v>
      </c>
      <c r="H178">
        <f t="shared" si="36"/>
        <v>0</v>
      </c>
      <c r="I178" s="9" t="s">
        <v>248</v>
      </c>
      <c r="J178" s="1">
        <f t="shared" si="37"/>
        <v>4</v>
      </c>
      <c r="K178" s="2">
        <v>44496</v>
      </c>
      <c r="L178" s="2">
        <v>45592</v>
      </c>
      <c r="M178" s="10">
        <f t="shared" si="38"/>
        <v>3.0027397260273974</v>
      </c>
      <c r="N178" s="11">
        <f t="shared" si="39"/>
        <v>0</v>
      </c>
      <c r="O178" s="9" t="s">
        <v>47</v>
      </c>
      <c r="P178" t="str">
        <f t="shared" si="42"/>
        <v>0</v>
      </c>
      <c r="Q178" s="12">
        <v>610217</v>
      </c>
      <c r="R178" s="9">
        <v>1000</v>
      </c>
      <c r="S178" s="1" t="str">
        <f>IF($V178="USD",INDEX('Dólar Spot'!$B:$B,MATCH(Base!$K178,'Dólar Spot'!$A:$A,0)),"")</f>
        <v/>
      </c>
      <c r="T178" s="11">
        <f>Q178*R178</f>
        <v>610217000</v>
      </c>
      <c r="U178" s="13">
        <f t="shared" si="40"/>
        <v>6.1021700000000001</v>
      </c>
      <c r="V178" s="9" t="s">
        <v>44</v>
      </c>
      <c r="W178" s="9" t="s">
        <v>34</v>
      </c>
      <c r="X178">
        <f t="shared" si="43"/>
        <v>1</v>
      </c>
      <c r="Y178" s="1" t="str" cm="1">
        <f t="array" ref="Y178">INDEX(Ratings!$B$2:$M$42,_xlfn.XMATCH(Base!F178,Ratings!$A$2:$A$42),_xlfn.XMATCH(YEAR(Base!K178),Ratings!$B$1:$M$1))</f>
        <v>CCC+</v>
      </c>
      <c r="Z178">
        <f t="shared" si="44"/>
        <v>0</v>
      </c>
      <c r="AA178">
        <f>IFERROR(IFERROR(IFERROR(INDEX('EMBI+'!$B:$B,MATCH(Base!$K178,'EMBI+'!$A:$A,0)),INDEX('EMBI+'!$B:$B,MATCH(Base!$K178+1,'EMBI+'!$A:$A,0))),INDEX('EMBI+'!$B:$B,MATCH(Base!$K178+2,'EMBI+'!$A:$A,0))),INDEX('EMBI+'!$B:$B,MATCH(Base!$K178+3,'EMBI+'!$A:$A,0)))/100</f>
        <v>3.46</v>
      </c>
      <c r="AB178" s="9">
        <v>-182.79614000000001</v>
      </c>
      <c r="AC178" s="9">
        <v>-117.98687</v>
      </c>
      <c r="AD178" s="9"/>
      <c r="AE178" s="9"/>
      <c r="AF178" s="2"/>
      <c r="AG178" s="2"/>
    </row>
    <row r="179" spans="1:33" x14ac:dyDescent="0.35">
      <c r="A179">
        <f t="shared" si="41"/>
        <v>177</v>
      </c>
      <c r="B179">
        <f>IF(G179="Bonds",COUNTIF($G$3:G179,"Bonds"),0)</f>
        <v>0</v>
      </c>
      <c r="C179" t="str">
        <f t="shared" si="45"/>
        <v>Gol Linhas Aéreas4340145592</v>
      </c>
      <c r="D179">
        <f t="shared" si="46"/>
        <v>17</v>
      </c>
      <c r="E179" s="9" t="s">
        <v>243</v>
      </c>
      <c r="F179" s="9" t="s">
        <v>244</v>
      </c>
      <c r="G179" s="9" t="s">
        <v>29</v>
      </c>
      <c r="H179">
        <f t="shared" si="36"/>
        <v>0</v>
      </c>
      <c r="I179" s="9" t="s">
        <v>249</v>
      </c>
      <c r="J179" s="1">
        <f t="shared" si="37"/>
        <v>5</v>
      </c>
      <c r="K179" s="2">
        <v>43401</v>
      </c>
      <c r="L179" s="2">
        <v>45592</v>
      </c>
      <c r="M179" s="10">
        <f t="shared" si="38"/>
        <v>6.0027397260273974</v>
      </c>
      <c r="N179" s="11">
        <f t="shared" si="39"/>
        <v>1</v>
      </c>
      <c r="O179" s="9" t="s">
        <v>47</v>
      </c>
      <c r="P179" t="str">
        <f t="shared" si="42"/>
        <v>0</v>
      </c>
      <c r="Q179" s="12">
        <v>22188</v>
      </c>
      <c r="R179" s="9">
        <v>10000</v>
      </c>
      <c r="S179" s="1" t="str">
        <f>IF($V179="USD",INDEX('Dólar Spot'!$B:$B,MATCH(Base!$K179,'Dólar Spot'!$A:$A,0)),"")</f>
        <v/>
      </c>
      <c r="T179" s="11">
        <f>Q179*R179</f>
        <v>221880000</v>
      </c>
      <c r="U179" s="13">
        <f t="shared" si="40"/>
        <v>2.2187999999999999</v>
      </c>
      <c r="V179" s="9" t="s">
        <v>44</v>
      </c>
      <c r="W179" s="9" t="s">
        <v>34</v>
      </c>
      <c r="X179">
        <f t="shared" si="43"/>
        <v>1</v>
      </c>
      <c r="Y179" s="1" t="str" cm="1">
        <f t="array" ref="Y179">INDEX(Ratings!$B$2:$M$42,_xlfn.XMATCH(Base!F179,Ratings!$A$2:$A$42),_xlfn.XMATCH(YEAR(Base!K179),Ratings!$B$1:$M$1))</f>
        <v>B</v>
      </c>
      <c r="Z179">
        <f t="shared" si="44"/>
        <v>0</v>
      </c>
      <c r="AA179">
        <f>IFERROR(IFERROR(IFERROR(INDEX('EMBI+'!$B:$B,MATCH(Base!$K179,'EMBI+'!$A:$A,0)),INDEX('EMBI+'!$B:$B,MATCH(Base!$K179+1,'EMBI+'!$A:$A,0))),INDEX('EMBI+'!$B:$B,MATCH(Base!$K179+2,'EMBI+'!$A:$A,0))),INDEX('EMBI+'!$B:$B,MATCH(Base!$K179+3,'EMBI+'!$A:$A,0)))/100</f>
        <v>2.67</v>
      </c>
      <c r="AB179" s="9">
        <v>-49.699890000000003</v>
      </c>
      <c r="AC179" s="9">
        <v>80.042439999999999</v>
      </c>
      <c r="AD179" s="9"/>
      <c r="AE179" s="9"/>
      <c r="AF179" s="2"/>
      <c r="AG179" s="2"/>
    </row>
    <row r="180" spans="1:33" x14ac:dyDescent="0.35">
      <c r="A180">
        <f t="shared" si="41"/>
        <v>178</v>
      </c>
      <c r="B180">
        <f>IF(G180="Bonds",COUNTIF($G$3:G180,"Bonds"),0)</f>
        <v>58</v>
      </c>
      <c r="C180" t="str">
        <f t="shared" si="45"/>
        <v>Gol Linhas Aéreas4313331/01/2025</v>
      </c>
      <c r="D180">
        <f t="shared" si="46"/>
        <v>17</v>
      </c>
      <c r="E180" s="9" t="s">
        <v>250</v>
      </c>
      <c r="F180" s="9" t="s">
        <v>244</v>
      </c>
      <c r="G180" s="9" t="s">
        <v>37</v>
      </c>
      <c r="H180">
        <f t="shared" si="36"/>
        <v>1</v>
      </c>
      <c r="I180" s="9"/>
      <c r="J180" s="1">
        <f t="shared" si="37"/>
        <v>6</v>
      </c>
      <c r="K180" s="2">
        <v>43133</v>
      </c>
      <c r="L180" s="2" t="s">
        <v>251</v>
      </c>
      <c r="M180" s="10">
        <f t="shared" si="38"/>
        <v>7</v>
      </c>
      <c r="N180" s="11">
        <f t="shared" si="39"/>
        <v>1</v>
      </c>
      <c r="O180" s="9" t="s">
        <v>39</v>
      </c>
      <c r="P180" t="str">
        <f t="shared" si="42"/>
        <v>0</v>
      </c>
      <c r="Q180" s="9"/>
      <c r="R180" s="9"/>
      <c r="S180" s="1">
        <f>IF($V180="USD",INDEX('Dólar Spot'!$B:$B,MATCH(Base!$K180,'Dólar Spot'!$A:$A,0)),"")</f>
        <v>3.2054</v>
      </c>
      <c r="T180" s="12">
        <v>150000000</v>
      </c>
      <c r="U180" s="13">
        <f t="shared" si="40"/>
        <v>4.8080999999999996</v>
      </c>
      <c r="V180" s="9" t="s">
        <v>40</v>
      </c>
      <c r="W180" s="9" t="s">
        <v>34</v>
      </c>
      <c r="X180">
        <f t="shared" si="43"/>
        <v>1</v>
      </c>
      <c r="Y180" s="1" t="str" cm="1">
        <f t="array" ref="Y180">INDEX(Ratings!$B$2:$M$42,_xlfn.XMATCH(Base!F180,Ratings!$A$2:$A$42),_xlfn.XMATCH(YEAR(Base!K180),Ratings!$B$1:$M$1))</f>
        <v>B</v>
      </c>
      <c r="Z180">
        <f t="shared" si="44"/>
        <v>0</v>
      </c>
      <c r="AA180">
        <f>IFERROR(IFERROR(IFERROR(INDEX('EMBI+'!$B:$B,MATCH(Base!$K180,'EMBI+'!$A:$A,0)),INDEX('EMBI+'!$B:$B,MATCH(Base!$K180+1,'EMBI+'!$A:$A,0))),INDEX('EMBI+'!$B:$B,MATCH(Base!$K180+2,'EMBI+'!$A:$A,0))),INDEX('EMBI+'!$B:$B,MATCH(Base!$K180+3,'EMBI+'!$A:$A,0)))/100</f>
        <v>2.29</v>
      </c>
      <c r="AB180" s="9">
        <v>-34.80959</v>
      </c>
      <c r="AC180" s="9">
        <v>71.056669999999997</v>
      </c>
      <c r="AD180" s="9"/>
      <c r="AE180" s="9"/>
      <c r="AF180" s="2"/>
      <c r="AG180" s="2"/>
    </row>
    <row r="181" spans="1:33" x14ac:dyDescent="0.35">
      <c r="A181">
        <f t="shared" si="41"/>
        <v>179</v>
      </c>
      <c r="B181">
        <f>IF(G181="Bonds",COUNTIF($G$3:G181,"Bonds"),0)</f>
        <v>59</v>
      </c>
      <c r="C181" t="str">
        <f t="shared" si="45"/>
        <v>Gol Linhas Aéreas4308031/01/2025</v>
      </c>
      <c r="D181">
        <f t="shared" si="46"/>
        <v>17</v>
      </c>
      <c r="E181" s="9" t="s">
        <v>252</v>
      </c>
      <c r="F181" s="9" t="s">
        <v>244</v>
      </c>
      <c r="G181" s="9" t="s">
        <v>37</v>
      </c>
      <c r="H181">
        <f t="shared" si="36"/>
        <v>1</v>
      </c>
      <c r="I181" s="9"/>
      <c r="J181" s="1">
        <f t="shared" si="37"/>
        <v>7</v>
      </c>
      <c r="K181" s="2">
        <v>43080</v>
      </c>
      <c r="L181" s="2" t="s">
        <v>251</v>
      </c>
      <c r="M181" s="10">
        <f t="shared" si="38"/>
        <v>7.1452054794520548</v>
      </c>
      <c r="N181" s="11">
        <f t="shared" si="39"/>
        <v>1</v>
      </c>
      <c r="O181" s="9" t="s">
        <v>39</v>
      </c>
      <c r="P181" t="str">
        <f t="shared" si="42"/>
        <v>0</v>
      </c>
      <c r="Q181" s="9"/>
      <c r="R181" s="9"/>
      <c r="S181" s="1">
        <f>IF($V181="USD",INDEX('Dólar Spot'!$B:$B,MATCH(Base!$K181,'Dólar Spot'!$A:$A,0)),"")</f>
        <v>3.2839</v>
      </c>
      <c r="T181" s="12">
        <v>650000000</v>
      </c>
      <c r="U181" s="13">
        <f t="shared" si="40"/>
        <v>21.34535</v>
      </c>
      <c r="V181" s="9" t="s">
        <v>40</v>
      </c>
      <c r="W181" s="9" t="s">
        <v>34</v>
      </c>
      <c r="X181">
        <f t="shared" si="43"/>
        <v>1</v>
      </c>
      <c r="Y181" s="1" t="str" cm="1">
        <f t="array" ref="Y181">INDEX(Ratings!$B$2:$M$42,_xlfn.XMATCH(Base!F181,Ratings!$A$2:$A$42),_xlfn.XMATCH(YEAR(Base!K181),Ratings!$B$1:$M$1))</f>
        <v>CCC</v>
      </c>
      <c r="Z181">
        <f t="shared" si="44"/>
        <v>0</v>
      </c>
      <c r="AA181">
        <f>IFERROR(IFERROR(IFERROR(INDEX('EMBI+'!$B:$B,MATCH(Base!$K181,'EMBI+'!$A:$A,0)),INDEX('EMBI+'!$B:$B,MATCH(Base!$K181+1,'EMBI+'!$A:$A,0))),INDEX('EMBI+'!$B:$B,MATCH(Base!$K181+2,'EMBI+'!$A:$A,0))),INDEX('EMBI+'!$B:$B,MATCH(Base!$K181+3,'EMBI+'!$A:$A,0)))/100</f>
        <v>2.39</v>
      </c>
      <c r="AB181" s="9">
        <v>-34.80959</v>
      </c>
      <c r="AC181" s="9">
        <v>71.056669999999997</v>
      </c>
      <c r="AD181" s="9"/>
      <c r="AE181" s="9"/>
      <c r="AF181" s="2"/>
      <c r="AG181" s="2"/>
    </row>
    <row r="182" spans="1:33" x14ac:dyDescent="0.35">
      <c r="A182">
        <f t="shared" si="41"/>
        <v>180</v>
      </c>
      <c r="B182">
        <f>IF(G182="Bonds",COUNTIF($G$3:G182,"Bonds"),0)</f>
        <v>60</v>
      </c>
      <c r="C182" t="str">
        <f t="shared" si="45"/>
        <v>Gol Linhas Aéreas4418830/06/2026</v>
      </c>
      <c r="D182">
        <f t="shared" si="46"/>
        <v>17</v>
      </c>
      <c r="E182" s="9" t="s">
        <v>252</v>
      </c>
      <c r="F182" s="9" t="s">
        <v>244</v>
      </c>
      <c r="G182" s="9" t="s">
        <v>37</v>
      </c>
      <c r="H182">
        <f t="shared" si="36"/>
        <v>1</v>
      </c>
      <c r="I182" s="9"/>
      <c r="J182" s="1">
        <f t="shared" si="37"/>
        <v>8</v>
      </c>
      <c r="K182" s="2">
        <v>44188</v>
      </c>
      <c r="L182" s="2" t="s">
        <v>253</v>
      </c>
      <c r="M182" s="10">
        <f t="shared" si="38"/>
        <v>5.5205479452054798</v>
      </c>
      <c r="N182" s="11">
        <f t="shared" si="39"/>
        <v>1</v>
      </c>
      <c r="O182" s="9" t="s">
        <v>98</v>
      </c>
      <c r="P182" t="str">
        <f t="shared" si="42"/>
        <v>1</v>
      </c>
      <c r="Q182" s="9"/>
      <c r="R182" s="9"/>
      <c r="S182" s="1">
        <f>IF($V182="USD",INDEX('Dólar Spot'!$B:$B,MATCH(Base!$K182,'Dólar Spot'!$A:$A,0)),"")</f>
        <v>5.1734</v>
      </c>
      <c r="T182" s="12">
        <v>650000000</v>
      </c>
      <c r="U182" s="13">
        <f t="shared" si="40"/>
        <v>33.627099999999999</v>
      </c>
      <c r="V182" s="9" t="s">
        <v>40</v>
      </c>
      <c r="W182" s="9" t="s">
        <v>34</v>
      </c>
      <c r="X182">
        <f t="shared" si="43"/>
        <v>1</v>
      </c>
      <c r="Y182" s="1" t="str" cm="1">
        <f t="array" ref="Y182">INDEX(Ratings!$B$2:$M$42,_xlfn.XMATCH(Base!F182,Ratings!$A$2:$A$42),_xlfn.XMATCH(YEAR(Base!K182),Ratings!$B$1:$M$1))</f>
        <v>B</v>
      </c>
      <c r="Z182">
        <f t="shared" si="44"/>
        <v>0</v>
      </c>
      <c r="AA182">
        <f>IFERROR(IFERROR(IFERROR(INDEX('EMBI+'!$B:$B,MATCH(Base!$K182,'EMBI+'!$A:$A,0)),INDEX('EMBI+'!$B:$B,MATCH(Base!$K182+1,'EMBI+'!$A:$A,0))),INDEX('EMBI+'!$B:$B,MATCH(Base!$K182+2,'EMBI+'!$A:$A,0))),INDEX('EMBI+'!$B:$B,MATCH(Base!$K182+3,'EMBI+'!$A:$A,0)))/100</f>
        <v>2.59</v>
      </c>
      <c r="AB182" s="9">
        <v>144.07092</v>
      </c>
      <c r="AC182" s="9">
        <v>99.769660000000002</v>
      </c>
      <c r="AD182" s="9"/>
      <c r="AE182" s="9"/>
      <c r="AF182" s="2"/>
      <c r="AG182" s="2"/>
    </row>
    <row r="183" spans="1:33" x14ac:dyDescent="0.35">
      <c r="A183">
        <f t="shared" si="41"/>
        <v>181</v>
      </c>
      <c r="B183">
        <f>IF(G183="Bonds",COUNTIF($G$3:G183,"Bonds"),0)</f>
        <v>61</v>
      </c>
      <c r="C183" t="str">
        <f t="shared" si="45"/>
        <v>Gol Linhas Aéreas4432730/06/2026</v>
      </c>
      <c r="D183">
        <f t="shared" si="46"/>
        <v>17</v>
      </c>
      <c r="E183" s="9" t="s">
        <v>252</v>
      </c>
      <c r="F183" s="9" t="s">
        <v>244</v>
      </c>
      <c r="G183" s="9" t="s">
        <v>37</v>
      </c>
      <c r="H183">
        <f t="shared" si="36"/>
        <v>1</v>
      </c>
      <c r="I183" s="9"/>
      <c r="J183" s="1">
        <f t="shared" si="37"/>
        <v>9</v>
      </c>
      <c r="K183" s="2">
        <v>44327</v>
      </c>
      <c r="L183" s="2" t="s">
        <v>253</v>
      </c>
      <c r="M183" s="10">
        <f t="shared" si="38"/>
        <v>5.13972602739726</v>
      </c>
      <c r="N183" s="11">
        <f t="shared" si="39"/>
        <v>1</v>
      </c>
      <c r="O183" s="9" t="s">
        <v>98</v>
      </c>
      <c r="P183" t="str">
        <f t="shared" si="42"/>
        <v>1</v>
      </c>
      <c r="Q183" s="9"/>
      <c r="R183" s="9"/>
      <c r="S183" s="1">
        <f>IF($V183="USD",INDEX('Dólar Spot'!$B:$B,MATCH(Base!$K183,'Dólar Spot'!$A:$A,0)),"")</f>
        <v>5.2397</v>
      </c>
      <c r="T183" s="12">
        <v>300000000</v>
      </c>
      <c r="U183" s="13">
        <f t="shared" si="40"/>
        <v>15.719099999999999</v>
      </c>
      <c r="V183" s="9" t="s">
        <v>40</v>
      </c>
      <c r="W183" s="9" t="s">
        <v>34</v>
      </c>
      <c r="X183">
        <f t="shared" si="43"/>
        <v>1</v>
      </c>
      <c r="Y183" s="1" t="str" cm="1">
        <f t="array" ref="Y183">INDEX(Ratings!$B$2:$M$42,_xlfn.XMATCH(Base!F183,Ratings!$A$2:$A$42),_xlfn.XMATCH(YEAR(Base!K183),Ratings!$B$1:$M$1))</f>
        <v>CCC+</v>
      </c>
      <c r="Z183">
        <f t="shared" si="44"/>
        <v>0</v>
      </c>
      <c r="AA183">
        <f>IFERROR(IFERROR(IFERROR(INDEX('EMBI+'!$B:$B,MATCH(Base!$K183,'EMBI+'!$A:$A,0)),INDEX('EMBI+'!$B:$B,MATCH(Base!$K183+1,'EMBI+'!$A:$A,0))),INDEX('EMBI+'!$B:$B,MATCH(Base!$K183+2,'EMBI+'!$A:$A,0))),INDEX('EMBI+'!$B:$B,MATCH(Base!$K183+3,'EMBI+'!$A:$A,0)))/100</f>
        <v>2.56</v>
      </c>
      <c r="AB183" s="9">
        <v>-168.33747</v>
      </c>
      <c r="AC183" s="9">
        <v>104.06822</v>
      </c>
      <c r="AD183" s="9"/>
      <c r="AE183" s="9"/>
      <c r="AF183" s="2"/>
      <c r="AG183" s="2"/>
    </row>
    <row r="184" spans="1:33" x14ac:dyDescent="0.35">
      <c r="A184">
        <f t="shared" si="41"/>
        <v>182</v>
      </c>
      <c r="B184">
        <f>IF(G184="Bonds",COUNTIF($G$3:G184,"Bonds"),0)</f>
        <v>62</v>
      </c>
      <c r="C184" t="str">
        <f t="shared" si="45"/>
        <v>Gol Linhas Aéreas4446730/06/2026</v>
      </c>
      <c r="D184">
        <f t="shared" si="46"/>
        <v>17</v>
      </c>
      <c r="E184" s="9" t="s">
        <v>252</v>
      </c>
      <c r="F184" s="9" t="s">
        <v>244</v>
      </c>
      <c r="G184" s="9" t="s">
        <v>37</v>
      </c>
      <c r="H184">
        <f t="shared" si="36"/>
        <v>1</v>
      </c>
      <c r="I184" s="9"/>
      <c r="J184" s="1">
        <f t="shared" si="37"/>
        <v>10</v>
      </c>
      <c r="K184" s="2">
        <v>44467</v>
      </c>
      <c r="L184" s="2" t="s">
        <v>253</v>
      </c>
      <c r="M184" s="10">
        <f t="shared" si="38"/>
        <v>4.7561643835616438</v>
      </c>
      <c r="N184" s="11">
        <f t="shared" si="39"/>
        <v>0</v>
      </c>
      <c r="O184" s="9" t="s">
        <v>98</v>
      </c>
      <c r="P184" t="str">
        <f t="shared" si="42"/>
        <v>1</v>
      </c>
      <c r="Q184" s="9"/>
      <c r="R184" s="9"/>
      <c r="S184" s="1">
        <f>IF($V184="USD",INDEX('Dólar Spot'!$B:$B,MATCH(Base!$K184,'Dólar Spot'!$A:$A,0)),"")</f>
        <v>5.42</v>
      </c>
      <c r="T184" s="12">
        <v>150000000</v>
      </c>
      <c r="U184" s="13">
        <f t="shared" si="40"/>
        <v>8.1300000000000008</v>
      </c>
      <c r="V184" s="9" t="s">
        <v>40</v>
      </c>
      <c r="W184" s="9" t="s">
        <v>34</v>
      </c>
      <c r="X184">
        <f t="shared" si="43"/>
        <v>1</v>
      </c>
      <c r="Y184" s="1" t="str" cm="1">
        <f t="array" ref="Y184">INDEX(Ratings!$B$2:$M$42,_xlfn.XMATCH(Base!F184,Ratings!$A$2:$A$42),_xlfn.XMATCH(YEAR(Base!K184),Ratings!$B$1:$M$1))</f>
        <v>CCC+</v>
      </c>
      <c r="Z184">
        <f t="shared" si="44"/>
        <v>0</v>
      </c>
      <c r="AA184">
        <f>IFERROR(IFERROR(IFERROR(INDEX('EMBI+'!$B:$B,MATCH(Base!$K184,'EMBI+'!$A:$A,0)),INDEX('EMBI+'!$B:$B,MATCH(Base!$K184+1,'EMBI+'!$A:$A,0))),INDEX('EMBI+'!$B:$B,MATCH(Base!$K184+2,'EMBI+'!$A:$A,0))),INDEX('EMBI+'!$B:$B,MATCH(Base!$K184+3,'EMBI+'!$A:$A,0)))/100</f>
        <v>3.25</v>
      </c>
      <c r="AB184" s="9">
        <v>-182.79614000000001</v>
      </c>
      <c r="AC184" s="9">
        <v>-117.98687</v>
      </c>
      <c r="AD184" s="9"/>
      <c r="AE184" s="9"/>
      <c r="AF184" s="2"/>
      <c r="AG184" s="2"/>
    </row>
    <row r="185" spans="1:33" x14ac:dyDescent="0.35">
      <c r="A185">
        <f t="shared" si="41"/>
        <v>183</v>
      </c>
      <c r="B185">
        <f>IF(G185="Bonds",COUNTIF($G$3:G185,"Bonds"),0)</f>
        <v>63</v>
      </c>
      <c r="C185" t="str">
        <f t="shared" si="45"/>
        <v>Gol Linhas Aéreas4190624/01/2022</v>
      </c>
      <c r="D185">
        <f t="shared" si="46"/>
        <v>17</v>
      </c>
      <c r="E185" s="9" t="s">
        <v>252</v>
      </c>
      <c r="F185" s="9" t="s">
        <v>244</v>
      </c>
      <c r="G185" s="9" t="s">
        <v>37</v>
      </c>
      <c r="H185">
        <f t="shared" si="36"/>
        <v>1</v>
      </c>
      <c r="I185" s="9"/>
      <c r="J185" s="1">
        <f t="shared" si="37"/>
        <v>11</v>
      </c>
      <c r="K185" s="2">
        <v>41906</v>
      </c>
      <c r="L185" s="2" t="s">
        <v>254</v>
      </c>
      <c r="M185" s="10">
        <f t="shared" si="38"/>
        <v>7.3397260273972602</v>
      </c>
      <c r="N185" s="11">
        <f t="shared" si="39"/>
        <v>1</v>
      </c>
      <c r="O185" s="9" t="s">
        <v>39</v>
      </c>
      <c r="P185" t="str">
        <f t="shared" si="42"/>
        <v>0</v>
      </c>
      <c r="Q185" s="9"/>
      <c r="R185" s="9"/>
      <c r="S185" s="1">
        <f>IF($V185="USD",INDEX('Dólar Spot'!$B:$B,MATCH(Base!$K185,'Dólar Spot'!$A:$A,0)),"")</f>
        <v>2.4064000000000001</v>
      </c>
      <c r="T185" s="12">
        <v>325000000</v>
      </c>
      <c r="U185" s="13">
        <f t="shared" si="40"/>
        <v>7.8208000000000002</v>
      </c>
      <c r="V185" s="9" t="s">
        <v>40</v>
      </c>
      <c r="W185" s="9" t="s">
        <v>34</v>
      </c>
      <c r="X185">
        <f t="shared" si="43"/>
        <v>1</v>
      </c>
      <c r="Y185" s="1" t="str" cm="1">
        <f t="array" ref="Y185">INDEX(Ratings!$B$2:$M$42,_xlfn.XMATCH(Base!F185,Ratings!$A$2:$A$42),_xlfn.XMATCH(YEAR(Base!K185),Ratings!$B$1:$M$1))</f>
        <v>B-</v>
      </c>
      <c r="Z185">
        <f t="shared" si="44"/>
        <v>0</v>
      </c>
      <c r="AA185">
        <f>IFERROR(IFERROR(IFERROR(INDEX('EMBI+'!$B:$B,MATCH(Base!$K185,'EMBI+'!$A:$A,0)),INDEX('EMBI+'!$B:$B,MATCH(Base!$K185+1,'EMBI+'!$A:$A,0))),INDEX('EMBI+'!$B:$B,MATCH(Base!$K185+2,'EMBI+'!$A:$A,0))),INDEX('EMBI+'!$B:$B,MATCH(Base!$K185+3,'EMBI+'!$A:$A,0)))/100</f>
        <v>2.1800000000000002</v>
      </c>
      <c r="AB185" s="9">
        <v>1.8897299999999999</v>
      </c>
      <c r="AC185" s="9">
        <v>60.69511</v>
      </c>
      <c r="AD185" s="9"/>
      <c r="AE185" s="9"/>
      <c r="AF185" s="2"/>
      <c r="AG185" s="2"/>
    </row>
    <row r="186" spans="1:33" x14ac:dyDescent="0.35">
      <c r="A186">
        <f t="shared" si="41"/>
        <v>184</v>
      </c>
      <c r="B186">
        <f>IF(G186="Bonds",COUNTIF($G$3:G186,"Bonds"),0)</f>
        <v>64</v>
      </c>
      <c r="C186" t="str">
        <f t="shared" si="45"/>
        <v>Gol Linhas Aéreas4131312/02/2023</v>
      </c>
      <c r="D186">
        <f t="shared" si="46"/>
        <v>17</v>
      </c>
      <c r="E186" s="9" t="s">
        <v>255</v>
      </c>
      <c r="F186" s="9" t="s">
        <v>244</v>
      </c>
      <c r="G186" s="9" t="s">
        <v>37</v>
      </c>
      <c r="H186">
        <f t="shared" si="36"/>
        <v>1</v>
      </c>
      <c r="I186" s="9"/>
      <c r="J186" s="1">
        <f t="shared" si="37"/>
        <v>12</v>
      </c>
      <c r="K186" s="2">
        <v>41313</v>
      </c>
      <c r="L186" s="2" t="s">
        <v>256</v>
      </c>
      <c r="M186" s="10">
        <f t="shared" si="38"/>
        <v>10.016438356164384</v>
      </c>
      <c r="N186" s="11">
        <f t="shared" si="39"/>
        <v>1</v>
      </c>
      <c r="O186" s="9" t="s">
        <v>39</v>
      </c>
      <c r="P186" t="str">
        <f t="shared" si="42"/>
        <v>0</v>
      </c>
      <c r="Q186" s="9"/>
      <c r="R186" s="9"/>
      <c r="S186" s="1">
        <f>IF($V186="USD",INDEX('Dólar Spot'!$B:$B,MATCH(Base!$K186,'Dólar Spot'!$A:$A,0)),"")</f>
        <v>1.9630000000000001</v>
      </c>
      <c r="T186" s="12">
        <v>200000000</v>
      </c>
      <c r="U186" s="13">
        <f t="shared" si="40"/>
        <v>3.9260000000000002</v>
      </c>
      <c r="V186" s="9" t="s">
        <v>40</v>
      </c>
      <c r="W186" s="9" t="s">
        <v>34</v>
      </c>
      <c r="X186">
        <f t="shared" si="43"/>
        <v>1</v>
      </c>
      <c r="Y186" s="1" t="str" cm="1">
        <f t="array" ref="Y186">INDEX(Ratings!$B$2:$M$42,_xlfn.XMATCH(Base!F186,Ratings!$A$2:$A$42),_xlfn.XMATCH(YEAR(Base!K186),Ratings!$B$1:$M$1))</f>
        <v>B-</v>
      </c>
      <c r="Z186">
        <f t="shared" si="44"/>
        <v>0</v>
      </c>
      <c r="AA186">
        <f>IFERROR(IFERROR(IFERROR(INDEX('EMBI+'!$B:$B,MATCH(Base!$K186,'EMBI+'!$A:$A,0)),INDEX('EMBI+'!$B:$B,MATCH(Base!$K186+1,'EMBI+'!$A:$A,0))),INDEX('EMBI+'!$B:$B,MATCH(Base!$K186+2,'EMBI+'!$A:$A,0))),INDEX('EMBI+'!$B:$B,MATCH(Base!$K186+3,'EMBI+'!$A:$A,0)))/100</f>
        <v>1.55</v>
      </c>
      <c r="AB186" s="9">
        <v>7.3282800000000003</v>
      </c>
      <c r="AC186" s="9">
        <v>51.911749999999998</v>
      </c>
      <c r="AD186" s="9"/>
      <c r="AE186" s="9"/>
      <c r="AF186" s="2"/>
      <c r="AG186" s="2"/>
    </row>
    <row r="187" spans="1:33" x14ac:dyDescent="0.35">
      <c r="A187">
        <f t="shared" si="41"/>
        <v>185</v>
      </c>
      <c r="B187">
        <f>IF(G187="Bonds",COUNTIF($G$3:G187,"Bonds"),0)</f>
        <v>0</v>
      </c>
      <c r="C187" t="str">
        <f t="shared" si="45"/>
        <v>Hidrovias do Brasil4448447041</v>
      </c>
      <c r="D187">
        <f t="shared" si="46"/>
        <v>18</v>
      </c>
      <c r="E187" s="9" t="s">
        <v>257</v>
      </c>
      <c r="F187" s="9" t="s">
        <v>258</v>
      </c>
      <c r="G187" s="9" t="s">
        <v>29</v>
      </c>
      <c r="H187">
        <f t="shared" si="36"/>
        <v>0</v>
      </c>
      <c r="I187" s="9" t="s">
        <v>259</v>
      </c>
      <c r="J187" s="1">
        <f t="shared" si="37"/>
        <v>1</v>
      </c>
      <c r="K187" s="2">
        <v>44484</v>
      </c>
      <c r="L187" s="2">
        <v>47041</v>
      </c>
      <c r="M187" s="10">
        <f t="shared" si="38"/>
        <v>7.0054794520547947</v>
      </c>
      <c r="N187" s="11">
        <f t="shared" si="39"/>
        <v>1</v>
      </c>
      <c r="O187" s="9" t="s">
        <v>47</v>
      </c>
      <c r="P187" t="str">
        <f t="shared" si="42"/>
        <v>0</v>
      </c>
      <c r="Q187" s="12">
        <v>280000</v>
      </c>
      <c r="R187" s="9">
        <v>1000</v>
      </c>
      <c r="S187" s="1" t="str">
        <f>IF($V187="USD",INDEX('Dólar Spot'!$B:$B,MATCH(Base!$K187,'Dólar Spot'!$A:$A,0)),"")</f>
        <v/>
      </c>
      <c r="T187" s="11">
        <f>Q187*R187</f>
        <v>280000000</v>
      </c>
      <c r="U187" s="13">
        <f t="shared" si="40"/>
        <v>2.8</v>
      </c>
      <c r="V187" s="9" t="s">
        <v>32</v>
      </c>
      <c r="W187" s="9" t="s">
        <v>35</v>
      </c>
      <c r="X187">
        <f t="shared" si="43"/>
        <v>0</v>
      </c>
      <c r="Y187" s="1" t="str" cm="1">
        <f t="array" ref="Y187">INDEX(Ratings!$B$2:$M$42,_xlfn.XMATCH(Base!F187,Ratings!$A$2:$A$42),_xlfn.XMATCH(YEAR(Base!K187),Ratings!$B$1:$M$1))</f>
        <v>BB</v>
      </c>
      <c r="Z187">
        <f t="shared" si="44"/>
        <v>0</v>
      </c>
      <c r="AA187">
        <f>IFERROR(IFERROR(IFERROR(INDEX('EMBI+'!$B:$B,MATCH(Base!$K187,'EMBI+'!$A:$A,0)),INDEX('EMBI+'!$B:$B,MATCH(Base!$K187+1,'EMBI+'!$A:$A,0))),INDEX('EMBI+'!$B:$B,MATCH(Base!$K187+2,'EMBI+'!$A:$A,0))),INDEX('EMBI+'!$B:$B,MATCH(Base!$K187+3,'EMBI+'!$A:$A,0)))/100</f>
        <v>3.24</v>
      </c>
      <c r="AB187" s="9">
        <v>14.27675</v>
      </c>
      <c r="AC187" s="9">
        <v>44.267319999999998</v>
      </c>
      <c r="AD187" s="9"/>
      <c r="AE187" s="9"/>
      <c r="AF187" s="2"/>
      <c r="AG187" s="2"/>
    </row>
    <row r="188" spans="1:33" x14ac:dyDescent="0.35">
      <c r="A188">
        <f t="shared" si="41"/>
        <v>186</v>
      </c>
      <c r="B188">
        <f>IF(G188="Bonds",COUNTIF($G$3:G188,"Bonds"),0)</f>
        <v>0</v>
      </c>
      <c r="C188" t="str">
        <f t="shared" si="45"/>
        <v>Hidrovias do Brasil4448448136</v>
      </c>
      <c r="D188">
        <f t="shared" si="46"/>
        <v>18</v>
      </c>
      <c r="E188" s="9" t="s">
        <v>257</v>
      </c>
      <c r="F188" s="9" t="s">
        <v>258</v>
      </c>
      <c r="G188" s="9" t="s">
        <v>29</v>
      </c>
      <c r="H188">
        <f t="shared" si="36"/>
        <v>0</v>
      </c>
      <c r="I188" s="9" t="s">
        <v>260</v>
      </c>
      <c r="J188" s="1">
        <f t="shared" si="37"/>
        <v>2</v>
      </c>
      <c r="K188" s="2">
        <v>44484</v>
      </c>
      <c r="L188" s="2">
        <v>48136</v>
      </c>
      <c r="M188" s="10">
        <f t="shared" si="38"/>
        <v>10.005479452054795</v>
      </c>
      <c r="N188" s="11">
        <f t="shared" si="39"/>
        <v>1</v>
      </c>
      <c r="O188" s="9" t="s">
        <v>47</v>
      </c>
      <c r="P188" t="str">
        <f t="shared" si="42"/>
        <v>0</v>
      </c>
      <c r="Q188" s="12">
        <v>100000</v>
      </c>
      <c r="R188" s="9">
        <v>1000</v>
      </c>
      <c r="S188" s="1" t="str">
        <f>IF($V188="USD",INDEX('Dólar Spot'!$B:$B,MATCH(Base!$K188,'Dólar Spot'!$A:$A,0)),"")</f>
        <v/>
      </c>
      <c r="T188" s="11">
        <f>Q188*R188</f>
        <v>100000000</v>
      </c>
      <c r="U188" s="13">
        <f t="shared" si="40"/>
        <v>1</v>
      </c>
      <c r="V188" s="9" t="s">
        <v>32</v>
      </c>
      <c r="W188" s="9" t="s">
        <v>35</v>
      </c>
      <c r="X188">
        <f t="shared" si="43"/>
        <v>0</v>
      </c>
      <c r="Y188" s="1" t="str" cm="1">
        <f t="array" ref="Y188">INDEX(Ratings!$B$2:$M$42,_xlfn.XMATCH(Base!F188,Ratings!$A$2:$A$42),_xlfn.XMATCH(YEAR(Base!K188),Ratings!$B$1:$M$1))</f>
        <v>BB</v>
      </c>
      <c r="Z188">
        <f t="shared" si="44"/>
        <v>0</v>
      </c>
      <c r="AA188">
        <f>IFERROR(IFERROR(IFERROR(INDEX('EMBI+'!$B:$B,MATCH(Base!$K188,'EMBI+'!$A:$A,0)),INDEX('EMBI+'!$B:$B,MATCH(Base!$K188+1,'EMBI+'!$A:$A,0))),INDEX('EMBI+'!$B:$B,MATCH(Base!$K188+2,'EMBI+'!$A:$A,0))),INDEX('EMBI+'!$B:$B,MATCH(Base!$K188+3,'EMBI+'!$A:$A,0)))/100</f>
        <v>3.24</v>
      </c>
      <c r="AB188" s="9">
        <v>14.27675</v>
      </c>
      <c r="AC188" s="9">
        <v>44.267319999999998</v>
      </c>
      <c r="AD188" s="9"/>
      <c r="AE188" s="9"/>
      <c r="AF188" s="2"/>
      <c r="AG188" s="2"/>
    </row>
    <row r="189" spans="1:33" x14ac:dyDescent="0.35">
      <c r="A189">
        <f t="shared" si="41"/>
        <v>187</v>
      </c>
      <c r="B189">
        <f>IF(G189="Bonds",COUNTIF($G$3:G189,"Bonds"),0)</f>
        <v>0</v>
      </c>
      <c r="C189" t="str">
        <f t="shared" si="45"/>
        <v>Hidrovias do Brasil4476246588</v>
      </c>
      <c r="D189">
        <f t="shared" si="46"/>
        <v>18</v>
      </c>
      <c r="E189" s="9" t="s">
        <v>257</v>
      </c>
      <c r="F189" s="9" t="s">
        <v>258</v>
      </c>
      <c r="G189" s="9" t="s">
        <v>29</v>
      </c>
      <c r="H189">
        <f t="shared" si="36"/>
        <v>0</v>
      </c>
      <c r="I189" s="9"/>
      <c r="J189" s="1">
        <f t="shared" si="37"/>
        <v>3</v>
      </c>
      <c r="K189" s="2">
        <v>44762</v>
      </c>
      <c r="L189" s="2">
        <v>46588</v>
      </c>
      <c r="M189" s="10">
        <f t="shared" si="38"/>
        <v>5.0027397260273974</v>
      </c>
      <c r="N189" s="11">
        <f t="shared" si="39"/>
        <v>1</v>
      </c>
      <c r="O189" s="9" t="s">
        <v>47</v>
      </c>
      <c r="P189" t="str">
        <f t="shared" si="42"/>
        <v>0</v>
      </c>
      <c r="Q189" s="12">
        <v>395000</v>
      </c>
      <c r="R189" s="9">
        <v>1000</v>
      </c>
      <c r="S189" s="1" t="str">
        <f>IF($V189="USD",INDEX('Dólar Spot'!$B:$B,MATCH(Base!$K189,'Dólar Spot'!$A:$A,0)),"")</f>
        <v/>
      </c>
      <c r="T189" s="11">
        <f t="shared" ref="T189:T190" si="50">Q189*R189</f>
        <v>395000000</v>
      </c>
      <c r="U189" s="13">
        <f t="shared" si="40"/>
        <v>3.95</v>
      </c>
      <c r="V189" s="9" t="s">
        <v>44</v>
      </c>
      <c r="W189" s="9" t="s">
        <v>34</v>
      </c>
      <c r="X189">
        <f t="shared" si="43"/>
        <v>1</v>
      </c>
      <c r="Y189" s="1" t="str" cm="1">
        <f t="array" ref="Y189">INDEX(Ratings!$B$2:$M$42,_xlfn.XMATCH(Base!F189,Ratings!$A$2:$A$42),_xlfn.XMATCH(YEAR(Base!K189),Ratings!$B$1:$M$1))</f>
        <v>BB-</v>
      </c>
      <c r="Z189">
        <f t="shared" si="44"/>
        <v>0</v>
      </c>
      <c r="AA189">
        <f>IFERROR(IFERROR(IFERROR(INDEX('EMBI+'!$B:$B,MATCH(Base!$K189,'EMBI+'!$A:$A,0)),INDEX('EMBI+'!$B:$B,MATCH(Base!$K189+1,'EMBI+'!$A:$A,0))),INDEX('EMBI+'!$B:$B,MATCH(Base!$K189+2,'EMBI+'!$A:$A,0))),INDEX('EMBI+'!$B:$B,MATCH(Base!$K189+3,'EMBI+'!$A:$A,0)))/100</f>
        <v>3.31</v>
      </c>
      <c r="AB189" s="9">
        <v>13.5367</v>
      </c>
      <c r="AC189" s="9">
        <v>46.6496</v>
      </c>
      <c r="AD189" s="9"/>
      <c r="AE189" s="9"/>
      <c r="AF189" s="2"/>
      <c r="AG189" s="2"/>
    </row>
    <row r="190" spans="1:33" x14ac:dyDescent="0.35">
      <c r="A190">
        <f t="shared" si="41"/>
        <v>188</v>
      </c>
      <c r="B190">
        <f>IF(G190="Bonds",COUNTIF($G$3:G190,"Bonds"),0)</f>
        <v>0</v>
      </c>
      <c r="C190" t="str">
        <f t="shared" si="45"/>
        <v>Hidrovias do Brasil4476247319</v>
      </c>
      <c r="D190">
        <f t="shared" si="46"/>
        <v>18</v>
      </c>
      <c r="E190" s="9" t="s">
        <v>257</v>
      </c>
      <c r="F190" s="9" t="s">
        <v>258</v>
      </c>
      <c r="G190" s="9" t="s">
        <v>29</v>
      </c>
      <c r="H190">
        <f t="shared" si="36"/>
        <v>0</v>
      </c>
      <c r="I190" s="9"/>
      <c r="J190" s="1">
        <f t="shared" si="37"/>
        <v>4</v>
      </c>
      <c r="K190" s="2">
        <v>44762</v>
      </c>
      <c r="L190" s="2">
        <v>47319</v>
      </c>
      <c r="M190" s="10">
        <f t="shared" si="38"/>
        <v>7.0054794520547947</v>
      </c>
      <c r="N190" s="11">
        <f t="shared" si="39"/>
        <v>1</v>
      </c>
      <c r="O190" s="9" t="s">
        <v>47</v>
      </c>
      <c r="P190" t="str">
        <f t="shared" si="42"/>
        <v>0</v>
      </c>
      <c r="Q190" s="12">
        <v>105000</v>
      </c>
      <c r="R190" s="9">
        <v>1000</v>
      </c>
      <c r="S190" s="1" t="str">
        <f>IF($V190="USD",INDEX('Dólar Spot'!$B:$B,MATCH(Base!$K190,'Dólar Spot'!$A:$A,0)),"")</f>
        <v/>
      </c>
      <c r="T190" s="11">
        <f t="shared" si="50"/>
        <v>105000000</v>
      </c>
      <c r="U190" s="13">
        <f t="shared" si="40"/>
        <v>1.05</v>
      </c>
      <c r="V190" s="9" t="s">
        <v>44</v>
      </c>
      <c r="W190" s="9" t="s">
        <v>34</v>
      </c>
      <c r="X190">
        <f t="shared" si="43"/>
        <v>1</v>
      </c>
      <c r="Y190" s="1" t="str" cm="1">
        <f t="array" ref="Y190">INDEX(Ratings!$B$2:$M$42,_xlfn.XMATCH(Base!F190,Ratings!$A$2:$A$42),_xlfn.XMATCH(YEAR(Base!K190),Ratings!$B$1:$M$1))</f>
        <v>BB-</v>
      </c>
      <c r="Z190">
        <f t="shared" si="44"/>
        <v>0</v>
      </c>
      <c r="AA190">
        <f>IFERROR(IFERROR(IFERROR(INDEX('EMBI+'!$B:$B,MATCH(Base!$K190,'EMBI+'!$A:$A,0)),INDEX('EMBI+'!$B:$B,MATCH(Base!$K190+1,'EMBI+'!$A:$A,0))),INDEX('EMBI+'!$B:$B,MATCH(Base!$K190+2,'EMBI+'!$A:$A,0))),INDEX('EMBI+'!$B:$B,MATCH(Base!$K190+3,'EMBI+'!$A:$A,0)))/100</f>
        <v>3.31</v>
      </c>
      <c r="AB190" s="9">
        <v>13.5367</v>
      </c>
      <c r="AC190" s="9">
        <v>46.6496</v>
      </c>
      <c r="AD190" s="9"/>
      <c r="AE190" s="9"/>
      <c r="AF190" s="2"/>
      <c r="AG190" s="2"/>
    </row>
    <row r="191" spans="1:33" x14ac:dyDescent="0.35">
      <c r="A191">
        <f t="shared" si="41"/>
        <v>189</v>
      </c>
      <c r="B191">
        <f>IF(G191="Bonds",COUNTIF($G$3:G191,"Bonds"),0)</f>
        <v>65</v>
      </c>
      <c r="C191" t="str">
        <f t="shared" si="45"/>
        <v>Hidrovias do Brasil4423508/02/2031</v>
      </c>
      <c r="D191">
        <f t="shared" si="46"/>
        <v>18</v>
      </c>
      <c r="E191" s="9" t="s">
        <v>261</v>
      </c>
      <c r="F191" s="9" t="s">
        <v>258</v>
      </c>
      <c r="G191" s="9" t="s">
        <v>37</v>
      </c>
      <c r="H191">
        <f t="shared" si="36"/>
        <v>1</v>
      </c>
      <c r="I191" s="9"/>
      <c r="J191" s="1">
        <f t="shared" si="37"/>
        <v>5</v>
      </c>
      <c r="K191" s="2">
        <v>44235</v>
      </c>
      <c r="L191" s="2" t="s">
        <v>262</v>
      </c>
      <c r="M191" s="10">
        <f t="shared" si="38"/>
        <v>10.005479452054795</v>
      </c>
      <c r="N191" s="11">
        <f t="shared" si="39"/>
        <v>1</v>
      </c>
      <c r="O191" s="9" t="s">
        <v>33</v>
      </c>
      <c r="P191" t="str">
        <f t="shared" si="42"/>
        <v>0</v>
      </c>
      <c r="Q191" s="9"/>
      <c r="R191" s="9"/>
      <c r="S191" s="1">
        <f>IF($V191="USD",INDEX('Dólar Spot'!$B:$B,MATCH(Base!$K191,'Dólar Spot'!$A:$A,0)),"")</f>
        <v>5.3663999999999996</v>
      </c>
      <c r="T191" s="12">
        <v>500000000</v>
      </c>
      <c r="U191" s="13">
        <f t="shared" si="40"/>
        <v>26.832000000000001</v>
      </c>
      <c r="V191" s="9" t="s">
        <v>40</v>
      </c>
      <c r="W191" s="9" t="s">
        <v>34</v>
      </c>
      <c r="X191">
        <f t="shared" si="43"/>
        <v>1</v>
      </c>
      <c r="Y191" s="1" t="str" cm="1">
        <f t="array" ref="Y191">INDEX(Ratings!$B$2:$M$42,_xlfn.XMATCH(Base!F191,Ratings!$A$2:$A$42),_xlfn.XMATCH(YEAR(Base!K191),Ratings!$B$1:$M$1))</f>
        <v>BB</v>
      </c>
      <c r="Z191">
        <f t="shared" si="44"/>
        <v>0</v>
      </c>
      <c r="AA191">
        <f>IFERROR(IFERROR(IFERROR(INDEX('EMBI+'!$B:$B,MATCH(Base!$K191,'EMBI+'!$A:$A,0)),INDEX('EMBI+'!$B:$B,MATCH(Base!$K191+1,'EMBI+'!$A:$A,0))),INDEX('EMBI+'!$B:$B,MATCH(Base!$K191+2,'EMBI+'!$A:$A,0))),INDEX('EMBI+'!$B:$B,MATCH(Base!$K191+3,'EMBI+'!$A:$A,0)))/100</f>
        <v>2.68</v>
      </c>
      <c r="AB191" s="9">
        <v>15.25827</v>
      </c>
      <c r="AC191" s="9">
        <v>39.616540000000001</v>
      </c>
      <c r="AD191" s="9"/>
      <c r="AE191" s="9"/>
      <c r="AF191" s="2"/>
      <c r="AG191" s="2"/>
    </row>
    <row r="192" spans="1:33" x14ac:dyDescent="0.35">
      <c r="A192">
        <f t="shared" si="41"/>
        <v>190</v>
      </c>
      <c r="B192">
        <f>IF(G192="Bonds",COUNTIF($G$3:G192,"Bonds"),0)</f>
        <v>66</v>
      </c>
      <c r="C192" t="str">
        <f t="shared" si="45"/>
        <v>Hidrovias do Brasil4312424/01/2025</v>
      </c>
      <c r="D192">
        <f t="shared" si="46"/>
        <v>18</v>
      </c>
      <c r="E192" s="9" t="s">
        <v>261</v>
      </c>
      <c r="F192" s="9" t="s">
        <v>258</v>
      </c>
      <c r="G192" s="9" t="s">
        <v>37</v>
      </c>
      <c r="H192">
        <f t="shared" si="36"/>
        <v>1</v>
      </c>
      <c r="I192" s="9"/>
      <c r="J192" s="1">
        <f t="shared" si="37"/>
        <v>6</v>
      </c>
      <c r="K192" s="2">
        <v>43124</v>
      </c>
      <c r="L192" s="2" t="s">
        <v>263</v>
      </c>
      <c r="M192" s="10">
        <f t="shared" si="38"/>
        <v>7.0054794520547947</v>
      </c>
      <c r="N192" s="11">
        <f t="shared" si="39"/>
        <v>1</v>
      </c>
      <c r="O192" s="9" t="s">
        <v>39</v>
      </c>
      <c r="P192" t="str">
        <f t="shared" si="42"/>
        <v>0</v>
      </c>
      <c r="Q192" s="9"/>
      <c r="R192" s="9"/>
      <c r="S192" s="1">
        <f>IF($V192="USD",INDEX('Dólar Spot'!$B:$B,MATCH(Base!$K192,'Dólar Spot'!$A:$A,0)),"")</f>
        <v>3.1964000000000001</v>
      </c>
      <c r="T192" s="12">
        <v>600000000</v>
      </c>
      <c r="U192" s="13">
        <f t="shared" si="40"/>
        <v>19.1784</v>
      </c>
      <c r="V192" s="9" t="s">
        <v>40</v>
      </c>
      <c r="W192" s="9" t="s">
        <v>34</v>
      </c>
      <c r="X192">
        <f t="shared" si="43"/>
        <v>1</v>
      </c>
      <c r="Y192" s="1" t="str" cm="1">
        <f t="array" ref="Y192">INDEX(Ratings!$B$2:$M$42,_xlfn.XMATCH(Base!F192,Ratings!$A$2:$A$42),_xlfn.XMATCH(YEAR(Base!K192),Ratings!$B$1:$M$1))</f>
        <v>BB</v>
      </c>
      <c r="Z192">
        <f t="shared" si="44"/>
        <v>0</v>
      </c>
      <c r="AA192">
        <f>IFERROR(IFERROR(IFERROR(INDEX('EMBI+'!$B:$B,MATCH(Base!$K192,'EMBI+'!$A:$A,0)),INDEX('EMBI+'!$B:$B,MATCH(Base!$K192+1,'EMBI+'!$A:$A,0))),INDEX('EMBI+'!$B:$B,MATCH(Base!$K192+2,'EMBI+'!$A:$A,0))),INDEX('EMBI+'!$B:$B,MATCH(Base!$K192+3,'EMBI+'!$A:$A,0)))/100</f>
        <v>2.2599999999999998</v>
      </c>
      <c r="AB192" s="9">
        <v>13.19431</v>
      </c>
      <c r="AC192" s="9">
        <v>21.35022</v>
      </c>
      <c r="AD192" s="9"/>
      <c r="AE192" s="9"/>
      <c r="AF192" s="2"/>
      <c r="AG192" s="2"/>
    </row>
    <row r="193" spans="1:33" x14ac:dyDescent="0.35">
      <c r="A193">
        <f t="shared" si="41"/>
        <v>191</v>
      </c>
      <c r="B193">
        <f>IF(G193="Bonds",COUNTIF($G$3:G193,"Bonds"),0)</f>
        <v>0</v>
      </c>
      <c r="C193" t="str">
        <f t="shared" si="45"/>
        <v>Hypera4063041726</v>
      </c>
      <c r="D193">
        <f t="shared" si="46"/>
        <v>19</v>
      </c>
      <c r="E193" s="9" t="s">
        <v>264</v>
      </c>
      <c r="F193" s="9" t="s">
        <v>265</v>
      </c>
      <c r="G193" s="9" t="s">
        <v>29</v>
      </c>
      <c r="H193">
        <f t="shared" si="36"/>
        <v>0</v>
      </c>
      <c r="I193" s="9" t="s">
        <v>266</v>
      </c>
      <c r="J193" s="1">
        <f t="shared" si="37"/>
        <v>1</v>
      </c>
      <c r="K193" s="2">
        <v>40630</v>
      </c>
      <c r="L193" s="2">
        <v>41726</v>
      </c>
      <c r="M193" s="10">
        <f t="shared" si="38"/>
        <v>3.0027397260273974</v>
      </c>
      <c r="N193" s="11">
        <f t="shared" si="39"/>
        <v>0</v>
      </c>
      <c r="O193" s="9" t="s">
        <v>47</v>
      </c>
      <c r="P193" t="str">
        <f t="shared" si="42"/>
        <v>0</v>
      </c>
      <c r="Q193" s="12">
        <v>200</v>
      </c>
      <c r="R193" s="9">
        <v>1000000</v>
      </c>
      <c r="S193" s="1" t="str">
        <f>IF($V193="USD",INDEX('Dólar Spot'!$B:$B,MATCH(Base!$K193,'Dólar Spot'!$A:$A,0)),"")</f>
        <v/>
      </c>
      <c r="T193" s="11">
        <f t="shared" ref="T193:T204" si="51">Q193*R193</f>
        <v>200000000</v>
      </c>
      <c r="U193" s="13">
        <f t="shared" si="40"/>
        <v>2</v>
      </c>
      <c r="V193" s="9" t="s">
        <v>44</v>
      </c>
      <c r="W193" s="9" t="s">
        <v>34</v>
      </c>
      <c r="X193">
        <f t="shared" si="43"/>
        <v>1</v>
      </c>
      <c r="Y193" s="1" t="str" cm="1">
        <f t="array" ref="Y193">INDEX(Ratings!$B$2:$M$42,_xlfn.XMATCH(Base!F193,Ratings!$A$2:$A$42),_xlfn.XMATCH(YEAR(Base!K193),Ratings!$B$1:$M$1))</f>
        <v>BB-</v>
      </c>
      <c r="Z193">
        <f t="shared" si="44"/>
        <v>0</v>
      </c>
      <c r="AA193">
        <f>IFERROR(IFERROR(IFERROR(INDEX('EMBI+'!$B:$B,MATCH(Base!$K193,'EMBI+'!$A:$A,0)),INDEX('EMBI+'!$B:$B,MATCH(Base!$K193+1,'EMBI+'!$A:$A,0))),INDEX('EMBI+'!$B:$B,MATCH(Base!$K193+2,'EMBI+'!$A:$A,0))),INDEX('EMBI+'!$B:$B,MATCH(Base!$K193+3,'EMBI+'!$A:$A,0)))/100</f>
        <v>1.7</v>
      </c>
      <c r="AB193" s="9">
        <v>67.374380000000002</v>
      </c>
      <c r="AC193" s="9">
        <v>34.010759999999998</v>
      </c>
      <c r="AD193" s="9"/>
      <c r="AE193" s="9"/>
      <c r="AF193" s="2"/>
      <c r="AG193" s="2"/>
    </row>
    <row r="194" spans="1:33" x14ac:dyDescent="0.35">
      <c r="A194">
        <f t="shared" si="41"/>
        <v>192</v>
      </c>
      <c r="B194">
        <f>IF(G194="Bonds",COUNTIF($G$3:G194,"Bonds"),0)</f>
        <v>0</v>
      </c>
      <c r="C194" t="str">
        <f t="shared" si="45"/>
        <v>Hypera4148843314</v>
      </c>
      <c r="D194">
        <f t="shared" si="46"/>
        <v>19</v>
      </c>
      <c r="E194" s="9" t="s">
        <v>264</v>
      </c>
      <c r="F194" s="9" t="s">
        <v>265</v>
      </c>
      <c r="G194" s="9" t="s">
        <v>29</v>
      </c>
      <c r="H194">
        <f t="shared" si="36"/>
        <v>0</v>
      </c>
      <c r="I194" s="9" t="s">
        <v>267</v>
      </c>
      <c r="J194" s="1">
        <f t="shared" si="37"/>
        <v>2</v>
      </c>
      <c r="K194" s="2">
        <v>41488</v>
      </c>
      <c r="L194" s="2">
        <v>43314</v>
      </c>
      <c r="M194" s="10">
        <f t="shared" si="38"/>
        <v>5.0027397260273974</v>
      </c>
      <c r="N194" s="11">
        <f t="shared" si="39"/>
        <v>1</v>
      </c>
      <c r="O194" s="9" t="s">
        <v>61</v>
      </c>
      <c r="P194" t="str">
        <f t="shared" si="42"/>
        <v>1</v>
      </c>
      <c r="Q194" s="12">
        <v>40000</v>
      </c>
      <c r="R194" s="9">
        <v>10000</v>
      </c>
      <c r="S194" s="1" t="str">
        <f>IF($V194="USD",INDEX('Dólar Spot'!$B:$B,MATCH(Base!$K194,'Dólar Spot'!$A:$A,0)),"")</f>
        <v/>
      </c>
      <c r="T194" s="11">
        <f t="shared" si="51"/>
        <v>400000000</v>
      </c>
      <c r="U194" s="13">
        <f t="shared" si="40"/>
        <v>4</v>
      </c>
      <c r="V194" s="9" t="s">
        <v>44</v>
      </c>
      <c r="W194" s="9" t="s">
        <v>34</v>
      </c>
      <c r="X194">
        <f t="shared" si="43"/>
        <v>1</v>
      </c>
      <c r="Y194" s="1" t="str" cm="1">
        <f t="array" ref="Y194">INDEX(Ratings!$B$2:$M$42,_xlfn.XMATCH(Base!F194,Ratings!$A$2:$A$42),_xlfn.XMATCH(YEAR(Base!K194),Ratings!$B$1:$M$1))</f>
        <v>BB-</v>
      </c>
      <c r="Z194">
        <f t="shared" si="44"/>
        <v>0</v>
      </c>
      <c r="AA194">
        <f>IFERROR(IFERROR(IFERROR(INDEX('EMBI+'!$B:$B,MATCH(Base!$K194,'EMBI+'!$A:$A,0)),INDEX('EMBI+'!$B:$B,MATCH(Base!$K194+1,'EMBI+'!$A:$A,0))),INDEX('EMBI+'!$B:$B,MATCH(Base!$K194+2,'EMBI+'!$A:$A,0))),INDEX('EMBI+'!$B:$B,MATCH(Base!$K194+3,'EMBI+'!$A:$A,0)))/100</f>
        <v>2.36</v>
      </c>
      <c r="AB194" s="9">
        <v>69.342799999999997</v>
      </c>
      <c r="AC194" s="9">
        <v>41.644550000000002</v>
      </c>
      <c r="AD194" s="9"/>
      <c r="AE194" s="9"/>
      <c r="AF194" s="2"/>
      <c r="AG194" s="2"/>
    </row>
    <row r="195" spans="1:33" x14ac:dyDescent="0.35">
      <c r="A195">
        <f t="shared" si="41"/>
        <v>193</v>
      </c>
      <c r="B195">
        <f>IF(G195="Bonds",COUNTIF($G$3:G195,"Bonds"),0)</f>
        <v>0</v>
      </c>
      <c r="C195" t="str">
        <f t="shared" si="45"/>
        <v>Hypera4160242940</v>
      </c>
      <c r="D195">
        <f t="shared" si="46"/>
        <v>19</v>
      </c>
      <c r="E195" s="9" t="s">
        <v>264</v>
      </c>
      <c r="F195" s="9" t="s">
        <v>265</v>
      </c>
      <c r="G195" s="9" t="s">
        <v>29</v>
      </c>
      <c r="H195">
        <f t="shared" ref="H195:H258" si="52">IF(G195="Bonds",1,0)</f>
        <v>0</v>
      </c>
      <c r="I195" s="9" t="s">
        <v>268</v>
      </c>
      <c r="J195" s="1">
        <f t="shared" ref="J195:J258" si="53">IF(F195=F194,J194+1,1)</f>
        <v>3</v>
      </c>
      <c r="K195" s="2">
        <v>41602</v>
      </c>
      <c r="L195" s="2">
        <v>42940</v>
      </c>
      <c r="M195" s="10">
        <f t="shared" ref="M195:M258" si="54">(L195-K195)/365</f>
        <v>3.6657534246575341</v>
      </c>
      <c r="N195" s="11">
        <f t="shared" ref="N195:N258" si="55">IF(M195&gt;5,1,0)</f>
        <v>0</v>
      </c>
      <c r="O195" s="9" t="s">
        <v>47</v>
      </c>
      <c r="P195" t="str">
        <f t="shared" si="42"/>
        <v>0</v>
      </c>
      <c r="Q195" s="12">
        <v>200</v>
      </c>
      <c r="R195" s="9">
        <v>1000000</v>
      </c>
      <c r="S195" s="1" t="str">
        <f>IF($V195="USD",INDEX('Dólar Spot'!$B:$B,MATCH(Base!$K195,'Dólar Spot'!$A:$A,0)),"")</f>
        <v/>
      </c>
      <c r="T195" s="11">
        <f t="shared" si="51"/>
        <v>200000000</v>
      </c>
      <c r="U195" s="13">
        <f t="shared" ref="U195:U258" si="56">IF(V195="USD",T195*S195/100000000,Q195*R195/100000000)</f>
        <v>2</v>
      </c>
      <c r="V195" s="9" t="s">
        <v>44</v>
      </c>
      <c r="W195" s="9" t="s">
        <v>34</v>
      </c>
      <c r="X195">
        <f t="shared" si="43"/>
        <v>1</v>
      </c>
      <c r="Y195" s="1" t="str" cm="1">
        <f t="array" ref="Y195">INDEX(Ratings!$B$2:$M$42,_xlfn.XMATCH(Base!F195,Ratings!$A$2:$A$42),_xlfn.XMATCH(YEAR(Base!K195),Ratings!$B$1:$M$1))</f>
        <v>BB-</v>
      </c>
      <c r="Z195">
        <f t="shared" si="44"/>
        <v>0</v>
      </c>
      <c r="AA195">
        <f>IFERROR(IFERROR(IFERROR(INDEX('EMBI+'!$B:$B,MATCH(Base!$K195,'EMBI+'!$A:$A,0)),INDEX('EMBI+'!$B:$B,MATCH(Base!$K195+1,'EMBI+'!$A:$A,0))),INDEX('EMBI+'!$B:$B,MATCH(Base!$K195+2,'EMBI+'!$A:$A,0))),INDEX('EMBI+'!$B:$B,MATCH(Base!$K195+3,'EMBI+'!$A:$A,0)))/100</f>
        <v>2.42</v>
      </c>
      <c r="AB195" s="9">
        <v>70.785769999999999</v>
      </c>
      <c r="AC195" s="9">
        <v>39.088520000000003</v>
      </c>
      <c r="AD195" s="9"/>
      <c r="AE195" s="9"/>
      <c r="AF195" s="2"/>
      <c r="AG195" s="2"/>
    </row>
    <row r="196" spans="1:33" x14ac:dyDescent="0.35">
      <c r="A196">
        <f t="shared" ref="A196:A259" si="57">+A195+1</f>
        <v>194</v>
      </c>
      <c r="B196">
        <f>IF(G196="Bonds",COUNTIF($G$3:G196,"Bonds"),0)</f>
        <v>0</v>
      </c>
      <c r="C196" t="str">
        <f t="shared" si="45"/>
        <v>Hypera4173943565</v>
      </c>
      <c r="D196">
        <f t="shared" si="46"/>
        <v>19</v>
      </c>
      <c r="E196" s="9" t="s">
        <v>264</v>
      </c>
      <c r="F196" s="9" t="s">
        <v>265</v>
      </c>
      <c r="G196" s="9" t="s">
        <v>29</v>
      </c>
      <c r="H196">
        <f t="shared" si="52"/>
        <v>0</v>
      </c>
      <c r="I196" s="9" t="s">
        <v>269</v>
      </c>
      <c r="J196" s="1">
        <f t="shared" si="53"/>
        <v>4</v>
      </c>
      <c r="K196" s="2">
        <v>41739</v>
      </c>
      <c r="L196" s="2">
        <v>43565</v>
      </c>
      <c r="M196" s="10">
        <f t="shared" si="54"/>
        <v>5.0027397260273974</v>
      </c>
      <c r="N196" s="11">
        <f t="shared" si="55"/>
        <v>1</v>
      </c>
      <c r="O196" s="9" t="s">
        <v>47</v>
      </c>
      <c r="P196" t="str">
        <f t="shared" ref="P196:P259" si="58">IF(OR(O196="Real",O196="Flutuante",O196="SR SECURED"),"1","0")</f>
        <v>0</v>
      </c>
      <c r="Q196" s="12">
        <v>400</v>
      </c>
      <c r="R196" s="9">
        <v>1000000</v>
      </c>
      <c r="S196" s="1" t="str">
        <f>IF($V196="USD",INDEX('Dólar Spot'!$B:$B,MATCH(Base!$K196,'Dólar Spot'!$A:$A,0)),"")</f>
        <v/>
      </c>
      <c r="T196" s="11">
        <f t="shared" si="51"/>
        <v>400000000</v>
      </c>
      <c r="U196" s="13">
        <f t="shared" si="56"/>
        <v>4</v>
      </c>
      <c r="V196" s="9" t="s">
        <v>44</v>
      </c>
      <c r="W196" s="9" t="s">
        <v>34</v>
      </c>
      <c r="X196">
        <f t="shared" ref="X196:X259" si="59">IF(OR(W196="N",W196="AT MATURITY"),0,1)</f>
        <v>1</v>
      </c>
      <c r="Y196" s="1" t="str" cm="1">
        <f t="array" ref="Y196">INDEX(Ratings!$B$2:$M$42,_xlfn.XMATCH(Base!F196,Ratings!$A$2:$A$42),_xlfn.XMATCH(YEAR(Base!K196),Ratings!$B$1:$M$1))</f>
        <v>BB</v>
      </c>
      <c r="Z196">
        <f t="shared" ref="Z196:Z259" si="60">IF(AND(Y196&lt;&gt;"BBB-",Y196&lt;&gt;"BBB",Y196&lt;&gt;"BBB+"),0,1)</f>
        <v>0</v>
      </c>
      <c r="AA196">
        <f>IFERROR(IFERROR(IFERROR(INDEX('EMBI+'!$B:$B,MATCH(Base!$K196,'EMBI+'!$A:$A,0)),INDEX('EMBI+'!$B:$B,MATCH(Base!$K196+1,'EMBI+'!$A:$A,0))),INDEX('EMBI+'!$B:$B,MATCH(Base!$K196+2,'EMBI+'!$A:$A,0))),INDEX('EMBI+'!$B:$B,MATCH(Base!$K196+3,'EMBI+'!$A:$A,0)))/100</f>
        <v>2.2000000000000002</v>
      </c>
      <c r="AB196" s="9">
        <v>71.543599999999998</v>
      </c>
      <c r="AC196" s="9">
        <v>41.285609999999998</v>
      </c>
      <c r="AD196" s="9"/>
      <c r="AE196" s="9"/>
      <c r="AF196" s="2"/>
      <c r="AG196" s="2"/>
    </row>
    <row r="197" spans="1:33" x14ac:dyDescent="0.35">
      <c r="A197">
        <f t="shared" si="57"/>
        <v>195</v>
      </c>
      <c r="B197">
        <f>IF(G197="Bonds",COUNTIF($G$3:G197,"Bonds"),0)</f>
        <v>0</v>
      </c>
      <c r="C197" t="str">
        <f t="shared" ref="C197:C260" si="61">F197&amp;K197&amp;L197</f>
        <v>Hypera4379745989</v>
      </c>
      <c r="D197">
        <f t="shared" ref="D197:D260" si="62">IF(F197&lt;&gt;F196,D196+1,D196)</f>
        <v>19</v>
      </c>
      <c r="E197" s="9" t="s">
        <v>264</v>
      </c>
      <c r="F197" s="9" t="s">
        <v>265</v>
      </c>
      <c r="G197" s="9" t="s">
        <v>29</v>
      </c>
      <c r="H197">
        <f t="shared" si="52"/>
        <v>0</v>
      </c>
      <c r="I197" s="9" t="s">
        <v>270</v>
      </c>
      <c r="J197" s="1">
        <f t="shared" si="53"/>
        <v>5</v>
      </c>
      <c r="K197" s="2">
        <v>43797</v>
      </c>
      <c r="L197" s="2">
        <v>45989</v>
      </c>
      <c r="M197" s="10">
        <f t="shared" si="54"/>
        <v>6.0054794520547947</v>
      </c>
      <c r="N197" s="11">
        <f t="shared" si="55"/>
        <v>1</v>
      </c>
      <c r="O197" s="9" t="s">
        <v>47</v>
      </c>
      <c r="P197" t="str">
        <f t="shared" si="58"/>
        <v>0</v>
      </c>
      <c r="Q197" s="12">
        <v>80000</v>
      </c>
      <c r="R197" s="9">
        <v>10000</v>
      </c>
      <c r="S197" s="1" t="str">
        <f>IF($V197="USD",INDEX('Dólar Spot'!$B:$B,MATCH(Base!$K197,'Dólar Spot'!$A:$A,0)),"")</f>
        <v/>
      </c>
      <c r="T197" s="11">
        <f t="shared" si="51"/>
        <v>800000000</v>
      </c>
      <c r="U197" s="13">
        <f t="shared" si="56"/>
        <v>8</v>
      </c>
      <c r="V197" s="9" t="s">
        <v>44</v>
      </c>
      <c r="W197" s="9" t="s">
        <v>34</v>
      </c>
      <c r="X197">
        <f t="shared" si="59"/>
        <v>1</v>
      </c>
      <c r="Y197" s="1" t="str" cm="1">
        <f t="array" ref="Y197">INDEX(Ratings!$B$2:$M$42,_xlfn.XMATCH(Base!F197,Ratings!$A$2:$A$42),_xlfn.XMATCH(YEAR(Base!K197),Ratings!$B$1:$M$1))</f>
        <v>BB+</v>
      </c>
      <c r="Z197">
        <f t="shared" si="60"/>
        <v>0</v>
      </c>
      <c r="AA197">
        <f>IFERROR(IFERROR(IFERROR(INDEX('EMBI+'!$B:$B,MATCH(Base!$K197,'EMBI+'!$A:$A,0)),INDEX('EMBI+'!$B:$B,MATCH(Base!$K197+1,'EMBI+'!$A:$A,0))),INDEX('EMBI+'!$B:$B,MATCH(Base!$K197+2,'EMBI+'!$A:$A,0))),INDEX('EMBI+'!$B:$B,MATCH(Base!$K197+3,'EMBI+'!$A:$A,0)))/100</f>
        <v>2.44</v>
      </c>
      <c r="AB197" s="9">
        <v>87.100999999999999</v>
      </c>
      <c r="AC197" s="9">
        <v>14.02605</v>
      </c>
      <c r="AD197" s="9"/>
      <c r="AE197" s="9"/>
      <c r="AF197" s="2"/>
      <c r="AG197" s="2"/>
    </row>
    <row r="198" spans="1:33" x14ac:dyDescent="0.35">
      <c r="A198">
        <f t="shared" si="57"/>
        <v>196</v>
      </c>
      <c r="B198">
        <f>IF(G198="Bonds",COUNTIF($G$3:G198,"Bonds"),0)</f>
        <v>0</v>
      </c>
      <c r="C198" t="str">
        <f t="shared" si="61"/>
        <v>Hypera4392446115</v>
      </c>
      <c r="D198">
        <f t="shared" si="62"/>
        <v>19</v>
      </c>
      <c r="E198" s="9" t="s">
        <v>264</v>
      </c>
      <c r="F198" s="9" t="s">
        <v>265</v>
      </c>
      <c r="G198" s="9" t="s">
        <v>29</v>
      </c>
      <c r="H198">
        <f t="shared" si="52"/>
        <v>0</v>
      </c>
      <c r="I198" s="9" t="s">
        <v>271</v>
      </c>
      <c r="J198" s="1">
        <f t="shared" si="53"/>
        <v>6</v>
      </c>
      <c r="K198" s="2">
        <v>43924</v>
      </c>
      <c r="L198" s="2">
        <v>46115</v>
      </c>
      <c r="M198" s="10">
        <f t="shared" si="54"/>
        <v>6.0027397260273974</v>
      </c>
      <c r="N198" s="11">
        <f t="shared" si="55"/>
        <v>1</v>
      </c>
      <c r="O198" s="9" t="s">
        <v>47</v>
      </c>
      <c r="P198" t="str">
        <f t="shared" si="58"/>
        <v>0</v>
      </c>
      <c r="Q198" s="12">
        <v>248500</v>
      </c>
      <c r="R198" s="9">
        <v>10000</v>
      </c>
      <c r="S198" s="1" t="str">
        <f>IF($V198="USD",INDEX('Dólar Spot'!$B:$B,MATCH(Base!$K198,'Dólar Spot'!$A:$A,0)),"")</f>
        <v/>
      </c>
      <c r="T198" s="11">
        <f t="shared" si="51"/>
        <v>2485000000</v>
      </c>
      <c r="U198" s="13">
        <f t="shared" si="56"/>
        <v>24.85</v>
      </c>
      <c r="V198" s="9" t="s">
        <v>44</v>
      </c>
      <c r="W198" s="9" t="s">
        <v>34</v>
      </c>
      <c r="X198">
        <f t="shared" si="59"/>
        <v>1</v>
      </c>
      <c r="Y198" s="1" t="str" cm="1">
        <f t="array" ref="Y198">INDEX(Ratings!$B$2:$M$42,_xlfn.XMATCH(Base!F198,Ratings!$A$2:$A$42),_xlfn.XMATCH(YEAR(Base!K198),Ratings!$B$1:$M$1))</f>
        <v>BB+</v>
      </c>
      <c r="Z198">
        <f t="shared" si="60"/>
        <v>0</v>
      </c>
      <c r="AA198">
        <f>IFERROR(IFERROR(IFERROR(INDEX('EMBI+'!$B:$B,MATCH(Base!$K198,'EMBI+'!$A:$A,0)),INDEX('EMBI+'!$B:$B,MATCH(Base!$K198+1,'EMBI+'!$A:$A,0))),INDEX('EMBI+'!$B:$B,MATCH(Base!$K198+2,'EMBI+'!$A:$A,0))),INDEX('EMBI+'!$B:$B,MATCH(Base!$K198+3,'EMBI+'!$A:$A,0)))/100</f>
        <v>4.45</v>
      </c>
      <c r="AB198" s="9">
        <v>87.887339999999995</v>
      </c>
      <c r="AC198" s="9">
        <v>20.230260000000001</v>
      </c>
      <c r="AD198" s="9"/>
      <c r="AE198" s="9"/>
      <c r="AF198" s="2"/>
      <c r="AG198" s="2"/>
    </row>
    <row r="199" spans="1:33" x14ac:dyDescent="0.35">
      <c r="A199">
        <f t="shared" si="57"/>
        <v>197</v>
      </c>
      <c r="B199">
        <f>IF(G199="Bonds",COUNTIF($G$3:G199,"Bonds"),0)</f>
        <v>0</v>
      </c>
      <c r="C199" t="str">
        <f t="shared" si="61"/>
        <v>Hypera4063041757</v>
      </c>
      <c r="D199">
        <f t="shared" si="62"/>
        <v>19</v>
      </c>
      <c r="E199" s="9" t="s">
        <v>264</v>
      </c>
      <c r="F199" s="9" t="s">
        <v>265</v>
      </c>
      <c r="G199" s="9" t="s">
        <v>29</v>
      </c>
      <c r="H199">
        <f t="shared" si="52"/>
        <v>0</v>
      </c>
      <c r="I199" s="9" t="s">
        <v>272</v>
      </c>
      <c r="J199" s="1">
        <f t="shared" si="53"/>
        <v>7</v>
      </c>
      <c r="K199" s="2">
        <v>40630</v>
      </c>
      <c r="L199" s="2">
        <v>41757</v>
      </c>
      <c r="M199" s="10">
        <f t="shared" si="54"/>
        <v>3.0876712328767124</v>
      </c>
      <c r="N199" s="11">
        <f t="shared" si="55"/>
        <v>0</v>
      </c>
      <c r="O199" s="9" t="s">
        <v>47</v>
      </c>
      <c r="P199" t="str">
        <f t="shared" si="58"/>
        <v>0</v>
      </c>
      <c r="Q199" s="12">
        <v>200</v>
      </c>
      <c r="R199" s="9">
        <v>1000000</v>
      </c>
      <c r="S199" s="1" t="str">
        <f>IF($V199="USD",INDEX('Dólar Spot'!$B:$B,MATCH(Base!$K199,'Dólar Spot'!$A:$A,0)),"")</f>
        <v/>
      </c>
      <c r="T199" s="11">
        <f t="shared" si="51"/>
        <v>200000000</v>
      </c>
      <c r="U199" s="13">
        <f t="shared" si="56"/>
        <v>2</v>
      </c>
      <c r="V199" s="9" t="s">
        <v>44</v>
      </c>
      <c r="W199" s="9" t="s">
        <v>34</v>
      </c>
      <c r="X199">
        <f t="shared" si="59"/>
        <v>1</v>
      </c>
      <c r="Y199" s="1" t="str" cm="1">
        <f t="array" ref="Y199">INDEX(Ratings!$B$2:$M$42,_xlfn.XMATCH(Base!F199,Ratings!$A$2:$A$42),_xlfn.XMATCH(YEAR(Base!K199),Ratings!$B$1:$M$1))</f>
        <v>BB-</v>
      </c>
      <c r="Z199">
        <f t="shared" si="60"/>
        <v>0</v>
      </c>
      <c r="AA199">
        <f>IFERROR(IFERROR(IFERROR(INDEX('EMBI+'!$B:$B,MATCH(Base!$K199,'EMBI+'!$A:$A,0)),INDEX('EMBI+'!$B:$B,MATCH(Base!$K199+1,'EMBI+'!$A:$A,0))),INDEX('EMBI+'!$B:$B,MATCH(Base!$K199+2,'EMBI+'!$A:$A,0))),INDEX('EMBI+'!$B:$B,MATCH(Base!$K199+3,'EMBI+'!$A:$A,0)))/100</f>
        <v>1.7</v>
      </c>
      <c r="AB199" s="9">
        <v>67.374380000000002</v>
      </c>
      <c r="AC199" s="9">
        <v>34.010759999999998</v>
      </c>
      <c r="AD199" s="9"/>
      <c r="AE199" s="9"/>
      <c r="AF199" s="2"/>
      <c r="AG199" s="2"/>
    </row>
    <row r="200" spans="1:33" x14ac:dyDescent="0.35">
      <c r="A200">
        <f t="shared" si="57"/>
        <v>198</v>
      </c>
      <c r="B200">
        <f>IF(G200="Bonds",COUNTIF($G$3:G200,"Bonds"),0)</f>
        <v>0</v>
      </c>
      <c r="C200" t="str">
        <f t="shared" si="61"/>
        <v>Hypera4407545901</v>
      </c>
      <c r="D200">
        <f t="shared" si="62"/>
        <v>19</v>
      </c>
      <c r="E200" s="9" t="s">
        <v>264</v>
      </c>
      <c r="F200" s="9" t="s">
        <v>265</v>
      </c>
      <c r="G200" s="9" t="s">
        <v>29</v>
      </c>
      <c r="H200">
        <f t="shared" si="52"/>
        <v>0</v>
      </c>
      <c r="I200" s="9" t="s">
        <v>273</v>
      </c>
      <c r="J200" s="1">
        <f t="shared" si="53"/>
        <v>8</v>
      </c>
      <c r="K200" s="2">
        <v>44075</v>
      </c>
      <c r="L200" s="2">
        <v>45901</v>
      </c>
      <c r="M200" s="10">
        <f t="shared" si="54"/>
        <v>5.0027397260273974</v>
      </c>
      <c r="N200" s="11">
        <f t="shared" si="55"/>
        <v>1</v>
      </c>
      <c r="O200" s="9" t="s">
        <v>47</v>
      </c>
      <c r="P200" t="str">
        <f t="shared" si="58"/>
        <v>0</v>
      </c>
      <c r="Q200" s="12">
        <v>23500</v>
      </c>
      <c r="R200" s="9">
        <v>10000</v>
      </c>
      <c r="S200" s="1" t="str">
        <f>IF($V200="USD",INDEX('Dólar Spot'!$B:$B,MATCH(Base!$K200,'Dólar Spot'!$A:$A,0)),"")</f>
        <v/>
      </c>
      <c r="T200" s="11">
        <f t="shared" si="51"/>
        <v>235000000</v>
      </c>
      <c r="U200" s="13">
        <f t="shared" si="56"/>
        <v>2.35</v>
      </c>
      <c r="V200" s="9" t="s">
        <v>44</v>
      </c>
      <c r="W200" s="9" t="s">
        <v>34</v>
      </c>
      <c r="X200">
        <f t="shared" si="59"/>
        <v>1</v>
      </c>
      <c r="Y200" s="1" t="str" cm="1">
        <f t="array" ref="Y200">INDEX(Ratings!$B$2:$M$42,_xlfn.XMATCH(Base!F200,Ratings!$A$2:$A$42),_xlfn.XMATCH(YEAR(Base!K200),Ratings!$B$1:$M$1))</f>
        <v>BB+</v>
      </c>
      <c r="Z200">
        <f t="shared" si="60"/>
        <v>0</v>
      </c>
      <c r="AA200">
        <f>IFERROR(IFERROR(IFERROR(INDEX('EMBI+'!$B:$B,MATCH(Base!$K200,'EMBI+'!$A:$A,0)),INDEX('EMBI+'!$B:$B,MATCH(Base!$K200+1,'EMBI+'!$A:$A,0))),INDEX('EMBI+'!$B:$B,MATCH(Base!$K200+2,'EMBI+'!$A:$A,0))),INDEX('EMBI+'!$B:$B,MATCH(Base!$K200+3,'EMBI+'!$A:$A,0)))/100</f>
        <v>3.14</v>
      </c>
      <c r="AB200" s="9">
        <v>92.955579999999998</v>
      </c>
      <c r="AC200" s="9">
        <v>55.744529999999997</v>
      </c>
      <c r="AD200" s="9"/>
      <c r="AE200" s="9"/>
      <c r="AF200" s="2"/>
      <c r="AG200" s="2"/>
    </row>
    <row r="201" spans="1:33" x14ac:dyDescent="0.35">
      <c r="A201">
        <f t="shared" si="57"/>
        <v>199</v>
      </c>
      <c r="B201">
        <f>IF(G201="Bonds",COUNTIF($G$3:G201,"Bonds"),0)</f>
        <v>0</v>
      </c>
      <c r="C201" t="str">
        <f t="shared" si="61"/>
        <v>Hypera4444846274</v>
      </c>
      <c r="D201">
        <f t="shared" si="62"/>
        <v>19</v>
      </c>
      <c r="E201" s="9" t="s">
        <v>264</v>
      </c>
      <c r="F201" s="9" t="s">
        <v>265</v>
      </c>
      <c r="G201" s="9" t="s">
        <v>29</v>
      </c>
      <c r="H201">
        <f t="shared" si="52"/>
        <v>0</v>
      </c>
      <c r="I201" s="9" t="s">
        <v>274</v>
      </c>
      <c r="J201" s="1">
        <f t="shared" si="53"/>
        <v>9</v>
      </c>
      <c r="K201" s="2">
        <v>44448</v>
      </c>
      <c r="L201" s="2">
        <v>46274</v>
      </c>
      <c r="M201" s="10">
        <f t="shared" si="54"/>
        <v>5.0027397260273974</v>
      </c>
      <c r="N201" s="11">
        <f t="shared" si="55"/>
        <v>1</v>
      </c>
      <c r="O201" s="9" t="s">
        <v>47</v>
      </c>
      <c r="P201" t="str">
        <f t="shared" si="58"/>
        <v>0</v>
      </c>
      <c r="Q201" s="12">
        <v>1000000</v>
      </c>
      <c r="R201" s="9">
        <v>1000</v>
      </c>
      <c r="S201" s="1" t="str">
        <f>IF($V201="USD",INDEX('Dólar Spot'!$B:$B,MATCH(Base!$K201,'Dólar Spot'!$A:$A,0)),"")</f>
        <v/>
      </c>
      <c r="T201" s="11">
        <f t="shared" si="51"/>
        <v>1000000000</v>
      </c>
      <c r="U201" s="13">
        <f t="shared" si="56"/>
        <v>10</v>
      </c>
      <c r="V201" s="9" t="s">
        <v>44</v>
      </c>
      <c r="W201" s="9" t="s">
        <v>34</v>
      </c>
      <c r="X201">
        <f t="shared" si="59"/>
        <v>1</v>
      </c>
      <c r="Y201" s="1" t="str" cm="1">
        <f t="array" ref="Y201">INDEX(Ratings!$B$2:$M$42,_xlfn.XMATCH(Base!F201,Ratings!$A$2:$A$42),_xlfn.XMATCH(YEAR(Base!K201),Ratings!$B$1:$M$1))</f>
        <v>BB+</v>
      </c>
      <c r="Z201">
        <f t="shared" si="60"/>
        <v>0</v>
      </c>
      <c r="AA201">
        <f>IFERROR(IFERROR(IFERROR(INDEX('EMBI+'!$B:$B,MATCH(Base!$K201,'EMBI+'!$A:$A,0)),INDEX('EMBI+'!$B:$B,MATCH(Base!$K201+1,'EMBI+'!$A:$A,0))),INDEX('EMBI+'!$B:$B,MATCH(Base!$K201+2,'EMBI+'!$A:$A,0))),INDEX('EMBI+'!$B:$B,MATCH(Base!$K201+3,'EMBI+'!$A:$A,0)))/100</f>
        <v>3.17</v>
      </c>
      <c r="AB201" s="9">
        <v>96.805340000000001</v>
      </c>
      <c r="AC201" s="9">
        <v>74.151340000000005</v>
      </c>
      <c r="AD201" s="9"/>
      <c r="AE201" s="9"/>
      <c r="AF201" s="2"/>
      <c r="AG201" s="2"/>
    </row>
    <row r="202" spans="1:33" x14ac:dyDescent="0.35">
      <c r="A202">
        <f t="shared" si="57"/>
        <v>200</v>
      </c>
      <c r="B202">
        <f>IF(G202="Bonds",COUNTIF($G$3:G202,"Bonds"),0)</f>
        <v>0</v>
      </c>
      <c r="C202" t="str">
        <f t="shared" si="61"/>
        <v>Hypera4407545901</v>
      </c>
      <c r="D202">
        <f t="shared" si="62"/>
        <v>19</v>
      </c>
      <c r="E202" s="9" t="s">
        <v>264</v>
      </c>
      <c r="F202" s="9" t="s">
        <v>265</v>
      </c>
      <c r="G202" s="9" t="s">
        <v>29</v>
      </c>
      <c r="H202">
        <f t="shared" si="52"/>
        <v>0</v>
      </c>
      <c r="I202" s="9" t="s">
        <v>275</v>
      </c>
      <c r="J202" s="1">
        <f t="shared" si="53"/>
        <v>10</v>
      </c>
      <c r="K202" s="2">
        <v>44075</v>
      </c>
      <c r="L202" s="2">
        <v>45901</v>
      </c>
      <c r="M202" s="10">
        <f t="shared" si="54"/>
        <v>5.0027397260273974</v>
      </c>
      <c r="N202" s="11">
        <f t="shared" si="55"/>
        <v>1</v>
      </c>
      <c r="O202" s="9" t="s">
        <v>47</v>
      </c>
      <c r="P202" t="str">
        <f t="shared" si="58"/>
        <v>0</v>
      </c>
      <c r="Q202" s="12">
        <v>50000</v>
      </c>
      <c r="R202" s="9">
        <v>10000</v>
      </c>
      <c r="S202" s="1" t="str">
        <f>IF($V202="USD",INDEX('Dólar Spot'!$B:$B,MATCH(Base!$K202,'Dólar Spot'!$A:$A,0)),"")</f>
        <v/>
      </c>
      <c r="T202" s="11">
        <f t="shared" si="51"/>
        <v>500000000</v>
      </c>
      <c r="U202" s="13">
        <f t="shared" si="56"/>
        <v>5</v>
      </c>
      <c r="V202" s="9" t="s">
        <v>44</v>
      </c>
      <c r="W202" s="9" t="s">
        <v>34</v>
      </c>
      <c r="X202">
        <f t="shared" si="59"/>
        <v>1</v>
      </c>
      <c r="Y202" s="1" t="str" cm="1">
        <f t="array" ref="Y202">INDEX(Ratings!$B$2:$M$42,_xlfn.XMATCH(Base!F202,Ratings!$A$2:$A$42),_xlfn.XMATCH(YEAR(Base!K202),Ratings!$B$1:$M$1))</f>
        <v>BB+</v>
      </c>
      <c r="Z202">
        <f t="shared" si="60"/>
        <v>0</v>
      </c>
      <c r="AA202">
        <f>IFERROR(IFERROR(IFERROR(INDEX('EMBI+'!$B:$B,MATCH(Base!$K202,'EMBI+'!$A:$A,0)),INDEX('EMBI+'!$B:$B,MATCH(Base!$K202+1,'EMBI+'!$A:$A,0))),INDEX('EMBI+'!$B:$B,MATCH(Base!$K202+2,'EMBI+'!$A:$A,0))),INDEX('EMBI+'!$B:$B,MATCH(Base!$K202+3,'EMBI+'!$A:$A,0)))/100</f>
        <v>3.14</v>
      </c>
      <c r="AB202" s="9">
        <v>92.955579999999998</v>
      </c>
      <c r="AC202" s="9">
        <v>55.744529999999997</v>
      </c>
      <c r="AD202" s="9"/>
      <c r="AE202" s="9"/>
      <c r="AF202" s="2"/>
      <c r="AG202" s="2"/>
    </row>
    <row r="203" spans="1:33" x14ac:dyDescent="0.35">
      <c r="A203">
        <f t="shared" si="57"/>
        <v>201</v>
      </c>
      <c r="B203">
        <f>IF(G203="Bonds",COUNTIF($G$3:G203,"Bonds"),0)</f>
        <v>0</v>
      </c>
      <c r="C203" t="str">
        <f t="shared" si="61"/>
        <v>Hypera4459646422</v>
      </c>
      <c r="D203">
        <f t="shared" si="62"/>
        <v>19</v>
      </c>
      <c r="E203" s="9" t="s">
        <v>264</v>
      </c>
      <c r="F203" s="9" t="s">
        <v>265</v>
      </c>
      <c r="G203" s="9" t="s">
        <v>29</v>
      </c>
      <c r="H203">
        <f t="shared" si="52"/>
        <v>0</v>
      </c>
      <c r="I203" s="9"/>
      <c r="J203" s="1">
        <f t="shared" si="53"/>
        <v>11</v>
      </c>
      <c r="K203" s="2">
        <v>44596</v>
      </c>
      <c r="L203" s="2">
        <v>46422</v>
      </c>
      <c r="M203" s="10">
        <f t="shared" si="54"/>
        <v>5.0027397260273974</v>
      </c>
      <c r="N203" s="11">
        <f t="shared" si="55"/>
        <v>1</v>
      </c>
      <c r="O203" s="9" t="s">
        <v>47</v>
      </c>
      <c r="P203" t="str">
        <f t="shared" si="58"/>
        <v>0</v>
      </c>
      <c r="Q203" s="12">
        <v>500000</v>
      </c>
      <c r="R203" s="9">
        <v>1000</v>
      </c>
      <c r="S203" s="1" t="str">
        <f>IF($V203="USD",INDEX('Dólar Spot'!$B:$B,MATCH(Base!$K203,'Dólar Spot'!$A:$A,0)),"")</f>
        <v/>
      </c>
      <c r="T203" s="11">
        <f t="shared" si="51"/>
        <v>500000000</v>
      </c>
      <c r="U203" s="13">
        <f t="shared" si="56"/>
        <v>5</v>
      </c>
      <c r="V203" s="9" t="s">
        <v>44</v>
      </c>
      <c r="W203" s="9" t="s">
        <v>34</v>
      </c>
      <c r="X203">
        <f t="shared" si="59"/>
        <v>1</v>
      </c>
      <c r="Y203" s="1" t="str" cm="1">
        <f t="array" ref="Y203">INDEX(Ratings!$B$2:$M$42,_xlfn.XMATCH(Base!F203,Ratings!$A$2:$A$42),_xlfn.XMATCH(YEAR(Base!K203),Ratings!$B$1:$M$1))</f>
        <v>BB+</v>
      </c>
      <c r="Z203">
        <f t="shared" si="60"/>
        <v>0</v>
      </c>
      <c r="AA203">
        <f>IFERROR(IFERROR(IFERROR(INDEX('EMBI+'!$B:$B,MATCH(Base!$K203,'EMBI+'!$A:$A,0)),INDEX('EMBI+'!$B:$B,MATCH(Base!$K203+1,'EMBI+'!$A:$A,0))),INDEX('EMBI+'!$B:$B,MATCH(Base!$K203+2,'EMBI+'!$A:$A,0))),INDEX('EMBI+'!$B:$B,MATCH(Base!$K203+3,'EMBI+'!$A:$A,0)))/100</f>
        <v>3.26</v>
      </c>
      <c r="AB203" s="9">
        <v>98.265910000000005</v>
      </c>
      <c r="AC203" s="9">
        <v>73.609870000000001</v>
      </c>
      <c r="AD203" s="9"/>
      <c r="AE203" s="9"/>
      <c r="AF203" s="2"/>
      <c r="AG203" s="2"/>
    </row>
    <row r="204" spans="1:33" x14ac:dyDescent="0.35">
      <c r="A204">
        <f t="shared" si="57"/>
        <v>202</v>
      </c>
      <c r="B204">
        <f>IF(G204="Bonds",COUNTIF($G$3:G204,"Bonds"),0)</f>
        <v>0</v>
      </c>
      <c r="C204" t="str">
        <f t="shared" si="61"/>
        <v>Hypera4490946735</v>
      </c>
      <c r="D204">
        <f t="shared" si="62"/>
        <v>19</v>
      </c>
      <c r="E204" s="9" t="s">
        <v>264</v>
      </c>
      <c r="F204" s="9" t="s">
        <v>265</v>
      </c>
      <c r="G204" s="9" t="s">
        <v>29</v>
      </c>
      <c r="H204">
        <f t="shared" si="52"/>
        <v>0</v>
      </c>
      <c r="I204" s="9"/>
      <c r="J204" s="1">
        <f t="shared" si="53"/>
        <v>12</v>
      </c>
      <c r="K204" s="2">
        <v>44909</v>
      </c>
      <c r="L204" s="2">
        <v>46735</v>
      </c>
      <c r="M204" s="10">
        <f t="shared" si="54"/>
        <v>5.0027397260273974</v>
      </c>
      <c r="N204" s="11">
        <f t="shared" si="55"/>
        <v>1</v>
      </c>
      <c r="O204" s="9" t="s">
        <v>47</v>
      </c>
      <c r="P204" t="str">
        <f t="shared" si="58"/>
        <v>0</v>
      </c>
      <c r="Q204" s="12">
        <v>750000</v>
      </c>
      <c r="R204" s="9">
        <v>1000</v>
      </c>
      <c r="S204" s="1" t="str">
        <f>IF($V204="USD",INDEX('Dólar Spot'!$B:$B,MATCH(Base!$K204,'Dólar Spot'!$A:$A,0)),"")</f>
        <v/>
      </c>
      <c r="T204" s="11">
        <f t="shared" si="51"/>
        <v>750000000</v>
      </c>
      <c r="U204" s="13">
        <f t="shared" si="56"/>
        <v>7.5</v>
      </c>
      <c r="V204" s="9" t="s">
        <v>44</v>
      </c>
      <c r="W204" s="9" t="s">
        <v>34</v>
      </c>
      <c r="X204">
        <f t="shared" si="59"/>
        <v>1</v>
      </c>
      <c r="Y204" s="1" t="str" cm="1">
        <f t="array" ref="Y204">INDEX(Ratings!$B$2:$M$42,_xlfn.XMATCH(Base!F204,Ratings!$A$2:$A$42),_xlfn.XMATCH(YEAR(Base!K204),Ratings!$B$1:$M$1))</f>
        <v>BB+</v>
      </c>
      <c r="Z204">
        <f t="shared" si="60"/>
        <v>0</v>
      </c>
      <c r="AA204">
        <f>IFERROR(IFERROR(IFERROR(INDEX('EMBI+'!$B:$B,MATCH(Base!$K204,'EMBI+'!$A:$A,0)),INDEX('EMBI+'!$B:$B,MATCH(Base!$K204+1,'EMBI+'!$A:$A,0))),INDEX('EMBI+'!$B:$B,MATCH(Base!$K204+2,'EMBI+'!$A:$A,0))),INDEX('EMBI+'!$B:$B,MATCH(Base!$K204+3,'EMBI+'!$A:$A,0)))/100</f>
        <v>2.6</v>
      </c>
      <c r="AB204" s="9">
        <v>106.4576</v>
      </c>
      <c r="AC204" s="9">
        <v>96.075590000000005</v>
      </c>
      <c r="AD204" s="9"/>
      <c r="AE204" s="9"/>
      <c r="AF204" s="2"/>
      <c r="AG204" s="2"/>
    </row>
    <row r="205" spans="1:33" x14ac:dyDescent="0.35">
      <c r="A205">
        <f t="shared" si="57"/>
        <v>203</v>
      </c>
      <c r="B205">
        <f>IF(G205="Bonds",COUNTIF($G$3:G205,"Bonds"),0)</f>
        <v>67</v>
      </c>
      <c r="C205" t="str">
        <f t="shared" si="61"/>
        <v>Hypera4065320/04/2021</v>
      </c>
      <c r="D205">
        <f t="shared" si="62"/>
        <v>19</v>
      </c>
      <c r="E205" s="9" t="s">
        <v>276</v>
      </c>
      <c r="F205" s="9" t="s">
        <v>265</v>
      </c>
      <c r="G205" s="9" t="s">
        <v>37</v>
      </c>
      <c r="H205">
        <f t="shared" si="52"/>
        <v>1</v>
      </c>
      <c r="I205" s="9"/>
      <c r="J205" s="1">
        <f t="shared" si="53"/>
        <v>13</v>
      </c>
      <c r="K205" s="2">
        <v>40653</v>
      </c>
      <c r="L205" s="2" t="s">
        <v>277</v>
      </c>
      <c r="M205" s="10">
        <f t="shared" si="54"/>
        <v>10.008219178082191</v>
      </c>
      <c r="N205" s="11">
        <f t="shared" si="55"/>
        <v>1</v>
      </c>
      <c r="O205" s="9" t="s">
        <v>33</v>
      </c>
      <c r="P205" t="str">
        <f t="shared" si="58"/>
        <v>0</v>
      </c>
      <c r="Q205" s="9"/>
      <c r="R205" s="9"/>
      <c r="S205" s="1">
        <f>IF($V205="USD",INDEX('Dólar Spot'!$B:$B,MATCH(Base!$K205,'Dólar Spot'!$A:$A,0)),"")</f>
        <v>1.5713999999999999</v>
      </c>
      <c r="T205" s="12">
        <v>750000000</v>
      </c>
      <c r="U205" s="13">
        <f t="shared" si="56"/>
        <v>11.785500000000001</v>
      </c>
      <c r="V205" s="9" t="s">
        <v>40</v>
      </c>
      <c r="W205" s="9" t="s">
        <v>34</v>
      </c>
      <c r="X205">
        <f t="shared" si="59"/>
        <v>1</v>
      </c>
      <c r="Y205" s="1" t="str" cm="1">
        <f t="array" ref="Y205">INDEX(Ratings!$B$2:$M$42,_xlfn.XMATCH(Base!F205,Ratings!$A$2:$A$42),_xlfn.XMATCH(YEAR(Base!K205),Ratings!$B$1:$M$1))</f>
        <v>BB-</v>
      </c>
      <c r="Z205">
        <f t="shared" si="60"/>
        <v>0</v>
      </c>
      <c r="AA205">
        <f>IFERROR(IFERROR(IFERROR(INDEX('EMBI+'!$B:$B,MATCH(Base!$K205,'EMBI+'!$A:$A,0)),INDEX('EMBI+'!$B:$B,MATCH(Base!$K205+1,'EMBI+'!$A:$A,0))),INDEX('EMBI+'!$B:$B,MATCH(Base!$K205+2,'EMBI+'!$A:$A,0))),INDEX('EMBI+'!$B:$B,MATCH(Base!$K205+3,'EMBI+'!$A:$A,0)))/100</f>
        <v>1.76</v>
      </c>
      <c r="AB205" s="9">
        <v>67.374380000000002</v>
      </c>
      <c r="AC205" s="9">
        <v>34.010759999999998</v>
      </c>
      <c r="AD205" s="9"/>
      <c r="AE205" s="9"/>
      <c r="AF205" s="2"/>
      <c r="AG205" s="2"/>
    </row>
    <row r="206" spans="1:33" x14ac:dyDescent="0.35">
      <c r="A206">
        <f t="shared" si="57"/>
        <v>204</v>
      </c>
      <c r="B206">
        <f>IF(G206="Bonds",COUNTIF($G$3:G206,"Bonds"),0)</f>
        <v>0</v>
      </c>
      <c r="C206" t="str">
        <f t="shared" si="61"/>
        <v>InterCement4101844670</v>
      </c>
      <c r="D206">
        <f t="shared" si="62"/>
        <v>20</v>
      </c>
      <c r="E206" s="9" t="s">
        <v>278</v>
      </c>
      <c r="F206" s="9" t="s">
        <v>279</v>
      </c>
      <c r="G206" s="9" t="s">
        <v>29</v>
      </c>
      <c r="H206">
        <f t="shared" si="52"/>
        <v>0</v>
      </c>
      <c r="I206" s="9" t="s">
        <v>280</v>
      </c>
      <c r="J206" s="1">
        <f t="shared" si="53"/>
        <v>1</v>
      </c>
      <c r="K206" s="2">
        <v>41018</v>
      </c>
      <c r="L206" s="2">
        <v>44670</v>
      </c>
      <c r="M206" s="10">
        <f t="shared" si="54"/>
        <v>10.005479452054795</v>
      </c>
      <c r="N206" s="11">
        <f t="shared" si="55"/>
        <v>1</v>
      </c>
      <c r="O206" s="9" t="s">
        <v>47</v>
      </c>
      <c r="P206" t="str">
        <f t="shared" si="58"/>
        <v>0</v>
      </c>
      <c r="Q206" s="12">
        <v>100000</v>
      </c>
      <c r="R206" s="9">
        <v>10000</v>
      </c>
      <c r="S206" s="1" t="str">
        <f>IF($V206="USD",INDEX('Dólar Spot'!$B:$B,MATCH(Base!$K206,'Dólar Spot'!$A:$A,0)),"")</f>
        <v/>
      </c>
      <c r="T206" s="11">
        <f t="shared" ref="T206:T235" si="63">Q206*R206</f>
        <v>1000000000</v>
      </c>
      <c r="U206" s="13">
        <f t="shared" si="56"/>
        <v>10</v>
      </c>
      <c r="V206" s="9" t="s">
        <v>44</v>
      </c>
      <c r="W206" s="9" t="s">
        <v>34</v>
      </c>
      <c r="X206">
        <f t="shared" si="59"/>
        <v>1</v>
      </c>
      <c r="Y206" s="1" t="str" cm="1">
        <f t="array" ref="Y206">INDEX(Ratings!$B$2:$M$42,_xlfn.XMATCH(Base!F206,Ratings!$A$2:$A$42),_xlfn.XMATCH(YEAR(Base!K206),Ratings!$B$1:$M$1))</f>
        <v>NR</v>
      </c>
      <c r="Z206">
        <f t="shared" si="60"/>
        <v>0</v>
      </c>
      <c r="AA206">
        <f>IFERROR(IFERROR(IFERROR(INDEX('EMBI+'!$B:$B,MATCH(Base!$K206,'EMBI+'!$A:$A,0)),INDEX('EMBI+'!$B:$B,MATCH(Base!$K206+1,'EMBI+'!$A:$A,0))),INDEX('EMBI+'!$B:$B,MATCH(Base!$K206+2,'EMBI+'!$A:$A,0))),INDEX('EMBI+'!$B:$B,MATCH(Base!$K206+3,'EMBI+'!$A:$A,0)))/100</f>
        <v>1.81</v>
      </c>
      <c r="AB206" s="9">
        <v>20.271000000000001</v>
      </c>
      <c r="AC206" s="9">
        <f>2.762+9.135</f>
        <v>11.897</v>
      </c>
      <c r="AD206" s="9"/>
      <c r="AE206" s="9"/>
      <c r="AF206" s="2"/>
      <c r="AG206" s="2"/>
    </row>
    <row r="207" spans="1:33" x14ac:dyDescent="0.35">
      <c r="A207">
        <f t="shared" si="57"/>
        <v>205</v>
      </c>
      <c r="B207">
        <f>IF(G207="Bonds",COUNTIF($G$3:G207,"Bonds"),0)</f>
        <v>0</v>
      </c>
      <c r="C207" t="str">
        <f t="shared" si="61"/>
        <v>InterCement4399046546</v>
      </c>
      <c r="D207">
        <f t="shared" si="62"/>
        <v>20</v>
      </c>
      <c r="E207" s="9" t="s">
        <v>278</v>
      </c>
      <c r="F207" s="9" t="s">
        <v>279</v>
      </c>
      <c r="G207" s="9" t="s">
        <v>29</v>
      </c>
      <c r="H207">
        <f t="shared" si="52"/>
        <v>0</v>
      </c>
      <c r="I207" s="9" t="s">
        <v>281</v>
      </c>
      <c r="J207" s="1">
        <f t="shared" si="53"/>
        <v>2</v>
      </c>
      <c r="K207" s="2">
        <v>43990</v>
      </c>
      <c r="L207" s="2">
        <v>46546</v>
      </c>
      <c r="M207" s="10">
        <f t="shared" si="54"/>
        <v>7.0027397260273974</v>
      </c>
      <c r="N207" s="11">
        <f t="shared" si="55"/>
        <v>1</v>
      </c>
      <c r="O207" s="9" t="s">
        <v>47</v>
      </c>
      <c r="P207" t="str">
        <f t="shared" si="58"/>
        <v>0</v>
      </c>
      <c r="Q207" s="12">
        <v>175719</v>
      </c>
      <c r="R207" s="9">
        <v>1000</v>
      </c>
      <c r="S207" s="1" t="str">
        <f>IF($V207="USD",INDEX('Dólar Spot'!$B:$B,MATCH(Base!$K207,'Dólar Spot'!$A:$A,0)),"")</f>
        <v/>
      </c>
      <c r="T207" s="11">
        <f t="shared" si="63"/>
        <v>175719000</v>
      </c>
      <c r="U207" s="13">
        <f t="shared" si="56"/>
        <v>1.75719</v>
      </c>
      <c r="V207" s="9" t="s">
        <v>44</v>
      </c>
      <c r="W207" s="9" t="s">
        <v>34</v>
      </c>
      <c r="X207">
        <f t="shared" si="59"/>
        <v>1</v>
      </c>
      <c r="Y207" s="1" t="str" cm="1">
        <f t="array" ref="Y207">INDEX(Ratings!$B$2:$M$42,_xlfn.XMATCH(Base!F207,Ratings!$A$2:$A$42),_xlfn.XMATCH(YEAR(Base!K207),Ratings!$B$1:$M$1))</f>
        <v>C</v>
      </c>
      <c r="Z207">
        <f t="shared" si="60"/>
        <v>0</v>
      </c>
      <c r="AA207">
        <f>IFERROR(IFERROR(IFERROR(INDEX('EMBI+'!$B:$B,MATCH(Base!$K207,'EMBI+'!$A:$A,0)),INDEX('EMBI+'!$B:$B,MATCH(Base!$K207+1,'EMBI+'!$A:$A,0))),INDEX('EMBI+'!$B:$B,MATCH(Base!$K207+2,'EMBI+'!$A:$A,0))),INDEX('EMBI+'!$B:$B,MATCH(Base!$K207+3,'EMBI+'!$A:$A,0)))/100</f>
        <v>3.32</v>
      </c>
      <c r="AB207" s="9">
        <v>6.9713599999999998</v>
      </c>
      <c r="AC207" s="9">
        <f>0.13667+18.72894</f>
        <v>18.86561</v>
      </c>
      <c r="AD207" s="9"/>
      <c r="AE207" s="9"/>
      <c r="AF207" s="2"/>
      <c r="AG207" s="2"/>
    </row>
    <row r="208" spans="1:33" x14ac:dyDescent="0.35">
      <c r="A208">
        <f t="shared" si="57"/>
        <v>206</v>
      </c>
      <c r="B208">
        <f>IF(G208="Bonds",COUNTIF($G$3:G208,"Bonds"),0)</f>
        <v>0</v>
      </c>
      <c r="C208" t="str">
        <f t="shared" si="61"/>
        <v>InterCement4101844670</v>
      </c>
      <c r="D208">
        <f t="shared" si="62"/>
        <v>20</v>
      </c>
      <c r="E208" s="9" t="s">
        <v>278</v>
      </c>
      <c r="F208" s="9" t="s">
        <v>279</v>
      </c>
      <c r="G208" s="9" t="s">
        <v>29</v>
      </c>
      <c r="H208">
        <f t="shared" si="52"/>
        <v>0</v>
      </c>
      <c r="I208" s="9" t="s">
        <v>282</v>
      </c>
      <c r="J208" s="1">
        <f t="shared" si="53"/>
        <v>3</v>
      </c>
      <c r="K208" s="2">
        <v>41018</v>
      </c>
      <c r="L208" s="2">
        <v>44670</v>
      </c>
      <c r="M208" s="10">
        <f t="shared" si="54"/>
        <v>10.005479452054795</v>
      </c>
      <c r="N208" s="11">
        <f t="shared" si="55"/>
        <v>1</v>
      </c>
      <c r="O208" s="9" t="s">
        <v>47</v>
      </c>
      <c r="P208" t="str">
        <f t="shared" si="58"/>
        <v>0</v>
      </c>
      <c r="Q208" s="12">
        <v>50000</v>
      </c>
      <c r="R208" s="9">
        <v>10000</v>
      </c>
      <c r="S208" s="1" t="str">
        <f>IF($V208="USD",INDEX('Dólar Spot'!$B:$B,MATCH(Base!$K208,'Dólar Spot'!$A:$A,0)),"")</f>
        <v/>
      </c>
      <c r="T208" s="11">
        <f t="shared" si="63"/>
        <v>500000000</v>
      </c>
      <c r="U208" s="13">
        <f t="shared" si="56"/>
        <v>5</v>
      </c>
      <c r="V208" s="9" t="s">
        <v>44</v>
      </c>
      <c r="W208" s="9" t="s">
        <v>34</v>
      </c>
      <c r="X208">
        <f t="shared" si="59"/>
        <v>1</v>
      </c>
      <c r="Y208" s="1" t="str" cm="1">
        <f t="array" ref="Y208">INDEX(Ratings!$B$2:$M$42,_xlfn.XMATCH(Base!F208,Ratings!$A$2:$A$42),_xlfn.XMATCH(YEAR(Base!K208),Ratings!$B$1:$M$1))</f>
        <v>NR</v>
      </c>
      <c r="Z208">
        <f t="shared" si="60"/>
        <v>0</v>
      </c>
      <c r="AA208">
        <f>IFERROR(IFERROR(IFERROR(INDEX('EMBI+'!$B:$B,MATCH(Base!$K208,'EMBI+'!$A:$A,0)),INDEX('EMBI+'!$B:$B,MATCH(Base!$K208+1,'EMBI+'!$A:$A,0))),INDEX('EMBI+'!$B:$B,MATCH(Base!$K208+2,'EMBI+'!$A:$A,0))),INDEX('EMBI+'!$B:$B,MATCH(Base!$K208+3,'EMBI+'!$A:$A,0)))/100</f>
        <v>1.81</v>
      </c>
      <c r="AB208" s="9">
        <v>20.271000000000001</v>
      </c>
      <c r="AC208" s="9">
        <f>2.762+9.135</f>
        <v>11.897</v>
      </c>
      <c r="AD208" s="9"/>
      <c r="AE208" s="9"/>
      <c r="AF208" s="2"/>
      <c r="AG208" s="2"/>
    </row>
    <row r="209" spans="1:33" x14ac:dyDescent="0.35">
      <c r="A209">
        <f t="shared" si="57"/>
        <v>207</v>
      </c>
      <c r="B209">
        <f>IF(G209="Bonds",COUNTIF($G$3:G209,"Bonds"),0)</f>
        <v>0</v>
      </c>
      <c r="C209" t="str">
        <f t="shared" si="61"/>
        <v>InterCement4399046546</v>
      </c>
      <c r="D209">
        <f t="shared" si="62"/>
        <v>20</v>
      </c>
      <c r="E209" s="9" t="s">
        <v>278</v>
      </c>
      <c r="F209" s="9" t="s">
        <v>279</v>
      </c>
      <c r="G209" s="9" t="s">
        <v>29</v>
      </c>
      <c r="H209">
        <f t="shared" si="52"/>
        <v>0</v>
      </c>
      <c r="I209" s="9" t="s">
        <v>283</v>
      </c>
      <c r="J209" s="1">
        <f t="shared" si="53"/>
        <v>4</v>
      </c>
      <c r="K209" s="2">
        <v>43990</v>
      </c>
      <c r="L209" s="2">
        <v>46546</v>
      </c>
      <c r="M209" s="10">
        <f t="shared" si="54"/>
        <v>7.0027397260273974</v>
      </c>
      <c r="N209" s="11">
        <f t="shared" si="55"/>
        <v>1</v>
      </c>
      <c r="O209" s="9" t="s">
        <v>47</v>
      </c>
      <c r="P209" t="str">
        <f t="shared" si="58"/>
        <v>0</v>
      </c>
      <c r="Q209" s="12">
        <v>175719</v>
      </c>
      <c r="R209" s="9">
        <v>1000</v>
      </c>
      <c r="S209" s="1" t="str">
        <f>IF($V209="USD",INDEX('Dólar Spot'!$B:$B,MATCH(Base!$K209,'Dólar Spot'!$A:$A,0)),"")</f>
        <v/>
      </c>
      <c r="T209" s="11">
        <f t="shared" si="63"/>
        <v>175719000</v>
      </c>
      <c r="U209" s="13">
        <f t="shared" si="56"/>
        <v>1.75719</v>
      </c>
      <c r="V209" s="9" t="s">
        <v>44</v>
      </c>
      <c r="W209" s="9" t="s">
        <v>34</v>
      </c>
      <c r="X209">
        <f t="shared" si="59"/>
        <v>1</v>
      </c>
      <c r="Y209" s="1" t="str" cm="1">
        <f t="array" ref="Y209">INDEX(Ratings!$B$2:$M$42,_xlfn.XMATCH(Base!F209,Ratings!$A$2:$A$42),_xlfn.XMATCH(YEAR(Base!K209),Ratings!$B$1:$M$1))</f>
        <v>C</v>
      </c>
      <c r="Z209">
        <f t="shared" si="60"/>
        <v>0</v>
      </c>
      <c r="AA209">
        <f>IFERROR(IFERROR(IFERROR(INDEX('EMBI+'!$B:$B,MATCH(Base!$K209,'EMBI+'!$A:$A,0)),INDEX('EMBI+'!$B:$B,MATCH(Base!$K209+1,'EMBI+'!$A:$A,0))),INDEX('EMBI+'!$B:$B,MATCH(Base!$K209+2,'EMBI+'!$A:$A,0))),INDEX('EMBI+'!$B:$B,MATCH(Base!$K209+3,'EMBI+'!$A:$A,0)))/100</f>
        <v>3.32</v>
      </c>
      <c r="AB209" s="9">
        <v>6.9713599999999998</v>
      </c>
      <c r="AC209" s="9">
        <f t="shared" ref="AC209:AC216" si="64">0.13667+18.72894</f>
        <v>18.86561</v>
      </c>
      <c r="AD209" s="9"/>
      <c r="AE209" s="9"/>
      <c r="AF209" s="2"/>
      <c r="AG209" s="2"/>
    </row>
    <row r="210" spans="1:33" x14ac:dyDescent="0.35">
      <c r="A210">
        <f t="shared" si="57"/>
        <v>208</v>
      </c>
      <c r="B210">
        <f>IF(G210="Bonds",COUNTIF($G$3:G210,"Bonds"),0)</f>
        <v>0</v>
      </c>
      <c r="C210" t="str">
        <f t="shared" si="61"/>
        <v>InterCement4399046546</v>
      </c>
      <c r="D210">
        <f t="shared" si="62"/>
        <v>20</v>
      </c>
      <c r="E210" s="9" t="s">
        <v>278</v>
      </c>
      <c r="F210" s="9" t="s">
        <v>279</v>
      </c>
      <c r="G210" s="9" t="s">
        <v>29</v>
      </c>
      <c r="H210">
        <f t="shared" si="52"/>
        <v>0</v>
      </c>
      <c r="I210" s="9" t="s">
        <v>284</v>
      </c>
      <c r="J210" s="1">
        <f t="shared" si="53"/>
        <v>5</v>
      </c>
      <c r="K210" s="2">
        <v>43990</v>
      </c>
      <c r="L210" s="2">
        <v>46546</v>
      </c>
      <c r="M210" s="10">
        <f t="shared" si="54"/>
        <v>7.0027397260273974</v>
      </c>
      <c r="N210" s="11">
        <f t="shared" si="55"/>
        <v>1</v>
      </c>
      <c r="O210" s="9" t="s">
        <v>47</v>
      </c>
      <c r="P210" t="str">
        <f t="shared" si="58"/>
        <v>0</v>
      </c>
      <c r="Q210" s="12">
        <v>175719</v>
      </c>
      <c r="R210" s="9">
        <v>1000</v>
      </c>
      <c r="S210" s="1" t="str">
        <f>IF($V210="USD",INDEX('Dólar Spot'!$B:$B,MATCH(Base!$K210,'Dólar Spot'!$A:$A,0)),"")</f>
        <v/>
      </c>
      <c r="T210" s="11">
        <f t="shared" si="63"/>
        <v>175719000</v>
      </c>
      <c r="U210" s="13">
        <f t="shared" si="56"/>
        <v>1.75719</v>
      </c>
      <c r="V210" s="9" t="s">
        <v>44</v>
      </c>
      <c r="W210" s="9" t="s">
        <v>34</v>
      </c>
      <c r="X210">
        <f t="shared" si="59"/>
        <v>1</v>
      </c>
      <c r="Y210" s="1" t="str" cm="1">
        <f t="array" ref="Y210">INDEX(Ratings!$B$2:$M$42,_xlfn.XMATCH(Base!F210,Ratings!$A$2:$A$42),_xlfn.XMATCH(YEAR(Base!K210),Ratings!$B$1:$M$1))</f>
        <v>C</v>
      </c>
      <c r="Z210">
        <f t="shared" si="60"/>
        <v>0</v>
      </c>
      <c r="AA210">
        <f>IFERROR(IFERROR(IFERROR(INDEX('EMBI+'!$B:$B,MATCH(Base!$K210,'EMBI+'!$A:$A,0)),INDEX('EMBI+'!$B:$B,MATCH(Base!$K210+1,'EMBI+'!$A:$A,0))),INDEX('EMBI+'!$B:$B,MATCH(Base!$K210+2,'EMBI+'!$A:$A,0))),INDEX('EMBI+'!$B:$B,MATCH(Base!$K210+3,'EMBI+'!$A:$A,0)))/100</f>
        <v>3.32</v>
      </c>
      <c r="AB210" s="9">
        <v>6.9713599999999998</v>
      </c>
      <c r="AC210" s="9">
        <f t="shared" si="64"/>
        <v>18.86561</v>
      </c>
      <c r="AD210" s="9"/>
      <c r="AE210" s="9"/>
      <c r="AF210" s="2"/>
      <c r="AG210" s="2"/>
    </row>
    <row r="211" spans="1:33" x14ac:dyDescent="0.35">
      <c r="A211">
        <f t="shared" si="57"/>
        <v>209</v>
      </c>
      <c r="B211">
        <f>IF(G211="Bonds",COUNTIF($G$3:G211,"Bonds"),0)</f>
        <v>0</v>
      </c>
      <c r="C211" t="str">
        <f t="shared" si="61"/>
        <v>InterCement4399046546</v>
      </c>
      <c r="D211">
        <f t="shared" si="62"/>
        <v>20</v>
      </c>
      <c r="E211" s="9" t="s">
        <v>278</v>
      </c>
      <c r="F211" s="9" t="s">
        <v>279</v>
      </c>
      <c r="G211" s="9" t="s">
        <v>29</v>
      </c>
      <c r="H211">
        <f t="shared" si="52"/>
        <v>0</v>
      </c>
      <c r="I211" s="9" t="s">
        <v>285</v>
      </c>
      <c r="J211" s="1">
        <f t="shared" si="53"/>
        <v>6</v>
      </c>
      <c r="K211" s="2">
        <v>43990</v>
      </c>
      <c r="L211" s="2">
        <v>46546</v>
      </c>
      <c r="M211" s="10">
        <f t="shared" si="54"/>
        <v>7.0027397260273974</v>
      </c>
      <c r="N211" s="11">
        <f t="shared" si="55"/>
        <v>1</v>
      </c>
      <c r="O211" s="9" t="s">
        <v>47</v>
      </c>
      <c r="P211" t="str">
        <f t="shared" si="58"/>
        <v>0</v>
      </c>
      <c r="Q211" s="12">
        <v>168668</v>
      </c>
      <c r="R211" s="9">
        <v>1000</v>
      </c>
      <c r="S211" s="1" t="str">
        <f>IF($V211="USD",INDEX('Dólar Spot'!$B:$B,MATCH(Base!$K211,'Dólar Spot'!$A:$A,0)),"")</f>
        <v/>
      </c>
      <c r="T211" s="11">
        <f t="shared" si="63"/>
        <v>168668000</v>
      </c>
      <c r="U211" s="13">
        <f t="shared" si="56"/>
        <v>1.68668</v>
      </c>
      <c r="V211" s="9" t="s">
        <v>44</v>
      </c>
      <c r="W211" s="9" t="s">
        <v>34</v>
      </c>
      <c r="X211">
        <f t="shared" si="59"/>
        <v>1</v>
      </c>
      <c r="Y211" s="1" t="str" cm="1">
        <f t="array" ref="Y211">INDEX(Ratings!$B$2:$M$42,_xlfn.XMATCH(Base!F211,Ratings!$A$2:$A$42),_xlfn.XMATCH(YEAR(Base!K211),Ratings!$B$1:$M$1))</f>
        <v>C</v>
      </c>
      <c r="Z211">
        <f t="shared" si="60"/>
        <v>0</v>
      </c>
      <c r="AA211">
        <f>IFERROR(IFERROR(IFERROR(INDEX('EMBI+'!$B:$B,MATCH(Base!$K211,'EMBI+'!$A:$A,0)),INDEX('EMBI+'!$B:$B,MATCH(Base!$K211+1,'EMBI+'!$A:$A,0))),INDEX('EMBI+'!$B:$B,MATCH(Base!$K211+2,'EMBI+'!$A:$A,0))),INDEX('EMBI+'!$B:$B,MATCH(Base!$K211+3,'EMBI+'!$A:$A,0)))/100</f>
        <v>3.32</v>
      </c>
      <c r="AB211" s="9">
        <v>6.9713599999999998</v>
      </c>
      <c r="AC211" s="9">
        <f t="shared" si="64"/>
        <v>18.86561</v>
      </c>
      <c r="AD211" s="9"/>
      <c r="AE211" s="9"/>
      <c r="AF211" s="2"/>
      <c r="AG211" s="2"/>
    </row>
    <row r="212" spans="1:33" x14ac:dyDescent="0.35">
      <c r="A212">
        <f t="shared" si="57"/>
        <v>210</v>
      </c>
      <c r="B212">
        <f>IF(G212="Bonds",COUNTIF($G$3:G212,"Bonds"),0)</f>
        <v>0</v>
      </c>
      <c r="C212" t="str">
        <f t="shared" si="61"/>
        <v>InterCement4399046546</v>
      </c>
      <c r="D212">
        <f t="shared" si="62"/>
        <v>20</v>
      </c>
      <c r="E212" s="9" t="s">
        <v>278</v>
      </c>
      <c r="F212" s="9" t="s">
        <v>279</v>
      </c>
      <c r="G212" s="9" t="s">
        <v>29</v>
      </c>
      <c r="H212">
        <f t="shared" si="52"/>
        <v>0</v>
      </c>
      <c r="I212" s="9" t="s">
        <v>286</v>
      </c>
      <c r="J212" s="1">
        <f t="shared" si="53"/>
        <v>7</v>
      </c>
      <c r="K212" s="2">
        <v>43990</v>
      </c>
      <c r="L212" s="2">
        <v>46546</v>
      </c>
      <c r="M212" s="10">
        <f t="shared" si="54"/>
        <v>7.0027397260273974</v>
      </c>
      <c r="N212" s="11">
        <f t="shared" si="55"/>
        <v>1</v>
      </c>
      <c r="O212" s="9" t="s">
        <v>47</v>
      </c>
      <c r="P212" t="str">
        <f t="shared" si="58"/>
        <v>0</v>
      </c>
      <c r="Q212" s="12">
        <v>168667</v>
      </c>
      <c r="R212" s="9">
        <v>1000</v>
      </c>
      <c r="S212" s="1" t="str">
        <f>IF($V212="USD",INDEX('Dólar Spot'!$B:$B,MATCH(Base!$K212,'Dólar Spot'!$A:$A,0)),"")</f>
        <v/>
      </c>
      <c r="T212" s="11">
        <f t="shared" si="63"/>
        <v>168667000</v>
      </c>
      <c r="U212" s="13">
        <f t="shared" si="56"/>
        <v>1.6866699999999999</v>
      </c>
      <c r="V212" s="9" t="s">
        <v>44</v>
      </c>
      <c r="W212" s="9" t="s">
        <v>34</v>
      </c>
      <c r="X212">
        <f t="shared" si="59"/>
        <v>1</v>
      </c>
      <c r="Y212" s="1" t="str" cm="1">
        <f t="array" ref="Y212">INDEX(Ratings!$B$2:$M$42,_xlfn.XMATCH(Base!F212,Ratings!$A$2:$A$42),_xlfn.XMATCH(YEAR(Base!K212),Ratings!$B$1:$M$1))</f>
        <v>C</v>
      </c>
      <c r="Z212">
        <f t="shared" si="60"/>
        <v>0</v>
      </c>
      <c r="AA212">
        <f>IFERROR(IFERROR(IFERROR(INDEX('EMBI+'!$B:$B,MATCH(Base!$K212,'EMBI+'!$A:$A,0)),INDEX('EMBI+'!$B:$B,MATCH(Base!$K212+1,'EMBI+'!$A:$A,0))),INDEX('EMBI+'!$B:$B,MATCH(Base!$K212+2,'EMBI+'!$A:$A,0))),INDEX('EMBI+'!$B:$B,MATCH(Base!$K212+3,'EMBI+'!$A:$A,0)))/100</f>
        <v>3.32</v>
      </c>
      <c r="AB212" s="9">
        <v>6.9713599999999998</v>
      </c>
      <c r="AC212" s="9">
        <f t="shared" si="64"/>
        <v>18.86561</v>
      </c>
      <c r="AD212" s="9"/>
      <c r="AE212" s="9"/>
      <c r="AF212" s="2"/>
      <c r="AG212" s="2"/>
    </row>
    <row r="213" spans="1:33" x14ac:dyDescent="0.35">
      <c r="A213">
        <f t="shared" si="57"/>
        <v>211</v>
      </c>
      <c r="B213">
        <f>IF(G213="Bonds",COUNTIF($G$3:G213,"Bonds"),0)</f>
        <v>0</v>
      </c>
      <c r="C213" t="str">
        <f t="shared" si="61"/>
        <v>InterCement4399046546</v>
      </c>
      <c r="D213">
        <f t="shared" si="62"/>
        <v>20</v>
      </c>
      <c r="E213" s="9" t="s">
        <v>278</v>
      </c>
      <c r="F213" s="9" t="s">
        <v>279</v>
      </c>
      <c r="G213" s="9" t="s">
        <v>29</v>
      </c>
      <c r="H213">
        <f t="shared" si="52"/>
        <v>0</v>
      </c>
      <c r="I213" s="9" t="s">
        <v>287</v>
      </c>
      <c r="J213" s="1">
        <f t="shared" si="53"/>
        <v>8</v>
      </c>
      <c r="K213" s="2">
        <v>43990</v>
      </c>
      <c r="L213" s="2">
        <v>46546</v>
      </c>
      <c r="M213" s="10">
        <f t="shared" si="54"/>
        <v>7.0027397260273974</v>
      </c>
      <c r="N213" s="11">
        <f t="shared" si="55"/>
        <v>1</v>
      </c>
      <c r="O213" s="9" t="s">
        <v>47</v>
      </c>
      <c r="P213" t="str">
        <f t="shared" si="58"/>
        <v>0</v>
      </c>
      <c r="Q213" s="12">
        <v>168667</v>
      </c>
      <c r="R213" s="9">
        <v>1000</v>
      </c>
      <c r="S213" s="1" t="str">
        <f>IF($V213="USD",INDEX('Dólar Spot'!$B:$B,MATCH(Base!$K213,'Dólar Spot'!$A:$A,0)),"")</f>
        <v/>
      </c>
      <c r="T213" s="11">
        <f t="shared" si="63"/>
        <v>168667000</v>
      </c>
      <c r="U213" s="13">
        <f t="shared" si="56"/>
        <v>1.6866699999999999</v>
      </c>
      <c r="V213" s="9" t="s">
        <v>44</v>
      </c>
      <c r="W213" s="9" t="s">
        <v>34</v>
      </c>
      <c r="X213">
        <f t="shared" si="59"/>
        <v>1</v>
      </c>
      <c r="Y213" s="1" t="str" cm="1">
        <f t="array" ref="Y213">INDEX(Ratings!$B$2:$M$42,_xlfn.XMATCH(Base!F213,Ratings!$A$2:$A$42),_xlfn.XMATCH(YEAR(Base!K213),Ratings!$B$1:$M$1))</f>
        <v>C</v>
      </c>
      <c r="Z213">
        <f t="shared" si="60"/>
        <v>0</v>
      </c>
      <c r="AA213">
        <f>IFERROR(IFERROR(IFERROR(INDEX('EMBI+'!$B:$B,MATCH(Base!$K213,'EMBI+'!$A:$A,0)),INDEX('EMBI+'!$B:$B,MATCH(Base!$K213+1,'EMBI+'!$A:$A,0))),INDEX('EMBI+'!$B:$B,MATCH(Base!$K213+2,'EMBI+'!$A:$A,0))),INDEX('EMBI+'!$B:$B,MATCH(Base!$K213+3,'EMBI+'!$A:$A,0)))/100</f>
        <v>3.32</v>
      </c>
      <c r="AB213" s="9">
        <v>6.9713599999999998</v>
      </c>
      <c r="AC213" s="9">
        <f t="shared" si="64"/>
        <v>18.86561</v>
      </c>
      <c r="AD213" s="9"/>
      <c r="AE213" s="9"/>
      <c r="AF213" s="2"/>
      <c r="AG213" s="2"/>
    </row>
    <row r="214" spans="1:33" x14ac:dyDescent="0.35">
      <c r="A214">
        <f t="shared" si="57"/>
        <v>212</v>
      </c>
      <c r="B214">
        <f>IF(G214="Bonds",COUNTIF($G$3:G214,"Bonds"),0)</f>
        <v>0</v>
      </c>
      <c r="C214" t="str">
        <f t="shared" si="61"/>
        <v>InterCement4399046546</v>
      </c>
      <c r="D214">
        <f t="shared" si="62"/>
        <v>20</v>
      </c>
      <c r="E214" s="9" t="s">
        <v>278</v>
      </c>
      <c r="F214" s="9" t="s">
        <v>279</v>
      </c>
      <c r="G214" s="9" t="s">
        <v>29</v>
      </c>
      <c r="H214">
        <f t="shared" si="52"/>
        <v>0</v>
      </c>
      <c r="I214" s="9" t="s">
        <v>288</v>
      </c>
      <c r="J214" s="1">
        <f t="shared" si="53"/>
        <v>9</v>
      </c>
      <c r="K214" s="2">
        <v>43990</v>
      </c>
      <c r="L214" s="2">
        <v>46546</v>
      </c>
      <c r="M214" s="10">
        <f t="shared" si="54"/>
        <v>7.0027397260273974</v>
      </c>
      <c r="N214" s="11">
        <f t="shared" si="55"/>
        <v>1</v>
      </c>
      <c r="O214" s="9" t="s">
        <v>47</v>
      </c>
      <c r="P214" t="str">
        <f t="shared" si="58"/>
        <v>0</v>
      </c>
      <c r="Q214" s="12">
        <v>222334</v>
      </c>
      <c r="R214" s="9">
        <v>1000</v>
      </c>
      <c r="S214" s="1" t="str">
        <f>IF($V214="USD",INDEX('Dólar Spot'!$B:$B,MATCH(Base!$K214,'Dólar Spot'!$A:$A,0)),"")</f>
        <v/>
      </c>
      <c r="T214" s="11">
        <f t="shared" si="63"/>
        <v>222334000</v>
      </c>
      <c r="U214" s="13">
        <f t="shared" si="56"/>
        <v>2.2233399999999999</v>
      </c>
      <c r="V214" s="9" t="s">
        <v>44</v>
      </c>
      <c r="W214" s="9" t="s">
        <v>34</v>
      </c>
      <c r="X214">
        <f t="shared" si="59"/>
        <v>1</v>
      </c>
      <c r="Y214" s="1" t="str" cm="1">
        <f t="array" ref="Y214">INDEX(Ratings!$B$2:$M$42,_xlfn.XMATCH(Base!F214,Ratings!$A$2:$A$42),_xlfn.XMATCH(YEAR(Base!K214),Ratings!$B$1:$M$1))</f>
        <v>C</v>
      </c>
      <c r="Z214">
        <f t="shared" si="60"/>
        <v>0</v>
      </c>
      <c r="AA214">
        <f>IFERROR(IFERROR(IFERROR(INDEX('EMBI+'!$B:$B,MATCH(Base!$K214,'EMBI+'!$A:$A,0)),INDEX('EMBI+'!$B:$B,MATCH(Base!$K214+1,'EMBI+'!$A:$A,0))),INDEX('EMBI+'!$B:$B,MATCH(Base!$K214+2,'EMBI+'!$A:$A,0))),INDEX('EMBI+'!$B:$B,MATCH(Base!$K214+3,'EMBI+'!$A:$A,0)))/100</f>
        <v>3.32</v>
      </c>
      <c r="AB214" s="9">
        <v>6.9713599999999998</v>
      </c>
      <c r="AC214" s="9">
        <f t="shared" si="64"/>
        <v>18.86561</v>
      </c>
      <c r="AD214" s="9"/>
      <c r="AE214" s="9"/>
      <c r="AF214" s="2"/>
      <c r="AG214" s="2"/>
    </row>
    <row r="215" spans="1:33" x14ac:dyDescent="0.35">
      <c r="A215">
        <f t="shared" si="57"/>
        <v>213</v>
      </c>
      <c r="B215">
        <f>IF(G215="Bonds",COUNTIF($G$3:G215,"Bonds"),0)</f>
        <v>0</v>
      </c>
      <c r="C215" t="str">
        <f t="shared" si="61"/>
        <v>InterCement4399046546</v>
      </c>
      <c r="D215">
        <f t="shared" si="62"/>
        <v>20</v>
      </c>
      <c r="E215" s="9" t="s">
        <v>278</v>
      </c>
      <c r="F215" s="9" t="s">
        <v>279</v>
      </c>
      <c r="G215" s="9" t="s">
        <v>29</v>
      </c>
      <c r="H215">
        <f t="shared" si="52"/>
        <v>0</v>
      </c>
      <c r="I215" s="9" t="s">
        <v>289</v>
      </c>
      <c r="J215" s="1">
        <f t="shared" si="53"/>
        <v>10</v>
      </c>
      <c r="K215" s="2">
        <v>43990</v>
      </c>
      <c r="L215" s="2">
        <v>46546</v>
      </c>
      <c r="M215" s="10">
        <f t="shared" si="54"/>
        <v>7.0027397260273974</v>
      </c>
      <c r="N215" s="11">
        <f t="shared" si="55"/>
        <v>1</v>
      </c>
      <c r="O215" s="9" t="s">
        <v>47</v>
      </c>
      <c r="P215" t="str">
        <f t="shared" si="58"/>
        <v>0</v>
      </c>
      <c r="Q215" s="12">
        <v>222334</v>
      </c>
      <c r="R215" s="9">
        <v>1000</v>
      </c>
      <c r="S215" s="1" t="str">
        <f>IF($V215="USD",INDEX('Dólar Spot'!$B:$B,MATCH(Base!$K215,'Dólar Spot'!$A:$A,0)),"")</f>
        <v/>
      </c>
      <c r="T215" s="11">
        <f t="shared" si="63"/>
        <v>222334000</v>
      </c>
      <c r="U215" s="13">
        <f t="shared" si="56"/>
        <v>2.2233399999999999</v>
      </c>
      <c r="V215" s="9" t="s">
        <v>44</v>
      </c>
      <c r="W215" s="9" t="s">
        <v>34</v>
      </c>
      <c r="X215">
        <f t="shared" si="59"/>
        <v>1</v>
      </c>
      <c r="Y215" s="1" t="str" cm="1">
        <f t="array" ref="Y215">INDEX(Ratings!$B$2:$M$42,_xlfn.XMATCH(Base!F215,Ratings!$A$2:$A$42),_xlfn.XMATCH(YEAR(Base!K215),Ratings!$B$1:$M$1))</f>
        <v>C</v>
      </c>
      <c r="Z215">
        <f t="shared" si="60"/>
        <v>0</v>
      </c>
      <c r="AA215">
        <f>IFERROR(IFERROR(IFERROR(INDEX('EMBI+'!$B:$B,MATCH(Base!$K215,'EMBI+'!$A:$A,0)),INDEX('EMBI+'!$B:$B,MATCH(Base!$K215+1,'EMBI+'!$A:$A,0))),INDEX('EMBI+'!$B:$B,MATCH(Base!$K215+2,'EMBI+'!$A:$A,0))),INDEX('EMBI+'!$B:$B,MATCH(Base!$K215+3,'EMBI+'!$A:$A,0)))/100</f>
        <v>3.32</v>
      </c>
      <c r="AB215" s="9">
        <v>6.9713599999999998</v>
      </c>
      <c r="AC215" s="9">
        <f t="shared" si="64"/>
        <v>18.86561</v>
      </c>
      <c r="AD215" s="9"/>
      <c r="AE215" s="9"/>
      <c r="AF215" s="2"/>
      <c r="AG215" s="2"/>
    </row>
    <row r="216" spans="1:33" x14ac:dyDescent="0.35">
      <c r="A216">
        <f t="shared" si="57"/>
        <v>214</v>
      </c>
      <c r="B216">
        <f>IF(G216="Bonds",COUNTIF($G$3:G216,"Bonds"),0)</f>
        <v>0</v>
      </c>
      <c r="C216" t="str">
        <f t="shared" si="61"/>
        <v>InterCement4399046546</v>
      </c>
      <c r="D216">
        <f t="shared" si="62"/>
        <v>20</v>
      </c>
      <c r="E216" s="9" t="s">
        <v>278</v>
      </c>
      <c r="F216" s="9" t="s">
        <v>279</v>
      </c>
      <c r="G216" s="9" t="s">
        <v>29</v>
      </c>
      <c r="H216">
        <f t="shared" si="52"/>
        <v>0</v>
      </c>
      <c r="I216" s="9" t="s">
        <v>290</v>
      </c>
      <c r="J216" s="1">
        <f t="shared" si="53"/>
        <v>11</v>
      </c>
      <c r="K216" s="2">
        <v>43990</v>
      </c>
      <c r="L216" s="2">
        <v>46546</v>
      </c>
      <c r="M216" s="10">
        <f t="shared" si="54"/>
        <v>7.0027397260273974</v>
      </c>
      <c r="N216" s="11">
        <f t="shared" si="55"/>
        <v>1</v>
      </c>
      <c r="O216" s="9" t="s">
        <v>47</v>
      </c>
      <c r="P216" t="str">
        <f t="shared" si="58"/>
        <v>0</v>
      </c>
      <c r="Q216" s="12">
        <v>222334</v>
      </c>
      <c r="R216" s="9">
        <v>1000</v>
      </c>
      <c r="S216" s="1" t="str">
        <f>IF($V216="USD",INDEX('Dólar Spot'!$B:$B,MATCH(Base!$K216,'Dólar Spot'!$A:$A,0)),"")</f>
        <v/>
      </c>
      <c r="T216" s="11">
        <f t="shared" si="63"/>
        <v>222334000</v>
      </c>
      <c r="U216" s="13">
        <f t="shared" si="56"/>
        <v>2.2233399999999999</v>
      </c>
      <c r="V216" s="9" t="s">
        <v>44</v>
      </c>
      <c r="W216" s="9" t="s">
        <v>34</v>
      </c>
      <c r="X216">
        <f t="shared" si="59"/>
        <v>1</v>
      </c>
      <c r="Y216" s="1" t="str" cm="1">
        <f t="array" ref="Y216">INDEX(Ratings!$B$2:$M$42,_xlfn.XMATCH(Base!F216,Ratings!$A$2:$A$42),_xlfn.XMATCH(YEAR(Base!K216),Ratings!$B$1:$M$1))</f>
        <v>C</v>
      </c>
      <c r="Z216">
        <f t="shared" si="60"/>
        <v>0</v>
      </c>
      <c r="AA216">
        <f>IFERROR(IFERROR(IFERROR(INDEX('EMBI+'!$B:$B,MATCH(Base!$K216,'EMBI+'!$A:$A,0)),INDEX('EMBI+'!$B:$B,MATCH(Base!$K216+1,'EMBI+'!$A:$A,0))),INDEX('EMBI+'!$B:$B,MATCH(Base!$K216+2,'EMBI+'!$A:$A,0))),INDEX('EMBI+'!$B:$B,MATCH(Base!$K216+3,'EMBI+'!$A:$A,0)))/100</f>
        <v>3.32</v>
      </c>
      <c r="AB216" s="9">
        <v>6.9713599999999998</v>
      </c>
      <c r="AC216" s="9">
        <f t="shared" si="64"/>
        <v>18.86561</v>
      </c>
      <c r="AD216" s="9"/>
      <c r="AE216" s="9"/>
      <c r="AF216" s="2"/>
      <c r="AG216" s="2"/>
    </row>
    <row r="217" spans="1:33" x14ac:dyDescent="0.35">
      <c r="A217">
        <f t="shared" si="57"/>
        <v>215</v>
      </c>
      <c r="B217">
        <f>IF(G217="Bonds",COUNTIF($G$3:G217,"Bonds"),0)</f>
        <v>0</v>
      </c>
      <c r="C217" t="str">
        <f t="shared" si="61"/>
        <v>InterCement4446346546</v>
      </c>
      <c r="D217">
        <f t="shared" si="62"/>
        <v>20</v>
      </c>
      <c r="E217" s="9" t="s">
        <v>278</v>
      </c>
      <c r="F217" s="9" t="s">
        <v>279</v>
      </c>
      <c r="G217" s="9" t="s">
        <v>29</v>
      </c>
      <c r="H217">
        <f t="shared" si="52"/>
        <v>0</v>
      </c>
      <c r="I217" s="9" t="s">
        <v>291</v>
      </c>
      <c r="J217" s="1">
        <f t="shared" si="53"/>
        <v>12</v>
      </c>
      <c r="K217" s="2">
        <v>44463</v>
      </c>
      <c r="L217" s="2">
        <v>46546</v>
      </c>
      <c r="M217" s="10">
        <f t="shared" si="54"/>
        <v>5.7068493150684931</v>
      </c>
      <c r="N217" s="11">
        <f t="shared" si="55"/>
        <v>1</v>
      </c>
      <c r="O217" s="9" t="s">
        <v>47</v>
      </c>
      <c r="P217" t="str">
        <f t="shared" si="58"/>
        <v>0</v>
      </c>
      <c r="Q217" s="12">
        <v>103355</v>
      </c>
      <c r="R217" s="9">
        <v>1000</v>
      </c>
      <c r="S217" s="1" t="str">
        <f>IF($V217="USD",INDEX('Dólar Spot'!$B:$B,MATCH(Base!$K217,'Dólar Spot'!$A:$A,0)),"")</f>
        <v/>
      </c>
      <c r="T217" s="11">
        <f t="shared" si="63"/>
        <v>103355000</v>
      </c>
      <c r="U217" s="13">
        <f t="shared" si="56"/>
        <v>1.03355</v>
      </c>
      <c r="V217" s="9" t="s">
        <v>44</v>
      </c>
      <c r="W217" s="9" t="s">
        <v>34</v>
      </c>
      <c r="X217">
        <f t="shared" si="59"/>
        <v>1</v>
      </c>
      <c r="Y217" s="1" t="str" cm="1">
        <f t="array" ref="Y217">INDEX(Ratings!$B$2:$M$42,_xlfn.XMATCH(Base!F217,Ratings!$A$2:$A$42),_xlfn.XMATCH(YEAR(Base!K217),Ratings!$B$1:$M$1))</f>
        <v>CCC</v>
      </c>
      <c r="Z217">
        <f t="shared" si="60"/>
        <v>0</v>
      </c>
      <c r="AA217">
        <f>IFERROR(IFERROR(IFERROR(INDEX('EMBI+'!$B:$B,MATCH(Base!$K217,'EMBI+'!$A:$A,0)),INDEX('EMBI+'!$B:$B,MATCH(Base!$K217+1,'EMBI+'!$A:$A,0))),INDEX('EMBI+'!$B:$B,MATCH(Base!$K217+2,'EMBI+'!$A:$A,0))),INDEX('EMBI+'!$B:$B,MATCH(Base!$K217+3,'EMBI+'!$A:$A,0)))/100</f>
        <v>3.2</v>
      </c>
      <c r="AB217" s="9">
        <v>8.5010700000000003</v>
      </c>
      <c r="AC217" s="9">
        <f>1.64734+28.02258</f>
        <v>29.669920000000001</v>
      </c>
      <c r="AD217" s="9"/>
      <c r="AE217" s="9"/>
      <c r="AF217" s="2"/>
      <c r="AG217" s="2"/>
    </row>
    <row r="218" spans="1:33" x14ac:dyDescent="0.35">
      <c r="A218">
        <f t="shared" si="57"/>
        <v>216</v>
      </c>
      <c r="B218">
        <f>IF(G218="Bonds",COUNTIF($G$3:G218,"Bonds"),0)</f>
        <v>0</v>
      </c>
      <c r="C218" t="str">
        <f t="shared" si="61"/>
        <v>InterCement4446346546</v>
      </c>
      <c r="D218">
        <f t="shared" si="62"/>
        <v>20</v>
      </c>
      <c r="E218" s="9" t="s">
        <v>278</v>
      </c>
      <c r="F218" s="9" t="s">
        <v>279</v>
      </c>
      <c r="G218" s="9" t="s">
        <v>29</v>
      </c>
      <c r="H218">
        <f t="shared" si="52"/>
        <v>0</v>
      </c>
      <c r="I218" s="9" t="s">
        <v>292</v>
      </c>
      <c r="J218" s="1">
        <f t="shared" si="53"/>
        <v>13</v>
      </c>
      <c r="K218" s="2">
        <v>44463</v>
      </c>
      <c r="L218" s="2">
        <v>46546</v>
      </c>
      <c r="M218" s="10">
        <f t="shared" si="54"/>
        <v>5.7068493150684931</v>
      </c>
      <c r="N218" s="11">
        <f t="shared" si="55"/>
        <v>1</v>
      </c>
      <c r="O218" s="9" t="s">
        <v>47</v>
      </c>
      <c r="P218" t="str">
        <f t="shared" si="58"/>
        <v>0</v>
      </c>
      <c r="Q218" s="12">
        <v>103354</v>
      </c>
      <c r="R218" s="9">
        <v>1000</v>
      </c>
      <c r="S218" s="1" t="str">
        <f>IF($V218="USD",INDEX('Dólar Spot'!$B:$B,MATCH(Base!$K218,'Dólar Spot'!$A:$A,0)),"")</f>
        <v/>
      </c>
      <c r="T218" s="11">
        <f t="shared" si="63"/>
        <v>103354000</v>
      </c>
      <c r="U218" s="13">
        <f t="shared" si="56"/>
        <v>1.0335399999999999</v>
      </c>
      <c r="V218" s="9" t="s">
        <v>44</v>
      </c>
      <c r="W218" s="9" t="s">
        <v>34</v>
      </c>
      <c r="X218">
        <f t="shared" si="59"/>
        <v>1</v>
      </c>
      <c r="Y218" s="1" t="str" cm="1">
        <f t="array" ref="Y218">INDEX(Ratings!$B$2:$M$42,_xlfn.XMATCH(Base!F218,Ratings!$A$2:$A$42),_xlfn.XMATCH(YEAR(Base!K218),Ratings!$B$1:$M$1))</f>
        <v>CCC</v>
      </c>
      <c r="Z218">
        <f t="shared" si="60"/>
        <v>0</v>
      </c>
      <c r="AA218">
        <f>IFERROR(IFERROR(IFERROR(INDEX('EMBI+'!$B:$B,MATCH(Base!$K218,'EMBI+'!$A:$A,0)),INDEX('EMBI+'!$B:$B,MATCH(Base!$K218+1,'EMBI+'!$A:$A,0))),INDEX('EMBI+'!$B:$B,MATCH(Base!$K218+2,'EMBI+'!$A:$A,0))),INDEX('EMBI+'!$B:$B,MATCH(Base!$K218+3,'EMBI+'!$A:$A,0)))/100</f>
        <v>3.2</v>
      </c>
      <c r="AB218" s="9">
        <v>8.5010700000000003</v>
      </c>
      <c r="AC218" s="9">
        <f t="shared" ref="AC218:AC225" si="65">1.64734+28.02258</f>
        <v>29.669920000000001</v>
      </c>
      <c r="AD218" s="9"/>
      <c r="AE218" s="9"/>
      <c r="AF218" s="2"/>
      <c r="AG218" s="2"/>
    </row>
    <row r="219" spans="1:33" x14ac:dyDescent="0.35">
      <c r="A219">
        <f t="shared" si="57"/>
        <v>217</v>
      </c>
      <c r="B219">
        <f>IF(G219="Bonds",COUNTIF($G$3:G219,"Bonds"),0)</f>
        <v>0</v>
      </c>
      <c r="C219" t="str">
        <f t="shared" si="61"/>
        <v>InterCement4446346546</v>
      </c>
      <c r="D219">
        <f t="shared" si="62"/>
        <v>20</v>
      </c>
      <c r="E219" s="9" t="s">
        <v>278</v>
      </c>
      <c r="F219" s="9" t="s">
        <v>279</v>
      </c>
      <c r="G219" s="9" t="s">
        <v>29</v>
      </c>
      <c r="H219">
        <f t="shared" si="52"/>
        <v>0</v>
      </c>
      <c r="I219" s="9" t="s">
        <v>293</v>
      </c>
      <c r="J219" s="1">
        <f t="shared" si="53"/>
        <v>14</v>
      </c>
      <c r="K219" s="2">
        <v>44463</v>
      </c>
      <c r="L219" s="2">
        <v>46546</v>
      </c>
      <c r="M219" s="10">
        <f t="shared" si="54"/>
        <v>5.7068493150684931</v>
      </c>
      <c r="N219" s="11">
        <f t="shared" si="55"/>
        <v>1</v>
      </c>
      <c r="O219" s="9" t="s">
        <v>47</v>
      </c>
      <c r="P219" t="str">
        <f t="shared" si="58"/>
        <v>0</v>
      </c>
      <c r="Q219" s="12">
        <v>103354</v>
      </c>
      <c r="R219" s="9">
        <v>1000</v>
      </c>
      <c r="S219" s="1" t="str">
        <f>IF($V219="USD",INDEX('Dólar Spot'!$B:$B,MATCH(Base!$K219,'Dólar Spot'!$A:$A,0)),"")</f>
        <v/>
      </c>
      <c r="T219" s="11">
        <f t="shared" si="63"/>
        <v>103354000</v>
      </c>
      <c r="U219" s="13">
        <f t="shared" si="56"/>
        <v>1.0335399999999999</v>
      </c>
      <c r="V219" s="9" t="s">
        <v>44</v>
      </c>
      <c r="W219" s="9" t="s">
        <v>34</v>
      </c>
      <c r="X219">
        <f t="shared" si="59"/>
        <v>1</v>
      </c>
      <c r="Y219" s="1" t="str" cm="1">
        <f t="array" ref="Y219">INDEX(Ratings!$B$2:$M$42,_xlfn.XMATCH(Base!F219,Ratings!$A$2:$A$42),_xlfn.XMATCH(YEAR(Base!K219),Ratings!$B$1:$M$1))</f>
        <v>CCC</v>
      </c>
      <c r="Z219">
        <f t="shared" si="60"/>
        <v>0</v>
      </c>
      <c r="AA219">
        <f>IFERROR(IFERROR(IFERROR(INDEX('EMBI+'!$B:$B,MATCH(Base!$K219,'EMBI+'!$A:$A,0)),INDEX('EMBI+'!$B:$B,MATCH(Base!$K219+1,'EMBI+'!$A:$A,0))),INDEX('EMBI+'!$B:$B,MATCH(Base!$K219+2,'EMBI+'!$A:$A,0))),INDEX('EMBI+'!$B:$B,MATCH(Base!$K219+3,'EMBI+'!$A:$A,0)))/100</f>
        <v>3.2</v>
      </c>
      <c r="AB219" s="9">
        <v>8.5010700000000003</v>
      </c>
      <c r="AC219" s="9">
        <f t="shared" si="65"/>
        <v>29.669920000000001</v>
      </c>
      <c r="AD219" s="9"/>
      <c r="AE219" s="9"/>
      <c r="AF219" s="2"/>
      <c r="AG219" s="2"/>
    </row>
    <row r="220" spans="1:33" x14ac:dyDescent="0.35">
      <c r="A220">
        <f t="shared" si="57"/>
        <v>218</v>
      </c>
      <c r="B220">
        <f>IF(G220="Bonds",COUNTIF($G$3:G220,"Bonds"),0)</f>
        <v>0</v>
      </c>
      <c r="C220" t="str">
        <f t="shared" si="61"/>
        <v>InterCement4446346546</v>
      </c>
      <c r="D220">
        <f t="shared" si="62"/>
        <v>20</v>
      </c>
      <c r="E220" s="9" t="s">
        <v>278</v>
      </c>
      <c r="F220" s="9" t="s">
        <v>279</v>
      </c>
      <c r="G220" s="9" t="s">
        <v>29</v>
      </c>
      <c r="H220">
        <f t="shared" si="52"/>
        <v>0</v>
      </c>
      <c r="I220" s="9" t="s">
        <v>294</v>
      </c>
      <c r="J220" s="1">
        <f t="shared" si="53"/>
        <v>15</v>
      </c>
      <c r="K220" s="2">
        <v>44463</v>
      </c>
      <c r="L220" s="2">
        <v>46546</v>
      </c>
      <c r="M220" s="10">
        <f t="shared" si="54"/>
        <v>5.7068493150684931</v>
      </c>
      <c r="N220" s="11">
        <f t="shared" si="55"/>
        <v>1</v>
      </c>
      <c r="O220" s="9" t="s">
        <v>47</v>
      </c>
      <c r="P220" t="str">
        <f t="shared" si="58"/>
        <v>0</v>
      </c>
      <c r="Q220" s="12">
        <v>99207</v>
      </c>
      <c r="R220" s="9">
        <v>1000</v>
      </c>
      <c r="S220" s="1" t="str">
        <f>IF($V220="USD",INDEX('Dólar Spot'!$B:$B,MATCH(Base!$K220,'Dólar Spot'!$A:$A,0)),"")</f>
        <v/>
      </c>
      <c r="T220" s="11">
        <f t="shared" si="63"/>
        <v>99207000</v>
      </c>
      <c r="U220" s="13">
        <f t="shared" si="56"/>
        <v>0.99207000000000001</v>
      </c>
      <c r="V220" s="9" t="s">
        <v>44</v>
      </c>
      <c r="W220" s="9" t="s">
        <v>34</v>
      </c>
      <c r="X220">
        <f t="shared" si="59"/>
        <v>1</v>
      </c>
      <c r="Y220" s="1" t="str" cm="1">
        <f t="array" ref="Y220">INDEX(Ratings!$B$2:$M$42,_xlfn.XMATCH(Base!F220,Ratings!$A$2:$A$42),_xlfn.XMATCH(YEAR(Base!K220),Ratings!$B$1:$M$1))</f>
        <v>CCC</v>
      </c>
      <c r="Z220">
        <f t="shared" si="60"/>
        <v>0</v>
      </c>
      <c r="AA220">
        <f>IFERROR(IFERROR(IFERROR(INDEX('EMBI+'!$B:$B,MATCH(Base!$K220,'EMBI+'!$A:$A,0)),INDEX('EMBI+'!$B:$B,MATCH(Base!$K220+1,'EMBI+'!$A:$A,0))),INDEX('EMBI+'!$B:$B,MATCH(Base!$K220+2,'EMBI+'!$A:$A,0))),INDEX('EMBI+'!$B:$B,MATCH(Base!$K220+3,'EMBI+'!$A:$A,0)))/100</f>
        <v>3.2</v>
      </c>
      <c r="AB220" s="9">
        <v>8.5010700000000003</v>
      </c>
      <c r="AC220" s="9">
        <f t="shared" si="65"/>
        <v>29.669920000000001</v>
      </c>
      <c r="AD220" s="9"/>
      <c r="AE220" s="9"/>
      <c r="AF220" s="2"/>
      <c r="AG220" s="2"/>
    </row>
    <row r="221" spans="1:33" x14ac:dyDescent="0.35">
      <c r="A221">
        <f t="shared" si="57"/>
        <v>219</v>
      </c>
      <c r="B221">
        <f>IF(G221="Bonds",COUNTIF($G$3:G221,"Bonds"),0)</f>
        <v>0</v>
      </c>
      <c r="C221" t="str">
        <f t="shared" si="61"/>
        <v>InterCement4446346546</v>
      </c>
      <c r="D221">
        <f t="shared" si="62"/>
        <v>20</v>
      </c>
      <c r="E221" s="9" t="s">
        <v>278</v>
      </c>
      <c r="F221" s="9" t="s">
        <v>279</v>
      </c>
      <c r="G221" s="9" t="s">
        <v>29</v>
      </c>
      <c r="H221">
        <f t="shared" si="52"/>
        <v>0</v>
      </c>
      <c r="I221" s="9" t="s">
        <v>295</v>
      </c>
      <c r="J221" s="1">
        <f t="shared" si="53"/>
        <v>16</v>
      </c>
      <c r="K221" s="2">
        <v>44463</v>
      </c>
      <c r="L221" s="2">
        <v>46546</v>
      </c>
      <c r="M221" s="10">
        <f t="shared" si="54"/>
        <v>5.7068493150684931</v>
      </c>
      <c r="N221" s="11">
        <f t="shared" si="55"/>
        <v>1</v>
      </c>
      <c r="O221" s="9" t="s">
        <v>47</v>
      </c>
      <c r="P221" t="str">
        <f t="shared" si="58"/>
        <v>0</v>
      </c>
      <c r="Q221" s="12">
        <v>99207</v>
      </c>
      <c r="R221" s="9">
        <v>1000</v>
      </c>
      <c r="S221" s="1" t="str">
        <f>IF($V221="USD",INDEX('Dólar Spot'!$B:$B,MATCH(Base!$K221,'Dólar Spot'!$A:$A,0)),"")</f>
        <v/>
      </c>
      <c r="T221" s="11">
        <f t="shared" si="63"/>
        <v>99207000</v>
      </c>
      <c r="U221" s="13">
        <f t="shared" si="56"/>
        <v>0.99207000000000001</v>
      </c>
      <c r="V221" s="9" t="s">
        <v>44</v>
      </c>
      <c r="W221" s="9" t="s">
        <v>34</v>
      </c>
      <c r="X221">
        <f t="shared" si="59"/>
        <v>1</v>
      </c>
      <c r="Y221" s="1" t="str" cm="1">
        <f t="array" ref="Y221">INDEX(Ratings!$B$2:$M$42,_xlfn.XMATCH(Base!F221,Ratings!$A$2:$A$42),_xlfn.XMATCH(YEAR(Base!K221),Ratings!$B$1:$M$1))</f>
        <v>CCC</v>
      </c>
      <c r="Z221">
        <f t="shared" si="60"/>
        <v>0</v>
      </c>
      <c r="AA221">
        <f>IFERROR(IFERROR(IFERROR(INDEX('EMBI+'!$B:$B,MATCH(Base!$K221,'EMBI+'!$A:$A,0)),INDEX('EMBI+'!$B:$B,MATCH(Base!$K221+1,'EMBI+'!$A:$A,0))),INDEX('EMBI+'!$B:$B,MATCH(Base!$K221+2,'EMBI+'!$A:$A,0))),INDEX('EMBI+'!$B:$B,MATCH(Base!$K221+3,'EMBI+'!$A:$A,0)))/100</f>
        <v>3.2</v>
      </c>
      <c r="AB221" s="9">
        <v>8.5010700000000003</v>
      </c>
      <c r="AC221" s="9">
        <f t="shared" si="65"/>
        <v>29.669920000000001</v>
      </c>
      <c r="AD221" s="9"/>
      <c r="AE221" s="9"/>
      <c r="AF221" s="2"/>
      <c r="AG221" s="2"/>
    </row>
    <row r="222" spans="1:33" x14ac:dyDescent="0.35">
      <c r="A222">
        <f t="shared" si="57"/>
        <v>220</v>
      </c>
      <c r="B222">
        <f>IF(G222="Bonds",COUNTIF($G$3:G222,"Bonds"),0)</f>
        <v>0</v>
      </c>
      <c r="C222" t="str">
        <f t="shared" si="61"/>
        <v>InterCement4446346546</v>
      </c>
      <c r="D222">
        <f t="shared" si="62"/>
        <v>20</v>
      </c>
      <c r="E222" s="9" t="s">
        <v>278</v>
      </c>
      <c r="F222" s="9" t="s">
        <v>279</v>
      </c>
      <c r="G222" s="9" t="s">
        <v>29</v>
      </c>
      <c r="H222">
        <f t="shared" si="52"/>
        <v>0</v>
      </c>
      <c r="I222" s="9" t="s">
        <v>296</v>
      </c>
      <c r="J222" s="1">
        <f t="shared" si="53"/>
        <v>17</v>
      </c>
      <c r="K222" s="2">
        <v>44463</v>
      </c>
      <c r="L222" s="2">
        <v>46546</v>
      </c>
      <c r="M222" s="10">
        <f t="shared" si="54"/>
        <v>5.7068493150684931</v>
      </c>
      <c r="N222" s="11">
        <f t="shared" si="55"/>
        <v>1</v>
      </c>
      <c r="O222" s="9" t="s">
        <v>47</v>
      </c>
      <c r="P222" t="str">
        <f t="shared" si="58"/>
        <v>0</v>
      </c>
      <c r="Q222" s="12">
        <v>99206</v>
      </c>
      <c r="R222" s="9">
        <v>1000</v>
      </c>
      <c r="S222" s="1" t="str">
        <f>IF($V222="USD",INDEX('Dólar Spot'!$B:$B,MATCH(Base!$K222,'Dólar Spot'!$A:$A,0)),"")</f>
        <v/>
      </c>
      <c r="T222" s="11">
        <f t="shared" si="63"/>
        <v>99206000</v>
      </c>
      <c r="U222" s="13">
        <f t="shared" si="56"/>
        <v>0.99206000000000005</v>
      </c>
      <c r="V222" s="9" t="s">
        <v>44</v>
      </c>
      <c r="W222" s="9" t="s">
        <v>34</v>
      </c>
      <c r="X222">
        <f t="shared" si="59"/>
        <v>1</v>
      </c>
      <c r="Y222" s="1" t="str" cm="1">
        <f t="array" ref="Y222">INDEX(Ratings!$B$2:$M$42,_xlfn.XMATCH(Base!F222,Ratings!$A$2:$A$42),_xlfn.XMATCH(YEAR(Base!K222),Ratings!$B$1:$M$1))</f>
        <v>CCC</v>
      </c>
      <c r="Z222">
        <f t="shared" si="60"/>
        <v>0</v>
      </c>
      <c r="AA222">
        <f>IFERROR(IFERROR(IFERROR(INDEX('EMBI+'!$B:$B,MATCH(Base!$K222,'EMBI+'!$A:$A,0)),INDEX('EMBI+'!$B:$B,MATCH(Base!$K222+1,'EMBI+'!$A:$A,0))),INDEX('EMBI+'!$B:$B,MATCH(Base!$K222+2,'EMBI+'!$A:$A,0))),INDEX('EMBI+'!$B:$B,MATCH(Base!$K222+3,'EMBI+'!$A:$A,0)))/100</f>
        <v>3.2</v>
      </c>
      <c r="AB222" s="9">
        <v>8.5010700000000003</v>
      </c>
      <c r="AC222" s="9">
        <f t="shared" si="65"/>
        <v>29.669920000000001</v>
      </c>
      <c r="AD222" s="9"/>
      <c r="AE222" s="9"/>
      <c r="AF222" s="2"/>
      <c r="AG222" s="2"/>
    </row>
    <row r="223" spans="1:33" x14ac:dyDescent="0.35">
      <c r="A223">
        <f t="shared" si="57"/>
        <v>221</v>
      </c>
      <c r="B223">
        <f>IF(G223="Bonds",COUNTIF($G$3:G223,"Bonds"),0)</f>
        <v>0</v>
      </c>
      <c r="C223" t="str">
        <f t="shared" si="61"/>
        <v>InterCement4446346546</v>
      </c>
      <c r="D223">
        <f t="shared" si="62"/>
        <v>20</v>
      </c>
      <c r="E223" s="9" t="s">
        <v>278</v>
      </c>
      <c r="F223" s="9" t="s">
        <v>279</v>
      </c>
      <c r="G223" s="9" t="s">
        <v>29</v>
      </c>
      <c r="H223">
        <f t="shared" si="52"/>
        <v>0</v>
      </c>
      <c r="I223" s="9" t="s">
        <v>297</v>
      </c>
      <c r="J223" s="1">
        <f t="shared" si="53"/>
        <v>18</v>
      </c>
      <c r="K223" s="2">
        <v>44463</v>
      </c>
      <c r="L223" s="2">
        <v>46546</v>
      </c>
      <c r="M223" s="10">
        <f t="shared" si="54"/>
        <v>5.7068493150684931</v>
      </c>
      <c r="N223" s="11">
        <f t="shared" si="55"/>
        <v>1</v>
      </c>
      <c r="O223" s="9" t="s">
        <v>47</v>
      </c>
      <c r="P223" t="str">
        <f t="shared" si="58"/>
        <v>0</v>
      </c>
      <c r="Q223" s="12">
        <v>130773</v>
      </c>
      <c r="R223" s="9">
        <v>1000</v>
      </c>
      <c r="S223" s="1" t="str">
        <f>IF($V223="USD",INDEX('Dólar Spot'!$B:$B,MATCH(Base!$K223,'Dólar Spot'!$A:$A,0)),"")</f>
        <v/>
      </c>
      <c r="T223" s="11">
        <f t="shared" si="63"/>
        <v>130773000</v>
      </c>
      <c r="U223" s="13">
        <f t="shared" si="56"/>
        <v>1.3077300000000001</v>
      </c>
      <c r="V223" s="9" t="s">
        <v>44</v>
      </c>
      <c r="W223" s="9" t="s">
        <v>34</v>
      </c>
      <c r="X223">
        <f t="shared" si="59"/>
        <v>1</v>
      </c>
      <c r="Y223" s="1" t="str" cm="1">
        <f t="array" ref="Y223">INDEX(Ratings!$B$2:$M$42,_xlfn.XMATCH(Base!F223,Ratings!$A$2:$A$42),_xlfn.XMATCH(YEAR(Base!K223),Ratings!$B$1:$M$1))</f>
        <v>CCC</v>
      </c>
      <c r="Z223">
        <f t="shared" si="60"/>
        <v>0</v>
      </c>
      <c r="AA223">
        <f>IFERROR(IFERROR(IFERROR(INDEX('EMBI+'!$B:$B,MATCH(Base!$K223,'EMBI+'!$A:$A,0)),INDEX('EMBI+'!$B:$B,MATCH(Base!$K223+1,'EMBI+'!$A:$A,0))),INDEX('EMBI+'!$B:$B,MATCH(Base!$K223+2,'EMBI+'!$A:$A,0))),INDEX('EMBI+'!$B:$B,MATCH(Base!$K223+3,'EMBI+'!$A:$A,0)))/100</f>
        <v>3.2</v>
      </c>
      <c r="AB223" s="9">
        <v>8.5010700000000003</v>
      </c>
      <c r="AC223" s="9">
        <f t="shared" si="65"/>
        <v>29.669920000000001</v>
      </c>
      <c r="AD223" s="9"/>
      <c r="AE223" s="9"/>
      <c r="AF223" s="2"/>
      <c r="AG223" s="2"/>
    </row>
    <row r="224" spans="1:33" x14ac:dyDescent="0.35">
      <c r="A224">
        <f t="shared" si="57"/>
        <v>222</v>
      </c>
      <c r="B224">
        <f>IF(G224="Bonds",COUNTIF($G$3:G224,"Bonds"),0)</f>
        <v>0</v>
      </c>
      <c r="C224" t="str">
        <f t="shared" si="61"/>
        <v>InterCement4446346546</v>
      </c>
      <c r="D224">
        <f t="shared" si="62"/>
        <v>20</v>
      </c>
      <c r="E224" s="9" t="s">
        <v>278</v>
      </c>
      <c r="F224" s="9" t="s">
        <v>279</v>
      </c>
      <c r="G224" s="9" t="s">
        <v>29</v>
      </c>
      <c r="H224">
        <f t="shared" si="52"/>
        <v>0</v>
      </c>
      <c r="I224" s="9" t="s">
        <v>298</v>
      </c>
      <c r="J224" s="1">
        <f t="shared" si="53"/>
        <v>19</v>
      </c>
      <c r="K224" s="2">
        <v>44463</v>
      </c>
      <c r="L224" s="2">
        <v>46546</v>
      </c>
      <c r="M224" s="10">
        <f t="shared" si="54"/>
        <v>5.7068493150684931</v>
      </c>
      <c r="N224" s="11">
        <f t="shared" si="55"/>
        <v>1</v>
      </c>
      <c r="O224" s="9" t="s">
        <v>47</v>
      </c>
      <c r="P224" t="str">
        <f t="shared" si="58"/>
        <v>0</v>
      </c>
      <c r="Q224" s="12">
        <v>130772</v>
      </c>
      <c r="R224" s="9">
        <v>1000</v>
      </c>
      <c r="S224" s="1" t="str">
        <f>IF($V224="USD",INDEX('Dólar Spot'!$B:$B,MATCH(Base!$K224,'Dólar Spot'!$A:$A,0)),"")</f>
        <v/>
      </c>
      <c r="T224" s="11">
        <f t="shared" si="63"/>
        <v>130772000</v>
      </c>
      <c r="U224" s="13">
        <f t="shared" si="56"/>
        <v>1.30772</v>
      </c>
      <c r="V224" s="9" t="s">
        <v>44</v>
      </c>
      <c r="W224" s="9" t="s">
        <v>34</v>
      </c>
      <c r="X224">
        <f t="shared" si="59"/>
        <v>1</v>
      </c>
      <c r="Y224" s="1" t="str" cm="1">
        <f t="array" ref="Y224">INDEX(Ratings!$B$2:$M$42,_xlfn.XMATCH(Base!F224,Ratings!$A$2:$A$42),_xlfn.XMATCH(YEAR(Base!K224),Ratings!$B$1:$M$1))</f>
        <v>CCC</v>
      </c>
      <c r="Z224">
        <f t="shared" si="60"/>
        <v>0</v>
      </c>
      <c r="AA224">
        <f>IFERROR(IFERROR(IFERROR(INDEX('EMBI+'!$B:$B,MATCH(Base!$K224,'EMBI+'!$A:$A,0)),INDEX('EMBI+'!$B:$B,MATCH(Base!$K224+1,'EMBI+'!$A:$A,0))),INDEX('EMBI+'!$B:$B,MATCH(Base!$K224+2,'EMBI+'!$A:$A,0))),INDEX('EMBI+'!$B:$B,MATCH(Base!$K224+3,'EMBI+'!$A:$A,0)))/100</f>
        <v>3.2</v>
      </c>
      <c r="AB224" s="9">
        <v>8.5010700000000003</v>
      </c>
      <c r="AC224" s="9">
        <f t="shared" si="65"/>
        <v>29.669920000000001</v>
      </c>
      <c r="AD224" s="9"/>
      <c r="AE224" s="9"/>
      <c r="AF224" s="2"/>
      <c r="AG224" s="2"/>
    </row>
    <row r="225" spans="1:33" x14ac:dyDescent="0.35">
      <c r="A225">
        <f t="shared" si="57"/>
        <v>223</v>
      </c>
      <c r="B225">
        <f>IF(G225="Bonds",COUNTIF($G$3:G225,"Bonds"),0)</f>
        <v>0</v>
      </c>
      <c r="C225" t="str">
        <f t="shared" si="61"/>
        <v>InterCement4446346546</v>
      </c>
      <c r="D225">
        <f t="shared" si="62"/>
        <v>20</v>
      </c>
      <c r="E225" s="9" t="s">
        <v>278</v>
      </c>
      <c r="F225" s="9" t="s">
        <v>279</v>
      </c>
      <c r="G225" s="9" t="s">
        <v>29</v>
      </c>
      <c r="H225">
        <f t="shared" si="52"/>
        <v>0</v>
      </c>
      <c r="I225" s="9" t="s">
        <v>299</v>
      </c>
      <c r="J225" s="1">
        <f t="shared" si="53"/>
        <v>20</v>
      </c>
      <c r="K225" s="2">
        <v>44463</v>
      </c>
      <c r="L225" s="2">
        <v>46546</v>
      </c>
      <c r="M225" s="10">
        <f t="shared" si="54"/>
        <v>5.7068493150684931</v>
      </c>
      <c r="N225" s="11">
        <f t="shared" si="55"/>
        <v>1</v>
      </c>
      <c r="O225" s="9" t="s">
        <v>47</v>
      </c>
      <c r="P225" t="str">
        <f t="shared" si="58"/>
        <v>0</v>
      </c>
      <c r="Q225" s="12">
        <v>130772</v>
      </c>
      <c r="R225" s="9">
        <v>1000</v>
      </c>
      <c r="S225" s="1" t="str">
        <f>IF($V225="USD",INDEX('Dólar Spot'!$B:$B,MATCH(Base!$K225,'Dólar Spot'!$A:$A,0)),"")</f>
        <v/>
      </c>
      <c r="T225" s="11">
        <f t="shared" si="63"/>
        <v>130772000</v>
      </c>
      <c r="U225" s="13">
        <f t="shared" si="56"/>
        <v>1.30772</v>
      </c>
      <c r="V225" s="9" t="s">
        <v>44</v>
      </c>
      <c r="W225" s="9" t="s">
        <v>34</v>
      </c>
      <c r="X225">
        <f t="shared" si="59"/>
        <v>1</v>
      </c>
      <c r="Y225" s="1" t="str" cm="1">
        <f t="array" ref="Y225">INDEX(Ratings!$B$2:$M$42,_xlfn.XMATCH(Base!F225,Ratings!$A$2:$A$42),_xlfn.XMATCH(YEAR(Base!K225),Ratings!$B$1:$M$1))</f>
        <v>CCC</v>
      </c>
      <c r="Z225">
        <f t="shared" si="60"/>
        <v>0</v>
      </c>
      <c r="AA225">
        <f>IFERROR(IFERROR(IFERROR(INDEX('EMBI+'!$B:$B,MATCH(Base!$K225,'EMBI+'!$A:$A,0)),INDEX('EMBI+'!$B:$B,MATCH(Base!$K225+1,'EMBI+'!$A:$A,0))),INDEX('EMBI+'!$B:$B,MATCH(Base!$K225+2,'EMBI+'!$A:$A,0))),INDEX('EMBI+'!$B:$B,MATCH(Base!$K225+3,'EMBI+'!$A:$A,0)))/100</f>
        <v>3.2</v>
      </c>
      <c r="AB225" s="9">
        <v>8.5010700000000003</v>
      </c>
      <c r="AC225" s="9">
        <f t="shared" si="65"/>
        <v>29.669920000000001</v>
      </c>
      <c r="AD225" s="9"/>
      <c r="AE225" s="9"/>
      <c r="AF225" s="2"/>
      <c r="AG225" s="2"/>
    </row>
    <row r="226" spans="1:33" x14ac:dyDescent="0.35">
      <c r="A226">
        <f t="shared" si="57"/>
        <v>224</v>
      </c>
      <c r="B226">
        <f>IF(G226="Bonds",COUNTIF($G$3:G226,"Bonds"),0)</f>
        <v>0</v>
      </c>
      <c r="C226" t="str">
        <f t="shared" si="61"/>
        <v>InterCement4126444794</v>
      </c>
      <c r="D226">
        <f t="shared" si="62"/>
        <v>20</v>
      </c>
      <c r="E226" s="9" t="s">
        <v>278</v>
      </c>
      <c r="F226" s="9" t="s">
        <v>279</v>
      </c>
      <c r="G226" s="9" t="s">
        <v>29</v>
      </c>
      <c r="H226">
        <f t="shared" si="52"/>
        <v>0</v>
      </c>
      <c r="I226" s="9" t="s">
        <v>300</v>
      </c>
      <c r="J226" s="1">
        <f t="shared" si="53"/>
        <v>21</v>
      </c>
      <c r="K226" s="2">
        <v>41264</v>
      </c>
      <c r="L226" s="2">
        <v>44794</v>
      </c>
      <c r="M226" s="10">
        <f t="shared" si="54"/>
        <v>9.6712328767123292</v>
      </c>
      <c r="N226" s="11">
        <f t="shared" si="55"/>
        <v>1</v>
      </c>
      <c r="O226" s="9" t="s">
        <v>47</v>
      </c>
      <c r="P226" t="str">
        <f t="shared" si="58"/>
        <v>0</v>
      </c>
      <c r="Q226" s="12">
        <v>1200</v>
      </c>
      <c r="R226" s="9">
        <v>1000000</v>
      </c>
      <c r="S226" s="1" t="str">
        <f>IF($V226="USD",INDEX('Dólar Spot'!$B:$B,MATCH(Base!$K226,'Dólar Spot'!$A:$A,0)),"")</f>
        <v/>
      </c>
      <c r="T226" s="11">
        <f t="shared" si="63"/>
        <v>1200000000</v>
      </c>
      <c r="U226" s="13">
        <f t="shared" si="56"/>
        <v>12</v>
      </c>
      <c r="V226" s="9" t="s">
        <v>44</v>
      </c>
      <c r="W226" s="9" t="s">
        <v>34</v>
      </c>
      <c r="X226">
        <f t="shared" si="59"/>
        <v>1</v>
      </c>
      <c r="Y226" s="1" t="str" cm="1">
        <f t="array" ref="Y226">INDEX(Ratings!$B$2:$M$42,_xlfn.XMATCH(Base!F226,Ratings!$A$2:$A$42),_xlfn.XMATCH(YEAR(Base!K226),Ratings!$B$1:$M$1))</f>
        <v>NR</v>
      </c>
      <c r="Z226">
        <f t="shared" si="60"/>
        <v>0</v>
      </c>
      <c r="AA226">
        <f>IFERROR(IFERROR(IFERROR(INDEX('EMBI+'!$B:$B,MATCH(Base!$K226,'EMBI+'!$A:$A,0)),INDEX('EMBI+'!$B:$B,MATCH(Base!$K226+1,'EMBI+'!$A:$A,0))),INDEX('EMBI+'!$B:$B,MATCH(Base!$K226+2,'EMBI+'!$A:$A,0))),INDEX('EMBI+'!$B:$B,MATCH(Base!$K226+3,'EMBI+'!$A:$A,0)))/100</f>
        <v>1.43</v>
      </c>
      <c r="AB226" s="9">
        <v>20.271000000000001</v>
      </c>
      <c r="AC226" s="9">
        <f>2.762+9.135</f>
        <v>11.897</v>
      </c>
      <c r="AD226" s="9"/>
      <c r="AE226" s="9"/>
      <c r="AF226" s="2"/>
      <c r="AG226" s="2"/>
    </row>
    <row r="227" spans="1:33" x14ac:dyDescent="0.35">
      <c r="A227">
        <f t="shared" si="57"/>
        <v>225</v>
      </c>
      <c r="B227">
        <f>IF(G227="Bonds",COUNTIF($G$3:G227,"Bonds"),0)</f>
        <v>0</v>
      </c>
      <c r="C227" t="str">
        <f t="shared" si="61"/>
        <v>InterCement4399046546</v>
      </c>
      <c r="D227">
        <f t="shared" si="62"/>
        <v>20</v>
      </c>
      <c r="E227" s="9" t="s">
        <v>301</v>
      </c>
      <c r="F227" s="9" t="s">
        <v>279</v>
      </c>
      <c r="G227" s="9" t="s">
        <v>29</v>
      </c>
      <c r="H227">
        <f t="shared" si="52"/>
        <v>0</v>
      </c>
      <c r="I227" s="9" t="s">
        <v>302</v>
      </c>
      <c r="J227" s="1">
        <f t="shared" si="53"/>
        <v>22</v>
      </c>
      <c r="K227" s="2">
        <v>43990</v>
      </c>
      <c r="L227" s="2">
        <v>46546</v>
      </c>
      <c r="M227" s="10">
        <f t="shared" si="54"/>
        <v>7.0027397260273974</v>
      </c>
      <c r="N227" s="11">
        <f t="shared" si="55"/>
        <v>1</v>
      </c>
      <c r="O227" s="9" t="s">
        <v>47</v>
      </c>
      <c r="P227" t="str">
        <f t="shared" si="58"/>
        <v>0</v>
      </c>
      <c r="Q227" s="12">
        <v>307652</v>
      </c>
      <c r="R227" s="9">
        <v>1000</v>
      </c>
      <c r="S227" s="1" t="str">
        <f>IF($V227="USD",INDEX('Dólar Spot'!$B:$B,MATCH(Base!$K227,'Dólar Spot'!$A:$A,0)),"")</f>
        <v/>
      </c>
      <c r="T227" s="11">
        <f t="shared" si="63"/>
        <v>307652000</v>
      </c>
      <c r="U227" s="13">
        <f t="shared" si="56"/>
        <v>3.0765199999999999</v>
      </c>
      <c r="V227" s="9" t="s">
        <v>44</v>
      </c>
      <c r="W227" s="9" t="s">
        <v>34</v>
      </c>
      <c r="X227">
        <f t="shared" si="59"/>
        <v>1</v>
      </c>
      <c r="Y227" s="1" t="str" cm="1">
        <f t="array" ref="Y227">INDEX(Ratings!$B$2:$M$42,_xlfn.XMATCH(Base!F227,Ratings!$A$2:$A$42),_xlfn.XMATCH(YEAR(Base!K227),Ratings!$B$1:$M$1))</f>
        <v>C</v>
      </c>
      <c r="Z227">
        <f t="shared" si="60"/>
        <v>0</v>
      </c>
      <c r="AA227">
        <f>IFERROR(IFERROR(IFERROR(INDEX('EMBI+'!$B:$B,MATCH(Base!$K227,'EMBI+'!$A:$A,0)),INDEX('EMBI+'!$B:$B,MATCH(Base!$K227+1,'EMBI+'!$A:$A,0))),INDEX('EMBI+'!$B:$B,MATCH(Base!$K227+2,'EMBI+'!$A:$A,0))),INDEX('EMBI+'!$B:$B,MATCH(Base!$K227+3,'EMBI+'!$A:$A,0)))/100</f>
        <v>3.32</v>
      </c>
      <c r="AB227" s="9">
        <v>6.9713599999999998</v>
      </c>
      <c r="AC227" s="9">
        <f t="shared" ref="AC227:AC235" si="66">0.13667+18.72894</f>
        <v>18.86561</v>
      </c>
      <c r="AD227" s="9"/>
      <c r="AE227" s="9"/>
      <c r="AF227" s="2"/>
      <c r="AG227" s="2"/>
    </row>
    <row r="228" spans="1:33" x14ac:dyDescent="0.35">
      <c r="A228">
        <f t="shared" si="57"/>
        <v>226</v>
      </c>
      <c r="B228">
        <f>IF(G228="Bonds",COUNTIF($G$3:G228,"Bonds"),0)</f>
        <v>0</v>
      </c>
      <c r="C228" t="str">
        <f t="shared" si="61"/>
        <v>InterCement4399046546</v>
      </c>
      <c r="D228">
        <f t="shared" si="62"/>
        <v>20</v>
      </c>
      <c r="E228" s="9" t="s">
        <v>301</v>
      </c>
      <c r="F228" s="9" t="s">
        <v>279</v>
      </c>
      <c r="G228" s="9" t="s">
        <v>29</v>
      </c>
      <c r="H228">
        <f t="shared" si="52"/>
        <v>0</v>
      </c>
      <c r="I228" s="9" t="s">
        <v>303</v>
      </c>
      <c r="J228" s="1">
        <f t="shared" si="53"/>
        <v>23</v>
      </c>
      <c r="K228" s="2">
        <v>43990</v>
      </c>
      <c r="L228" s="2">
        <v>46546</v>
      </c>
      <c r="M228" s="10">
        <f t="shared" si="54"/>
        <v>7.0027397260273974</v>
      </c>
      <c r="N228" s="11">
        <f t="shared" si="55"/>
        <v>1</v>
      </c>
      <c r="O228" s="9" t="s">
        <v>47</v>
      </c>
      <c r="P228" t="str">
        <f t="shared" si="58"/>
        <v>0</v>
      </c>
      <c r="Q228" s="12">
        <v>307651</v>
      </c>
      <c r="R228" s="9">
        <v>1000</v>
      </c>
      <c r="S228" s="1" t="str">
        <f>IF($V228="USD",INDEX('Dólar Spot'!$B:$B,MATCH(Base!$K228,'Dólar Spot'!$A:$A,0)),"")</f>
        <v/>
      </c>
      <c r="T228" s="11">
        <f t="shared" si="63"/>
        <v>307651000</v>
      </c>
      <c r="U228" s="13">
        <f t="shared" si="56"/>
        <v>3.0765099999999999</v>
      </c>
      <c r="V228" s="9" t="s">
        <v>44</v>
      </c>
      <c r="W228" s="9" t="s">
        <v>34</v>
      </c>
      <c r="X228">
        <f t="shared" si="59"/>
        <v>1</v>
      </c>
      <c r="Y228" s="1" t="str" cm="1">
        <f t="array" ref="Y228">INDEX(Ratings!$B$2:$M$42,_xlfn.XMATCH(Base!F228,Ratings!$A$2:$A$42),_xlfn.XMATCH(YEAR(Base!K228),Ratings!$B$1:$M$1))</f>
        <v>C</v>
      </c>
      <c r="Z228">
        <f t="shared" si="60"/>
        <v>0</v>
      </c>
      <c r="AA228">
        <f>IFERROR(IFERROR(IFERROR(INDEX('EMBI+'!$B:$B,MATCH(Base!$K228,'EMBI+'!$A:$A,0)),INDEX('EMBI+'!$B:$B,MATCH(Base!$K228+1,'EMBI+'!$A:$A,0))),INDEX('EMBI+'!$B:$B,MATCH(Base!$K228+2,'EMBI+'!$A:$A,0))),INDEX('EMBI+'!$B:$B,MATCH(Base!$K228+3,'EMBI+'!$A:$A,0)))/100</f>
        <v>3.32</v>
      </c>
      <c r="AB228" s="9">
        <v>6.9713599999999998</v>
      </c>
      <c r="AC228" s="9">
        <f t="shared" si="66"/>
        <v>18.86561</v>
      </c>
      <c r="AD228" s="9"/>
      <c r="AE228" s="9"/>
      <c r="AF228" s="2"/>
      <c r="AG228" s="2"/>
    </row>
    <row r="229" spans="1:33" x14ac:dyDescent="0.35">
      <c r="A229">
        <f t="shared" si="57"/>
        <v>227</v>
      </c>
      <c r="B229">
        <f>IF(G229="Bonds",COUNTIF($G$3:G229,"Bonds"),0)</f>
        <v>0</v>
      </c>
      <c r="C229" t="str">
        <f t="shared" si="61"/>
        <v>InterCement4399046546</v>
      </c>
      <c r="D229">
        <f t="shared" si="62"/>
        <v>20</v>
      </c>
      <c r="E229" s="9" t="s">
        <v>301</v>
      </c>
      <c r="F229" s="9" t="s">
        <v>279</v>
      </c>
      <c r="G229" s="9" t="s">
        <v>29</v>
      </c>
      <c r="H229">
        <f t="shared" si="52"/>
        <v>0</v>
      </c>
      <c r="I229" s="9" t="s">
        <v>304</v>
      </c>
      <c r="J229" s="1">
        <f t="shared" si="53"/>
        <v>24</v>
      </c>
      <c r="K229" s="2">
        <v>43990</v>
      </c>
      <c r="L229" s="2">
        <v>46546</v>
      </c>
      <c r="M229" s="10">
        <f t="shared" si="54"/>
        <v>7.0027397260273974</v>
      </c>
      <c r="N229" s="11">
        <f t="shared" si="55"/>
        <v>1</v>
      </c>
      <c r="O229" s="9" t="s">
        <v>47</v>
      </c>
      <c r="P229" t="str">
        <f t="shared" si="58"/>
        <v>0</v>
      </c>
      <c r="Q229" s="12">
        <v>307651</v>
      </c>
      <c r="R229" s="9">
        <v>1000</v>
      </c>
      <c r="S229" s="1" t="str">
        <f>IF($V229="USD",INDEX('Dólar Spot'!$B:$B,MATCH(Base!$K229,'Dólar Spot'!$A:$A,0)),"")</f>
        <v/>
      </c>
      <c r="T229" s="11">
        <f t="shared" si="63"/>
        <v>307651000</v>
      </c>
      <c r="U229" s="13">
        <f t="shared" si="56"/>
        <v>3.0765099999999999</v>
      </c>
      <c r="V229" s="9" t="s">
        <v>44</v>
      </c>
      <c r="W229" s="9" t="s">
        <v>34</v>
      </c>
      <c r="X229">
        <f t="shared" si="59"/>
        <v>1</v>
      </c>
      <c r="Y229" s="1" t="str" cm="1">
        <f t="array" ref="Y229">INDEX(Ratings!$B$2:$M$42,_xlfn.XMATCH(Base!F229,Ratings!$A$2:$A$42),_xlfn.XMATCH(YEAR(Base!K229),Ratings!$B$1:$M$1))</f>
        <v>C</v>
      </c>
      <c r="Z229">
        <f t="shared" si="60"/>
        <v>0</v>
      </c>
      <c r="AA229">
        <f>IFERROR(IFERROR(IFERROR(INDEX('EMBI+'!$B:$B,MATCH(Base!$K229,'EMBI+'!$A:$A,0)),INDEX('EMBI+'!$B:$B,MATCH(Base!$K229+1,'EMBI+'!$A:$A,0))),INDEX('EMBI+'!$B:$B,MATCH(Base!$K229+2,'EMBI+'!$A:$A,0))),INDEX('EMBI+'!$B:$B,MATCH(Base!$K229+3,'EMBI+'!$A:$A,0)))/100</f>
        <v>3.32</v>
      </c>
      <c r="AB229" s="9">
        <v>6.9713599999999998</v>
      </c>
      <c r="AC229" s="9">
        <f t="shared" si="66"/>
        <v>18.86561</v>
      </c>
      <c r="AD229" s="9"/>
      <c r="AE229" s="9"/>
      <c r="AF229" s="2"/>
      <c r="AG229" s="2"/>
    </row>
    <row r="230" spans="1:33" x14ac:dyDescent="0.35">
      <c r="A230">
        <f t="shared" si="57"/>
        <v>228</v>
      </c>
      <c r="B230">
        <f>IF(G230="Bonds",COUNTIF($G$3:G230,"Bonds"),0)</f>
        <v>0</v>
      </c>
      <c r="C230" t="str">
        <f t="shared" si="61"/>
        <v>InterCement4399046546</v>
      </c>
      <c r="D230">
        <f t="shared" si="62"/>
        <v>20</v>
      </c>
      <c r="E230" s="9" t="s">
        <v>301</v>
      </c>
      <c r="F230" s="9" t="s">
        <v>279</v>
      </c>
      <c r="G230" s="9" t="s">
        <v>29</v>
      </c>
      <c r="H230">
        <f t="shared" si="52"/>
        <v>0</v>
      </c>
      <c r="I230" s="9" t="s">
        <v>305</v>
      </c>
      <c r="J230" s="1">
        <f t="shared" si="53"/>
        <v>25</v>
      </c>
      <c r="K230" s="2">
        <v>43990</v>
      </c>
      <c r="L230" s="2">
        <v>46546</v>
      </c>
      <c r="M230" s="10">
        <f t="shared" si="54"/>
        <v>7.0027397260273974</v>
      </c>
      <c r="N230" s="11">
        <f t="shared" si="55"/>
        <v>1</v>
      </c>
      <c r="O230" s="9" t="s">
        <v>47</v>
      </c>
      <c r="P230" t="str">
        <f t="shared" si="58"/>
        <v>0</v>
      </c>
      <c r="Q230" s="12">
        <v>295305</v>
      </c>
      <c r="R230" s="9">
        <v>1000</v>
      </c>
      <c r="S230" s="1" t="str">
        <f>IF($V230="USD",INDEX('Dólar Spot'!$B:$B,MATCH(Base!$K230,'Dólar Spot'!$A:$A,0)),"")</f>
        <v/>
      </c>
      <c r="T230" s="11">
        <f t="shared" si="63"/>
        <v>295305000</v>
      </c>
      <c r="U230" s="13">
        <f t="shared" si="56"/>
        <v>2.9530500000000002</v>
      </c>
      <c r="V230" s="9" t="s">
        <v>44</v>
      </c>
      <c r="W230" s="9" t="s">
        <v>34</v>
      </c>
      <c r="X230">
        <f t="shared" si="59"/>
        <v>1</v>
      </c>
      <c r="Y230" s="1" t="str" cm="1">
        <f t="array" ref="Y230">INDEX(Ratings!$B$2:$M$42,_xlfn.XMATCH(Base!F230,Ratings!$A$2:$A$42),_xlfn.XMATCH(YEAR(Base!K230),Ratings!$B$1:$M$1))</f>
        <v>C</v>
      </c>
      <c r="Z230">
        <f t="shared" si="60"/>
        <v>0</v>
      </c>
      <c r="AA230">
        <f>IFERROR(IFERROR(IFERROR(INDEX('EMBI+'!$B:$B,MATCH(Base!$K230,'EMBI+'!$A:$A,0)),INDEX('EMBI+'!$B:$B,MATCH(Base!$K230+1,'EMBI+'!$A:$A,0))),INDEX('EMBI+'!$B:$B,MATCH(Base!$K230+2,'EMBI+'!$A:$A,0))),INDEX('EMBI+'!$B:$B,MATCH(Base!$K230+3,'EMBI+'!$A:$A,0)))/100</f>
        <v>3.32</v>
      </c>
      <c r="AB230" s="9">
        <v>6.9713599999999998</v>
      </c>
      <c r="AC230" s="9">
        <f t="shared" si="66"/>
        <v>18.86561</v>
      </c>
      <c r="AD230" s="9"/>
      <c r="AE230" s="9"/>
      <c r="AF230" s="2"/>
      <c r="AG230" s="2"/>
    </row>
    <row r="231" spans="1:33" x14ac:dyDescent="0.35">
      <c r="A231">
        <f t="shared" si="57"/>
        <v>229</v>
      </c>
      <c r="B231">
        <f>IF(G231="Bonds",COUNTIF($G$3:G231,"Bonds"),0)</f>
        <v>0</v>
      </c>
      <c r="C231" t="str">
        <f t="shared" si="61"/>
        <v>InterCement4399046546</v>
      </c>
      <c r="D231">
        <f t="shared" si="62"/>
        <v>20</v>
      </c>
      <c r="E231" s="9" t="s">
        <v>301</v>
      </c>
      <c r="F231" s="9" t="s">
        <v>279</v>
      </c>
      <c r="G231" s="9" t="s">
        <v>29</v>
      </c>
      <c r="H231">
        <f t="shared" si="52"/>
        <v>0</v>
      </c>
      <c r="I231" s="9" t="s">
        <v>306</v>
      </c>
      <c r="J231" s="1">
        <f t="shared" si="53"/>
        <v>26</v>
      </c>
      <c r="K231" s="2">
        <v>43990</v>
      </c>
      <c r="L231" s="2">
        <v>46546</v>
      </c>
      <c r="M231" s="10">
        <f t="shared" si="54"/>
        <v>7.0027397260273974</v>
      </c>
      <c r="N231" s="11">
        <f t="shared" si="55"/>
        <v>1</v>
      </c>
      <c r="O231" s="9" t="s">
        <v>47</v>
      </c>
      <c r="P231" t="str">
        <f t="shared" si="58"/>
        <v>0</v>
      </c>
      <c r="Q231" s="12">
        <v>295305</v>
      </c>
      <c r="R231" s="9">
        <v>1000</v>
      </c>
      <c r="S231" s="1" t="str">
        <f>IF($V231="USD",INDEX('Dólar Spot'!$B:$B,MATCH(Base!$K231,'Dólar Spot'!$A:$A,0)),"")</f>
        <v/>
      </c>
      <c r="T231" s="11">
        <f t="shared" si="63"/>
        <v>295305000</v>
      </c>
      <c r="U231" s="13">
        <f t="shared" si="56"/>
        <v>2.9530500000000002</v>
      </c>
      <c r="V231" s="9" t="s">
        <v>44</v>
      </c>
      <c r="W231" s="9" t="s">
        <v>34</v>
      </c>
      <c r="X231">
        <f t="shared" si="59"/>
        <v>1</v>
      </c>
      <c r="Y231" s="1" t="str" cm="1">
        <f t="array" ref="Y231">INDEX(Ratings!$B$2:$M$42,_xlfn.XMATCH(Base!F231,Ratings!$A$2:$A$42),_xlfn.XMATCH(YEAR(Base!K231),Ratings!$B$1:$M$1))</f>
        <v>C</v>
      </c>
      <c r="Z231">
        <f t="shared" si="60"/>
        <v>0</v>
      </c>
      <c r="AA231">
        <f>IFERROR(IFERROR(IFERROR(INDEX('EMBI+'!$B:$B,MATCH(Base!$K231,'EMBI+'!$A:$A,0)),INDEX('EMBI+'!$B:$B,MATCH(Base!$K231+1,'EMBI+'!$A:$A,0))),INDEX('EMBI+'!$B:$B,MATCH(Base!$K231+2,'EMBI+'!$A:$A,0))),INDEX('EMBI+'!$B:$B,MATCH(Base!$K231+3,'EMBI+'!$A:$A,0)))/100</f>
        <v>3.32</v>
      </c>
      <c r="AB231" s="9">
        <v>6.9713599999999998</v>
      </c>
      <c r="AC231" s="9">
        <f t="shared" si="66"/>
        <v>18.86561</v>
      </c>
      <c r="AD231" s="9"/>
      <c r="AE231" s="9"/>
      <c r="AF231" s="2"/>
      <c r="AG231" s="2"/>
    </row>
    <row r="232" spans="1:33" x14ac:dyDescent="0.35">
      <c r="A232">
        <f t="shared" si="57"/>
        <v>230</v>
      </c>
      <c r="B232">
        <f>IF(G232="Bonds",COUNTIF($G$3:G232,"Bonds"),0)</f>
        <v>0</v>
      </c>
      <c r="C232" t="str">
        <f t="shared" si="61"/>
        <v>InterCement4399046546</v>
      </c>
      <c r="D232">
        <f t="shared" si="62"/>
        <v>20</v>
      </c>
      <c r="E232" s="9" t="s">
        <v>301</v>
      </c>
      <c r="F232" s="9" t="s">
        <v>279</v>
      </c>
      <c r="G232" s="9" t="s">
        <v>29</v>
      </c>
      <c r="H232">
        <f t="shared" si="52"/>
        <v>0</v>
      </c>
      <c r="I232" s="9" t="s">
        <v>307</v>
      </c>
      <c r="J232" s="1">
        <f t="shared" si="53"/>
        <v>27</v>
      </c>
      <c r="K232" s="2">
        <v>43990</v>
      </c>
      <c r="L232" s="2">
        <v>46546</v>
      </c>
      <c r="M232" s="10">
        <f t="shared" si="54"/>
        <v>7.0027397260273974</v>
      </c>
      <c r="N232" s="11">
        <f t="shared" si="55"/>
        <v>1</v>
      </c>
      <c r="O232" s="9" t="s">
        <v>47</v>
      </c>
      <c r="P232" t="str">
        <f t="shared" si="58"/>
        <v>0</v>
      </c>
      <c r="Q232" s="12">
        <v>295305</v>
      </c>
      <c r="R232" s="9">
        <v>1000</v>
      </c>
      <c r="S232" s="1" t="str">
        <f>IF($V232="USD",INDEX('Dólar Spot'!$B:$B,MATCH(Base!$K232,'Dólar Spot'!$A:$A,0)),"")</f>
        <v/>
      </c>
      <c r="T232" s="11">
        <f t="shared" si="63"/>
        <v>295305000</v>
      </c>
      <c r="U232" s="13">
        <f t="shared" si="56"/>
        <v>2.9530500000000002</v>
      </c>
      <c r="V232" s="9" t="s">
        <v>44</v>
      </c>
      <c r="W232" s="9" t="s">
        <v>34</v>
      </c>
      <c r="X232">
        <f t="shared" si="59"/>
        <v>1</v>
      </c>
      <c r="Y232" s="1" t="str" cm="1">
        <f t="array" ref="Y232">INDEX(Ratings!$B$2:$M$42,_xlfn.XMATCH(Base!F232,Ratings!$A$2:$A$42),_xlfn.XMATCH(YEAR(Base!K232),Ratings!$B$1:$M$1))</f>
        <v>C</v>
      </c>
      <c r="Z232">
        <f t="shared" si="60"/>
        <v>0</v>
      </c>
      <c r="AA232">
        <f>IFERROR(IFERROR(IFERROR(INDEX('EMBI+'!$B:$B,MATCH(Base!$K232,'EMBI+'!$A:$A,0)),INDEX('EMBI+'!$B:$B,MATCH(Base!$K232+1,'EMBI+'!$A:$A,0))),INDEX('EMBI+'!$B:$B,MATCH(Base!$K232+2,'EMBI+'!$A:$A,0))),INDEX('EMBI+'!$B:$B,MATCH(Base!$K232+3,'EMBI+'!$A:$A,0)))/100</f>
        <v>3.32</v>
      </c>
      <c r="AB232" s="9">
        <v>6.9713599999999998</v>
      </c>
      <c r="AC232" s="9">
        <f t="shared" si="66"/>
        <v>18.86561</v>
      </c>
      <c r="AD232" s="9"/>
      <c r="AE232" s="9"/>
      <c r="AF232" s="2"/>
      <c r="AG232" s="2"/>
    </row>
    <row r="233" spans="1:33" x14ac:dyDescent="0.35">
      <c r="A233">
        <f t="shared" si="57"/>
        <v>231</v>
      </c>
      <c r="B233">
        <f>IF(G233="Bonds",COUNTIF($G$3:G233,"Bonds"),0)</f>
        <v>0</v>
      </c>
      <c r="C233" t="str">
        <f t="shared" si="61"/>
        <v>InterCement4399046546</v>
      </c>
      <c r="D233">
        <f t="shared" si="62"/>
        <v>20</v>
      </c>
      <c r="E233" s="9" t="s">
        <v>301</v>
      </c>
      <c r="F233" s="9" t="s">
        <v>279</v>
      </c>
      <c r="G233" s="9" t="s">
        <v>29</v>
      </c>
      <c r="H233">
        <f t="shared" si="52"/>
        <v>0</v>
      </c>
      <c r="I233" s="9" t="s">
        <v>308</v>
      </c>
      <c r="J233" s="1">
        <f t="shared" si="53"/>
        <v>28</v>
      </c>
      <c r="K233" s="2">
        <v>43990</v>
      </c>
      <c r="L233" s="2">
        <v>46546</v>
      </c>
      <c r="M233" s="10">
        <f t="shared" si="54"/>
        <v>7.0027397260273974</v>
      </c>
      <c r="N233" s="11">
        <f t="shared" si="55"/>
        <v>1</v>
      </c>
      <c r="O233" s="9" t="s">
        <v>47</v>
      </c>
      <c r="P233" t="str">
        <f t="shared" si="58"/>
        <v>0</v>
      </c>
      <c r="Q233" s="12">
        <v>389266</v>
      </c>
      <c r="R233" s="9">
        <v>1000</v>
      </c>
      <c r="S233" s="1" t="str">
        <f>IF($V233="USD",INDEX('Dólar Spot'!$B:$B,MATCH(Base!$K233,'Dólar Spot'!$A:$A,0)),"")</f>
        <v/>
      </c>
      <c r="T233" s="11">
        <f t="shared" si="63"/>
        <v>389266000</v>
      </c>
      <c r="U233" s="13">
        <f t="shared" si="56"/>
        <v>3.8926599999999998</v>
      </c>
      <c r="V233" s="9" t="s">
        <v>44</v>
      </c>
      <c r="W233" s="9" t="s">
        <v>34</v>
      </c>
      <c r="X233">
        <f t="shared" si="59"/>
        <v>1</v>
      </c>
      <c r="Y233" s="1" t="str" cm="1">
        <f t="array" ref="Y233">INDEX(Ratings!$B$2:$M$42,_xlfn.XMATCH(Base!F233,Ratings!$A$2:$A$42),_xlfn.XMATCH(YEAR(Base!K233),Ratings!$B$1:$M$1))</f>
        <v>C</v>
      </c>
      <c r="Z233">
        <f t="shared" si="60"/>
        <v>0</v>
      </c>
      <c r="AA233">
        <f>IFERROR(IFERROR(IFERROR(INDEX('EMBI+'!$B:$B,MATCH(Base!$K233,'EMBI+'!$A:$A,0)),INDEX('EMBI+'!$B:$B,MATCH(Base!$K233+1,'EMBI+'!$A:$A,0))),INDEX('EMBI+'!$B:$B,MATCH(Base!$K233+2,'EMBI+'!$A:$A,0))),INDEX('EMBI+'!$B:$B,MATCH(Base!$K233+3,'EMBI+'!$A:$A,0)))/100</f>
        <v>3.32</v>
      </c>
      <c r="AB233" s="9">
        <v>6.9713599999999998</v>
      </c>
      <c r="AC233" s="9">
        <f t="shared" si="66"/>
        <v>18.86561</v>
      </c>
      <c r="AD233" s="9"/>
      <c r="AE233" s="9"/>
      <c r="AF233" s="2"/>
      <c r="AG233" s="2"/>
    </row>
    <row r="234" spans="1:33" x14ac:dyDescent="0.35">
      <c r="A234">
        <f t="shared" si="57"/>
        <v>232</v>
      </c>
      <c r="B234">
        <f>IF(G234="Bonds",COUNTIF($G$3:G234,"Bonds"),0)</f>
        <v>0</v>
      </c>
      <c r="C234" t="str">
        <f t="shared" si="61"/>
        <v>InterCement4399046546</v>
      </c>
      <c r="D234">
        <f t="shared" si="62"/>
        <v>20</v>
      </c>
      <c r="E234" s="9" t="s">
        <v>301</v>
      </c>
      <c r="F234" s="9" t="s">
        <v>279</v>
      </c>
      <c r="G234" s="9" t="s">
        <v>29</v>
      </c>
      <c r="H234">
        <f t="shared" si="52"/>
        <v>0</v>
      </c>
      <c r="I234" s="9" t="s">
        <v>309</v>
      </c>
      <c r="J234" s="1">
        <f t="shared" si="53"/>
        <v>29</v>
      </c>
      <c r="K234" s="2">
        <v>43990</v>
      </c>
      <c r="L234" s="2">
        <v>46546</v>
      </c>
      <c r="M234" s="10">
        <f t="shared" si="54"/>
        <v>7.0027397260273974</v>
      </c>
      <c r="N234" s="11">
        <f t="shared" si="55"/>
        <v>1</v>
      </c>
      <c r="O234" s="9" t="s">
        <v>47</v>
      </c>
      <c r="P234" t="str">
        <f t="shared" si="58"/>
        <v>0</v>
      </c>
      <c r="Q234" s="12">
        <v>389266</v>
      </c>
      <c r="R234" s="9">
        <v>1000</v>
      </c>
      <c r="S234" s="1" t="str">
        <f>IF($V234="USD",INDEX('Dólar Spot'!$B:$B,MATCH(Base!$K234,'Dólar Spot'!$A:$A,0)),"")</f>
        <v/>
      </c>
      <c r="T234" s="11">
        <f t="shared" si="63"/>
        <v>389266000</v>
      </c>
      <c r="U234" s="13">
        <f t="shared" si="56"/>
        <v>3.8926599999999998</v>
      </c>
      <c r="V234" s="9" t="s">
        <v>44</v>
      </c>
      <c r="W234" s="9" t="s">
        <v>34</v>
      </c>
      <c r="X234">
        <f t="shared" si="59"/>
        <v>1</v>
      </c>
      <c r="Y234" s="1" t="str" cm="1">
        <f t="array" ref="Y234">INDEX(Ratings!$B$2:$M$42,_xlfn.XMATCH(Base!F234,Ratings!$A$2:$A$42),_xlfn.XMATCH(YEAR(Base!K234),Ratings!$B$1:$M$1))</f>
        <v>C</v>
      </c>
      <c r="Z234">
        <f t="shared" si="60"/>
        <v>0</v>
      </c>
      <c r="AA234">
        <f>IFERROR(IFERROR(IFERROR(INDEX('EMBI+'!$B:$B,MATCH(Base!$K234,'EMBI+'!$A:$A,0)),INDEX('EMBI+'!$B:$B,MATCH(Base!$K234+1,'EMBI+'!$A:$A,0))),INDEX('EMBI+'!$B:$B,MATCH(Base!$K234+2,'EMBI+'!$A:$A,0))),INDEX('EMBI+'!$B:$B,MATCH(Base!$K234+3,'EMBI+'!$A:$A,0)))/100</f>
        <v>3.32</v>
      </c>
      <c r="AB234" s="9">
        <v>6.9713599999999998</v>
      </c>
      <c r="AC234" s="9">
        <f t="shared" si="66"/>
        <v>18.86561</v>
      </c>
      <c r="AD234" s="9"/>
      <c r="AE234" s="9"/>
      <c r="AF234" s="2"/>
      <c r="AG234" s="2"/>
    </row>
    <row r="235" spans="1:33" x14ac:dyDescent="0.35">
      <c r="A235">
        <f t="shared" si="57"/>
        <v>233</v>
      </c>
      <c r="B235">
        <f>IF(G235="Bonds",COUNTIF($G$3:G235,"Bonds"),0)</f>
        <v>0</v>
      </c>
      <c r="C235" t="str">
        <f t="shared" si="61"/>
        <v>InterCement4399046546</v>
      </c>
      <c r="D235">
        <f t="shared" si="62"/>
        <v>20</v>
      </c>
      <c r="E235" s="9" t="s">
        <v>301</v>
      </c>
      <c r="F235" s="9" t="s">
        <v>279</v>
      </c>
      <c r="G235" s="9" t="s">
        <v>29</v>
      </c>
      <c r="H235">
        <f t="shared" si="52"/>
        <v>0</v>
      </c>
      <c r="I235" s="9" t="s">
        <v>310</v>
      </c>
      <c r="J235" s="1">
        <f t="shared" si="53"/>
        <v>30</v>
      </c>
      <c r="K235" s="2">
        <v>43990</v>
      </c>
      <c r="L235" s="2">
        <v>46546</v>
      </c>
      <c r="M235" s="10">
        <f t="shared" si="54"/>
        <v>7.0027397260273974</v>
      </c>
      <c r="N235" s="11">
        <f t="shared" si="55"/>
        <v>1</v>
      </c>
      <c r="O235" s="9" t="s">
        <v>47</v>
      </c>
      <c r="P235" t="str">
        <f t="shared" si="58"/>
        <v>0</v>
      </c>
      <c r="Q235" s="12">
        <v>389266</v>
      </c>
      <c r="R235" s="9">
        <v>1000</v>
      </c>
      <c r="S235" s="1" t="str">
        <f>IF($V235="USD",INDEX('Dólar Spot'!$B:$B,MATCH(Base!$K235,'Dólar Spot'!$A:$A,0)),"")</f>
        <v/>
      </c>
      <c r="T235" s="11">
        <f t="shared" si="63"/>
        <v>389266000</v>
      </c>
      <c r="U235" s="13">
        <f t="shared" si="56"/>
        <v>3.8926599999999998</v>
      </c>
      <c r="V235" s="9" t="s">
        <v>44</v>
      </c>
      <c r="W235" s="9" t="s">
        <v>34</v>
      </c>
      <c r="X235">
        <f t="shared" si="59"/>
        <v>1</v>
      </c>
      <c r="Y235" s="1" t="str" cm="1">
        <f t="array" ref="Y235">INDEX(Ratings!$B$2:$M$42,_xlfn.XMATCH(Base!F235,Ratings!$A$2:$A$42),_xlfn.XMATCH(YEAR(Base!K235),Ratings!$B$1:$M$1))</f>
        <v>C</v>
      </c>
      <c r="Z235">
        <f t="shared" si="60"/>
        <v>0</v>
      </c>
      <c r="AA235">
        <f>IFERROR(IFERROR(IFERROR(INDEX('EMBI+'!$B:$B,MATCH(Base!$K235,'EMBI+'!$A:$A,0)),INDEX('EMBI+'!$B:$B,MATCH(Base!$K235+1,'EMBI+'!$A:$A,0))),INDEX('EMBI+'!$B:$B,MATCH(Base!$K235+2,'EMBI+'!$A:$A,0))),INDEX('EMBI+'!$B:$B,MATCH(Base!$K235+3,'EMBI+'!$A:$A,0)))/100</f>
        <v>3.32</v>
      </c>
      <c r="AB235" s="9">
        <v>6.9713599999999998</v>
      </c>
      <c r="AC235" s="9">
        <f t="shared" si="66"/>
        <v>18.86561</v>
      </c>
      <c r="AD235" s="9"/>
      <c r="AE235" s="9"/>
      <c r="AF235" s="2"/>
      <c r="AG235" s="2"/>
    </row>
    <row r="236" spans="1:33" x14ac:dyDescent="0.35">
      <c r="A236">
        <f t="shared" si="57"/>
        <v>234</v>
      </c>
      <c r="B236">
        <f>IF(G236="Bonds",COUNTIF($G$3:G236,"Bonds"),0)</f>
        <v>68</v>
      </c>
      <c r="C236" t="str">
        <f t="shared" si="61"/>
        <v>InterCement4183717/07/2024</v>
      </c>
      <c r="D236">
        <f t="shared" si="62"/>
        <v>20</v>
      </c>
      <c r="E236" s="9" t="s">
        <v>311</v>
      </c>
      <c r="F236" s="9" t="s">
        <v>279</v>
      </c>
      <c r="G236" s="9" t="s">
        <v>37</v>
      </c>
      <c r="H236">
        <f t="shared" si="52"/>
        <v>1</v>
      </c>
      <c r="I236" s="9"/>
      <c r="J236" s="1">
        <f t="shared" si="53"/>
        <v>31</v>
      </c>
      <c r="K236" s="2">
        <v>41837</v>
      </c>
      <c r="L236" s="2" t="s">
        <v>312</v>
      </c>
      <c r="M236" s="10">
        <f t="shared" si="54"/>
        <v>10.008219178082191</v>
      </c>
      <c r="N236" s="11">
        <f t="shared" si="55"/>
        <v>1</v>
      </c>
      <c r="O236" s="9" t="s">
        <v>39</v>
      </c>
      <c r="P236" t="str">
        <f t="shared" si="58"/>
        <v>0</v>
      </c>
      <c r="Q236" s="9"/>
      <c r="R236" s="9"/>
      <c r="S236" s="1">
        <f>IF($V236="USD",INDEX('Dólar Spot'!$B:$B,MATCH(Base!$K236,'Dólar Spot'!$A:$A,0)),"")</f>
        <v>2.2397</v>
      </c>
      <c r="T236" s="12">
        <v>750000000</v>
      </c>
      <c r="U236" s="13">
        <f t="shared" si="56"/>
        <v>16.797750000000001</v>
      </c>
      <c r="V236" s="9" t="s">
        <v>40</v>
      </c>
      <c r="W236" s="9" t="s">
        <v>34</v>
      </c>
      <c r="X236">
        <f t="shared" si="59"/>
        <v>1</v>
      </c>
      <c r="Y236" s="1" t="str" cm="1">
        <f t="array" ref="Y236">INDEX(Ratings!$B$2:$M$42,_xlfn.XMATCH(Base!F236,Ratings!$A$2:$A$42),_xlfn.XMATCH(YEAR(Base!K236),Ratings!$B$1:$M$1))</f>
        <v>BB</v>
      </c>
      <c r="Z236">
        <f t="shared" si="60"/>
        <v>0</v>
      </c>
      <c r="AA236">
        <f>IFERROR(IFERROR(IFERROR(INDEX('EMBI+'!$B:$B,MATCH(Base!$K236,'EMBI+'!$A:$A,0)),INDEX('EMBI+'!$B:$B,MATCH(Base!$K236+1,'EMBI+'!$A:$A,0))),INDEX('EMBI+'!$B:$B,MATCH(Base!$K236+2,'EMBI+'!$A:$A,0))),INDEX('EMBI+'!$B:$B,MATCH(Base!$K236+3,'EMBI+'!$A:$A,0)))/100</f>
        <v>2.19</v>
      </c>
      <c r="AB236" s="9">
        <v>20.271000000000001</v>
      </c>
      <c r="AC236" s="9">
        <f>2.762+9.135</f>
        <v>11.897</v>
      </c>
      <c r="AD236" s="9"/>
      <c r="AE236" s="9"/>
      <c r="AF236" s="2"/>
      <c r="AG236" s="2"/>
    </row>
    <row r="237" spans="1:33" x14ac:dyDescent="0.35">
      <c r="A237">
        <f t="shared" si="57"/>
        <v>235</v>
      </c>
      <c r="B237">
        <f>IF(G237="Bonds",COUNTIF($G$3:G237,"Bonds"),0)</f>
        <v>0</v>
      </c>
      <c r="C237" t="str">
        <f t="shared" si="61"/>
        <v>Iochpe-Maxion4372445551</v>
      </c>
      <c r="D237">
        <f t="shared" si="62"/>
        <v>21</v>
      </c>
      <c r="E237" s="9" t="s">
        <v>313</v>
      </c>
      <c r="F237" s="9" t="s">
        <v>314</v>
      </c>
      <c r="G237" s="9" t="s">
        <v>29</v>
      </c>
      <c r="H237">
        <f t="shared" si="52"/>
        <v>0</v>
      </c>
      <c r="I237" s="9" t="s">
        <v>315</v>
      </c>
      <c r="J237" s="1">
        <f t="shared" si="53"/>
        <v>1</v>
      </c>
      <c r="K237" s="2">
        <v>43724</v>
      </c>
      <c r="L237" s="2">
        <v>45551</v>
      </c>
      <c r="M237" s="10">
        <f t="shared" si="54"/>
        <v>5.0054794520547947</v>
      </c>
      <c r="N237" s="11">
        <f t="shared" si="55"/>
        <v>1</v>
      </c>
      <c r="O237" s="9" t="s">
        <v>47</v>
      </c>
      <c r="P237" t="str">
        <f t="shared" si="58"/>
        <v>0</v>
      </c>
      <c r="Q237" s="12">
        <v>350000</v>
      </c>
      <c r="R237" s="9">
        <v>1000</v>
      </c>
      <c r="S237" s="1" t="str">
        <f>IF($V237="USD",INDEX('Dólar Spot'!$B:$B,MATCH(Base!$K237,'Dólar Spot'!$A:$A,0)),"")</f>
        <v/>
      </c>
      <c r="T237" s="11">
        <f t="shared" ref="T237:T245" si="67">Q237*R237</f>
        <v>350000000</v>
      </c>
      <c r="U237" s="13">
        <f t="shared" si="56"/>
        <v>3.5</v>
      </c>
      <c r="V237" s="9" t="s">
        <v>44</v>
      </c>
      <c r="W237" s="9" t="s">
        <v>34</v>
      </c>
      <c r="X237">
        <f t="shared" si="59"/>
        <v>1</v>
      </c>
      <c r="Y237" s="1" t="str" cm="1">
        <f t="array" ref="Y237">INDEX(Ratings!$B$2:$M$42,_xlfn.XMATCH(Base!F237,Ratings!$A$2:$A$42),_xlfn.XMATCH(YEAR(Base!K237),Ratings!$B$1:$M$1))</f>
        <v>NR</v>
      </c>
      <c r="Z237">
        <f t="shared" si="60"/>
        <v>0</v>
      </c>
      <c r="AA237">
        <f>IFERROR(IFERROR(IFERROR(INDEX('EMBI+'!$B:$B,MATCH(Base!$K237,'EMBI+'!$A:$A,0)),INDEX('EMBI+'!$B:$B,MATCH(Base!$K237+1,'EMBI+'!$A:$A,0))),INDEX('EMBI+'!$B:$B,MATCH(Base!$K237+2,'EMBI+'!$A:$A,0))),INDEX('EMBI+'!$B:$B,MATCH(Base!$K237+3,'EMBI+'!$A:$A,0)))/100</f>
        <v>2.2400000000000002</v>
      </c>
      <c r="AB237" s="9">
        <v>33.796129999999998</v>
      </c>
      <c r="AC237" s="9">
        <v>33.594839999999998</v>
      </c>
      <c r="AD237" s="9"/>
      <c r="AE237" s="9"/>
      <c r="AF237" s="2"/>
      <c r="AG237" s="2"/>
    </row>
    <row r="238" spans="1:33" x14ac:dyDescent="0.35">
      <c r="A238">
        <f t="shared" si="57"/>
        <v>236</v>
      </c>
      <c r="B238">
        <f>IF(G238="Bonds",COUNTIF($G$3:G238,"Bonds"),0)</f>
        <v>0</v>
      </c>
      <c r="C238" t="str">
        <f t="shared" si="61"/>
        <v>Iochpe-Maxion4134844635</v>
      </c>
      <c r="D238">
        <f t="shared" si="62"/>
        <v>21</v>
      </c>
      <c r="E238" s="9" t="s">
        <v>313</v>
      </c>
      <c r="F238" s="9" t="s">
        <v>314</v>
      </c>
      <c r="G238" s="9" t="s">
        <v>29</v>
      </c>
      <c r="H238">
        <f t="shared" si="52"/>
        <v>0</v>
      </c>
      <c r="I238" s="9" t="s">
        <v>316</v>
      </c>
      <c r="J238" s="1">
        <f t="shared" si="53"/>
        <v>2</v>
      </c>
      <c r="K238" s="2">
        <v>41348</v>
      </c>
      <c r="L238" s="2">
        <v>44635</v>
      </c>
      <c r="M238" s="10">
        <f t="shared" si="54"/>
        <v>9.0054794520547947</v>
      </c>
      <c r="N238" s="11">
        <f t="shared" si="55"/>
        <v>1</v>
      </c>
      <c r="O238" s="9" t="s">
        <v>31</v>
      </c>
      <c r="P238" t="str">
        <f t="shared" si="58"/>
        <v>1</v>
      </c>
      <c r="Q238" s="12">
        <v>124000</v>
      </c>
      <c r="R238" s="9">
        <v>10000</v>
      </c>
      <c r="S238" s="1" t="str">
        <f>IF($V238="USD",INDEX('Dólar Spot'!$B:$B,MATCH(Base!$K238,'Dólar Spot'!$A:$A,0)),"")</f>
        <v/>
      </c>
      <c r="T238" s="11">
        <f t="shared" si="67"/>
        <v>1240000000</v>
      </c>
      <c r="U238" s="13">
        <f t="shared" si="56"/>
        <v>12.4</v>
      </c>
      <c r="V238" s="9" t="s">
        <v>44</v>
      </c>
      <c r="W238" s="9" t="s">
        <v>34</v>
      </c>
      <c r="X238">
        <f t="shared" si="59"/>
        <v>1</v>
      </c>
      <c r="Y238" s="1" t="str" cm="1">
        <f t="array" ref="Y238">INDEX(Ratings!$B$2:$M$42,_xlfn.XMATCH(Base!F238,Ratings!$A$2:$A$42),_xlfn.XMATCH(YEAR(Base!K238),Ratings!$B$1:$M$1))</f>
        <v>NR</v>
      </c>
      <c r="Z238">
        <f t="shared" si="60"/>
        <v>0</v>
      </c>
      <c r="AA238">
        <f>IFERROR(IFERROR(IFERROR(INDEX('EMBI+'!$B:$B,MATCH(Base!$K238,'EMBI+'!$A:$A,0)),INDEX('EMBI+'!$B:$B,MATCH(Base!$K238+1,'EMBI+'!$A:$A,0))),INDEX('EMBI+'!$B:$B,MATCH(Base!$K238+2,'EMBI+'!$A:$A,0))),INDEX('EMBI+'!$B:$B,MATCH(Base!$K238+3,'EMBI+'!$A:$A,0)))/100</f>
        <v>1.79</v>
      </c>
      <c r="AB238" s="9">
        <v>8.9976900000000004</v>
      </c>
      <c r="AC238" s="9">
        <v>26.314589999999999</v>
      </c>
      <c r="AD238" s="9"/>
      <c r="AE238" s="9"/>
      <c r="AF238" s="2"/>
      <c r="AG238" s="2"/>
    </row>
    <row r="239" spans="1:33" x14ac:dyDescent="0.35">
      <c r="A239">
        <f t="shared" si="57"/>
        <v>237</v>
      </c>
      <c r="B239">
        <f>IF(G239="Bonds",COUNTIF($G$3:G239,"Bonds"),0)</f>
        <v>0</v>
      </c>
      <c r="C239" t="str">
        <f t="shared" si="61"/>
        <v>Iochpe-Maxion4173043556</v>
      </c>
      <c r="D239">
        <f t="shared" si="62"/>
        <v>21</v>
      </c>
      <c r="E239" s="9" t="s">
        <v>313</v>
      </c>
      <c r="F239" s="9" t="s">
        <v>314</v>
      </c>
      <c r="G239" s="9" t="s">
        <v>29</v>
      </c>
      <c r="H239">
        <f t="shared" si="52"/>
        <v>0</v>
      </c>
      <c r="I239" s="9" t="s">
        <v>317</v>
      </c>
      <c r="J239" s="1">
        <f t="shared" si="53"/>
        <v>3</v>
      </c>
      <c r="K239" s="2">
        <v>41730</v>
      </c>
      <c r="L239" s="2">
        <v>43556</v>
      </c>
      <c r="M239" s="10">
        <f t="shared" si="54"/>
        <v>5.0027397260273974</v>
      </c>
      <c r="N239" s="11">
        <f t="shared" si="55"/>
        <v>1</v>
      </c>
      <c r="O239" s="9" t="s">
        <v>47</v>
      </c>
      <c r="P239" t="str">
        <f t="shared" si="58"/>
        <v>0</v>
      </c>
      <c r="Q239" s="12">
        <v>397732</v>
      </c>
      <c r="R239" s="9">
        <v>1000</v>
      </c>
      <c r="S239" s="1" t="str">
        <f>IF($V239="USD",INDEX('Dólar Spot'!$B:$B,MATCH(Base!$K239,'Dólar Spot'!$A:$A,0)),"")</f>
        <v/>
      </c>
      <c r="T239" s="11">
        <f t="shared" si="67"/>
        <v>397732000</v>
      </c>
      <c r="U239" s="13">
        <f t="shared" si="56"/>
        <v>3.9773200000000002</v>
      </c>
      <c r="V239" s="9" t="s">
        <v>44</v>
      </c>
      <c r="W239" s="9" t="s">
        <v>34</v>
      </c>
      <c r="X239">
        <f t="shared" si="59"/>
        <v>1</v>
      </c>
      <c r="Y239" s="1" t="str" cm="1">
        <f t="array" ref="Y239">INDEX(Ratings!$B$2:$M$42,_xlfn.XMATCH(Base!F239,Ratings!$A$2:$A$42),_xlfn.XMATCH(YEAR(Base!K239),Ratings!$B$1:$M$1))</f>
        <v>NR</v>
      </c>
      <c r="Z239">
        <f t="shared" si="60"/>
        <v>0</v>
      </c>
      <c r="AA239">
        <f>IFERROR(IFERROR(IFERROR(INDEX('EMBI+'!$B:$B,MATCH(Base!$K239,'EMBI+'!$A:$A,0)),INDEX('EMBI+'!$B:$B,MATCH(Base!$K239+1,'EMBI+'!$A:$A,0))),INDEX('EMBI+'!$B:$B,MATCH(Base!$K239+2,'EMBI+'!$A:$A,0))),INDEX('EMBI+'!$B:$B,MATCH(Base!$K239+3,'EMBI+'!$A:$A,0)))/100</f>
        <v>2.2200000000000002</v>
      </c>
      <c r="AB239" s="9">
        <v>11.77253</v>
      </c>
      <c r="AC239" s="9">
        <v>27.527470000000001</v>
      </c>
      <c r="AD239" s="9"/>
      <c r="AE239" s="9"/>
      <c r="AF239" s="2"/>
      <c r="AG239" s="2"/>
    </row>
    <row r="240" spans="1:33" x14ac:dyDescent="0.35">
      <c r="A240">
        <f t="shared" si="57"/>
        <v>238</v>
      </c>
      <c r="B240">
        <f>IF(G240="Bonds",COUNTIF($G$3:G240,"Bonds"),0)</f>
        <v>0</v>
      </c>
      <c r="C240" t="str">
        <f t="shared" si="61"/>
        <v>Iochpe-Maxion4318545011</v>
      </c>
      <c r="D240">
        <f t="shared" si="62"/>
        <v>21</v>
      </c>
      <c r="E240" s="9" t="s">
        <v>313</v>
      </c>
      <c r="F240" s="9" t="s">
        <v>314</v>
      </c>
      <c r="G240" s="9" t="s">
        <v>29</v>
      </c>
      <c r="H240">
        <f t="shared" si="52"/>
        <v>0</v>
      </c>
      <c r="I240" s="9" t="s">
        <v>318</v>
      </c>
      <c r="J240" s="1">
        <f t="shared" si="53"/>
        <v>4</v>
      </c>
      <c r="K240" s="2">
        <v>43185</v>
      </c>
      <c r="L240" s="2">
        <v>45011</v>
      </c>
      <c r="M240" s="10">
        <f t="shared" si="54"/>
        <v>5.0027397260273974</v>
      </c>
      <c r="N240" s="11">
        <f t="shared" si="55"/>
        <v>1</v>
      </c>
      <c r="O240" s="9" t="s">
        <v>47</v>
      </c>
      <c r="P240" t="str">
        <f t="shared" si="58"/>
        <v>0</v>
      </c>
      <c r="Q240" s="12">
        <v>450000</v>
      </c>
      <c r="R240" s="9">
        <v>1000</v>
      </c>
      <c r="S240" s="1" t="str">
        <f>IF($V240="USD",INDEX('Dólar Spot'!$B:$B,MATCH(Base!$K240,'Dólar Spot'!$A:$A,0)),"")</f>
        <v/>
      </c>
      <c r="T240" s="11">
        <f t="shared" si="67"/>
        <v>450000000</v>
      </c>
      <c r="U240" s="13">
        <f t="shared" si="56"/>
        <v>4.5</v>
      </c>
      <c r="V240" s="9" t="s">
        <v>44</v>
      </c>
      <c r="W240" s="9" t="s">
        <v>34</v>
      </c>
      <c r="X240">
        <f t="shared" si="59"/>
        <v>1</v>
      </c>
      <c r="Y240" s="1" t="str" cm="1">
        <f t="array" ref="Y240">INDEX(Ratings!$B$2:$M$42,_xlfn.XMATCH(Base!F240,Ratings!$A$2:$A$42),_xlfn.XMATCH(YEAR(Base!K240),Ratings!$B$1:$M$1))</f>
        <v>NR</v>
      </c>
      <c r="Z240">
        <f t="shared" si="60"/>
        <v>0</v>
      </c>
      <c r="AA240">
        <f>IFERROR(IFERROR(IFERROR(INDEX('EMBI+'!$B:$B,MATCH(Base!$K240,'EMBI+'!$A:$A,0)),INDEX('EMBI+'!$B:$B,MATCH(Base!$K240+1,'EMBI+'!$A:$A,0))),INDEX('EMBI+'!$B:$B,MATCH(Base!$K240+2,'EMBI+'!$A:$A,0))),INDEX('EMBI+'!$B:$B,MATCH(Base!$K240+3,'EMBI+'!$A:$A,0)))/100</f>
        <v>2.48</v>
      </c>
      <c r="AB240" s="9">
        <v>25.995629999999998</v>
      </c>
      <c r="AC240" s="9">
        <v>30.515930000000001</v>
      </c>
      <c r="AD240" s="9"/>
      <c r="AE240" s="9"/>
      <c r="AF240" s="2"/>
      <c r="AG240" s="2"/>
    </row>
    <row r="241" spans="1:33" x14ac:dyDescent="0.35">
      <c r="A241">
        <f t="shared" si="57"/>
        <v>239</v>
      </c>
      <c r="B241">
        <f>IF(G241="Bonds",COUNTIF($G$3:G241,"Bonds"),0)</f>
        <v>0</v>
      </c>
      <c r="C241" t="str">
        <f t="shared" si="61"/>
        <v>Iochpe-Maxion4350745333</v>
      </c>
      <c r="D241">
        <f t="shared" si="62"/>
        <v>21</v>
      </c>
      <c r="E241" s="9" t="s">
        <v>313</v>
      </c>
      <c r="F241" s="9" t="s">
        <v>314</v>
      </c>
      <c r="G241" s="9" t="s">
        <v>29</v>
      </c>
      <c r="H241">
        <f t="shared" si="52"/>
        <v>0</v>
      </c>
      <c r="I241" s="9" t="s">
        <v>319</v>
      </c>
      <c r="J241" s="1">
        <f t="shared" si="53"/>
        <v>5</v>
      </c>
      <c r="K241" s="2">
        <v>43507</v>
      </c>
      <c r="L241" s="2">
        <v>45333</v>
      </c>
      <c r="M241" s="10">
        <f t="shared" si="54"/>
        <v>5.0027397260273974</v>
      </c>
      <c r="N241" s="11">
        <f t="shared" si="55"/>
        <v>1</v>
      </c>
      <c r="O241" s="9" t="s">
        <v>47</v>
      </c>
      <c r="P241" t="str">
        <f t="shared" si="58"/>
        <v>0</v>
      </c>
      <c r="Q241" s="12">
        <v>338800</v>
      </c>
      <c r="R241" s="9">
        <v>1000</v>
      </c>
      <c r="S241" s="1" t="str">
        <f>IF($V241="USD",INDEX('Dólar Spot'!$B:$B,MATCH(Base!$K241,'Dólar Spot'!$A:$A,0)),"")</f>
        <v/>
      </c>
      <c r="T241" s="11">
        <f t="shared" si="67"/>
        <v>338800000</v>
      </c>
      <c r="U241" s="13">
        <f t="shared" si="56"/>
        <v>3.3879999999999999</v>
      </c>
      <c r="V241" s="9" t="s">
        <v>44</v>
      </c>
      <c r="W241" s="9" t="s">
        <v>34</v>
      </c>
      <c r="X241">
        <f t="shared" si="59"/>
        <v>1</v>
      </c>
      <c r="Y241" s="1" t="str" cm="1">
        <f t="array" ref="Y241">INDEX(Ratings!$B$2:$M$42,_xlfn.XMATCH(Base!F241,Ratings!$A$2:$A$42),_xlfn.XMATCH(YEAR(Base!K241),Ratings!$B$1:$M$1))</f>
        <v>NR</v>
      </c>
      <c r="Z241">
        <f t="shared" si="60"/>
        <v>0</v>
      </c>
      <c r="AA241">
        <f>IFERROR(IFERROR(IFERROR(INDEX('EMBI+'!$B:$B,MATCH(Base!$K241,'EMBI+'!$A:$A,0)),INDEX('EMBI+'!$B:$B,MATCH(Base!$K241+1,'EMBI+'!$A:$A,0))),INDEX('EMBI+'!$B:$B,MATCH(Base!$K241+2,'EMBI+'!$A:$A,0))),INDEX('EMBI+'!$B:$B,MATCH(Base!$K241+3,'EMBI+'!$A:$A,0)))/100</f>
        <v>2.5</v>
      </c>
      <c r="AB241" s="9">
        <v>29.2195</v>
      </c>
      <c r="AC241" s="9">
        <v>28.137049999999999</v>
      </c>
      <c r="AD241" s="9"/>
      <c r="AE241" s="9"/>
      <c r="AF241" s="2"/>
      <c r="AG241" s="2"/>
    </row>
    <row r="242" spans="1:33" x14ac:dyDescent="0.35">
      <c r="A242">
        <f t="shared" si="57"/>
        <v>240</v>
      </c>
      <c r="B242">
        <f>IF(G242="Bonds",COUNTIF($G$3:G242,"Bonds"),0)</f>
        <v>0</v>
      </c>
      <c r="C242" t="str">
        <f t="shared" si="61"/>
        <v>Iochpe-Maxion4173043556</v>
      </c>
      <c r="D242">
        <f t="shared" si="62"/>
        <v>21</v>
      </c>
      <c r="E242" s="9" t="s">
        <v>313</v>
      </c>
      <c r="F242" s="9" t="s">
        <v>314</v>
      </c>
      <c r="G242" s="9" t="s">
        <v>29</v>
      </c>
      <c r="H242">
        <f t="shared" si="52"/>
        <v>0</v>
      </c>
      <c r="I242" s="9" t="s">
        <v>320</v>
      </c>
      <c r="J242" s="1">
        <f t="shared" si="53"/>
        <v>6</v>
      </c>
      <c r="K242" s="2">
        <v>41730</v>
      </c>
      <c r="L242" s="2">
        <v>43556</v>
      </c>
      <c r="M242" s="10">
        <f t="shared" si="54"/>
        <v>5.0027397260273974</v>
      </c>
      <c r="N242" s="11">
        <f t="shared" si="55"/>
        <v>1</v>
      </c>
      <c r="O242" s="9" t="s">
        <v>47</v>
      </c>
      <c r="P242" t="str">
        <f t="shared" si="58"/>
        <v>0</v>
      </c>
      <c r="Q242" s="12">
        <v>250000</v>
      </c>
      <c r="R242" s="9">
        <v>1000</v>
      </c>
      <c r="S242" s="1" t="str">
        <f>IF($V242="USD",INDEX('Dólar Spot'!$B:$B,MATCH(Base!$K242,'Dólar Spot'!$A:$A,0)),"")</f>
        <v/>
      </c>
      <c r="T242" s="11">
        <f t="shared" si="67"/>
        <v>250000000</v>
      </c>
      <c r="U242" s="13">
        <f t="shared" si="56"/>
        <v>2.5</v>
      </c>
      <c r="V242" s="9" t="s">
        <v>44</v>
      </c>
      <c r="W242" s="9" t="s">
        <v>34</v>
      </c>
      <c r="X242">
        <f t="shared" si="59"/>
        <v>1</v>
      </c>
      <c r="Y242" s="1" t="str" cm="1">
        <f t="array" ref="Y242">INDEX(Ratings!$B$2:$M$42,_xlfn.XMATCH(Base!F242,Ratings!$A$2:$A$42),_xlfn.XMATCH(YEAR(Base!K242),Ratings!$B$1:$M$1))</f>
        <v>NR</v>
      </c>
      <c r="Z242">
        <f t="shared" si="60"/>
        <v>0</v>
      </c>
      <c r="AA242">
        <f>IFERROR(IFERROR(IFERROR(INDEX('EMBI+'!$B:$B,MATCH(Base!$K242,'EMBI+'!$A:$A,0)),INDEX('EMBI+'!$B:$B,MATCH(Base!$K242+1,'EMBI+'!$A:$A,0))),INDEX('EMBI+'!$B:$B,MATCH(Base!$K242+2,'EMBI+'!$A:$A,0))),INDEX('EMBI+'!$B:$B,MATCH(Base!$K242+3,'EMBI+'!$A:$A,0)))/100</f>
        <v>2.2200000000000002</v>
      </c>
      <c r="AB242" s="9">
        <v>11.77253</v>
      </c>
      <c r="AC242" s="9">
        <v>27.527470000000001</v>
      </c>
      <c r="AD242" s="9"/>
      <c r="AE242" s="9"/>
      <c r="AF242" s="2"/>
      <c r="AG242" s="2"/>
    </row>
    <row r="243" spans="1:33" x14ac:dyDescent="0.35">
      <c r="A243">
        <f t="shared" si="57"/>
        <v>241</v>
      </c>
      <c r="B243">
        <f>IF(G243="Bonds",COUNTIF($G$3:G243,"Bonds"),0)</f>
        <v>0</v>
      </c>
      <c r="C243" t="str">
        <f t="shared" si="61"/>
        <v>Iochpe-Maxion4350746064</v>
      </c>
      <c r="D243">
        <f t="shared" si="62"/>
        <v>21</v>
      </c>
      <c r="E243" s="9" t="s">
        <v>313</v>
      </c>
      <c r="F243" s="9" t="s">
        <v>314</v>
      </c>
      <c r="G243" s="9" t="s">
        <v>29</v>
      </c>
      <c r="H243">
        <f t="shared" si="52"/>
        <v>0</v>
      </c>
      <c r="I243" s="9" t="s">
        <v>321</v>
      </c>
      <c r="J243" s="1">
        <f t="shared" si="53"/>
        <v>7</v>
      </c>
      <c r="K243" s="2">
        <v>43507</v>
      </c>
      <c r="L243" s="2">
        <v>46064</v>
      </c>
      <c r="M243" s="10">
        <f t="shared" si="54"/>
        <v>7.0054794520547947</v>
      </c>
      <c r="N243" s="11">
        <f t="shared" si="55"/>
        <v>1</v>
      </c>
      <c r="O243" s="9" t="s">
        <v>47</v>
      </c>
      <c r="P243" t="str">
        <f t="shared" si="58"/>
        <v>0</v>
      </c>
      <c r="Q243" s="12">
        <v>111200</v>
      </c>
      <c r="R243" s="9">
        <v>1000</v>
      </c>
      <c r="S243" s="1" t="str">
        <f>IF($V243="USD",INDEX('Dólar Spot'!$B:$B,MATCH(Base!$K243,'Dólar Spot'!$A:$A,0)),"")</f>
        <v/>
      </c>
      <c r="T243" s="11">
        <f t="shared" si="67"/>
        <v>111200000</v>
      </c>
      <c r="U243" s="13">
        <f t="shared" si="56"/>
        <v>1.1120000000000001</v>
      </c>
      <c r="V243" s="9" t="s">
        <v>44</v>
      </c>
      <c r="W243" s="9" t="s">
        <v>34</v>
      </c>
      <c r="X243">
        <f t="shared" si="59"/>
        <v>1</v>
      </c>
      <c r="Y243" s="1" t="str" cm="1">
        <f t="array" ref="Y243">INDEX(Ratings!$B$2:$M$42,_xlfn.XMATCH(Base!F243,Ratings!$A$2:$A$42),_xlfn.XMATCH(YEAR(Base!K243),Ratings!$B$1:$M$1))</f>
        <v>NR</v>
      </c>
      <c r="Z243">
        <f t="shared" si="60"/>
        <v>0</v>
      </c>
      <c r="AA243">
        <f>IFERROR(IFERROR(IFERROR(INDEX('EMBI+'!$B:$B,MATCH(Base!$K243,'EMBI+'!$A:$A,0)),INDEX('EMBI+'!$B:$B,MATCH(Base!$K243+1,'EMBI+'!$A:$A,0))),INDEX('EMBI+'!$B:$B,MATCH(Base!$K243+2,'EMBI+'!$A:$A,0))),INDEX('EMBI+'!$B:$B,MATCH(Base!$K243+3,'EMBI+'!$A:$A,0)))/100</f>
        <v>2.5</v>
      </c>
      <c r="AB243" s="9">
        <v>29.2195</v>
      </c>
      <c r="AC243" s="9">
        <v>28.137049999999999</v>
      </c>
      <c r="AD243" s="9"/>
      <c r="AE243" s="9"/>
      <c r="AF243" s="2"/>
      <c r="AG243" s="2"/>
    </row>
    <row r="244" spans="1:33" x14ac:dyDescent="0.35">
      <c r="A244">
        <f t="shared" si="57"/>
        <v>242</v>
      </c>
      <c r="B244">
        <f>IF(G244="Bonds",COUNTIF($G$3:G244,"Bonds"),0)</f>
        <v>0</v>
      </c>
      <c r="C244" t="str">
        <f t="shared" si="61"/>
        <v>Iochpe-Maxion4466645762</v>
      </c>
      <c r="D244">
        <f t="shared" si="62"/>
        <v>21</v>
      </c>
      <c r="E244" s="9" t="s">
        <v>313</v>
      </c>
      <c r="F244" s="9" t="s">
        <v>314</v>
      </c>
      <c r="G244" s="9" t="s">
        <v>29</v>
      </c>
      <c r="H244">
        <f t="shared" si="52"/>
        <v>0</v>
      </c>
      <c r="I244" s="9"/>
      <c r="J244" s="1">
        <f t="shared" si="53"/>
        <v>8</v>
      </c>
      <c r="K244" s="2">
        <v>44666</v>
      </c>
      <c r="L244" s="2">
        <v>45762</v>
      </c>
      <c r="M244" s="10">
        <f t="shared" si="54"/>
        <v>3.0027397260273974</v>
      </c>
      <c r="N244" s="11">
        <f t="shared" si="55"/>
        <v>0</v>
      </c>
      <c r="O244" s="9" t="s">
        <v>47</v>
      </c>
      <c r="P244" t="str">
        <f t="shared" si="58"/>
        <v>0</v>
      </c>
      <c r="Q244" s="12">
        <v>350000</v>
      </c>
      <c r="R244" s="9">
        <v>1000</v>
      </c>
      <c r="S244" s="1" t="str">
        <f>IF($V244="USD",INDEX('Dólar Spot'!$B:$B,MATCH(Base!$K244,'Dólar Spot'!$A:$A,0)),"")</f>
        <v/>
      </c>
      <c r="T244" s="11">
        <f t="shared" si="67"/>
        <v>350000000</v>
      </c>
      <c r="U244" s="13">
        <f t="shared" si="56"/>
        <v>3.5</v>
      </c>
      <c r="V244" s="9" t="s">
        <v>44</v>
      </c>
      <c r="W244" s="9" t="s">
        <v>34</v>
      </c>
      <c r="X244">
        <f t="shared" si="59"/>
        <v>1</v>
      </c>
      <c r="Y244" s="1" t="str" cm="1">
        <f t="array" ref="Y244">INDEX(Ratings!$B$2:$M$42,_xlfn.XMATCH(Base!F244,Ratings!$A$2:$A$42),_xlfn.XMATCH(YEAR(Base!K244),Ratings!$B$1:$M$1))</f>
        <v>BB-</v>
      </c>
      <c r="Z244">
        <f t="shared" si="60"/>
        <v>0</v>
      </c>
      <c r="AA244">
        <f>IFERROR(IFERROR(IFERROR(INDEX('EMBI+'!$B:$B,MATCH(Base!$K244,'EMBI+'!$A:$A,0)),INDEX('EMBI+'!$B:$B,MATCH(Base!$K244+1,'EMBI+'!$A:$A,0))),INDEX('EMBI+'!$B:$B,MATCH(Base!$K244+2,'EMBI+'!$A:$A,0))),INDEX('EMBI+'!$B:$B,MATCH(Base!$K244+3,'EMBI+'!$A:$A,0)))/100</f>
        <v>2.84</v>
      </c>
      <c r="AB244" s="9">
        <v>35.976739999999999</v>
      </c>
      <c r="AC244" s="9">
        <v>56.886249999999997</v>
      </c>
      <c r="AD244" s="9"/>
      <c r="AE244" s="9"/>
      <c r="AF244" s="2"/>
      <c r="AG244" s="2"/>
    </row>
    <row r="245" spans="1:33" x14ac:dyDescent="0.35">
      <c r="A245">
        <f t="shared" si="57"/>
        <v>243</v>
      </c>
      <c r="B245">
        <f>IF(G245="Bonds",COUNTIF($G$3:G245,"Bonds"),0)</f>
        <v>0</v>
      </c>
      <c r="C245" t="str">
        <f t="shared" si="61"/>
        <v>Iochpe-Maxion4466646492</v>
      </c>
      <c r="D245">
        <f t="shared" si="62"/>
        <v>21</v>
      </c>
      <c r="E245" s="9" t="s">
        <v>313</v>
      </c>
      <c r="F245" s="9" t="s">
        <v>314</v>
      </c>
      <c r="G245" s="9" t="s">
        <v>29</v>
      </c>
      <c r="H245">
        <f t="shared" si="52"/>
        <v>0</v>
      </c>
      <c r="I245" s="9"/>
      <c r="J245" s="1">
        <f t="shared" si="53"/>
        <v>9</v>
      </c>
      <c r="K245" s="2">
        <v>44666</v>
      </c>
      <c r="L245" s="2">
        <v>46492</v>
      </c>
      <c r="M245" s="10">
        <f t="shared" si="54"/>
        <v>5.0027397260273974</v>
      </c>
      <c r="N245" s="11">
        <f t="shared" si="55"/>
        <v>1</v>
      </c>
      <c r="O245" s="9" t="s">
        <v>47</v>
      </c>
      <c r="P245" t="str">
        <f t="shared" si="58"/>
        <v>0</v>
      </c>
      <c r="Q245" s="12">
        <v>400000</v>
      </c>
      <c r="R245" s="9">
        <v>1000</v>
      </c>
      <c r="S245" s="1" t="str">
        <f>IF($V245="USD",INDEX('Dólar Spot'!$B:$B,MATCH(Base!$K245,'Dólar Spot'!$A:$A,0)),"")</f>
        <v/>
      </c>
      <c r="T245" s="11">
        <f t="shared" si="67"/>
        <v>400000000</v>
      </c>
      <c r="U245" s="13">
        <f t="shared" si="56"/>
        <v>4</v>
      </c>
      <c r="V245" s="9" t="s">
        <v>44</v>
      </c>
      <c r="W245" s="9" t="s">
        <v>34</v>
      </c>
      <c r="X245">
        <f t="shared" si="59"/>
        <v>1</v>
      </c>
      <c r="Y245" s="1" t="str" cm="1">
        <f t="array" ref="Y245">INDEX(Ratings!$B$2:$M$42,_xlfn.XMATCH(Base!F245,Ratings!$A$2:$A$42),_xlfn.XMATCH(YEAR(Base!K245),Ratings!$B$1:$M$1))</f>
        <v>BB-</v>
      </c>
      <c r="Z245">
        <f t="shared" si="60"/>
        <v>0</v>
      </c>
      <c r="AA245">
        <f>IFERROR(IFERROR(IFERROR(INDEX('EMBI+'!$B:$B,MATCH(Base!$K245,'EMBI+'!$A:$A,0)),INDEX('EMBI+'!$B:$B,MATCH(Base!$K245+1,'EMBI+'!$A:$A,0))),INDEX('EMBI+'!$B:$B,MATCH(Base!$K245+2,'EMBI+'!$A:$A,0))),INDEX('EMBI+'!$B:$B,MATCH(Base!$K245+3,'EMBI+'!$A:$A,0)))/100</f>
        <v>2.84</v>
      </c>
      <c r="AB245" s="9">
        <v>35.976739999999999</v>
      </c>
      <c r="AC245" s="9">
        <v>56.886249999999997</v>
      </c>
      <c r="AD245" s="9"/>
      <c r="AE245" s="9"/>
      <c r="AF245" s="2"/>
      <c r="AG245" s="2"/>
    </row>
    <row r="246" spans="1:33" x14ac:dyDescent="0.35">
      <c r="A246">
        <f t="shared" si="57"/>
        <v>244</v>
      </c>
      <c r="B246">
        <f>IF(G246="Bonds",COUNTIF($G$3:G246,"Bonds"),0)</f>
        <v>69</v>
      </c>
      <c r="C246" t="str">
        <f t="shared" si="61"/>
        <v>Iochpe-Maxion4432307/05/2028</v>
      </c>
      <c r="D246">
        <f t="shared" si="62"/>
        <v>21</v>
      </c>
      <c r="E246" s="9" t="s">
        <v>322</v>
      </c>
      <c r="F246" s="9" t="s">
        <v>314</v>
      </c>
      <c r="G246" s="9" t="s">
        <v>37</v>
      </c>
      <c r="H246">
        <f t="shared" si="52"/>
        <v>1</v>
      </c>
      <c r="I246" s="9"/>
      <c r="J246" s="1">
        <f t="shared" si="53"/>
        <v>10</v>
      </c>
      <c r="K246" s="2">
        <v>44323</v>
      </c>
      <c r="L246" s="2" t="s">
        <v>323</v>
      </c>
      <c r="M246" s="10">
        <f t="shared" si="54"/>
        <v>7.0054794520547947</v>
      </c>
      <c r="N246" s="11">
        <f t="shared" si="55"/>
        <v>1</v>
      </c>
      <c r="O246" s="9" t="s">
        <v>39</v>
      </c>
      <c r="P246" t="str">
        <f t="shared" si="58"/>
        <v>0</v>
      </c>
      <c r="Q246" s="9"/>
      <c r="R246" s="9"/>
      <c r="S246" s="1">
        <f>IF($V246="USD",INDEX('Dólar Spot'!$B:$B,MATCH(Base!$K246,'Dólar Spot'!$A:$A,0)),"")</f>
        <v>5.2210999999999999</v>
      </c>
      <c r="T246" s="12">
        <v>400000000</v>
      </c>
      <c r="U246" s="13">
        <f t="shared" si="56"/>
        <v>20.884399999999999</v>
      </c>
      <c r="V246" s="9" t="s">
        <v>40</v>
      </c>
      <c r="W246" s="9" t="s">
        <v>34</v>
      </c>
      <c r="X246">
        <f t="shared" si="59"/>
        <v>1</v>
      </c>
      <c r="Y246" s="1" t="str" cm="1">
        <f t="array" ref="Y246">INDEX(Ratings!$B$2:$M$42,_xlfn.XMATCH(Base!F246,Ratings!$A$2:$A$42),_xlfn.XMATCH(YEAR(Base!K246),Ratings!$B$1:$M$1))</f>
        <v>BB-</v>
      </c>
      <c r="Z246">
        <f t="shared" si="60"/>
        <v>0</v>
      </c>
      <c r="AA246">
        <f>IFERROR(IFERROR(IFERROR(INDEX('EMBI+'!$B:$B,MATCH(Base!$K246,'EMBI+'!$A:$A,0)),INDEX('EMBI+'!$B:$B,MATCH(Base!$K246+1,'EMBI+'!$A:$A,0))),INDEX('EMBI+'!$B:$B,MATCH(Base!$K246+2,'EMBI+'!$A:$A,0))),INDEX('EMBI+'!$B:$B,MATCH(Base!$K246+3,'EMBI+'!$A:$A,0)))/100</f>
        <v>2.61</v>
      </c>
      <c r="AB246" s="9">
        <v>38.385390000000001</v>
      </c>
      <c r="AC246" s="9">
        <v>55.662019999999998</v>
      </c>
      <c r="AD246" s="9"/>
      <c r="AE246" s="9"/>
      <c r="AF246" s="2"/>
      <c r="AG246" s="2"/>
    </row>
    <row r="247" spans="1:33" x14ac:dyDescent="0.35">
      <c r="A247">
        <f t="shared" si="57"/>
        <v>245</v>
      </c>
      <c r="B247">
        <f>IF(G247="Bonds",COUNTIF($G$3:G247,"Bonds"),0)</f>
        <v>0</v>
      </c>
      <c r="C247" t="str">
        <f t="shared" si="61"/>
        <v>Klabin4354347196</v>
      </c>
      <c r="D247">
        <f t="shared" si="62"/>
        <v>22</v>
      </c>
      <c r="E247" s="9" t="s">
        <v>324</v>
      </c>
      <c r="F247" s="9" t="s">
        <v>325</v>
      </c>
      <c r="G247" s="9" t="s">
        <v>29</v>
      </c>
      <c r="H247">
        <f t="shared" si="52"/>
        <v>0</v>
      </c>
      <c r="I247" s="9" t="s">
        <v>326</v>
      </c>
      <c r="J247" s="1">
        <f t="shared" si="53"/>
        <v>1</v>
      </c>
      <c r="K247" s="2">
        <v>43543</v>
      </c>
      <c r="L247" s="2">
        <v>47196</v>
      </c>
      <c r="M247" s="10">
        <f t="shared" si="54"/>
        <v>10.008219178082191</v>
      </c>
      <c r="N247" s="11">
        <f t="shared" si="55"/>
        <v>1</v>
      </c>
      <c r="O247" s="9" t="s">
        <v>47</v>
      </c>
      <c r="P247" t="str">
        <f t="shared" si="58"/>
        <v>0</v>
      </c>
      <c r="Q247" s="12">
        <v>100000</v>
      </c>
      <c r="R247" s="9">
        <v>10000</v>
      </c>
      <c r="S247" s="1" t="str">
        <f>IF($V247="USD",INDEX('Dólar Spot'!$B:$B,MATCH(Base!$K247,'Dólar Spot'!$A:$A,0)),"")</f>
        <v/>
      </c>
      <c r="T247" s="11">
        <f>Q247*R247</f>
        <v>1000000000</v>
      </c>
      <c r="U247" s="13">
        <f t="shared" si="56"/>
        <v>10</v>
      </c>
      <c r="V247" s="9" t="s">
        <v>44</v>
      </c>
      <c r="W247" s="9" t="s">
        <v>34</v>
      </c>
      <c r="X247">
        <f t="shared" si="59"/>
        <v>1</v>
      </c>
      <c r="Y247" s="1" t="str" cm="1">
        <f t="array" ref="Y247">INDEX(Ratings!$B$2:$M$42,_xlfn.XMATCH(Base!F247,Ratings!$A$2:$A$42),_xlfn.XMATCH(YEAR(Base!K247),Ratings!$B$1:$M$1))</f>
        <v>BB+</v>
      </c>
      <c r="Z247">
        <f t="shared" si="60"/>
        <v>0</v>
      </c>
      <c r="AA247">
        <f>IFERROR(IFERROR(IFERROR(INDEX('EMBI+'!$B:$B,MATCH(Base!$K247,'EMBI+'!$A:$A,0)),INDEX('EMBI+'!$B:$B,MATCH(Base!$K247+1,'EMBI+'!$A:$A,0))),INDEX('EMBI+'!$B:$B,MATCH(Base!$K247+2,'EMBI+'!$A:$A,0))),INDEX('EMBI+'!$B:$B,MATCH(Base!$K247+3,'EMBI+'!$A:$A,0)))/100</f>
        <v>2.4</v>
      </c>
      <c r="AB247" s="9">
        <v>60.890630000000002</v>
      </c>
      <c r="AC247" s="9">
        <v>202.13876999999999</v>
      </c>
      <c r="AD247" s="9"/>
      <c r="AE247" s="9"/>
      <c r="AF247" s="2"/>
      <c r="AG247" s="2"/>
    </row>
    <row r="248" spans="1:33" x14ac:dyDescent="0.35">
      <c r="A248">
        <f t="shared" si="57"/>
        <v>246</v>
      </c>
      <c r="B248">
        <f>IF(G248="Bonds",COUNTIF($G$3:G248,"Bonds"),0)</f>
        <v>70</v>
      </c>
      <c r="C248" t="str">
        <f t="shared" si="61"/>
        <v>Klabin4355803/04/2049</v>
      </c>
      <c r="D248">
        <f t="shared" si="62"/>
        <v>22</v>
      </c>
      <c r="E248" s="9" t="s">
        <v>327</v>
      </c>
      <c r="F248" s="9" t="s">
        <v>325</v>
      </c>
      <c r="G248" s="9" t="s">
        <v>37</v>
      </c>
      <c r="H248">
        <f t="shared" si="52"/>
        <v>1</v>
      </c>
      <c r="I248" s="9"/>
      <c r="J248" s="1">
        <f t="shared" si="53"/>
        <v>2</v>
      </c>
      <c r="K248" s="2">
        <v>43558</v>
      </c>
      <c r="L248" s="2" t="s">
        <v>328</v>
      </c>
      <c r="M248" s="10">
        <f t="shared" si="54"/>
        <v>30.021917808219179</v>
      </c>
      <c r="N248" s="11">
        <f t="shared" si="55"/>
        <v>1</v>
      </c>
      <c r="O248" s="9" t="s">
        <v>39</v>
      </c>
      <c r="P248" t="str">
        <f t="shared" si="58"/>
        <v>0</v>
      </c>
      <c r="Q248" s="9"/>
      <c r="R248" s="9"/>
      <c r="S248" s="1">
        <f>IF($V248="USD",INDEX('Dólar Spot'!$B:$B,MATCH(Base!$K248,'Dólar Spot'!$A:$A,0)),"")</f>
        <v>3.843</v>
      </c>
      <c r="T248" s="12">
        <v>500000000</v>
      </c>
      <c r="U248" s="13">
        <f t="shared" si="56"/>
        <v>19.215</v>
      </c>
      <c r="V248" s="9" t="s">
        <v>40</v>
      </c>
      <c r="W248" s="9" t="s">
        <v>34</v>
      </c>
      <c r="X248">
        <f t="shared" si="59"/>
        <v>1</v>
      </c>
      <c r="Y248" s="1" t="str" cm="1">
        <f t="array" ref="Y248">INDEX(Ratings!$B$2:$M$42,_xlfn.XMATCH(Base!F248,Ratings!$A$2:$A$42),_xlfn.XMATCH(YEAR(Base!K248),Ratings!$B$1:$M$1))</f>
        <v>BB+</v>
      </c>
      <c r="Z248">
        <f t="shared" si="60"/>
        <v>0</v>
      </c>
      <c r="AA248">
        <f>IFERROR(IFERROR(IFERROR(INDEX('EMBI+'!$B:$B,MATCH(Base!$K248,'EMBI+'!$A:$A,0)),INDEX('EMBI+'!$B:$B,MATCH(Base!$K248+1,'EMBI+'!$A:$A,0))),INDEX('EMBI+'!$B:$B,MATCH(Base!$K248+2,'EMBI+'!$A:$A,0))),INDEX('EMBI+'!$B:$B,MATCH(Base!$K248+3,'EMBI+'!$A:$A,0)))/100</f>
        <v>2.4900000000000002</v>
      </c>
      <c r="AB248" s="9">
        <v>60.890630000000002</v>
      </c>
      <c r="AC248" s="9">
        <v>202.13876999999999</v>
      </c>
      <c r="AD248" s="9"/>
      <c r="AE248" s="9"/>
      <c r="AF248" s="2"/>
      <c r="AG248" s="2"/>
    </row>
    <row r="249" spans="1:33" x14ac:dyDescent="0.35">
      <c r="A249">
        <f t="shared" si="57"/>
        <v>247</v>
      </c>
      <c r="B249">
        <f>IF(G249="Bonds",COUNTIF($G$3:G249,"Bonds"),0)</f>
        <v>71</v>
      </c>
      <c r="C249" t="str">
        <f t="shared" si="61"/>
        <v>Klabin4355803/04/2029</v>
      </c>
      <c r="D249">
        <f t="shared" si="62"/>
        <v>22</v>
      </c>
      <c r="E249" s="9" t="s">
        <v>327</v>
      </c>
      <c r="F249" s="9" t="s">
        <v>325</v>
      </c>
      <c r="G249" s="9" t="s">
        <v>37</v>
      </c>
      <c r="H249">
        <f t="shared" si="52"/>
        <v>1</v>
      </c>
      <c r="I249" s="9"/>
      <c r="J249" s="1">
        <f t="shared" si="53"/>
        <v>3</v>
      </c>
      <c r="K249" s="2">
        <v>43558</v>
      </c>
      <c r="L249" s="2" t="s">
        <v>329</v>
      </c>
      <c r="M249" s="10">
        <f t="shared" si="54"/>
        <v>10.008219178082191</v>
      </c>
      <c r="N249" s="11">
        <f t="shared" si="55"/>
        <v>1</v>
      </c>
      <c r="O249" s="9" t="s">
        <v>39</v>
      </c>
      <c r="P249" t="str">
        <f t="shared" si="58"/>
        <v>0</v>
      </c>
      <c r="Q249" s="9"/>
      <c r="R249" s="9"/>
      <c r="S249" s="1">
        <f>IF($V249="USD",INDEX('Dólar Spot'!$B:$B,MATCH(Base!$K249,'Dólar Spot'!$A:$A,0)),"")</f>
        <v>3.843</v>
      </c>
      <c r="T249" s="12">
        <v>500000000</v>
      </c>
      <c r="U249" s="13">
        <f t="shared" si="56"/>
        <v>19.215</v>
      </c>
      <c r="V249" s="9" t="s">
        <v>40</v>
      </c>
      <c r="W249" s="9" t="s">
        <v>34</v>
      </c>
      <c r="X249">
        <f t="shared" si="59"/>
        <v>1</v>
      </c>
      <c r="Y249" s="1" t="str" cm="1">
        <f t="array" ref="Y249">INDEX(Ratings!$B$2:$M$42,_xlfn.XMATCH(Base!F249,Ratings!$A$2:$A$42),_xlfn.XMATCH(YEAR(Base!K249),Ratings!$B$1:$M$1))</f>
        <v>BB+</v>
      </c>
      <c r="Z249">
        <f t="shared" si="60"/>
        <v>0</v>
      </c>
      <c r="AA249">
        <f>IFERROR(IFERROR(IFERROR(INDEX('EMBI+'!$B:$B,MATCH(Base!$K249,'EMBI+'!$A:$A,0)),INDEX('EMBI+'!$B:$B,MATCH(Base!$K249+1,'EMBI+'!$A:$A,0))),INDEX('EMBI+'!$B:$B,MATCH(Base!$K249+2,'EMBI+'!$A:$A,0))),INDEX('EMBI+'!$B:$B,MATCH(Base!$K249+3,'EMBI+'!$A:$A,0)))/100</f>
        <v>2.4900000000000002</v>
      </c>
      <c r="AB249" s="9">
        <v>60.890630000000002</v>
      </c>
      <c r="AC249" s="9">
        <v>202.13876999999999</v>
      </c>
      <c r="AD249" s="9"/>
      <c r="AE249" s="9"/>
      <c r="AF249" s="2"/>
      <c r="AG249" s="2"/>
    </row>
    <row r="250" spans="1:33" x14ac:dyDescent="0.35">
      <c r="A250">
        <f t="shared" si="57"/>
        <v>248</v>
      </c>
      <c r="B250">
        <f>IF(G250="Bonds",COUNTIF($G$3:G250,"Bonds"),0)</f>
        <v>72</v>
      </c>
      <c r="C250" t="str">
        <f t="shared" si="61"/>
        <v>Klabin4420812/01/2031</v>
      </c>
      <c r="D250">
        <f t="shared" si="62"/>
        <v>22</v>
      </c>
      <c r="E250" s="9" t="s">
        <v>327</v>
      </c>
      <c r="F250" s="9" t="s">
        <v>325</v>
      </c>
      <c r="G250" s="9" t="s">
        <v>37</v>
      </c>
      <c r="H250">
        <f t="shared" si="52"/>
        <v>1</v>
      </c>
      <c r="I250" s="9"/>
      <c r="J250" s="1">
        <f t="shared" si="53"/>
        <v>4</v>
      </c>
      <c r="K250" s="2">
        <v>44208</v>
      </c>
      <c r="L250" s="2" t="s">
        <v>330</v>
      </c>
      <c r="M250" s="10">
        <f t="shared" si="54"/>
        <v>10.005479452054795</v>
      </c>
      <c r="N250" s="11">
        <f t="shared" si="55"/>
        <v>1</v>
      </c>
      <c r="O250" s="9" t="s">
        <v>39</v>
      </c>
      <c r="P250" t="str">
        <f t="shared" si="58"/>
        <v>0</v>
      </c>
      <c r="Q250" s="9"/>
      <c r="R250" s="9"/>
      <c r="S250" s="1">
        <f>IF($V250="USD",INDEX('Dólar Spot'!$B:$B,MATCH(Base!$K250,'Dólar Spot'!$A:$A,0)),"")</f>
        <v>5.4630999999999998</v>
      </c>
      <c r="T250" s="12">
        <v>500000000</v>
      </c>
      <c r="U250" s="13">
        <f t="shared" si="56"/>
        <v>27.3155</v>
      </c>
      <c r="V250" s="9" t="s">
        <v>40</v>
      </c>
      <c r="W250" s="9" t="s">
        <v>34</v>
      </c>
      <c r="X250">
        <f t="shared" si="59"/>
        <v>1</v>
      </c>
      <c r="Y250" s="1" t="str" cm="1">
        <f t="array" ref="Y250">INDEX(Ratings!$B$2:$M$42,_xlfn.XMATCH(Base!F250,Ratings!$A$2:$A$42),_xlfn.XMATCH(YEAR(Base!K250),Ratings!$B$1:$M$1))</f>
        <v>BB+</v>
      </c>
      <c r="Z250">
        <f t="shared" si="60"/>
        <v>0</v>
      </c>
      <c r="AA250">
        <f>IFERROR(IFERROR(IFERROR(INDEX('EMBI+'!$B:$B,MATCH(Base!$K250,'EMBI+'!$A:$A,0)),INDEX('EMBI+'!$B:$B,MATCH(Base!$K250+1,'EMBI+'!$A:$A,0))),INDEX('EMBI+'!$B:$B,MATCH(Base!$K250+2,'EMBI+'!$A:$A,0))),INDEX('EMBI+'!$B:$B,MATCH(Base!$K250+3,'EMBI+'!$A:$A,0)))/100</f>
        <v>2.73</v>
      </c>
      <c r="AB250" s="9">
        <v>38.103050000000003</v>
      </c>
      <c r="AC250" s="9">
        <v>263.38990000000001</v>
      </c>
      <c r="AD250" s="9"/>
      <c r="AE250" s="9"/>
      <c r="AF250" s="2"/>
      <c r="AG250" s="2"/>
    </row>
    <row r="251" spans="1:33" x14ac:dyDescent="0.35">
      <c r="A251">
        <f t="shared" si="57"/>
        <v>249</v>
      </c>
      <c r="B251">
        <f>IF(G251="Bonds",COUNTIF($G$3:G251,"Bonds"),0)</f>
        <v>73</v>
      </c>
      <c r="C251" t="str">
        <f t="shared" si="61"/>
        <v>Klabin4299719/09/2027</v>
      </c>
      <c r="D251">
        <f t="shared" si="62"/>
        <v>22</v>
      </c>
      <c r="E251" s="9" t="s">
        <v>327</v>
      </c>
      <c r="F251" s="9" t="s">
        <v>325</v>
      </c>
      <c r="G251" s="9" t="s">
        <v>37</v>
      </c>
      <c r="H251">
        <f t="shared" si="52"/>
        <v>1</v>
      </c>
      <c r="I251" s="9"/>
      <c r="J251" s="1">
        <f t="shared" si="53"/>
        <v>5</v>
      </c>
      <c r="K251" s="2">
        <v>42997</v>
      </c>
      <c r="L251" s="2" t="s">
        <v>331</v>
      </c>
      <c r="M251" s="10">
        <f t="shared" si="54"/>
        <v>10.005479452054795</v>
      </c>
      <c r="N251" s="11">
        <f t="shared" si="55"/>
        <v>1</v>
      </c>
      <c r="O251" s="9" t="s">
        <v>39</v>
      </c>
      <c r="P251" t="str">
        <f t="shared" si="58"/>
        <v>0</v>
      </c>
      <c r="Q251" s="9"/>
      <c r="R251" s="9"/>
      <c r="S251" s="1">
        <f>IF($V251="USD",INDEX('Dólar Spot'!$B:$B,MATCH(Base!$K251,'Dólar Spot'!$A:$A,0)),"")</f>
        <v>3.1316999999999999</v>
      </c>
      <c r="T251" s="12">
        <v>500000000</v>
      </c>
      <c r="U251" s="13">
        <f t="shared" si="56"/>
        <v>15.6585</v>
      </c>
      <c r="V251" s="9" t="s">
        <v>40</v>
      </c>
      <c r="W251" s="9" t="s">
        <v>35</v>
      </c>
      <c r="X251">
        <f t="shared" si="59"/>
        <v>0</v>
      </c>
      <c r="Y251" s="1" t="str" cm="1">
        <f t="array" ref="Y251">INDEX(Ratings!$B$2:$M$42,_xlfn.XMATCH(Base!F251,Ratings!$A$2:$A$42),_xlfn.XMATCH(YEAR(Base!K251),Ratings!$B$1:$M$1))</f>
        <v>BB+</v>
      </c>
      <c r="Z251">
        <f t="shared" si="60"/>
        <v>0</v>
      </c>
      <c r="AA251">
        <f>IFERROR(IFERROR(IFERROR(INDEX('EMBI+'!$B:$B,MATCH(Base!$K251,'EMBI+'!$A:$A,0)),INDEX('EMBI+'!$B:$B,MATCH(Base!$K251+1,'EMBI+'!$A:$A,0))),INDEX('EMBI+'!$B:$B,MATCH(Base!$K251+2,'EMBI+'!$A:$A,0))),INDEX('EMBI+'!$B:$B,MATCH(Base!$K251+3,'EMBI+'!$A:$A,0)))/100</f>
        <v>2.52</v>
      </c>
      <c r="AB251" s="9">
        <v>74.973979999999997</v>
      </c>
      <c r="AC251" s="9">
        <v>188.47942</v>
      </c>
      <c r="AD251" s="9"/>
      <c r="AE251" s="9"/>
      <c r="AF251" s="2"/>
      <c r="AG251" s="2"/>
    </row>
    <row r="252" spans="1:33" x14ac:dyDescent="0.35">
      <c r="A252">
        <f t="shared" si="57"/>
        <v>250</v>
      </c>
      <c r="B252">
        <f>IF(G252="Bonds",COUNTIF($G$3:G252,"Bonds"),0)</f>
        <v>74</v>
      </c>
      <c r="C252" t="str">
        <f t="shared" si="61"/>
        <v>Klabin4183616/07/2024</v>
      </c>
      <c r="D252">
        <f t="shared" si="62"/>
        <v>22</v>
      </c>
      <c r="E252" s="9" t="s">
        <v>327</v>
      </c>
      <c r="F252" s="9" t="s">
        <v>325</v>
      </c>
      <c r="G252" s="9" t="s">
        <v>37</v>
      </c>
      <c r="H252">
        <f t="shared" si="52"/>
        <v>1</v>
      </c>
      <c r="I252" s="9"/>
      <c r="J252" s="1">
        <f t="shared" si="53"/>
        <v>6</v>
      </c>
      <c r="K252" s="2">
        <v>41836</v>
      </c>
      <c r="L252" s="2" t="s">
        <v>332</v>
      </c>
      <c r="M252" s="10">
        <f t="shared" si="54"/>
        <v>10.008219178082191</v>
      </c>
      <c r="N252" s="11">
        <f t="shared" si="55"/>
        <v>1</v>
      </c>
      <c r="O252" s="9" t="s">
        <v>39</v>
      </c>
      <c r="P252" t="str">
        <f t="shared" si="58"/>
        <v>0</v>
      </c>
      <c r="Q252" s="9"/>
      <c r="R252" s="9"/>
      <c r="S252" s="1">
        <f>IF($V252="USD",INDEX('Dólar Spot'!$B:$B,MATCH(Base!$K252,'Dólar Spot'!$A:$A,0)),"")</f>
        <v>2.2187000000000001</v>
      </c>
      <c r="T252" s="12">
        <v>500000000</v>
      </c>
      <c r="U252" s="13">
        <f t="shared" si="56"/>
        <v>11.093500000000001</v>
      </c>
      <c r="V252" s="9" t="s">
        <v>40</v>
      </c>
      <c r="W252" s="9" t="s">
        <v>35</v>
      </c>
      <c r="X252">
        <f t="shared" si="59"/>
        <v>0</v>
      </c>
      <c r="Y252" s="1" t="str" cm="1">
        <f t="array" ref="Y252">INDEX(Ratings!$B$2:$M$42,_xlfn.XMATCH(Base!F252,Ratings!$A$2:$A$42),_xlfn.XMATCH(YEAR(Base!K252),Ratings!$B$1:$M$1))</f>
        <v>BBB-</v>
      </c>
      <c r="Z252">
        <f t="shared" si="60"/>
        <v>1</v>
      </c>
      <c r="AA252">
        <f>IFERROR(IFERROR(IFERROR(INDEX('EMBI+'!$B:$B,MATCH(Base!$K252,'EMBI+'!$A:$A,0)),INDEX('EMBI+'!$B:$B,MATCH(Base!$K252+1,'EMBI+'!$A:$A,0))),INDEX('EMBI+'!$B:$B,MATCH(Base!$K252+2,'EMBI+'!$A:$A,0))),INDEX('EMBI+'!$B:$B,MATCH(Base!$K252+3,'EMBI+'!$A:$A,0)))/100</f>
        <v>2.14</v>
      </c>
      <c r="AB252" s="9">
        <v>74.347560000000001</v>
      </c>
      <c r="AC252" s="9">
        <v>83.464349999999996</v>
      </c>
      <c r="AD252" s="9"/>
      <c r="AE252" s="9"/>
      <c r="AF252" s="2"/>
      <c r="AG252" s="2"/>
    </row>
    <row r="253" spans="1:33" x14ac:dyDescent="0.35">
      <c r="A253">
        <f t="shared" si="57"/>
        <v>251</v>
      </c>
      <c r="B253">
        <f>IF(G253="Bonds",COUNTIF($G$3:G253,"Bonds"),0)</f>
        <v>75</v>
      </c>
      <c r="C253" t="str">
        <f t="shared" si="61"/>
        <v>Klabin4385103/04/2049</v>
      </c>
      <c r="D253">
        <f t="shared" si="62"/>
        <v>22</v>
      </c>
      <c r="E253" s="9" t="s">
        <v>327</v>
      </c>
      <c r="F253" s="9" t="s">
        <v>325</v>
      </c>
      <c r="G253" s="9" t="s">
        <v>37</v>
      </c>
      <c r="H253">
        <f t="shared" si="52"/>
        <v>1</v>
      </c>
      <c r="I253" s="9"/>
      <c r="J253" s="1">
        <f t="shared" si="53"/>
        <v>7</v>
      </c>
      <c r="K253" s="2">
        <v>43851</v>
      </c>
      <c r="L253" s="2" t="s">
        <v>328</v>
      </c>
      <c r="M253" s="10">
        <f t="shared" si="54"/>
        <v>29.219178082191782</v>
      </c>
      <c r="N253" s="11">
        <f t="shared" si="55"/>
        <v>1</v>
      </c>
      <c r="O253" s="9" t="s">
        <v>39</v>
      </c>
      <c r="P253" t="str">
        <f t="shared" si="58"/>
        <v>0</v>
      </c>
      <c r="Q253" s="9"/>
      <c r="R253" s="9"/>
      <c r="S253" s="1">
        <f>IF($V253="USD",INDEX('Dólar Spot'!$B:$B,MATCH(Base!$K253,'Dólar Spot'!$A:$A,0)),"")</f>
        <v>4.2008000000000001</v>
      </c>
      <c r="T253" s="12">
        <v>200000000</v>
      </c>
      <c r="U253" s="13">
        <f t="shared" si="56"/>
        <v>8.4016000000000002</v>
      </c>
      <c r="V253" s="9" t="s">
        <v>40</v>
      </c>
      <c r="W253" s="9" t="s">
        <v>34</v>
      </c>
      <c r="X253">
        <f t="shared" si="59"/>
        <v>1</v>
      </c>
      <c r="Y253" s="1" t="str" cm="1">
        <f t="array" ref="Y253">INDEX(Ratings!$B$2:$M$42,_xlfn.XMATCH(Base!F253,Ratings!$A$2:$A$42),_xlfn.XMATCH(YEAR(Base!K253),Ratings!$B$1:$M$1))</f>
        <v>BB+</v>
      </c>
      <c r="Z253">
        <f t="shared" si="60"/>
        <v>0</v>
      </c>
      <c r="AA253">
        <f>IFERROR(IFERROR(IFERROR(INDEX('EMBI+'!$B:$B,MATCH(Base!$K253,'EMBI+'!$A:$A,0)),INDEX('EMBI+'!$B:$B,MATCH(Base!$K253+1,'EMBI+'!$A:$A,0))),INDEX('EMBI+'!$B:$B,MATCH(Base!$K253+2,'EMBI+'!$A:$A,0))),INDEX('EMBI+'!$B:$B,MATCH(Base!$K253+3,'EMBI+'!$A:$A,0)))/100</f>
        <v>2.14</v>
      </c>
      <c r="AB253" s="9">
        <v>60.468820000000001</v>
      </c>
      <c r="AC253" s="9">
        <v>240.85272000000001</v>
      </c>
      <c r="AD253" s="9"/>
      <c r="AE253" s="9"/>
      <c r="AF253" s="2"/>
      <c r="AG253" s="2"/>
    </row>
    <row r="254" spans="1:33" x14ac:dyDescent="0.35">
      <c r="A254">
        <f t="shared" si="57"/>
        <v>252</v>
      </c>
      <c r="B254">
        <f>IF(G254="Bonds",COUNTIF($G$3:G254,"Bonds"),0)</f>
        <v>76</v>
      </c>
      <c r="C254" t="str">
        <f t="shared" si="61"/>
        <v>Klabin4365703/04/2029</v>
      </c>
      <c r="D254">
        <f t="shared" si="62"/>
        <v>22</v>
      </c>
      <c r="E254" s="9" t="s">
        <v>327</v>
      </c>
      <c r="F254" s="9" t="s">
        <v>325</v>
      </c>
      <c r="G254" s="9" t="s">
        <v>37</v>
      </c>
      <c r="H254">
        <f t="shared" si="52"/>
        <v>1</v>
      </c>
      <c r="I254" s="9"/>
      <c r="J254" s="1">
        <f t="shared" si="53"/>
        <v>8</v>
      </c>
      <c r="K254" s="2">
        <v>43657</v>
      </c>
      <c r="L254" s="2" t="s">
        <v>329</v>
      </c>
      <c r="M254" s="10">
        <f t="shared" si="54"/>
        <v>9.7369863013698623</v>
      </c>
      <c r="N254" s="11">
        <f t="shared" si="55"/>
        <v>1</v>
      </c>
      <c r="O254" s="9" t="s">
        <v>39</v>
      </c>
      <c r="P254" t="str">
        <f t="shared" si="58"/>
        <v>0</v>
      </c>
      <c r="Q254" s="9"/>
      <c r="R254" s="9"/>
      <c r="S254" s="1">
        <f>IF($V254="USD",INDEX('Dólar Spot'!$B:$B,MATCH(Base!$K254,'Dólar Spot'!$A:$A,0)),"")</f>
        <v>3.7526999999999999</v>
      </c>
      <c r="T254" s="12">
        <v>250000000</v>
      </c>
      <c r="U254" s="13">
        <f t="shared" si="56"/>
        <v>9.3817500000000003</v>
      </c>
      <c r="V254" s="9" t="s">
        <v>40</v>
      </c>
      <c r="W254" s="9" t="s">
        <v>34</v>
      </c>
      <c r="X254">
        <f t="shared" si="59"/>
        <v>1</v>
      </c>
      <c r="Y254" s="1" t="str" cm="1">
        <f t="array" ref="Y254">INDEX(Ratings!$B$2:$M$42,_xlfn.XMATCH(Base!F254,Ratings!$A$2:$A$42),_xlfn.XMATCH(YEAR(Base!K254),Ratings!$B$1:$M$1))</f>
        <v>BB+</v>
      </c>
      <c r="Z254">
        <f t="shared" si="60"/>
        <v>0</v>
      </c>
      <c r="AA254">
        <f>IFERROR(IFERROR(IFERROR(INDEX('EMBI+'!$B:$B,MATCH(Base!$K254,'EMBI+'!$A:$A,0)),INDEX('EMBI+'!$B:$B,MATCH(Base!$K254+1,'EMBI+'!$A:$A,0))),INDEX('EMBI+'!$B:$B,MATCH(Base!$K254+2,'EMBI+'!$A:$A,0))),INDEX('EMBI+'!$B:$B,MATCH(Base!$K254+3,'EMBI+'!$A:$A,0)))/100</f>
        <v>2.1800000000000002</v>
      </c>
      <c r="AB254" s="9">
        <v>59.557250000000003</v>
      </c>
      <c r="AC254" s="9">
        <v>246.01963000000001</v>
      </c>
      <c r="AD254" s="9"/>
      <c r="AE254" s="9"/>
      <c r="AF254" s="2"/>
      <c r="AG254" s="2"/>
    </row>
    <row r="255" spans="1:33" x14ac:dyDescent="0.35">
      <c r="A255">
        <f t="shared" si="57"/>
        <v>253</v>
      </c>
      <c r="B255">
        <f>IF(G255="Bonds",COUNTIF($G$3:G255,"Bonds"),0)</f>
        <v>0</v>
      </c>
      <c r="C255" t="str">
        <f t="shared" si="61"/>
        <v>Light Energia4064341985</v>
      </c>
      <c r="D255">
        <f t="shared" si="62"/>
        <v>23</v>
      </c>
      <c r="E255" s="9" t="s">
        <v>333</v>
      </c>
      <c r="F255" s="9" t="s">
        <v>334</v>
      </c>
      <c r="G255" s="9" t="s">
        <v>29</v>
      </c>
      <c r="H255">
        <f t="shared" si="52"/>
        <v>0</v>
      </c>
      <c r="I255" s="9" t="s">
        <v>335</v>
      </c>
      <c r="J255" s="1">
        <f t="shared" si="53"/>
        <v>1</v>
      </c>
      <c r="K255" s="2">
        <v>40643</v>
      </c>
      <c r="L255" s="2">
        <v>41985</v>
      </c>
      <c r="M255" s="10">
        <f t="shared" si="54"/>
        <v>3.6767123287671235</v>
      </c>
      <c r="N255" s="11">
        <f t="shared" si="55"/>
        <v>0</v>
      </c>
      <c r="O255" s="9" t="s">
        <v>47</v>
      </c>
      <c r="P255" t="str">
        <f t="shared" si="58"/>
        <v>0</v>
      </c>
      <c r="Q255" s="12">
        <v>17000</v>
      </c>
      <c r="R255" s="9">
        <v>10000</v>
      </c>
      <c r="S255" s="1" t="str">
        <f>IF($V255="USD",INDEX('Dólar Spot'!$B:$B,MATCH(Base!$K255,'Dólar Spot'!$A:$A,0)),"")</f>
        <v/>
      </c>
      <c r="T255" s="11">
        <f t="shared" ref="T255:T287" si="68">Q255*R255</f>
        <v>170000000</v>
      </c>
      <c r="U255" s="13">
        <f t="shared" si="56"/>
        <v>1.7</v>
      </c>
      <c r="V255" s="9" t="s">
        <v>44</v>
      </c>
      <c r="W255" s="9" t="s">
        <v>34</v>
      </c>
      <c r="X255">
        <f t="shared" si="59"/>
        <v>1</v>
      </c>
      <c r="Y255" s="1" t="str" cm="1">
        <f t="array" ref="Y255">INDEX(Ratings!$B$2:$M$42,_xlfn.XMATCH(Base!F255,Ratings!$A$2:$A$42),_xlfn.XMATCH(YEAR(Base!K255),Ratings!$B$1:$M$1))</f>
        <v>NR</v>
      </c>
      <c r="Z255">
        <f t="shared" si="60"/>
        <v>0</v>
      </c>
      <c r="AA255">
        <f>IFERROR(IFERROR(IFERROR(INDEX('EMBI+'!$B:$B,MATCH(Base!$K255,'EMBI+'!$A:$A,0)),INDEX('EMBI+'!$B:$B,MATCH(Base!$K255+1,'EMBI+'!$A:$A,0))),INDEX('EMBI+'!$B:$B,MATCH(Base!$K255+2,'EMBI+'!$A:$A,0))),INDEX('EMBI+'!$B:$B,MATCH(Base!$K255+3,'EMBI+'!$A:$A,0)))/100</f>
        <v>1.64</v>
      </c>
      <c r="AB255" s="9">
        <v>34.964689999999997</v>
      </c>
      <c r="AC255" s="9">
        <v>25.174019999999999</v>
      </c>
      <c r="AD255" s="9"/>
      <c r="AE255" s="9"/>
      <c r="AF255" s="2"/>
      <c r="AG255" s="2"/>
    </row>
    <row r="256" spans="1:33" x14ac:dyDescent="0.35">
      <c r="A256">
        <f t="shared" si="57"/>
        <v>254</v>
      </c>
      <c r="B256">
        <f>IF(G256="Bonds",COUNTIF($G$3:G256,"Bonds"),0)</f>
        <v>0</v>
      </c>
      <c r="C256" t="str">
        <f t="shared" si="61"/>
        <v>Light Energia4269043055</v>
      </c>
      <c r="D256">
        <f t="shared" si="62"/>
        <v>23</v>
      </c>
      <c r="E256" s="9" t="s">
        <v>333</v>
      </c>
      <c r="F256" s="9" t="s">
        <v>334</v>
      </c>
      <c r="G256" s="9" t="s">
        <v>29</v>
      </c>
      <c r="H256">
        <f t="shared" si="52"/>
        <v>0</v>
      </c>
      <c r="I256" s="9" t="s">
        <v>336</v>
      </c>
      <c r="J256" s="1">
        <f t="shared" si="53"/>
        <v>2</v>
      </c>
      <c r="K256" s="2">
        <v>42690</v>
      </c>
      <c r="L256" s="2">
        <v>43055</v>
      </c>
      <c r="M256" s="10">
        <f t="shared" si="54"/>
        <v>1</v>
      </c>
      <c r="N256" s="11">
        <f t="shared" si="55"/>
        <v>0</v>
      </c>
      <c r="O256" s="9" t="s">
        <v>47</v>
      </c>
      <c r="P256" t="str">
        <f t="shared" si="58"/>
        <v>0</v>
      </c>
      <c r="Q256" s="12">
        <v>100000</v>
      </c>
      <c r="R256" s="9">
        <v>1000</v>
      </c>
      <c r="S256" s="1" t="str">
        <f>IF($V256="USD",INDEX('Dólar Spot'!$B:$B,MATCH(Base!$K256,'Dólar Spot'!$A:$A,0)),"")</f>
        <v/>
      </c>
      <c r="T256" s="11">
        <f t="shared" si="68"/>
        <v>100000000</v>
      </c>
      <c r="U256" s="13">
        <f t="shared" si="56"/>
        <v>1</v>
      </c>
      <c r="V256" s="9" t="s">
        <v>44</v>
      </c>
      <c r="W256" s="9" t="s">
        <v>35</v>
      </c>
      <c r="X256">
        <f t="shared" si="59"/>
        <v>0</v>
      </c>
      <c r="Y256" s="1" t="str" cm="1">
        <f t="array" ref="Y256">INDEX(Ratings!$B$2:$M$42,_xlfn.XMATCH(Base!F256,Ratings!$A$2:$A$42),_xlfn.XMATCH(YEAR(Base!K256),Ratings!$B$1:$M$1))</f>
        <v>NR</v>
      </c>
      <c r="Z256">
        <f t="shared" si="60"/>
        <v>0</v>
      </c>
      <c r="AA256">
        <f>IFERROR(IFERROR(IFERROR(INDEX('EMBI+'!$B:$B,MATCH(Base!$K256,'EMBI+'!$A:$A,0)),INDEX('EMBI+'!$B:$B,MATCH(Base!$K256+1,'EMBI+'!$A:$A,0))),INDEX('EMBI+'!$B:$B,MATCH(Base!$K256+2,'EMBI+'!$A:$A,0))),INDEX('EMBI+'!$B:$B,MATCH(Base!$K256+3,'EMBI+'!$A:$A,0)))/100</f>
        <v>3.29</v>
      </c>
      <c r="AB256" s="9">
        <v>35.483699999999999</v>
      </c>
      <c r="AC256" s="9">
        <v>67.998940000000005</v>
      </c>
      <c r="AD256" s="9"/>
      <c r="AE256" s="9"/>
      <c r="AF256" s="2"/>
      <c r="AG256" s="2"/>
    </row>
    <row r="257" spans="1:33" x14ac:dyDescent="0.35">
      <c r="A257">
        <f t="shared" si="57"/>
        <v>255</v>
      </c>
      <c r="B257">
        <f>IF(G257="Bonds",COUNTIF($G$3:G257,"Bonds"),0)</f>
        <v>0</v>
      </c>
      <c r="C257" t="str">
        <f t="shared" si="61"/>
        <v>Light Energia4284543373</v>
      </c>
      <c r="D257">
        <f t="shared" si="62"/>
        <v>23</v>
      </c>
      <c r="E257" s="9" t="s">
        <v>333</v>
      </c>
      <c r="F257" s="9" t="s">
        <v>334</v>
      </c>
      <c r="G257" s="9" t="s">
        <v>29</v>
      </c>
      <c r="H257">
        <f t="shared" si="52"/>
        <v>0</v>
      </c>
      <c r="I257" s="9" t="s">
        <v>337</v>
      </c>
      <c r="J257" s="1">
        <f t="shared" si="53"/>
        <v>3</v>
      </c>
      <c r="K257" s="2">
        <v>42845</v>
      </c>
      <c r="L257" s="2">
        <v>43373</v>
      </c>
      <c r="M257" s="10">
        <f t="shared" si="54"/>
        <v>1.4465753424657535</v>
      </c>
      <c r="N257" s="11">
        <f t="shared" si="55"/>
        <v>0</v>
      </c>
      <c r="O257" s="9" t="s">
        <v>47</v>
      </c>
      <c r="P257" t="str">
        <f t="shared" si="58"/>
        <v>0</v>
      </c>
      <c r="Q257" s="12">
        <v>150000</v>
      </c>
      <c r="R257" s="9">
        <v>1000</v>
      </c>
      <c r="S257" s="1" t="str">
        <f>IF($V257="USD",INDEX('Dólar Spot'!$B:$B,MATCH(Base!$K257,'Dólar Spot'!$A:$A,0)),"")</f>
        <v/>
      </c>
      <c r="T257" s="11">
        <f t="shared" si="68"/>
        <v>150000000</v>
      </c>
      <c r="U257" s="13">
        <f t="shared" si="56"/>
        <v>1.5</v>
      </c>
      <c r="V257" s="9" t="s">
        <v>44</v>
      </c>
      <c r="W257" s="9" t="s">
        <v>34</v>
      </c>
      <c r="X257">
        <f t="shared" si="59"/>
        <v>1</v>
      </c>
      <c r="Y257" s="1" t="str" cm="1">
        <f t="array" ref="Y257">INDEX(Ratings!$B$2:$M$42,_xlfn.XMATCH(Base!F257,Ratings!$A$2:$A$42),_xlfn.XMATCH(YEAR(Base!K257),Ratings!$B$1:$M$1))</f>
        <v>NR</v>
      </c>
      <c r="Z257">
        <f t="shared" si="60"/>
        <v>0</v>
      </c>
      <c r="AA257">
        <f>IFERROR(IFERROR(IFERROR(INDEX('EMBI+'!$B:$B,MATCH(Base!$K257,'EMBI+'!$A:$A,0)),INDEX('EMBI+'!$B:$B,MATCH(Base!$K257+1,'EMBI+'!$A:$A,0))),INDEX('EMBI+'!$B:$B,MATCH(Base!$K257+2,'EMBI+'!$A:$A,0))),INDEX('EMBI+'!$B:$B,MATCH(Base!$K257+3,'EMBI+'!$A:$A,0)))/100</f>
        <v>2.75</v>
      </c>
      <c r="AB257" s="9">
        <v>33.85181</v>
      </c>
      <c r="AC257" s="9">
        <v>69.427980000000005</v>
      </c>
      <c r="AD257" s="9"/>
      <c r="AE257" s="9"/>
      <c r="AF257" s="2"/>
      <c r="AG257" s="2"/>
    </row>
    <row r="258" spans="1:33" x14ac:dyDescent="0.35">
      <c r="A258">
        <f t="shared" si="57"/>
        <v>256</v>
      </c>
      <c r="B258">
        <f>IF(G258="Bonds",COUNTIF($G$3:G258,"Bonds"),0)</f>
        <v>0</v>
      </c>
      <c r="C258" t="str">
        <f t="shared" si="61"/>
        <v>Light Energia4306343793</v>
      </c>
      <c r="D258">
        <f t="shared" si="62"/>
        <v>23</v>
      </c>
      <c r="E258" s="9" t="s">
        <v>333</v>
      </c>
      <c r="F258" s="9" t="s">
        <v>334</v>
      </c>
      <c r="G258" s="9" t="s">
        <v>29</v>
      </c>
      <c r="H258">
        <f t="shared" si="52"/>
        <v>0</v>
      </c>
      <c r="I258" s="9" t="s">
        <v>338</v>
      </c>
      <c r="J258" s="1">
        <f t="shared" si="53"/>
        <v>4</v>
      </c>
      <c r="K258" s="2">
        <v>43063</v>
      </c>
      <c r="L258" s="2">
        <v>43793</v>
      </c>
      <c r="M258" s="10">
        <f t="shared" si="54"/>
        <v>2</v>
      </c>
      <c r="N258" s="11">
        <f t="shared" si="55"/>
        <v>0</v>
      </c>
      <c r="O258" s="9" t="s">
        <v>47</v>
      </c>
      <c r="P258" t="str">
        <f t="shared" si="58"/>
        <v>0</v>
      </c>
      <c r="Q258" s="12">
        <v>100000</v>
      </c>
      <c r="R258" s="9">
        <v>1000</v>
      </c>
      <c r="S258" s="1" t="str">
        <f>IF($V258="USD",INDEX('Dólar Spot'!$B:$B,MATCH(Base!$K258,'Dólar Spot'!$A:$A,0)),"")</f>
        <v/>
      </c>
      <c r="T258" s="11">
        <f t="shared" si="68"/>
        <v>100000000</v>
      </c>
      <c r="U258" s="13">
        <f t="shared" si="56"/>
        <v>1</v>
      </c>
      <c r="V258" s="9" t="s">
        <v>44</v>
      </c>
      <c r="W258" s="9" t="s">
        <v>35</v>
      </c>
      <c r="X258">
        <f t="shared" si="59"/>
        <v>0</v>
      </c>
      <c r="Y258" s="1" t="str" cm="1">
        <f t="array" ref="Y258">INDEX(Ratings!$B$2:$M$42,_xlfn.XMATCH(Base!F258,Ratings!$A$2:$A$42),_xlfn.XMATCH(YEAR(Base!K258),Ratings!$B$1:$M$1))</f>
        <v>NR</v>
      </c>
      <c r="Z258">
        <f t="shared" si="60"/>
        <v>0</v>
      </c>
      <c r="AA258">
        <f>IFERROR(IFERROR(IFERROR(INDEX('EMBI+'!$B:$B,MATCH(Base!$K258,'EMBI+'!$A:$A,0)),INDEX('EMBI+'!$B:$B,MATCH(Base!$K258+1,'EMBI+'!$A:$A,0))),INDEX('EMBI+'!$B:$B,MATCH(Base!$K258+2,'EMBI+'!$A:$A,0))),INDEX('EMBI+'!$B:$B,MATCH(Base!$K258+3,'EMBI+'!$A:$A,0)))/100</f>
        <v>2.4300000000000002</v>
      </c>
      <c r="AB258" s="9">
        <v>34.324730000000002</v>
      </c>
      <c r="AC258" s="9">
        <v>74.105689999999996</v>
      </c>
      <c r="AD258" s="9"/>
      <c r="AE258" s="9"/>
      <c r="AF258" s="2"/>
      <c r="AG258" s="2"/>
    </row>
    <row r="259" spans="1:33" x14ac:dyDescent="0.35">
      <c r="A259">
        <f t="shared" si="57"/>
        <v>257</v>
      </c>
      <c r="B259">
        <f>IF(G259="Bonds",COUNTIF($G$3:G259,"Bonds"),0)</f>
        <v>0</v>
      </c>
      <c r="C259" t="str">
        <f t="shared" si="61"/>
        <v>Light Energia4439246949</v>
      </c>
      <c r="D259">
        <f t="shared" si="62"/>
        <v>23</v>
      </c>
      <c r="E259" s="9" t="s">
        <v>333</v>
      </c>
      <c r="F259" s="9" t="s">
        <v>334</v>
      </c>
      <c r="G259" s="9" t="s">
        <v>29</v>
      </c>
      <c r="H259">
        <f t="shared" ref="H259:H322" si="69">IF(G259="Bonds",1,0)</f>
        <v>0</v>
      </c>
      <c r="I259" s="9" t="s">
        <v>339</v>
      </c>
      <c r="J259" s="1">
        <f t="shared" ref="J259:J322" si="70">IF(F259=F258,J258+1,1)</f>
        <v>5</v>
      </c>
      <c r="K259" s="2">
        <v>44392</v>
      </c>
      <c r="L259" s="2">
        <v>46949</v>
      </c>
      <c r="M259" s="10">
        <f t="shared" ref="M259:M322" si="71">(L259-K259)/365</f>
        <v>7.0054794520547947</v>
      </c>
      <c r="N259" s="11">
        <f t="shared" ref="N259:N322" si="72">IF(M259&gt;5,1,0)</f>
        <v>1</v>
      </c>
      <c r="O259" s="9" t="s">
        <v>47</v>
      </c>
      <c r="P259" t="str">
        <f t="shared" si="58"/>
        <v>0</v>
      </c>
      <c r="Q259" s="12">
        <v>400000</v>
      </c>
      <c r="R259" s="9">
        <v>1000</v>
      </c>
      <c r="S259" s="1" t="str">
        <f>IF($V259="USD",INDEX('Dólar Spot'!$B:$B,MATCH(Base!$K259,'Dólar Spot'!$A:$A,0)),"")</f>
        <v/>
      </c>
      <c r="T259" s="11">
        <f t="shared" si="68"/>
        <v>400000000</v>
      </c>
      <c r="U259" s="13">
        <f t="shared" ref="U259:U322" si="73">IF(V259="USD",T259*S259/100000000,Q259*R259/100000000)</f>
        <v>4</v>
      </c>
      <c r="V259" s="9" t="s">
        <v>32</v>
      </c>
      <c r="W259" s="9" t="s">
        <v>35</v>
      </c>
      <c r="X259">
        <f t="shared" si="59"/>
        <v>0</v>
      </c>
      <c r="Y259" s="1" t="str" cm="1">
        <f t="array" ref="Y259">INDEX(Ratings!$B$2:$M$42,_xlfn.XMATCH(Base!F259,Ratings!$A$2:$A$42),_xlfn.XMATCH(YEAR(Base!K259),Ratings!$B$1:$M$1))</f>
        <v>BB-</v>
      </c>
      <c r="Z259">
        <f t="shared" si="60"/>
        <v>0</v>
      </c>
      <c r="AA259">
        <f>IFERROR(IFERROR(IFERROR(INDEX('EMBI+'!$B:$B,MATCH(Base!$K259,'EMBI+'!$A:$A,0)),INDEX('EMBI+'!$B:$B,MATCH(Base!$K259+1,'EMBI+'!$A:$A,0))),INDEX('EMBI+'!$B:$B,MATCH(Base!$K259+2,'EMBI+'!$A:$A,0))),INDEX('EMBI+'!$B:$B,MATCH(Base!$K259+3,'EMBI+'!$A:$A,0)))/100</f>
        <v>2.92</v>
      </c>
      <c r="AB259" s="9">
        <v>33.115920000000003</v>
      </c>
      <c r="AC259" s="9">
        <v>68.392409999999998</v>
      </c>
      <c r="AD259" s="9"/>
      <c r="AE259" s="9"/>
      <c r="AF259" s="2"/>
      <c r="AG259" s="2"/>
    </row>
    <row r="260" spans="1:33" x14ac:dyDescent="0.35">
      <c r="A260">
        <f t="shared" ref="A260:A323" si="74">+A259+1</f>
        <v>258</v>
      </c>
      <c r="B260">
        <f>IF(G260="Bonds",COUNTIF($G$3:G260,"Bonds"),0)</f>
        <v>0</v>
      </c>
      <c r="C260" t="str">
        <f t="shared" si="61"/>
        <v>Light Energia4439246949</v>
      </c>
      <c r="D260">
        <f t="shared" si="62"/>
        <v>23</v>
      </c>
      <c r="E260" s="9" t="s">
        <v>333</v>
      </c>
      <c r="F260" s="9" t="s">
        <v>334</v>
      </c>
      <c r="G260" s="9" t="s">
        <v>29</v>
      </c>
      <c r="H260">
        <f t="shared" si="69"/>
        <v>0</v>
      </c>
      <c r="I260" s="9" t="s">
        <v>340</v>
      </c>
      <c r="J260" s="1">
        <f t="shared" si="70"/>
        <v>6</v>
      </c>
      <c r="K260" s="2">
        <v>44392</v>
      </c>
      <c r="L260" s="2">
        <v>46949</v>
      </c>
      <c r="M260" s="10">
        <f t="shared" si="71"/>
        <v>7.0054794520547947</v>
      </c>
      <c r="N260" s="11">
        <f t="shared" si="72"/>
        <v>1</v>
      </c>
      <c r="O260" s="9" t="s">
        <v>47</v>
      </c>
      <c r="P260" t="str">
        <f t="shared" ref="P260:P323" si="75">IF(OR(O260="Real",O260="Flutuante",O260="SR SECURED"),"1","0")</f>
        <v>0</v>
      </c>
      <c r="Q260" s="12">
        <v>100000</v>
      </c>
      <c r="R260" s="9">
        <v>1000</v>
      </c>
      <c r="S260" s="1" t="str">
        <f>IF($V260="USD",INDEX('Dólar Spot'!$B:$B,MATCH(Base!$K260,'Dólar Spot'!$A:$A,0)),"")</f>
        <v/>
      </c>
      <c r="T260" s="11">
        <f t="shared" si="68"/>
        <v>100000000</v>
      </c>
      <c r="U260" s="13">
        <f t="shared" si="73"/>
        <v>1</v>
      </c>
      <c r="V260" s="9" t="s">
        <v>32</v>
      </c>
      <c r="W260" s="9" t="s">
        <v>35</v>
      </c>
      <c r="X260">
        <f t="shared" ref="X260:X323" si="76">IF(OR(W260="N",W260="AT MATURITY"),0,1)</f>
        <v>0</v>
      </c>
      <c r="Y260" s="1" t="str" cm="1">
        <f t="array" ref="Y260">INDEX(Ratings!$B$2:$M$42,_xlfn.XMATCH(Base!F260,Ratings!$A$2:$A$42),_xlfn.XMATCH(YEAR(Base!K260),Ratings!$B$1:$M$1))</f>
        <v>BB-</v>
      </c>
      <c r="Z260">
        <f t="shared" ref="Z260:Z323" si="77">IF(AND(Y260&lt;&gt;"BBB-",Y260&lt;&gt;"BBB",Y260&lt;&gt;"BBB+"),0,1)</f>
        <v>0</v>
      </c>
      <c r="AA260">
        <f>IFERROR(IFERROR(IFERROR(INDEX('EMBI+'!$B:$B,MATCH(Base!$K260,'EMBI+'!$A:$A,0)),INDEX('EMBI+'!$B:$B,MATCH(Base!$K260+1,'EMBI+'!$A:$A,0))),INDEX('EMBI+'!$B:$B,MATCH(Base!$K260+2,'EMBI+'!$A:$A,0))),INDEX('EMBI+'!$B:$B,MATCH(Base!$K260+3,'EMBI+'!$A:$A,0)))/100</f>
        <v>2.92</v>
      </c>
      <c r="AB260" s="9">
        <v>33.115920000000003</v>
      </c>
      <c r="AC260" s="9">
        <v>68.392409999999998</v>
      </c>
      <c r="AD260" s="9"/>
      <c r="AE260" s="9"/>
      <c r="AF260" s="2"/>
      <c r="AG260" s="2"/>
    </row>
    <row r="261" spans="1:33" x14ac:dyDescent="0.35">
      <c r="A261">
        <f t="shared" si="74"/>
        <v>259</v>
      </c>
      <c r="B261">
        <f>IF(G261="Bonds",COUNTIF($G$3:G261,"Bonds"),0)</f>
        <v>0</v>
      </c>
      <c r="C261" t="str">
        <f t="shared" ref="C261:C324" si="78">F261&amp;K261&amp;L261</f>
        <v>Light Energia4090643696</v>
      </c>
      <c r="D261">
        <f t="shared" ref="D261:D324" si="79">IF(F261&lt;&gt;F260,D260+1,D260)</f>
        <v>23</v>
      </c>
      <c r="E261" s="9" t="s">
        <v>333</v>
      </c>
      <c r="F261" s="9" t="s">
        <v>334</v>
      </c>
      <c r="G261" s="9" t="s">
        <v>29</v>
      </c>
      <c r="H261">
        <f t="shared" si="69"/>
        <v>0</v>
      </c>
      <c r="I261" s="9" t="s">
        <v>341</v>
      </c>
      <c r="J261" s="1">
        <f t="shared" si="70"/>
        <v>7</v>
      </c>
      <c r="K261" s="2">
        <v>40906</v>
      </c>
      <c r="L261" s="2">
        <v>43696</v>
      </c>
      <c r="M261" s="10">
        <f t="shared" si="71"/>
        <v>7.6438356164383565</v>
      </c>
      <c r="N261" s="11">
        <f t="shared" si="72"/>
        <v>1</v>
      </c>
      <c r="O261" s="9" t="s">
        <v>47</v>
      </c>
      <c r="P261" t="str">
        <f t="shared" si="75"/>
        <v>0</v>
      </c>
      <c r="Q261" s="12">
        <v>425</v>
      </c>
      <c r="R261" s="9">
        <v>1000000</v>
      </c>
      <c r="S261" s="1" t="str">
        <f>IF($V261="USD",INDEX('Dólar Spot'!$B:$B,MATCH(Base!$K261,'Dólar Spot'!$A:$A,0)),"")</f>
        <v/>
      </c>
      <c r="T261" s="11">
        <f t="shared" si="68"/>
        <v>425000000</v>
      </c>
      <c r="U261" s="13">
        <f t="shared" si="73"/>
        <v>4.25</v>
      </c>
      <c r="V261" s="9" t="s">
        <v>44</v>
      </c>
      <c r="W261" s="9" t="s">
        <v>34</v>
      </c>
      <c r="X261">
        <f t="shared" si="76"/>
        <v>1</v>
      </c>
      <c r="Y261" s="1" t="str" cm="1">
        <f t="array" ref="Y261">INDEX(Ratings!$B$2:$M$42,_xlfn.XMATCH(Base!F261,Ratings!$A$2:$A$42),_xlfn.XMATCH(YEAR(Base!K261),Ratings!$B$1:$M$1))</f>
        <v>NR</v>
      </c>
      <c r="Z261">
        <f t="shared" si="77"/>
        <v>0</v>
      </c>
      <c r="AA261">
        <f>IFERROR(IFERROR(IFERROR(INDEX('EMBI+'!$B:$B,MATCH(Base!$K261,'EMBI+'!$A:$A,0)),INDEX('EMBI+'!$B:$B,MATCH(Base!$K261+1,'EMBI+'!$A:$A,0))),INDEX('EMBI+'!$B:$B,MATCH(Base!$K261+2,'EMBI+'!$A:$A,0))),INDEX('EMBI+'!$B:$B,MATCH(Base!$K261+3,'EMBI+'!$A:$A,0)))/100</f>
        <v>2.23</v>
      </c>
      <c r="AB261" s="9">
        <v>32.213740000000001</v>
      </c>
      <c r="AC261" s="9">
        <v>41.63937</v>
      </c>
      <c r="AD261" s="9"/>
      <c r="AE261" s="9"/>
      <c r="AF261" s="2"/>
      <c r="AG261" s="2"/>
    </row>
    <row r="262" spans="1:33" x14ac:dyDescent="0.35">
      <c r="A262">
        <f t="shared" si="74"/>
        <v>260</v>
      </c>
      <c r="B262">
        <f>IF(G262="Bonds",COUNTIF($G$3:G262,"Bonds"),0)</f>
        <v>0</v>
      </c>
      <c r="C262" t="str">
        <f t="shared" si="78"/>
        <v>Light Energia4421145672</v>
      </c>
      <c r="D262">
        <f t="shared" si="79"/>
        <v>23</v>
      </c>
      <c r="E262" s="9" t="s">
        <v>342</v>
      </c>
      <c r="F262" s="9" t="s">
        <v>334</v>
      </c>
      <c r="G262" s="9" t="s">
        <v>29</v>
      </c>
      <c r="H262">
        <f t="shared" si="69"/>
        <v>0</v>
      </c>
      <c r="I262" s="9" t="s">
        <v>343</v>
      </c>
      <c r="J262" s="1">
        <f t="shared" si="70"/>
        <v>8</v>
      </c>
      <c r="K262" s="2">
        <v>44211</v>
      </c>
      <c r="L262" s="2">
        <v>45672</v>
      </c>
      <c r="M262" s="10">
        <f t="shared" si="71"/>
        <v>4.0027397260273974</v>
      </c>
      <c r="N262" s="11">
        <f t="shared" si="72"/>
        <v>0</v>
      </c>
      <c r="O262" s="9" t="s">
        <v>47</v>
      </c>
      <c r="P262" t="str">
        <f t="shared" si="75"/>
        <v>0</v>
      </c>
      <c r="Q262" s="12">
        <v>360000</v>
      </c>
      <c r="R262" s="9">
        <v>1000</v>
      </c>
      <c r="S262" s="1" t="str">
        <f>IF($V262="USD",INDEX('Dólar Spot'!$B:$B,MATCH(Base!$K262,'Dólar Spot'!$A:$A,0)),"")</f>
        <v/>
      </c>
      <c r="T262" s="11">
        <f t="shared" si="68"/>
        <v>360000000</v>
      </c>
      <c r="U262" s="13">
        <f t="shared" si="73"/>
        <v>3.6</v>
      </c>
      <c r="V262" s="9" t="s">
        <v>44</v>
      </c>
      <c r="W262" s="9" t="s">
        <v>34</v>
      </c>
      <c r="X262">
        <f t="shared" si="76"/>
        <v>1</v>
      </c>
      <c r="Y262" s="1" t="str" cm="1">
        <f t="array" ref="Y262">INDEX(Ratings!$B$2:$M$42,_xlfn.XMATCH(Base!F262,Ratings!$A$2:$A$42),_xlfn.XMATCH(YEAR(Base!K262),Ratings!$B$1:$M$1))</f>
        <v>BB-</v>
      </c>
      <c r="Z262">
        <f t="shared" si="77"/>
        <v>0</v>
      </c>
      <c r="AA262">
        <f>IFERROR(IFERROR(IFERROR(INDEX('EMBI+'!$B:$B,MATCH(Base!$K262,'EMBI+'!$A:$A,0)),INDEX('EMBI+'!$B:$B,MATCH(Base!$K262+1,'EMBI+'!$A:$A,0))),INDEX('EMBI+'!$B:$B,MATCH(Base!$K262+2,'EMBI+'!$A:$A,0))),INDEX('EMBI+'!$B:$B,MATCH(Base!$K262+3,'EMBI+'!$A:$A,0)))/100</f>
        <v>2.8</v>
      </c>
      <c r="AB262" s="9">
        <v>70.762119999999996</v>
      </c>
      <c r="AC262" s="9">
        <v>96.839690000000004</v>
      </c>
      <c r="AD262" s="9"/>
      <c r="AE262" s="9"/>
      <c r="AF262" s="2"/>
      <c r="AG262" s="2"/>
    </row>
    <row r="263" spans="1:33" x14ac:dyDescent="0.35">
      <c r="A263">
        <f t="shared" si="74"/>
        <v>261</v>
      </c>
      <c r="B263">
        <f>IF(G263="Bonds",COUNTIF($G$3:G263,"Bonds"),0)</f>
        <v>0</v>
      </c>
      <c r="C263" t="str">
        <f t="shared" si="78"/>
        <v>Light Energia4253443264</v>
      </c>
      <c r="D263">
        <f t="shared" si="79"/>
        <v>23</v>
      </c>
      <c r="E263" s="9" t="s">
        <v>342</v>
      </c>
      <c r="F263" s="9" t="s">
        <v>334</v>
      </c>
      <c r="G263" s="9" t="s">
        <v>29</v>
      </c>
      <c r="H263">
        <f t="shared" si="69"/>
        <v>0</v>
      </c>
      <c r="I263" s="9" t="s">
        <v>344</v>
      </c>
      <c r="J263" s="1">
        <f t="shared" si="70"/>
        <v>9</v>
      </c>
      <c r="K263" s="2">
        <v>42534</v>
      </c>
      <c r="L263" s="2">
        <v>43264</v>
      </c>
      <c r="M263" s="10">
        <f t="shared" si="71"/>
        <v>2</v>
      </c>
      <c r="N263" s="11">
        <f t="shared" si="72"/>
        <v>0</v>
      </c>
      <c r="O263" s="9" t="s">
        <v>47</v>
      </c>
      <c r="P263" t="str">
        <f t="shared" si="75"/>
        <v>0</v>
      </c>
      <c r="Q263" s="12">
        <v>17500</v>
      </c>
      <c r="R263" s="9">
        <v>10000</v>
      </c>
      <c r="S263" s="1" t="str">
        <f>IF($V263="USD",INDEX('Dólar Spot'!$B:$B,MATCH(Base!$K263,'Dólar Spot'!$A:$A,0)),"")</f>
        <v/>
      </c>
      <c r="T263" s="11">
        <f t="shared" si="68"/>
        <v>175000000</v>
      </c>
      <c r="U263" s="13">
        <f t="shared" si="73"/>
        <v>1.75</v>
      </c>
      <c r="V263" s="9" t="s">
        <v>44</v>
      </c>
      <c r="W263" s="9" t="s">
        <v>34</v>
      </c>
      <c r="X263">
        <f t="shared" si="76"/>
        <v>1</v>
      </c>
      <c r="Y263" s="1" t="str" cm="1">
        <f t="array" ref="Y263">INDEX(Ratings!$B$2:$M$42,_xlfn.XMATCH(Base!F263,Ratings!$A$2:$A$42),_xlfn.XMATCH(YEAR(Base!K263),Ratings!$B$1:$M$1))</f>
        <v>NR</v>
      </c>
      <c r="Z263">
        <f t="shared" si="77"/>
        <v>0</v>
      </c>
      <c r="AA263">
        <f>IFERROR(IFERROR(IFERROR(INDEX('EMBI+'!$B:$B,MATCH(Base!$K263,'EMBI+'!$A:$A,0)),INDEX('EMBI+'!$B:$B,MATCH(Base!$K263+1,'EMBI+'!$A:$A,0))),INDEX('EMBI+'!$B:$B,MATCH(Base!$K263+2,'EMBI+'!$A:$A,0))),INDEX('EMBI+'!$B:$B,MATCH(Base!$K263+3,'EMBI+'!$A:$A,0)))/100</f>
        <v>3.89</v>
      </c>
      <c r="AB263" s="9">
        <v>36.020220000000002</v>
      </c>
      <c r="AC263" s="9">
        <v>67.75188</v>
      </c>
      <c r="AD263" s="9"/>
      <c r="AE263" s="9"/>
      <c r="AF263" s="2"/>
      <c r="AG263" s="2"/>
    </row>
    <row r="264" spans="1:33" x14ac:dyDescent="0.35">
      <c r="A264">
        <f t="shared" si="74"/>
        <v>262</v>
      </c>
      <c r="B264">
        <f>IF(G264="Bonds",COUNTIF($G$3:G264,"Bonds"),0)</f>
        <v>0</v>
      </c>
      <c r="C264" t="str">
        <f t="shared" si="78"/>
        <v>Light Energia4292343480</v>
      </c>
      <c r="D264">
        <f t="shared" si="79"/>
        <v>23</v>
      </c>
      <c r="E264" s="9" t="s">
        <v>342</v>
      </c>
      <c r="F264" s="9" t="s">
        <v>334</v>
      </c>
      <c r="G264" s="9" t="s">
        <v>29</v>
      </c>
      <c r="H264">
        <f t="shared" si="69"/>
        <v>0</v>
      </c>
      <c r="I264" s="9" t="s">
        <v>345</v>
      </c>
      <c r="J264" s="1">
        <f t="shared" si="70"/>
        <v>10</v>
      </c>
      <c r="K264" s="2">
        <v>42923</v>
      </c>
      <c r="L264" s="2">
        <v>43480</v>
      </c>
      <c r="M264" s="10">
        <f t="shared" si="71"/>
        <v>1.526027397260274</v>
      </c>
      <c r="N264" s="11">
        <f t="shared" si="72"/>
        <v>0</v>
      </c>
      <c r="O264" s="9" t="s">
        <v>47</v>
      </c>
      <c r="P264" t="str">
        <f t="shared" si="75"/>
        <v>0</v>
      </c>
      <c r="Q264" s="12">
        <v>198778</v>
      </c>
      <c r="R264" s="9">
        <v>1000</v>
      </c>
      <c r="S264" s="1" t="str">
        <f>IF($V264="USD",INDEX('Dólar Spot'!$B:$B,MATCH(Base!$K264,'Dólar Spot'!$A:$A,0)),"")</f>
        <v/>
      </c>
      <c r="T264" s="11">
        <f t="shared" si="68"/>
        <v>198778000</v>
      </c>
      <c r="U264" s="13">
        <f t="shared" si="73"/>
        <v>1.9877800000000001</v>
      </c>
      <c r="V264" s="9" t="s">
        <v>44</v>
      </c>
      <c r="W264" s="9" t="s">
        <v>34</v>
      </c>
      <c r="X264">
        <f t="shared" si="76"/>
        <v>1</v>
      </c>
      <c r="Y264" s="1" t="str" cm="1">
        <f t="array" ref="Y264">INDEX(Ratings!$B$2:$M$42,_xlfn.XMATCH(Base!F264,Ratings!$A$2:$A$42),_xlfn.XMATCH(YEAR(Base!K264),Ratings!$B$1:$M$1))</f>
        <v>NR</v>
      </c>
      <c r="Z264">
        <f t="shared" si="77"/>
        <v>0</v>
      </c>
      <c r="AA264">
        <f>IFERROR(IFERROR(IFERROR(INDEX('EMBI+'!$B:$B,MATCH(Base!$K264,'EMBI+'!$A:$A,0)),INDEX('EMBI+'!$B:$B,MATCH(Base!$K264+1,'EMBI+'!$A:$A,0))),INDEX('EMBI+'!$B:$B,MATCH(Base!$K264+2,'EMBI+'!$A:$A,0))),INDEX('EMBI+'!$B:$B,MATCH(Base!$K264+3,'EMBI+'!$A:$A,0)))/100</f>
        <v>2.93</v>
      </c>
      <c r="AB264" s="9">
        <v>33.115920000000003</v>
      </c>
      <c r="AC264" s="9">
        <v>68.392409999999998</v>
      </c>
      <c r="AD264" s="9"/>
      <c r="AE264" s="9"/>
      <c r="AF264" s="2"/>
      <c r="AG264" s="2"/>
    </row>
    <row r="265" spans="1:33" x14ac:dyDescent="0.35">
      <c r="A265">
        <f t="shared" si="74"/>
        <v>263</v>
      </c>
      <c r="B265">
        <f>IF(G265="Bonds",COUNTIF($G$3:G265,"Bonds"),0)</f>
        <v>0</v>
      </c>
      <c r="C265" t="str">
        <f t="shared" si="78"/>
        <v>Light Energia4302344849</v>
      </c>
      <c r="D265">
        <f t="shared" si="79"/>
        <v>23</v>
      </c>
      <c r="E265" s="9" t="s">
        <v>342</v>
      </c>
      <c r="F265" s="9" t="s">
        <v>334</v>
      </c>
      <c r="G265" s="9" t="s">
        <v>29</v>
      </c>
      <c r="H265">
        <f t="shared" si="69"/>
        <v>0</v>
      </c>
      <c r="I265" s="9" t="s">
        <v>346</v>
      </c>
      <c r="J265" s="1">
        <f t="shared" si="70"/>
        <v>11</v>
      </c>
      <c r="K265" s="2">
        <v>43023</v>
      </c>
      <c r="L265" s="2">
        <v>44849</v>
      </c>
      <c r="M265" s="10">
        <f t="shared" si="71"/>
        <v>5.0027397260273974</v>
      </c>
      <c r="N265" s="11">
        <f t="shared" si="72"/>
        <v>1</v>
      </c>
      <c r="O265" s="9" t="s">
        <v>47</v>
      </c>
      <c r="P265" t="str">
        <f t="shared" si="75"/>
        <v>0</v>
      </c>
      <c r="Q265" s="12">
        <v>458664</v>
      </c>
      <c r="R265" s="9">
        <v>1000</v>
      </c>
      <c r="S265" s="1" t="str">
        <f>IF($V265="USD",INDEX('Dólar Spot'!$B:$B,MATCH(Base!$K265,'Dólar Spot'!$A:$A,0)),"")</f>
        <v/>
      </c>
      <c r="T265" s="11">
        <f t="shared" si="68"/>
        <v>458664000</v>
      </c>
      <c r="U265" s="13">
        <f t="shared" si="73"/>
        <v>4.5866400000000001</v>
      </c>
      <c r="V265" s="9" t="s">
        <v>32</v>
      </c>
      <c r="W265" s="9" t="s">
        <v>34</v>
      </c>
      <c r="X265">
        <f t="shared" si="76"/>
        <v>1</v>
      </c>
      <c r="Y265" s="1" t="str" cm="1">
        <f t="array" ref="Y265">INDEX(Ratings!$B$2:$M$42,_xlfn.XMATCH(Base!F265,Ratings!$A$2:$A$42),_xlfn.XMATCH(YEAR(Base!K265),Ratings!$B$1:$M$1))</f>
        <v>NR</v>
      </c>
      <c r="Z265">
        <f t="shared" si="77"/>
        <v>0</v>
      </c>
      <c r="AA265">
        <f>IFERROR(IFERROR(IFERROR(INDEX('EMBI+'!$B:$B,MATCH(Base!$K265,'EMBI+'!$A:$A,0)),INDEX('EMBI+'!$B:$B,MATCH(Base!$K265+1,'EMBI+'!$A:$A,0))),INDEX('EMBI+'!$B:$B,MATCH(Base!$K265+2,'EMBI+'!$A:$A,0))),INDEX('EMBI+'!$B:$B,MATCH(Base!$K265+3,'EMBI+'!$A:$A,0)))/100</f>
        <v>2.42</v>
      </c>
      <c r="AB265" s="9">
        <v>33.710239999999999</v>
      </c>
      <c r="AC265" s="9">
        <v>69.945719999999994</v>
      </c>
      <c r="AD265" s="9"/>
      <c r="AE265" s="9"/>
      <c r="AF265" s="2"/>
      <c r="AG265" s="2"/>
    </row>
    <row r="266" spans="1:33" x14ac:dyDescent="0.35">
      <c r="A266">
        <f t="shared" si="74"/>
        <v>264</v>
      </c>
      <c r="B266">
        <f>IF(G266="Bonds",COUNTIF($G$3:G266,"Bonds"),0)</f>
        <v>0</v>
      </c>
      <c r="C266" t="str">
        <f t="shared" si="78"/>
        <v>Light Energia4318844284</v>
      </c>
      <c r="D266">
        <f t="shared" si="79"/>
        <v>23</v>
      </c>
      <c r="E266" s="9" t="s">
        <v>342</v>
      </c>
      <c r="F266" s="9" t="s">
        <v>334</v>
      </c>
      <c r="G266" s="9" t="s">
        <v>29</v>
      </c>
      <c r="H266">
        <f t="shared" si="69"/>
        <v>0</v>
      </c>
      <c r="I266" s="9" t="s">
        <v>347</v>
      </c>
      <c r="J266" s="1">
        <f t="shared" si="70"/>
        <v>12</v>
      </c>
      <c r="K266" s="2">
        <v>43188</v>
      </c>
      <c r="L266" s="2">
        <v>44284</v>
      </c>
      <c r="M266" s="10">
        <f t="shared" si="71"/>
        <v>3.0027397260273974</v>
      </c>
      <c r="N266" s="11">
        <f t="shared" si="72"/>
        <v>0</v>
      </c>
      <c r="O266" s="9" t="s">
        <v>47</v>
      </c>
      <c r="P266" t="str">
        <f t="shared" si="75"/>
        <v>0</v>
      </c>
      <c r="Q266" s="12">
        <v>425000</v>
      </c>
      <c r="R266" s="9">
        <v>1000</v>
      </c>
      <c r="S266" s="1" t="str">
        <f>IF($V266="USD",INDEX('Dólar Spot'!$B:$B,MATCH(Base!$K266,'Dólar Spot'!$A:$A,0)),"")</f>
        <v/>
      </c>
      <c r="T266" s="11">
        <f t="shared" si="68"/>
        <v>425000000</v>
      </c>
      <c r="U266" s="13">
        <f t="shared" si="73"/>
        <v>4.25</v>
      </c>
      <c r="V266" s="9" t="s">
        <v>44</v>
      </c>
      <c r="W266" s="9" t="s">
        <v>34</v>
      </c>
      <c r="X266">
        <f t="shared" si="76"/>
        <v>1</v>
      </c>
      <c r="Y266" s="1" t="str" cm="1">
        <f t="array" ref="Y266">INDEX(Ratings!$B$2:$M$42,_xlfn.XMATCH(Base!F266,Ratings!$A$2:$A$42),_xlfn.XMATCH(YEAR(Base!K266),Ratings!$B$1:$M$1))</f>
        <v>BB-</v>
      </c>
      <c r="Z266">
        <f t="shared" si="77"/>
        <v>0</v>
      </c>
      <c r="AA266">
        <f>IFERROR(IFERROR(IFERROR(INDEX('EMBI+'!$B:$B,MATCH(Base!$K266,'EMBI+'!$A:$A,0)),INDEX('EMBI+'!$B:$B,MATCH(Base!$K266+1,'EMBI+'!$A:$A,0))),INDEX('EMBI+'!$B:$B,MATCH(Base!$K266+2,'EMBI+'!$A:$A,0))),INDEX('EMBI+'!$B:$B,MATCH(Base!$K266+3,'EMBI+'!$A:$A,0)))/100</f>
        <v>2.48</v>
      </c>
      <c r="AB266" s="9">
        <v>33.558340000000001</v>
      </c>
      <c r="AC266" s="9">
        <v>75.49794</v>
      </c>
      <c r="AD266" s="9"/>
      <c r="AE266" s="9"/>
      <c r="AF266" s="2"/>
      <c r="AG266" s="2"/>
    </row>
    <row r="267" spans="1:33" x14ac:dyDescent="0.35">
      <c r="A267">
        <f t="shared" si="74"/>
        <v>265</v>
      </c>
      <c r="B267">
        <f>IF(G267="Bonds",COUNTIF($G$3:G267,"Bonds"),0)</f>
        <v>0</v>
      </c>
      <c r="C267" t="str">
        <f t="shared" si="78"/>
        <v>Light Energia4338845945</v>
      </c>
      <c r="D267">
        <f t="shared" si="79"/>
        <v>23</v>
      </c>
      <c r="E267" s="9" t="s">
        <v>342</v>
      </c>
      <c r="F267" s="9" t="s">
        <v>334</v>
      </c>
      <c r="G267" s="9" t="s">
        <v>29</v>
      </c>
      <c r="H267">
        <f t="shared" si="69"/>
        <v>0</v>
      </c>
      <c r="I267" s="9" t="s">
        <v>348</v>
      </c>
      <c r="J267" s="1">
        <f t="shared" si="70"/>
        <v>13</v>
      </c>
      <c r="K267" s="2">
        <v>43388</v>
      </c>
      <c r="L267" s="2">
        <v>45945</v>
      </c>
      <c r="M267" s="10">
        <f t="shared" si="71"/>
        <v>7.0054794520547947</v>
      </c>
      <c r="N267" s="11">
        <f t="shared" si="72"/>
        <v>1</v>
      </c>
      <c r="O267" s="9" t="s">
        <v>47</v>
      </c>
      <c r="P267" t="str">
        <f t="shared" si="75"/>
        <v>0</v>
      </c>
      <c r="Q267" s="12">
        <v>540000</v>
      </c>
      <c r="R267" s="9">
        <v>1000</v>
      </c>
      <c r="S267" s="1" t="str">
        <f>IF($V267="USD",INDEX('Dólar Spot'!$B:$B,MATCH(Base!$K267,'Dólar Spot'!$A:$A,0)),"")</f>
        <v/>
      </c>
      <c r="T267" s="11">
        <f t="shared" si="68"/>
        <v>540000000</v>
      </c>
      <c r="U267" s="13">
        <f t="shared" si="73"/>
        <v>5.4</v>
      </c>
      <c r="V267" s="9" t="s">
        <v>32</v>
      </c>
      <c r="W267" s="9" t="s">
        <v>35</v>
      </c>
      <c r="X267">
        <f t="shared" si="76"/>
        <v>0</v>
      </c>
      <c r="Y267" s="1" t="str" cm="1">
        <f t="array" ref="Y267">INDEX(Ratings!$B$2:$M$42,_xlfn.XMATCH(Base!F267,Ratings!$A$2:$A$42),_xlfn.XMATCH(YEAR(Base!K267),Ratings!$B$1:$M$1))</f>
        <v>BB-</v>
      </c>
      <c r="Z267">
        <f t="shared" si="77"/>
        <v>0</v>
      </c>
      <c r="AA267">
        <f>IFERROR(IFERROR(IFERROR(INDEX('EMBI+'!$B:$B,MATCH(Base!$K267,'EMBI+'!$A:$A,0)),INDEX('EMBI+'!$B:$B,MATCH(Base!$K267+1,'EMBI+'!$A:$A,0))),INDEX('EMBI+'!$B:$B,MATCH(Base!$K267+2,'EMBI+'!$A:$A,0))),INDEX('EMBI+'!$B:$B,MATCH(Base!$K267+3,'EMBI+'!$A:$A,0)))/100</f>
        <v>2.61</v>
      </c>
      <c r="AB267" s="9">
        <v>33.365139999999997</v>
      </c>
      <c r="AC267" s="9">
        <v>98.286050000000003</v>
      </c>
      <c r="AD267" s="9"/>
      <c r="AE267" s="9"/>
      <c r="AF267" s="2"/>
      <c r="AG267" s="2"/>
    </row>
    <row r="268" spans="1:33" x14ac:dyDescent="0.35">
      <c r="A268">
        <f t="shared" si="74"/>
        <v>266</v>
      </c>
      <c r="B268">
        <f>IF(G268="Bonds",COUNTIF($G$3:G268,"Bonds"),0)</f>
        <v>0</v>
      </c>
      <c r="C268" t="str">
        <f t="shared" si="78"/>
        <v>Light Energia4357044666</v>
      </c>
      <c r="D268">
        <f t="shared" si="79"/>
        <v>23</v>
      </c>
      <c r="E268" s="9" t="s">
        <v>342</v>
      </c>
      <c r="F268" s="9" t="s">
        <v>334</v>
      </c>
      <c r="G268" s="9" t="s">
        <v>29</v>
      </c>
      <c r="H268">
        <f t="shared" si="69"/>
        <v>0</v>
      </c>
      <c r="I268" s="9" t="s">
        <v>349</v>
      </c>
      <c r="J268" s="1">
        <f t="shared" si="70"/>
        <v>14</v>
      </c>
      <c r="K268" s="2">
        <v>43570</v>
      </c>
      <c r="L268" s="2">
        <v>44666</v>
      </c>
      <c r="M268" s="10">
        <f t="shared" si="71"/>
        <v>3.0027397260273974</v>
      </c>
      <c r="N268" s="11">
        <f t="shared" si="72"/>
        <v>0</v>
      </c>
      <c r="O268" s="9" t="s">
        <v>47</v>
      </c>
      <c r="P268" t="str">
        <f t="shared" si="75"/>
        <v>0</v>
      </c>
      <c r="Q268" s="12">
        <v>132500</v>
      </c>
      <c r="R268" s="9">
        <v>1000</v>
      </c>
      <c r="S268" s="1" t="str">
        <f>IF($V268="USD",INDEX('Dólar Spot'!$B:$B,MATCH(Base!$K268,'Dólar Spot'!$A:$A,0)),"")</f>
        <v/>
      </c>
      <c r="T268" s="11">
        <f t="shared" si="68"/>
        <v>132500000</v>
      </c>
      <c r="U268" s="13">
        <f t="shared" si="73"/>
        <v>1.325</v>
      </c>
      <c r="V268" s="9" t="s">
        <v>44</v>
      </c>
      <c r="W268" s="9" t="s">
        <v>34</v>
      </c>
      <c r="X268">
        <f t="shared" si="76"/>
        <v>1</v>
      </c>
      <c r="Y268" s="1" t="str" cm="1">
        <f t="array" ref="Y268">INDEX(Ratings!$B$2:$M$42,_xlfn.XMATCH(Base!F268,Ratings!$A$2:$A$42),_xlfn.XMATCH(YEAR(Base!K268),Ratings!$B$1:$M$1))</f>
        <v>BB-</v>
      </c>
      <c r="Z268">
        <f t="shared" si="77"/>
        <v>0</v>
      </c>
      <c r="AA268">
        <f>IFERROR(IFERROR(IFERROR(INDEX('EMBI+'!$B:$B,MATCH(Base!$K268,'EMBI+'!$A:$A,0)),INDEX('EMBI+'!$B:$B,MATCH(Base!$K268+1,'EMBI+'!$A:$A,0))),INDEX('EMBI+'!$B:$B,MATCH(Base!$K268+2,'EMBI+'!$A:$A,0))),INDEX('EMBI+'!$B:$B,MATCH(Base!$K268+3,'EMBI+'!$A:$A,0)))/100</f>
        <v>2.54</v>
      </c>
      <c r="AB268" s="9">
        <v>35.537149999999997</v>
      </c>
      <c r="AC268" s="9">
        <v>96.916740000000004</v>
      </c>
      <c r="AD268" s="9"/>
      <c r="AE268" s="9"/>
      <c r="AF268" s="2"/>
      <c r="AG268" s="2"/>
    </row>
    <row r="269" spans="1:33" x14ac:dyDescent="0.35">
      <c r="A269">
        <f t="shared" si="74"/>
        <v>267</v>
      </c>
      <c r="B269">
        <f>IF(G269="Bonds",COUNTIF($G$3:G269,"Bonds"),0)</f>
        <v>0</v>
      </c>
      <c r="C269" t="str">
        <f t="shared" si="78"/>
        <v>Light Energia4375344849</v>
      </c>
      <c r="D269">
        <f t="shared" si="79"/>
        <v>23</v>
      </c>
      <c r="E269" s="9" t="s">
        <v>342</v>
      </c>
      <c r="F269" s="9" t="s">
        <v>334</v>
      </c>
      <c r="G269" s="9" t="s">
        <v>29</v>
      </c>
      <c r="H269">
        <f t="shared" si="69"/>
        <v>0</v>
      </c>
      <c r="I269" s="9" t="s">
        <v>350</v>
      </c>
      <c r="J269" s="1">
        <f t="shared" si="70"/>
        <v>15</v>
      </c>
      <c r="K269" s="2">
        <v>43753</v>
      </c>
      <c r="L269" s="2">
        <v>44849</v>
      </c>
      <c r="M269" s="10">
        <f t="shared" si="71"/>
        <v>3.0027397260273974</v>
      </c>
      <c r="N269" s="11">
        <f t="shared" si="72"/>
        <v>0</v>
      </c>
      <c r="O269" s="9" t="s">
        <v>47</v>
      </c>
      <c r="P269" t="str">
        <f t="shared" si="75"/>
        <v>0</v>
      </c>
      <c r="Q269" s="12">
        <v>500400</v>
      </c>
      <c r="R269" s="9">
        <v>1000</v>
      </c>
      <c r="S269" s="1" t="str">
        <f>IF($V269="USD",INDEX('Dólar Spot'!$B:$B,MATCH(Base!$K269,'Dólar Spot'!$A:$A,0)),"")</f>
        <v/>
      </c>
      <c r="T269" s="11">
        <f t="shared" si="68"/>
        <v>500400000</v>
      </c>
      <c r="U269" s="13">
        <f t="shared" si="73"/>
        <v>5.0039999999999996</v>
      </c>
      <c r="V269" s="9" t="s">
        <v>44</v>
      </c>
      <c r="W269" s="9" t="s">
        <v>34</v>
      </c>
      <c r="X269">
        <f t="shared" si="76"/>
        <v>1</v>
      </c>
      <c r="Y269" s="1" t="str" cm="1">
        <f t="array" ref="Y269">INDEX(Ratings!$B$2:$M$42,_xlfn.XMATCH(Base!F269,Ratings!$A$2:$A$42),_xlfn.XMATCH(YEAR(Base!K269),Ratings!$B$1:$M$1))</f>
        <v>BB-</v>
      </c>
      <c r="Z269">
        <f t="shared" si="77"/>
        <v>0</v>
      </c>
      <c r="AA269">
        <f>IFERROR(IFERROR(IFERROR(INDEX('EMBI+'!$B:$B,MATCH(Base!$K269,'EMBI+'!$A:$A,0)),INDEX('EMBI+'!$B:$B,MATCH(Base!$K269+1,'EMBI+'!$A:$A,0))),INDEX('EMBI+'!$B:$B,MATCH(Base!$K269+2,'EMBI+'!$A:$A,0))),INDEX('EMBI+'!$B:$B,MATCH(Base!$K269+3,'EMBI+'!$A:$A,0)))/100</f>
        <v>2.37</v>
      </c>
      <c r="AB269" s="9">
        <v>69.106729999999999</v>
      </c>
      <c r="AC269" s="9">
        <v>92.660910000000001</v>
      </c>
      <c r="AD269" s="9"/>
      <c r="AE269" s="9"/>
      <c r="AF269" s="2"/>
      <c r="AG269" s="2"/>
    </row>
    <row r="270" spans="1:33" x14ac:dyDescent="0.35">
      <c r="A270">
        <f t="shared" si="74"/>
        <v>268</v>
      </c>
      <c r="B270">
        <f>IF(G270="Bonds",COUNTIF($G$3:G270,"Bonds"),0)</f>
        <v>0</v>
      </c>
      <c r="C270" t="str">
        <f t="shared" si="78"/>
        <v>Light Energia4393644301</v>
      </c>
      <c r="D270">
        <f t="shared" si="79"/>
        <v>23</v>
      </c>
      <c r="E270" s="9" t="s">
        <v>342</v>
      </c>
      <c r="F270" s="9" t="s">
        <v>334</v>
      </c>
      <c r="G270" s="9" t="s">
        <v>29</v>
      </c>
      <c r="H270">
        <f t="shared" si="69"/>
        <v>0</v>
      </c>
      <c r="I270" s="9" t="s">
        <v>351</v>
      </c>
      <c r="J270" s="1">
        <f t="shared" si="70"/>
        <v>16</v>
      </c>
      <c r="K270" s="2">
        <v>43936</v>
      </c>
      <c r="L270" s="2">
        <v>44301</v>
      </c>
      <c r="M270" s="10">
        <f t="shared" si="71"/>
        <v>1</v>
      </c>
      <c r="N270" s="11">
        <f t="shared" si="72"/>
        <v>0</v>
      </c>
      <c r="O270" s="9" t="s">
        <v>47</v>
      </c>
      <c r="P270" t="str">
        <f t="shared" si="75"/>
        <v>0</v>
      </c>
      <c r="Q270" s="12">
        <v>400000</v>
      </c>
      <c r="R270" s="9">
        <v>1000</v>
      </c>
      <c r="S270" s="1" t="str">
        <f>IF($V270="USD",INDEX('Dólar Spot'!$B:$B,MATCH(Base!$K270,'Dólar Spot'!$A:$A,0)),"")</f>
        <v/>
      </c>
      <c r="T270" s="11">
        <f t="shared" si="68"/>
        <v>400000000</v>
      </c>
      <c r="U270" s="13">
        <f t="shared" si="73"/>
        <v>4</v>
      </c>
      <c r="V270" s="9" t="s">
        <v>44</v>
      </c>
      <c r="W270" s="9" t="s">
        <v>34</v>
      </c>
      <c r="X270">
        <f t="shared" si="76"/>
        <v>1</v>
      </c>
      <c r="Y270" s="1" t="str" cm="1">
        <f t="array" ref="Y270">INDEX(Ratings!$B$2:$M$42,_xlfn.XMATCH(Base!F270,Ratings!$A$2:$A$42),_xlfn.XMATCH(YEAR(Base!K270),Ratings!$B$1:$M$1))</f>
        <v>BB-</v>
      </c>
      <c r="Z270">
        <f t="shared" si="77"/>
        <v>0</v>
      </c>
      <c r="AA270">
        <f>IFERROR(IFERROR(IFERROR(INDEX('EMBI+'!$B:$B,MATCH(Base!$K270,'EMBI+'!$A:$A,0)),INDEX('EMBI+'!$B:$B,MATCH(Base!$K270+1,'EMBI+'!$A:$A,0))),INDEX('EMBI+'!$B:$B,MATCH(Base!$K270+2,'EMBI+'!$A:$A,0))),INDEX('EMBI+'!$B:$B,MATCH(Base!$K270+3,'EMBI+'!$A:$A,0)))/100</f>
        <v>3.94</v>
      </c>
      <c r="AB270" s="9">
        <v>67.148359999999997</v>
      </c>
      <c r="AC270" s="9">
        <v>94.203580000000002</v>
      </c>
      <c r="AD270" s="9"/>
      <c r="AE270" s="9"/>
      <c r="AF270" s="2"/>
      <c r="AG270" s="2"/>
    </row>
    <row r="271" spans="1:33" x14ac:dyDescent="0.35">
      <c r="A271">
        <f t="shared" si="74"/>
        <v>269</v>
      </c>
      <c r="B271">
        <f>IF(G271="Bonds",COUNTIF($G$3:G271,"Bonds"),0)</f>
        <v>0</v>
      </c>
      <c r="C271" t="str">
        <f t="shared" si="78"/>
        <v>Light Energia4404045853</v>
      </c>
      <c r="D271">
        <f t="shared" si="79"/>
        <v>23</v>
      </c>
      <c r="E271" s="9" t="s">
        <v>342</v>
      </c>
      <c r="F271" s="9" t="s">
        <v>334</v>
      </c>
      <c r="G271" s="9" t="s">
        <v>29</v>
      </c>
      <c r="H271">
        <f t="shared" si="69"/>
        <v>0</v>
      </c>
      <c r="I271" s="9" t="s">
        <v>352</v>
      </c>
      <c r="J271" s="1">
        <f t="shared" si="70"/>
        <v>17</v>
      </c>
      <c r="K271" s="2">
        <v>44040</v>
      </c>
      <c r="L271" s="2">
        <v>45853</v>
      </c>
      <c r="M271" s="10">
        <f t="shared" si="71"/>
        <v>4.9671232876712326</v>
      </c>
      <c r="N271" s="11">
        <f t="shared" si="72"/>
        <v>0</v>
      </c>
      <c r="O271" s="9" t="s">
        <v>47</v>
      </c>
      <c r="P271" t="str">
        <f t="shared" si="75"/>
        <v>0</v>
      </c>
      <c r="Q271" s="12">
        <v>500000</v>
      </c>
      <c r="R271" s="9">
        <v>1000</v>
      </c>
      <c r="S271" s="1" t="str">
        <f>IF($V271="USD",INDEX('Dólar Spot'!$B:$B,MATCH(Base!$K271,'Dólar Spot'!$A:$A,0)),"")</f>
        <v/>
      </c>
      <c r="T271" s="11">
        <f t="shared" si="68"/>
        <v>500000000</v>
      </c>
      <c r="U271" s="13">
        <f t="shared" si="73"/>
        <v>5</v>
      </c>
      <c r="V271" s="9" t="s">
        <v>32</v>
      </c>
      <c r="W271" s="9" t="s">
        <v>35</v>
      </c>
      <c r="X271">
        <f t="shared" si="76"/>
        <v>0</v>
      </c>
      <c r="Y271" s="1" t="str" cm="1">
        <f t="array" ref="Y271">INDEX(Ratings!$B$2:$M$42,_xlfn.XMATCH(Base!F271,Ratings!$A$2:$A$42),_xlfn.XMATCH(YEAR(Base!K271),Ratings!$B$1:$M$1))</f>
        <v>BB-</v>
      </c>
      <c r="Z271">
        <f t="shared" si="77"/>
        <v>0</v>
      </c>
      <c r="AA271">
        <f>IFERROR(IFERROR(IFERROR(INDEX('EMBI+'!$B:$B,MATCH(Base!$K271,'EMBI+'!$A:$A,0)),INDEX('EMBI+'!$B:$B,MATCH(Base!$K271+1,'EMBI+'!$A:$A,0))),INDEX('EMBI+'!$B:$B,MATCH(Base!$K271+2,'EMBI+'!$A:$A,0))),INDEX('EMBI+'!$B:$B,MATCH(Base!$K271+3,'EMBI+'!$A:$A,0)))/100</f>
        <v>3.49</v>
      </c>
      <c r="AB271" s="9">
        <v>66.723659999999995</v>
      </c>
      <c r="AC271" s="9">
        <v>90.089969999999994</v>
      </c>
      <c r="AD271" s="9"/>
      <c r="AE271" s="9"/>
      <c r="AF271" s="2"/>
      <c r="AG271" s="2"/>
    </row>
    <row r="272" spans="1:33" x14ac:dyDescent="0.35">
      <c r="A272">
        <f t="shared" si="74"/>
        <v>270</v>
      </c>
      <c r="B272">
        <f>IF(G272="Bonds",COUNTIF($G$3:G272,"Bonds"),0)</f>
        <v>0</v>
      </c>
      <c r="C272" t="str">
        <f t="shared" si="78"/>
        <v>Light Energia4405845884</v>
      </c>
      <c r="D272">
        <f t="shared" si="79"/>
        <v>23</v>
      </c>
      <c r="E272" s="9" t="s">
        <v>342</v>
      </c>
      <c r="F272" s="9" t="s">
        <v>334</v>
      </c>
      <c r="G272" s="9" t="s">
        <v>29</v>
      </c>
      <c r="H272">
        <f t="shared" si="69"/>
        <v>0</v>
      </c>
      <c r="I272" s="9" t="s">
        <v>353</v>
      </c>
      <c r="J272" s="1">
        <f t="shared" si="70"/>
        <v>18</v>
      </c>
      <c r="K272" s="2">
        <v>44058</v>
      </c>
      <c r="L272" s="2">
        <v>45884</v>
      </c>
      <c r="M272" s="10">
        <f t="shared" si="71"/>
        <v>5.0027397260273974</v>
      </c>
      <c r="N272" s="11">
        <f t="shared" si="72"/>
        <v>1</v>
      </c>
      <c r="O272" s="9" t="s">
        <v>47</v>
      </c>
      <c r="P272" t="str">
        <f t="shared" si="75"/>
        <v>0</v>
      </c>
      <c r="Q272" s="12">
        <v>600000</v>
      </c>
      <c r="R272" s="9">
        <v>1000</v>
      </c>
      <c r="S272" s="1" t="str">
        <f>IF($V272="USD",INDEX('Dólar Spot'!$B:$B,MATCH(Base!$K272,'Dólar Spot'!$A:$A,0)),"")</f>
        <v/>
      </c>
      <c r="T272" s="11">
        <f t="shared" si="68"/>
        <v>600000000</v>
      </c>
      <c r="U272" s="13">
        <f t="shared" si="73"/>
        <v>6</v>
      </c>
      <c r="V272" s="9" t="s">
        <v>32</v>
      </c>
      <c r="W272" s="9" t="s">
        <v>35</v>
      </c>
      <c r="X272">
        <f t="shared" si="76"/>
        <v>0</v>
      </c>
      <c r="Y272" s="1" t="str" cm="1">
        <f t="array" ref="Y272">INDEX(Ratings!$B$2:$M$42,_xlfn.XMATCH(Base!F272,Ratings!$A$2:$A$42),_xlfn.XMATCH(YEAR(Base!K272),Ratings!$B$1:$M$1))</f>
        <v>BB-</v>
      </c>
      <c r="Z272">
        <f t="shared" si="77"/>
        <v>0</v>
      </c>
      <c r="AA272">
        <f>IFERROR(IFERROR(IFERROR(INDEX('EMBI+'!$B:$B,MATCH(Base!$K272,'EMBI+'!$A:$A,0)),INDEX('EMBI+'!$B:$B,MATCH(Base!$K272+1,'EMBI+'!$A:$A,0))),INDEX('EMBI+'!$B:$B,MATCH(Base!$K272+2,'EMBI+'!$A:$A,0))),INDEX('EMBI+'!$B:$B,MATCH(Base!$K272+3,'EMBI+'!$A:$A,0)))/100</f>
        <v>3.21</v>
      </c>
      <c r="AB272" s="9">
        <v>66.723659999999995</v>
      </c>
      <c r="AC272" s="9">
        <v>90.089969999999994</v>
      </c>
      <c r="AD272" s="9"/>
      <c r="AE272" s="9"/>
      <c r="AF272" s="2"/>
      <c r="AG272" s="2"/>
    </row>
    <row r="273" spans="1:33" x14ac:dyDescent="0.35">
      <c r="A273">
        <f t="shared" si="74"/>
        <v>271</v>
      </c>
      <c r="B273">
        <f>IF(G273="Bonds",COUNTIF($G$3:G273,"Bonds"),0)</f>
        <v>0</v>
      </c>
      <c r="C273" t="str">
        <f t="shared" si="78"/>
        <v>Light Energia4292344027</v>
      </c>
      <c r="D273">
        <f t="shared" si="79"/>
        <v>23</v>
      </c>
      <c r="E273" s="9" t="s">
        <v>342</v>
      </c>
      <c r="F273" s="9" t="s">
        <v>334</v>
      </c>
      <c r="G273" s="9" t="s">
        <v>29</v>
      </c>
      <c r="H273">
        <f t="shared" si="69"/>
        <v>0</v>
      </c>
      <c r="I273" s="9" t="s">
        <v>354</v>
      </c>
      <c r="J273" s="1">
        <f t="shared" si="70"/>
        <v>19</v>
      </c>
      <c r="K273" s="2">
        <v>42923</v>
      </c>
      <c r="L273" s="2">
        <v>44027</v>
      </c>
      <c r="M273" s="10">
        <f t="shared" si="71"/>
        <v>3.0246575342465754</v>
      </c>
      <c r="N273" s="11">
        <f t="shared" si="72"/>
        <v>0</v>
      </c>
      <c r="O273" s="9" t="s">
        <v>47</v>
      </c>
      <c r="P273" t="str">
        <f t="shared" si="75"/>
        <v>0</v>
      </c>
      <c r="Q273" s="12">
        <v>147889</v>
      </c>
      <c r="R273" s="9">
        <v>1000</v>
      </c>
      <c r="S273" s="1" t="str">
        <f>IF($V273="USD",INDEX('Dólar Spot'!$B:$B,MATCH(Base!$K273,'Dólar Spot'!$A:$A,0)),"")</f>
        <v/>
      </c>
      <c r="T273" s="11">
        <f t="shared" si="68"/>
        <v>147889000</v>
      </c>
      <c r="U273" s="13">
        <f t="shared" si="73"/>
        <v>1.47889</v>
      </c>
      <c r="V273" s="9" t="s">
        <v>44</v>
      </c>
      <c r="W273" s="9" t="s">
        <v>34</v>
      </c>
      <c r="X273">
        <f t="shared" si="76"/>
        <v>1</v>
      </c>
      <c r="Y273" s="1" t="str" cm="1">
        <f t="array" ref="Y273">INDEX(Ratings!$B$2:$M$42,_xlfn.XMATCH(Base!F273,Ratings!$A$2:$A$42),_xlfn.XMATCH(YEAR(Base!K273),Ratings!$B$1:$M$1))</f>
        <v>NR</v>
      </c>
      <c r="Z273">
        <f t="shared" si="77"/>
        <v>0</v>
      </c>
      <c r="AA273">
        <f>IFERROR(IFERROR(IFERROR(INDEX('EMBI+'!$B:$B,MATCH(Base!$K273,'EMBI+'!$A:$A,0)),INDEX('EMBI+'!$B:$B,MATCH(Base!$K273+1,'EMBI+'!$A:$A,0))),INDEX('EMBI+'!$B:$B,MATCH(Base!$K273+2,'EMBI+'!$A:$A,0))),INDEX('EMBI+'!$B:$B,MATCH(Base!$K273+3,'EMBI+'!$A:$A,0)))/100</f>
        <v>2.93</v>
      </c>
      <c r="AB273" s="9">
        <v>33.115920000000003</v>
      </c>
      <c r="AC273" s="9">
        <v>68.392409999999998</v>
      </c>
      <c r="AD273" s="9"/>
      <c r="AE273" s="9"/>
      <c r="AF273" s="2"/>
      <c r="AG273" s="2"/>
    </row>
    <row r="274" spans="1:33" x14ac:dyDescent="0.35">
      <c r="A274">
        <f t="shared" si="74"/>
        <v>272</v>
      </c>
      <c r="B274">
        <f>IF(G274="Bonds",COUNTIF($G$3:G274,"Bonds"),0)</f>
        <v>0</v>
      </c>
      <c r="C274" t="str">
        <f t="shared" si="78"/>
        <v>Light Energia4338844849</v>
      </c>
      <c r="D274">
        <f t="shared" si="79"/>
        <v>23</v>
      </c>
      <c r="E274" s="9" t="s">
        <v>342</v>
      </c>
      <c r="F274" s="9" t="s">
        <v>334</v>
      </c>
      <c r="G274" s="9" t="s">
        <v>29</v>
      </c>
      <c r="H274">
        <f t="shared" si="69"/>
        <v>0</v>
      </c>
      <c r="I274" s="9" t="s">
        <v>355</v>
      </c>
      <c r="J274" s="1">
        <f t="shared" si="70"/>
        <v>20</v>
      </c>
      <c r="K274" s="2">
        <v>43388</v>
      </c>
      <c r="L274" s="2">
        <v>44849</v>
      </c>
      <c r="M274" s="10">
        <f t="shared" si="71"/>
        <v>4.0027397260273974</v>
      </c>
      <c r="N274" s="11">
        <f t="shared" si="72"/>
        <v>0</v>
      </c>
      <c r="O274" s="9" t="s">
        <v>47</v>
      </c>
      <c r="P274" t="str">
        <f t="shared" si="75"/>
        <v>0</v>
      </c>
      <c r="Q274" s="12">
        <v>160000</v>
      </c>
      <c r="R274" s="9">
        <v>1000</v>
      </c>
      <c r="S274" s="1" t="str">
        <f>IF($V274="USD",INDEX('Dólar Spot'!$B:$B,MATCH(Base!$K274,'Dólar Spot'!$A:$A,0)),"")</f>
        <v/>
      </c>
      <c r="T274" s="11">
        <f t="shared" si="68"/>
        <v>160000000</v>
      </c>
      <c r="U274" s="13">
        <f t="shared" si="73"/>
        <v>1.6</v>
      </c>
      <c r="V274" s="9" t="s">
        <v>44</v>
      </c>
      <c r="W274" s="9" t="s">
        <v>34</v>
      </c>
      <c r="X274">
        <f t="shared" si="76"/>
        <v>1</v>
      </c>
      <c r="Y274" s="1" t="str" cm="1">
        <f t="array" ref="Y274">INDEX(Ratings!$B$2:$M$42,_xlfn.XMATCH(Base!F274,Ratings!$A$2:$A$42),_xlfn.XMATCH(YEAR(Base!K274),Ratings!$B$1:$M$1))</f>
        <v>BB-</v>
      </c>
      <c r="Z274">
        <f t="shared" si="77"/>
        <v>0</v>
      </c>
      <c r="AA274">
        <f>IFERROR(IFERROR(IFERROR(INDEX('EMBI+'!$B:$B,MATCH(Base!$K274,'EMBI+'!$A:$A,0)),INDEX('EMBI+'!$B:$B,MATCH(Base!$K274+1,'EMBI+'!$A:$A,0))),INDEX('EMBI+'!$B:$B,MATCH(Base!$K274+2,'EMBI+'!$A:$A,0))),INDEX('EMBI+'!$B:$B,MATCH(Base!$K274+3,'EMBI+'!$A:$A,0)))/100</f>
        <v>2.61</v>
      </c>
      <c r="AB274" s="9">
        <v>33.365139999999997</v>
      </c>
      <c r="AC274" s="9">
        <v>98.286050000000003</v>
      </c>
      <c r="AD274" s="9"/>
      <c r="AE274" s="9"/>
      <c r="AF274" s="2"/>
      <c r="AG274" s="2"/>
    </row>
    <row r="275" spans="1:33" x14ac:dyDescent="0.35">
      <c r="A275">
        <f t="shared" si="74"/>
        <v>273</v>
      </c>
      <c r="B275">
        <f>IF(G275="Bonds",COUNTIF($G$3:G275,"Bonds"),0)</f>
        <v>0</v>
      </c>
      <c r="C275" t="str">
        <f t="shared" si="78"/>
        <v>Light Energia4357045397</v>
      </c>
      <c r="D275">
        <f t="shared" si="79"/>
        <v>23</v>
      </c>
      <c r="E275" s="9" t="s">
        <v>342</v>
      </c>
      <c r="F275" s="9" t="s">
        <v>334</v>
      </c>
      <c r="G275" s="9" t="s">
        <v>29</v>
      </c>
      <c r="H275">
        <f t="shared" si="69"/>
        <v>0</v>
      </c>
      <c r="I275" s="9" t="s">
        <v>356</v>
      </c>
      <c r="J275" s="1">
        <f t="shared" si="70"/>
        <v>21</v>
      </c>
      <c r="K275" s="2">
        <v>43570</v>
      </c>
      <c r="L275" s="2">
        <v>45397</v>
      </c>
      <c r="M275" s="10">
        <f t="shared" si="71"/>
        <v>5.0054794520547947</v>
      </c>
      <c r="N275" s="11">
        <f t="shared" si="72"/>
        <v>1</v>
      </c>
      <c r="O275" s="9" t="s">
        <v>47</v>
      </c>
      <c r="P275" t="str">
        <f t="shared" si="75"/>
        <v>0</v>
      </c>
      <c r="Q275" s="12">
        <v>422950</v>
      </c>
      <c r="R275" s="9">
        <v>1000</v>
      </c>
      <c r="S275" s="1" t="str">
        <f>IF($V275="USD",INDEX('Dólar Spot'!$B:$B,MATCH(Base!$K275,'Dólar Spot'!$A:$A,0)),"")</f>
        <v/>
      </c>
      <c r="T275" s="11">
        <f t="shared" si="68"/>
        <v>422950000</v>
      </c>
      <c r="U275" s="13">
        <f t="shared" si="73"/>
        <v>4.2294999999999998</v>
      </c>
      <c r="V275" s="9" t="s">
        <v>44</v>
      </c>
      <c r="W275" s="9" t="s">
        <v>34</v>
      </c>
      <c r="X275">
        <f t="shared" si="76"/>
        <v>1</v>
      </c>
      <c r="Y275" s="1" t="str" cm="1">
        <f t="array" ref="Y275">INDEX(Ratings!$B$2:$M$42,_xlfn.XMATCH(Base!F275,Ratings!$A$2:$A$42),_xlfn.XMATCH(YEAR(Base!K275),Ratings!$B$1:$M$1))</f>
        <v>BB-</v>
      </c>
      <c r="Z275">
        <f t="shared" si="77"/>
        <v>0</v>
      </c>
      <c r="AA275">
        <f>IFERROR(IFERROR(IFERROR(INDEX('EMBI+'!$B:$B,MATCH(Base!$K275,'EMBI+'!$A:$A,0)),INDEX('EMBI+'!$B:$B,MATCH(Base!$K275+1,'EMBI+'!$A:$A,0))),INDEX('EMBI+'!$B:$B,MATCH(Base!$K275+2,'EMBI+'!$A:$A,0))),INDEX('EMBI+'!$B:$B,MATCH(Base!$K275+3,'EMBI+'!$A:$A,0)))/100</f>
        <v>2.54</v>
      </c>
      <c r="AB275" s="9">
        <v>35.537149999999997</v>
      </c>
      <c r="AC275" s="9">
        <v>96.916740000000004</v>
      </c>
      <c r="AD275" s="9"/>
      <c r="AE275" s="9"/>
      <c r="AF275" s="2"/>
      <c r="AG275" s="2"/>
    </row>
    <row r="276" spans="1:33" x14ac:dyDescent="0.35">
      <c r="A276">
        <f t="shared" si="74"/>
        <v>274</v>
      </c>
      <c r="B276">
        <f>IF(G276="Bonds",COUNTIF($G$3:G276,"Bonds"),0)</f>
        <v>0</v>
      </c>
      <c r="C276" t="str">
        <f t="shared" si="78"/>
        <v>Light Energia4375345580</v>
      </c>
      <c r="D276">
        <f t="shared" si="79"/>
        <v>23</v>
      </c>
      <c r="E276" s="9" t="s">
        <v>342</v>
      </c>
      <c r="F276" s="9" t="s">
        <v>334</v>
      </c>
      <c r="G276" s="9" t="s">
        <v>29</v>
      </c>
      <c r="H276">
        <f t="shared" si="69"/>
        <v>0</v>
      </c>
      <c r="I276" s="9" t="s">
        <v>357</v>
      </c>
      <c r="J276" s="1">
        <f t="shared" si="70"/>
        <v>22</v>
      </c>
      <c r="K276" s="2">
        <v>43753</v>
      </c>
      <c r="L276" s="2">
        <v>45580</v>
      </c>
      <c r="M276" s="10">
        <f t="shared" si="71"/>
        <v>5.0054794520547947</v>
      </c>
      <c r="N276" s="11">
        <f t="shared" si="72"/>
        <v>1</v>
      </c>
      <c r="O276" s="9" t="s">
        <v>47</v>
      </c>
      <c r="P276" t="str">
        <f t="shared" si="75"/>
        <v>0</v>
      </c>
      <c r="Q276" s="12">
        <v>50000</v>
      </c>
      <c r="R276" s="9">
        <v>1000</v>
      </c>
      <c r="S276" s="1" t="str">
        <f>IF($V276="USD",INDEX('Dólar Spot'!$B:$B,MATCH(Base!$K276,'Dólar Spot'!$A:$A,0)),"")</f>
        <v/>
      </c>
      <c r="T276" s="11">
        <f t="shared" si="68"/>
        <v>50000000</v>
      </c>
      <c r="U276" s="13">
        <f t="shared" si="73"/>
        <v>0.5</v>
      </c>
      <c r="V276" s="9" t="s">
        <v>44</v>
      </c>
      <c r="W276" s="9" t="s">
        <v>34</v>
      </c>
      <c r="X276">
        <f t="shared" si="76"/>
        <v>1</v>
      </c>
      <c r="Y276" s="1" t="str" cm="1">
        <f t="array" ref="Y276">INDEX(Ratings!$B$2:$M$42,_xlfn.XMATCH(Base!F276,Ratings!$A$2:$A$42),_xlfn.XMATCH(YEAR(Base!K276),Ratings!$B$1:$M$1))</f>
        <v>BB-</v>
      </c>
      <c r="Z276">
        <f t="shared" si="77"/>
        <v>0</v>
      </c>
      <c r="AA276">
        <f>IFERROR(IFERROR(IFERROR(INDEX('EMBI+'!$B:$B,MATCH(Base!$K276,'EMBI+'!$A:$A,0)),INDEX('EMBI+'!$B:$B,MATCH(Base!$K276+1,'EMBI+'!$A:$A,0))),INDEX('EMBI+'!$B:$B,MATCH(Base!$K276+2,'EMBI+'!$A:$A,0))),INDEX('EMBI+'!$B:$B,MATCH(Base!$K276+3,'EMBI+'!$A:$A,0)))/100</f>
        <v>2.37</v>
      </c>
      <c r="AB276" s="9">
        <v>69.106729999999999</v>
      </c>
      <c r="AC276" s="9">
        <v>92.660910000000001</v>
      </c>
      <c r="AD276" s="9"/>
      <c r="AE276" s="9"/>
      <c r="AF276" s="2"/>
      <c r="AG276" s="2"/>
    </row>
    <row r="277" spans="1:33" x14ac:dyDescent="0.35">
      <c r="A277">
        <f t="shared" si="74"/>
        <v>275</v>
      </c>
      <c r="B277">
        <f>IF(G277="Bonds",COUNTIF($G$3:G277,"Bonds"),0)</f>
        <v>0</v>
      </c>
      <c r="C277" t="str">
        <f t="shared" si="78"/>
        <v>Light Energia4292344027</v>
      </c>
      <c r="D277">
        <f t="shared" si="79"/>
        <v>23</v>
      </c>
      <c r="E277" s="9" t="s">
        <v>342</v>
      </c>
      <c r="F277" s="9" t="s">
        <v>334</v>
      </c>
      <c r="G277" s="9" t="s">
        <v>29</v>
      </c>
      <c r="H277">
        <f t="shared" si="69"/>
        <v>0</v>
      </c>
      <c r="I277" s="9" t="s">
        <v>358</v>
      </c>
      <c r="J277" s="1">
        <f t="shared" si="70"/>
        <v>23</v>
      </c>
      <c r="K277" s="2">
        <v>42923</v>
      </c>
      <c r="L277" s="2">
        <v>44027</v>
      </c>
      <c r="M277" s="10">
        <f t="shared" si="71"/>
        <v>3.0246575342465754</v>
      </c>
      <c r="N277" s="11">
        <f t="shared" si="72"/>
        <v>0</v>
      </c>
      <c r="O277" s="9" t="s">
        <v>47</v>
      </c>
      <c r="P277" t="str">
        <f t="shared" si="75"/>
        <v>0</v>
      </c>
      <c r="Q277" s="12">
        <v>53333</v>
      </c>
      <c r="R277" s="9">
        <v>1000</v>
      </c>
      <c r="S277" s="1" t="str">
        <f>IF($V277="USD",INDEX('Dólar Spot'!$B:$B,MATCH(Base!$K277,'Dólar Spot'!$A:$A,0)),"")</f>
        <v/>
      </c>
      <c r="T277" s="11">
        <f t="shared" si="68"/>
        <v>53333000</v>
      </c>
      <c r="U277" s="13">
        <f t="shared" si="73"/>
        <v>0.53332999999999997</v>
      </c>
      <c r="V277" s="9" t="s">
        <v>32</v>
      </c>
      <c r="W277" s="9" t="s">
        <v>34</v>
      </c>
      <c r="X277">
        <f t="shared" si="76"/>
        <v>1</v>
      </c>
      <c r="Y277" s="1" t="str" cm="1">
        <f t="array" ref="Y277">INDEX(Ratings!$B$2:$M$42,_xlfn.XMATCH(Base!F277,Ratings!$A$2:$A$42),_xlfn.XMATCH(YEAR(Base!K277),Ratings!$B$1:$M$1))</f>
        <v>NR</v>
      </c>
      <c r="Z277">
        <f t="shared" si="77"/>
        <v>0</v>
      </c>
      <c r="AA277">
        <f>IFERROR(IFERROR(IFERROR(INDEX('EMBI+'!$B:$B,MATCH(Base!$K277,'EMBI+'!$A:$A,0)),INDEX('EMBI+'!$B:$B,MATCH(Base!$K277+1,'EMBI+'!$A:$A,0))),INDEX('EMBI+'!$B:$B,MATCH(Base!$K277+2,'EMBI+'!$A:$A,0))),INDEX('EMBI+'!$B:$B,MATCH(Base!$K277+3,'EMBI+'!$A:$A,0)))/100</f>
        <v>2.93</v>
      </c>
      <c r="AB277" s="9">
        <v>33.115920000000003</v>
      </c>
      <c r="AC277" s="9">
        <v>68.392409999999998</v>
      </c>
      <c r="AD277" s="9"/>
      <c r="AE277" s="9"/>
      <c r="AF277" s="2"/>
      <c r="AG277" s="2"/>
    </row>
    <row r="278" spans="1:33" x14ac:dyDescent="0.35">
      <c r="A278">
        <f t="shared" si="74"/>
        <v>276</v>
      </c>
      <c r="B278">
        <f>IF(G278="Bonds",COUNTIF($G$3:G278,"Bonds"),0)</f>
        <v>0</v>
      </c>
      <c r="C278" t="str">
        <f t="shared" si="78"/>
        <v>Light Energia4448446310</v>
      </c>
      <c r="D278">
        <f t="shared" si="79"/>
        <v>23</v>
      </c>
      <c r="E278" s="9" t="s">
        <v>342</v>
      </c>
      <c r="F278" s="9" t="s">
        <v>334</v>
      </c>
      <c r="G278" s="9" t="s">
        <v>29</v>
      </c>
      <c r="H278">
        <f t="shared" si="69"/>
        <v>0</v>
      </c>
      <c r="I278" s="9" t="s">
        <v>359</v>
      </c>
      <c r="J278" s="1">
        <f t="shared" si="70"/>
        <v>24</v>
      </c>
      <c r="K278" s="2">
        <v>44484</v>
      </c>
      <c r="L278" s="2">
        <v>46310</v>
      </c>
      <c r="M278" s="10">
        <f t="shared" si="71"/>
        <v>5.0027397260273974</v>
      </c>
      <c r="N278" s="11">
        <f t="shared" si="72"/>
        <v>1</v>
      </c>
      <c r="O278" s="9" t="s">
        <v>47</v>
      </c>
      <c r="P278" t="str">
        <f t="shared" si="75"/>
        <v>0</v>
      </c>
      <c r="Q278" s="12">
        <v>263500</v>
      </c>
      <c r="R278" s="9">
        <v>1000</v>
      </c>
      <c r="S278" s="1" t="str">
        <f>IF($V278="USD",INDEX('Dólar Spot'!$B:$B,MATCH(Base!$K278,'Dólar Spot'!$A:$A,0)),"")</f>
        <v/>
      </c>
      <c r="T278" s="11">
        <f t="shared" si="68"/>
        <v>263500000</v>
      </c>
      <c r="U278" s="13">
        <f t="shared" si="73"/>
        <v>2.6349999999999998</v>
      </c>
      <c r="V278" s="9" t="s">
        <v>44</v>
      </c>
      <c r="W278" s="9" t="s">
        <v>35</v>
      </c>
      <c r="X278">
        <f t="shared" si="76"/>
        <v>0</v>
      </c>
      <c r="Y278" s="1" t="str" cm="1">
        <f t="array" ref="Y278">INDEX(Ratings!$B$2:$M$42,_xlfn.XMATCH(Base!F278,Ratings!$A$2:$A$42),_xlfn.XMATCH(YEAR(Base!K278),Ratings!$B$1:$M$1))</f>
        <v>BB-</v>
      </c>
      <c r="Z278">
        <f t="shared" si="77"/>
        <v>0</v>
      </c>
      <c r="AA278">
        <f>IFERROR(IFERROR(IFERROR(INDEX('EMBI+'!$B:$B,MATCH(Base!$K278,'EMBI+'!$A:$A,0)),INDEX('EMBI+'!$B:$B,MATCH(Base!$K278+1,'EMBI+'!$A:$A,0))),INDEX('EMBI+'!$B:$B,MATCH(Base!$K278+2,'EMBI+'!$A:$A,0))),INDEX('EMBI+'!$B:$B,MATCH(Base!$K278+3,'EMBI+'!$A:$A,0)))/100</f>
        <v>3.24</v>
      </c>
      <c r="AB278" s="9">
        <v>87.497600000000006</v>
      </c>
      <c r="AC278" s="9">
        <v>106.89657</v>
      </c>
      <c r="AD278" s="9"/>
      <c r="AE278" s="9"/>
      <c r="AF278" s="2"/>
      <c r="AG278" s="2"/>
    </row>
    <row r="279" spans="1:33" x14ac:dyDescent="0.35">
      <c r="A279">
        <f t="shared" si="74"/>
        <v>277</v>
      </c>
      <c r="B279">
        <f>IF(G279="Bonds",COUNTIF($G$3:G279,"Bonds"),0)</f>
        <v>0</v>
      </c>
      <c r="C279" t="str">
        <f t="shared" si="78"/>
        <v>Light Energia4357045762</v>
      </c>
      <c r="D279">
        <f t="shared" si="79"/>
        <v>23</v>
      </c>
      <c r="E279" s="9" t="s">
        <v>342</v>
      </c>
      <c r="F279" s="9" t="s">
        <v>334</v>
      </c>
      <c r="G279" s="9" t="s">
        <v>29</v>
      </c>
      <c r="H279">
        <f t="shared" si="69"/>
        <v>0</v>
      </c>
      <c r="I279" s="9" t="s">
        <v>360</v>
      </c>
      <c r="J279" s="1">
        <f t="shared" si="70"/>
        <v>25</v>
      </c>
      <c r="K279" s="2">
        <v>43570</v>
      </c>
      <c r="L279" s="2">
        <v>45762</v>
      </c>
      <c r="M279" s="10">
        <f t="shared" si="71"/>
        <v>6.0054794520547947</v>
      </c>
      <c r="N279" s="11">
        <f t="shared" si="72"/>
        <v>1</v>
      </c>
      <c r="O279" s="9" t="s">
        <v>47</v>
      </c>
      <c r="P279" t="str">
        <f t="shared" si="75"/>
        <v>0</v>
      </c>
      <c r="Q279" s="12">
        <v>62500</v>
      </c>
      <c r="R279" s="9">
        <v>1000</v>
      </c>
      <c r="S279" s="1" t="str">
        <f>IF($V279="USD",INDEX('Dólar Spot'!$B:$B,MATCH(Base!$K279,'Dólar Spot'!$A:$A,0)),"")</f>
        <v/>
      </c>
      <c r="T279" s="11">
        <f t="shared" si="68"/>
        <v>62500000</v>
      </c>
      <c r="U279" s="13">
        <f t="shared" si="73"/>
        <v>0.625</v>
      </c>
      <c r="V279" s="9" t="s">
        <v>44</v>
      </c>
      <c r="W279" s="9" t="s">
        <v>34</v>
      </c>
      <c r="X279">
        <f t="shared" si="76"/>
        <v>1</v>
      </c>
      <c r="Y279" s="1" t="str" cm="1">
        <f t="array" ref="Y279">INDEX(Ratings!$B$2:$M$42,_xlfn.XMATCH(Base!F279,Ratings!$A$2:$A$42),_xlfn.XMATCH(YEAR(Base!K279),Ratings!$B$1:$M$1))</f>
        <v>BB-</v>
      </c>
      <c r="Z279">
        <f t="shared" si="77"/>
        <v>0</v>
      </c>
      <c r="AA279">
        <f>IFERROR(IFERROR(IFERROR(INDEX('EMBI+'!$B:$B,MATCH(Base!$K279,'EMBI+'!$A:$A,0)),INDEX('EMBI+'!$B:$B,MATCH(Base!$K279+1,'EMBI+'!$A:$A,0))),INDEX('EMBI+'!$B:$B,MATCH(Base!$K279+2,'EMBI+'!$A:$A,0))),INDEX('EMBI+'!$B:$B,MATCH(Base!$K279+3,'EMBI+'!$A:$A,0)))/100</f>
        <v>2.54</v>
      </c>
      <c r="AB279" s="9">
        <v>35.537149999999997</v>
      </c>
      <c r="AC279" s="9">
        <v>96.916740000000004</v>
      </c>
      <c r="AD279" s="9"/>
      <c r="AE279" s="9"/>
      <c r="AF279" s="2"/>
      <c r="AG279" s="2"/>
    </row>
    <row r="280" spans="1:33" x14ac:dyDescent="0.35">
      <c r="A280">
        <f t="shared" si="74"/>
        <v>278</v>
      </c>
      <c r="B280">
        <f>IF(G280="Bonds",COUNTIF($G$3:G280,"Bonds"),0)</f>
        <v>0</v>
      </c>
      <c r="C280" t="str">
        <f t="shared" si="78"/>
        <v>Light Energia4430147953</v>
      </c>
      <c r="D280">
        <f t="shared" si="79"/>
        <v>23</v>
      </c>
      <c r="E280" s="9" t="s">
        <v>342</v>
      </c>
      <c r="F280" s="9" t="s">
        <v>334</v>
      </c>
      <c r="G280" s="9" t="s">
        <v>29</v>
      </c>
      <c r="H280">
        <f t="shared" si="69"/>
        <v>0</v>
      </c>
      <c r="I280" s="9" t="s">
        <v>361</v>
      </c>
      <c r="J280" s="1">
        <f t="shared" si="70"/>
        <v>26</v>
      </c>
      <c r="K280" s="2">
        <v>44301</v>
      </c>
      <c r="L280" s="2">
        <v>47953</v>
      </c>
      <c r="M280" s="10">
        <f t="shared" si="71"/>
        <v>10.005479452054795</v>
      </c>
      <c r="N280" s="11">
        <f t="shared" si="72"/>
        <v>1</v>
      </c>
      <c r="O280" s="9" t="s">
        <v>47</v>
      </c>
      <c r="P280" t="str">
        <f t="shared" si="75"/>
        <v>0</v>
      </c>
      <c r="Q280" s="12">
        <v>916381</v>
      </c>
      <c r="R280" s="9">
        <v>1000</v>
      </c>
      <c r="S280" s="1" t="str">
        <f>IF($V280="USD",INDEX('Dólar Spot'!$B:$B,MATCH(Base!$K280,'Dólar Spot'!$A:$A,0)),"")</f>
        <v/>
      </c>
      <c r="T280" s="11">
        <f t="shared" si="68"/>
        <v>916381000</v>
      </c>
      <c r="U280" s="13">
        <f t="shared" si="73"/>
        <v>9.1638099999999998</v>
      </c>
      <c r="V280" s="9" t="s">
        <v>32</v>
      </c>
      <c r="W280" s="9" t="s">
        <v>35</v>
      </c>
      <c r="X280">
        <f t="shared" si="76"/>
        <v>0</v>
      </c>
      <c r="Y280" s="1" t="str" cm="1">
        <f t="array" ref="Y280">INDEX(Ratings!$B$2:$M$42,_xlfn.XMATCH(Base!F280,Ratings!$A$2:$A$42),_xlfn.XMATCH(YEAR(Base!K280),Ratings!$B$1:$M$1))</f>
        <v>BB-</v>
      </c>
      <c r="Z280">
        <f t="shared" si="77"/>
        <v>0</v>
      </c>
      <c r="AA280">
        <f>IFERROR(IFERROR(IFERROR(INDEX('EMBI+'!$B:$B,MATCH(Base!$K280,'EMBI+'!$A:$A,0)),INDEX('EMBI+'!$B:$B,MATCH(Base!$K280+1,'EMBI+'!$A:$A,0))),INDEX('EMBI+'!$B:$B,MATCH(Base!$K280+2,'EMBI+'!$A:$A,0))),INDEX('EMBI+'!$B:$B,MATCH(Base!$K280+3,'EMBI+'!$A:$A,0)))/100</f>
        <v>2.9</v>
      </c>
      <c r="AB280" s="9">
        <v>83.837410000000006</v>
      </c>
      <c r="AC280" s="9">
        <v>97.457809999999995</v>
      </c>
      <c r="AD280" s="9"/>
      <c r="AE280" s="9"/>
      <c r="AF280" s="2"/>
      <c r="AG280" s="2"/>
    </row>
    <row r="281" spans="1:33" x14ac:dyDescent="0.35">
      <c r="A281">
        <f t="shared" si="74"/>
        <v>279</v>
      </c>
      <c r="B281">
        <f>IF(G281="Bonds",COUNTIF($G$3:G281,"Bonds"),0)</f>
        <v>0</v>
      </c>
      <c r="C281" t="str">
        <f t="shared" si="78"/>
        <v>Light Energia4448447041</v>
      </c>
      <c r="D281">
        <f t="shared" si="79"/>
        <v>23</v>
      </c>
      <c r="E281" s="9" t="s">
        <v>342</v>
      </c>
      <c r="F281" s="9" t="s">
        <v>334</v>
      </c>
      <c r="G281" s="9" t="s">
        <v>29</v>
      </c>
      <c r="H281">
        <f t="shared" si="69"/>
        <v>0</v>
      </c>
      <c r="I281" s="9" t="s">
        <v>362</v>
      </c>
      <c r="J281" s="1">
        <f t="shared" si="70"/>
        <v>27</v>
      </c>
      <c r="K281" s="2">
        <v>44484</v>
      </c>
      <c r="L281" s="2">
        <v>47041</v>
      </c>
      <c r="M281" s="10">
        <f t="shared" si="71"/>
        <v>7.0054794520547947</v>
      </c>
      <c r="N281" s="11">
        <f t="shared" si="72"/>
        <v>1</v>
      </c>
      <c r="O281" s="9" t="s">
        <v>47</v>
      </c>
      <c r="P281" t="str">
        <f t="shared" si="75"/>
        <v>0</v>
      </c>
      <c r="Q281" s="12">
        <v>268500</v>
      </c>
      <c r="R281" s="9">
        <v>1000</v>
      </c>
      <c r="S281" s="1" t="str">
        <f>IF($V281="USD",INDEX('Dólar Spot'!$B:$B,MATCH(Base!$K281,'Dólar Spot'!$A:$A,0)),"")</f>
        <v/>
      </c>
      <c r="T281" s="11">
        <f t="shared" si="68"/>
        <v>268500000</v>
      </c>
      <c r="U281" s="13">
        <f t="shared" si="73"/>
        <v>2.6850000000000001</v>
      </c>
      <c r="V281" s="9" t="s">
        <v>44</v>
      </c>
      <c r="W281" s="9" t="s">
        <v>35</v>
      </c>
      <c r="X281">
        <f t="shared" si="76"/>
        <v>0</v>
      </c>
      <c r="Y281" s="1" t="str" cm="1">
        <f t="array" ref="Y281">INDEX(Ratings!$B$2:$M$42,_xlfn.XMATCH(Base!F281,Ratings!$A$2:$A$42),_xlfn.XMATCH(YEAR(Base!K281),Ratings!$B$1:$M$1))</f>
        <v>BB-</v>
      </c>
      <c r="Z281">
        <f t="shared" si="77"/>
        <v>0</v>
      </c>
      <c r="AA281">
        <f>IFERROR(IFERROR(IFERROR(INDEX('EMBI+'!$B:$B,MATCH(Base!$K281,'EMBI+'!$A:$A,0)),INDEX('EMBI+'!$B:$B,MATCH(Base!$K281+1,'EMBI+'!$A:$A,0))),INDEX('EMBI+'!$B:$B,MATCH(Base!$K281+2,'EMBI+'!$A:$A,0))),INDEX('EMBI+'!$B:$B,MATCH(Base!$K281+3,'EMBI+'!$A:$A,0)))/100</f>
        <v>3.24</v>
      </c>
      <c r="AB281" s="9">
        <v>87.497600000000006</v>
      </c>
      <c r="AC281" s="9">
        <v>106.89657</v>
      </c>
      <c r="AD281" s="9"/>
      <c r="AE281" s="9"/>
      <c r="AF281" s="2"/>
      <c r="AG281" s="2"/>
    </row>
    <row r="282" spans="1:33" x14ac:dyDescent="0.35">
      <c r="A282">
        <f t="shared" si="74"/>
        <v>280</v>
      </c>
      <c r="B282">
        <f>IF(G282="Bonds",COUNTIF($G$3:G282,"Bonds"),0)</f>
        <v>0</v>
      </c>
      <c r="C282" t="str">
        <f t="shared" si="78"/>
        <v>Light Energia4375346310</v>
      </c>
      <c r="D282">
        <f t="shared" si="79"/>
        <v>23</v>
      </c>
      <c r="E282" s="9" t="s">
        <v>342</v>
      </c>
      <c r="F282" s="9" t="s">
        <v>334</v>
      </c>
      <c r="G282" s="9" t="s">
        <v>29</v>
      </c>
      <c r="H282">
        <f t="shared" si="69"/>
        <v>0</v>
      </c>
      <c r="I282" s="9" t="s">
        <v>363</v>
      </c>
      <c r="J282" s="1">
        <f t="shared" si="70"/>
        <v>28</v>
      </c>
      <c r="K282" s="2">
        <v>43753</v>
      </c>
      <c r="L282" s="2">
        <v>46310</v>
      </c>
      <c r="M282" s="10">
        <f t="shared" si="71"/>
        <v>7.0054794520547947</v>
      </c>
      <c r="N282" s="11">
        <f t="shared" si="72"/>
        <v>1</v>
      </c>
      <c r="O282" s="9" t="s">
        <v>47</v>
      </c>
      <c r="P282" t="str">
        <f t="shared" si="75"/>
        <v>0</v>
      </c>
      <c r="Q282" s="12">
        <v>149600</v>
      </c>
      <c r="R282" s="9">
        <v>1000</v>
      </c>
      <c r="S282" s="1" t="str">
        <f>IF($V282="USD",INDEX('Dólar Spot'!$B:$B,MATCH(Base!$K282,'Dólar Spot'!$A:$A,0)),"")</f>
        <v/>
      </c>
      <c r="T282" s="11">
        <f t="shared" si="68"/>
        <v>149600000</v>
      </c>
      <c r="U282" s="13">
        <f t="shared" si="73"/>
        <v>1.496</v>
      </c>
      <c r="V282" s="9" t="s">
        <v>32</v>
      </c>
      <c r="W282" s="9" t="s">
        <v>34</v>
      </c>
      <c r="X282">
        <f t="shared" si="76"/>
        <v>1</v>
      </c>
      <c r="Y282" s="1" t="str" cm="1">
        <f t="array" ref="Y282">INDEX(Ratings!$B$2:$M$42,_xlfn.XMATCH(Base!F282,Ratings!$A$2:$A$42),_xlfn.XMATCH(YEAR(Base!K282),Ratings!$B$1:$M$1))</f>
        <v>BB-</v>
      </c>
      <c r="Z282">
        <f t="shared" si="77"/>
        <v>0</v>
      </c>
      <c r="AA282">
        <f>IFERROR(IFERROR(IFERROR(INDEX('EMBI+'!$B:$B,MATCH(Base!$K282,'EMBI+'!$A:$A,0)),INDEX('EMBI+'!$B:$B,MATCH(Base!$K282+1,'EMBI+'!$A:$A,0))),INDEX('EMBI+'!$B:$B,MATCH(Base!$K282+2,'EMBI+'!$A:$A,0))),INDEX('EMBI+'!$B:$B,MATCH(Base!$K282+3,'EMBI+'!$A:$A,0)))/100</f>
        <v>2.37</v>
      </c>
      <c r="AB282" s="9">
        <v>69.106729999999999</v>
      </c>
      <c r="AC282" s="9">
        <v>92.660910000000001</v>
      </c>
      <c r="AD282" s="9"/>
      <c r="AE282" s="9"/>
      <c r="AF282" s="2"/>
      <c r="AG282" s="2"/>
    </row>
    <row r="283" spans="1:33" x14ac:dyDescent="0.35">
      <c r="A283">
        <f t="shared" si="74"/>
        <v>281</v>
      </c>
      <c r="B283">
        <f>IF(G283="Bonds",COUNTIF($G$3:G283,"Bonds"),0)</f>
        <v>0</v>
      </c>
      <c r="C283" t="str">
        <f t="shared" si="78"/>
        <v>Light Energia4176843960</v>
      </c>
      <c r="D283">
        <f t="shared" si="79"/>
        <v>23</v>
      </c>
      <c r="E283" s="9" t="s">
        <v>342</v>
      </c>
      <c r="F283" s="9" t="s">
        <v>334</v>
      </c>
      <c r="G283" s="9" t="s">
        <v>29</v>
      </c>
      <c r="H283">
        <f t="shared" si="69"/>
        <v>0</v>
      </c>
      <c r="I283" s="9" t="s">
        <v>364</v>
      </c>
      <c r="J283" s="1">
        <f t="shared" si="70"/>
        <v>29</v>
      </c>
      <c r="K283" s="2">
        <v>41768</v>
      </c>
      <c r="L283" s="2">
        <v>43960</v>
      </c>
      <c r="M283" s="10">
        <f t="shared" si="71"/>
        <v>6.0054794520547947</v>
      </c>
      <c r="N283" s="11">
        <f t="shared" si="72"/>
        <v>1</v>
      </c>
      <c r="O283" s="9" t="s">
        <v>47</v>
      </c>
      <c r="P283" t="str">
        <f t="shared" si="75"/>
        <v>0</v>
      </c>
      <c r="Q283" s="12">
        <v>75000</v>
      </c>
      <c r="R283" s="9">
        <v>10000</v>
      </c>
      <c r="S283" s="1" t="str">
        <f>IF($V283="USD",INDEX('Dólar Spot'!$B:$B,MATCH(Base!$K283,'Dólar Spot'!$A:$A,0)),"")</f>
        <v/>
      </c>
      <c r="T283" s="11">
        <f t="shared" si="68"/>
        <v>750000000</v>
      </c>
      <c r="U283" s="13">
        <f t="shared" si="73"/>
        <v>7.5</v>
      </c>
      <c r="V283" s="9" t="s">
        <v>44</v>
      </c>
      <c r="W283" s="9" t="s">
        <v>34</v>
      </c>
      <c r="X283">
        <f t="shared" si="76"/>
        <v>1</v>
      </c>
      <c r="Y283" s="1" t="str" cm="1">
        <f t="array" ref="Y283">INDEX(Ratings!$B$2:$M$42,_xlfn.XMATCH(Base!F283,Ratings!$A$2:$A$42),_xlfn.XMATCH(YEAR(Base!K283),Ratings!$B$1:$M$1))</f>
        <v>NR</v>
      </c>
      <c r="Z283">
        <f t="shared" si="77"/>
        <v>0</v>
      </c>
      <c r="AA283">
        <f>IFERROR(IFERROR(IFERROR(INDEX('EMBI+'!$B:$B,MATCH(Base!$K283,'EMBI+'!$A:$A,0)),INDEX('EMBI+'!$B:$B,MATCH(Base!$K283+1,'EMBI+'!$A:$A,0))),INDEX('EMBI+'!$B:$B,MATCH(Base!$K283+2,'EMBI+'!$A:$A,0))),INDEX('EMBI+'!$B:$B,MATCH(Base!$K283+3,'EMBI+'!$A:$A,0)))/100</f>
        <v>2.0499999999999998</v>
      </c>
      <c r="AB283" s="9">
        <v>36.576540000000001</v>
      </c>
      <c r="AC283" s="9">
        <v>60.498660000000001</v>
      </c>
      <c r="AD283" s="9"/>
      <c r="AE283" s="9"/>
      <c r="AF283" s="2"/>
      <c r="AG283" s="2"/>
    </row>
    <row r="284" spans="1:33" x14ac:dyDescent="0.35">
      <c r="A284">
        <f t="shared" si="74"/>
        <v>282</v>
      </c>
      <c r="B284">
        <f>IF(G284="Bonds",COUNTIF($G$3:G284,"Bonds"),0)</f>
        <v>0</v>
      </c>
      <c r="C284" t="str">
        <f t="shared" si="78"/>
        <v>Light Energia4066541985</v>
      </c>
      <c r="D284">
        <f t="shared" si="79"/>
        <v>23</v>
      </c>
      <c r="E284" s="9" t="s">
        <v>342</v>
      </c>
      <c r="F284" s="9" t="s">
        <v>334</v>
      </c>
      <c r="G284" s="9" t="s">
        <v>29</v>
      </c>
      <c r="H284">
        <f t="shared" si="69"/>
        <v>0</v>
      </c>
      <c r="I284" s="9" t="s">
        <v>365</v>
      </c>
      <c r="J284" s="1">
        <f t="shared" si="70"/>
        <v>30</v>
      </c>
      <c r="K284" s="2">
        <v>40665</v>
      </c>
      <c r="L284" s="2">
        <v>41985</v>
      </c>
      <c r="M284" s="10">
        <f t="shared" si="71"/>
        <v>3.6164383561643834</v>
      </c>
      <c r="N284" s="11">
        <f t="shared" si="72"/>
        <v>0</v>
      </c>
      <c r="O284" s="9" t="s">
        <v>47</v>
      </c>
      <c r="P284" t="str">
        <f t="shared" si="75"/>
        <v>0</v>
      </c>
      <c r="Q284" s="12">
        <v>65000</v>
      </c>
      <c r="R284" s="9">
        <v>10000</v>
      </c>
      <c r="S284" s="1" t="str">
        <f>IF($V284="USD",INDEX('Dólar Spot'!$B:$B,MATCH(Base!$K284,'Dólar Spot'!$A:$A,0)),"")</f>
        <v/>
      </c>
      <c r="T284" s="11">
        <f t="shared" si="68"/>
        <v>650000000</v>
      </c>
      <c r="U284" s="13">
        <f t="shared" si="73"/>
        <v>6.5</v>
      </c>
      <c r="V284" s="9" t="s">
        <v>44</v>
      </c>
      <c r="W284" s="9" t="s">
        <v>34</v>
      </c>
      <c r="X284">
        <f t="shared" si="76"/>
        <v>1</v>
      </c>
      <c r="Y284" s="1" t="str" cm="1">
        <f t="array" ref="Y284">INDEX(Ratings!$B$2:$M$42,_xlfn.XMATCH(Base!F284,Ratings!$A$2:$A$42),_xlfn.XMATCH(YEAR(Base!K284),Ratings!$B$1:$M$1))</f>
        <v>NR</v>
      </c>
      <c r="Z284">
        <f t="shared" si="77"/>
        <v>0</v>
      </c>
      <c r="AA284">
        <f>IFERROR(IFERROR(IFERROR(INDEX('EMBI+'!$B:$B,MATCH(Base!$K284,'EMBI+'!$A:$A,0)),INDEX('EMBI+'!$B:$B,MATCH(Base!$K284+1,'EMBI+'!$A:$A,0))),INDEX('EMBI+'!$B:$B,MATCH(Base!$K284+2,'EMBI+'!$A:$A,0))),INDEX('EMBI+'!$B:$B,MATCH(Base!$K284+3,'EMBI+'!$A:$A,0)))/100</f>
        <v>1.65</v>
      </c>
      <c r="AB284" s="9">
        <v>34.964689999999997</v>
      </c>
      <c r="AC284" s="9">
        <v>25.174019999999999</v>
      </c>
      <c r="AD284" s="9"/>
      <c r="AE284" s="9"/>
      <c r="AF284" s="2"/>
      <c r="AG284" s="2"/>
    </row>
    <row r="285" spans="1:33" x14ac:dyDescent="0.35">
      <c r="A285">
        <f t="shared" si="74"/>
        <v>283</v>
      </c>
      <c r="B285">
        <f>IF(G285="Bonds",COUNTIF($G$3:G285,"Bonds"),0)</f>
        <v>0</v>
      </c>
      <c r="C285" t="str">
        <f t="shared" si="78"/>
        <v>Light Energia4144044331</v>
      </c>
      <c r="D285">
        <f t="shared" si="79"/>
        <v>23</v>
      </c>
      <c r="E285" s="9" t="s">
        <v>342</v>
      </c>
      <c r="F285" s="9" t="s">
        <v>334</v>
      </c>
      <c r="G285" s="9" t="s">
        <v>29</v>
      </c>
      <c r="H285">
        <f t="shared" si="69"/>
        <v>0</v>
      </c>
      <c r="I285" s="9" t="s">
        <v>366</v>
      </c>
      <c r="J285" s="1">
        <f t="shared" si="70"/>
        <v>31</v>
      </c>
      <c r="K285" s="2">
        <v>41440</v>
      </c>
      <c r="L285" s="2">
        <v>44331</v>
      </c>
      <c r="M285" s="10">
        <f t="shared" si="71"/>
        <v>7.9205479452054792</v>
      </c>
      <c r="N285" s="11">
        <f t="shared" si="72"/>
        <v>1</v>
      </c>
      <c r="O285" s="9" t="s">
        <v>47</v>
      </c>
      <c r="P285" t="str">
        <f t="shared" si="75"/>
        <v>0</v>
      </c>
      <c r="Q285" s="12">
        <v>100000</v>
      </c>
      <c r="R285" s="9">
        <v>10000</v>
      </c>
      <c r="S285" s="1" t="str">
        <f>IF($V285="USD",INDEX('Dólar Spot'!$B:$B,MATCH(Base!$K285,'Dólar Spot'!$A:$A,0)),"")</f>
        <v/>
      </c>
      <c r="T285" s="11">
        <f t="shared" si="68"/>
        <v>1000000000</v>
      </c>
      <c r="U285" s="13">
        <f t="shared" si="73"/>
        <v>10</v>
      </c>
      <c r="V285" s="9" t="s">
        <v>44</v>
      </c>
      <c r="W285" s="9" t="s">
        <v>34</v>
      </c>
      <c r="X285">
        <f t="shared" si="76"/>
        <v>1</v>
      </c>
      <c r="Y285" s="1" t="str" cm="1">
        <f t="array" ref="Y285">INDEX(Ratings!$B$2:$M$42,_xlfn.XMATCH(Base!F285,Ratings!$A$2:$A$42),_xlfn.XMATCH(YEAR(Base!K285),Ratings!$B$1:$M$1))</f>
        <v>NR</v>
      </c>
      <c r="Z285">
        <f t="shared" si="77"/>
        <v>0</v>
      </c>
      <c r="AA285">
        <f>IFERROR(IFERROR(IFERROR(INDEX('EMBI+'!$B:$B,MATCH(Base!$K285,'EMBI+'!$A:$A,0)),INDEX('EMBI+'!$B:$B,MATCH(Base!$K285+1,'EMBI+'!$A:$A,0))),INDEX('EMBI+'!$B:$B,MATCH(Base!$K285+2,'EMBI+'!$A:$A,0))),INDEX('EMBI+'!$B:$B,MATCH(Base!$K285+3,'EMBI+'!$A:$A,0)))/100</f>
        <v>2.16</v>
      </c>
      <c r="AB285" s="9">
        <v>27.516269999999999</v>
      </c>
      <c r="AC285" s="9">
        <v>61.01294</v>
      </c>
      <c r="AD285" s="9"/>
      <c r="AE285" s="9"/>
      <c r="AF285" s="2"/>
      <c r="AG285" s="2"/>
    </row>
    <row r="286" spans="1:33" x14ac:dyDescent="0.35">
      <c r="A286">
        <f t="shared" si="74"/>
        <v>284</v>
      </c>
      <c r="B286">
        <f>IF(G286="Bonds",COUNTIF($G$3:G286,"Bonds"),0)</f>
        <v>0</v>
      </c>
      <c r="C286" t="str">
        <f t="shared" si="78"/>
        <v>Light Energia4144045061</v>
      </c>
      <c r="D286">
        <f t="shared" si="79"/>
        <v>23</v>
      </c>
      <c r="E286" s="9" t="s">
        <v>342</v>
      </c>
      <c r="F286" s="9" t="s">
        <v>334</v>
      </c>
      <c r="G286" s="9" t="s">
        <v>29</v>
      </c>
      <c r="H286">
        <f t="shared" si="69"/>
        <v>0</v>
      </c>
      <c r="I286" s="9" t="s">
        <v>367</v>
      </c>
      <c r="J286" s="1">
        <f t="shared" si="70"/>
        <v>32</v>
      </c>
      <c r="K286" s="2">
        <v>41440</v>
      </c>
      <c r="L286" s="2">
        <v>45061</v>
      </c>
      <c r="M286" s="10">
        <f t="shared" si="71"/>
        <v>9.9205479452054792</v>
      </c>
      <c r="N286" s="11">
        <f t="shared" si="72"/>
        <v>1</v>
      </c>
      <c r="O286" s="9" t="s">
        <v>47</v>
      </c>
      <c r="P286" t="str">
        <f t="shared" si="75"/>
        <v>0</v>
      </c>
      <c r="Q286" s="12">
        <v>60000</v>
      </c>
      <c r="R286" s="9">
        <v>10000</v>
      </c>
      <c r="S286" s="1" t="str">
        <f>IF($V286="USD",INDEX('Dólar Spot'!$B:$B,MATCH(Base!$K286,'Dólar Spot'!$A:$A,0)),"")</f>
        <v/>
      </c>
      <c r="T286" s="11">
        <f t="shared" si="68"/>
        <v>600000000</v>
      </c>
      <c r="U286" s="13">
        <f t="shared" si="73"/>
        <v>6</v>
      </c>
      <c r="V286" s="9" t="s">
        <v>32</v>
      </c>
      <c r="W286" s="9" t="s">
        <v>34</v>
      </c>
      <c r="X286">
        <f t="shared" si="76"/>
        <v>1</v>
      </c>
      <c r="Y286" s="1" t="str" cm="1">
        <f t="array" ref="Y286">INDEX(Ratings!$B$2:$M$42,_xlfn.XMATCH(Base!F286,Ratings!$A$2:$A$42),_xlfn.XMATCH(YEAR(Base!K286),Ratings!$B$1:$M$1))</f>
        <v>NR</v>
      </c>
      <c r="Z286">
        <f t="shared" si="77"/>
        <v>0</v>
      </c>
      <c r="AA286">
        <f>IFERROR(IFERROR(IFERROR(INDEX('EMBI+'!$B:$B,MATCH(Base!$K286,'EMBI+'!$A:$A,0)),INDEX('EMBI+'!$B:$B,MATCH(Base!$K286+1,'EMBI+'!$A:$A,0))),INDEX('EMBI+'!$B:$B,MATCH(Base!$K286+2,'EMBI+'!$A:$A,0))),INDEX('EMBI+'!$B:$B,MATCH(Base!$K286+3,'EMBI+'!$A:$A,0)))/100</f>
        <v>2.16</v>
      </c>
      <c r="AB286" s="9">
        <v>27.516269999999999</v>
      </c>
      <c r="AC286" s="9">
        <v>61.01294</v>
      </c>
      <c r="AD286" s="9"/>
      <c r="AE286" s="9"/>
      <c r="AF286" s="2"/>
      <c r="AG286" s="2"/>
    </row>
    <row r="287" spans="1:33" x14ac:dyDescent="0.35">
      <c r="A287">
        <f t="shared" si="74"/>
        <v>285</v>
      </c>
      <c r="B287">
        <f>IF(G287="Bonds",COUNTIF($G$3:G287,"Bonds"),0)</f>
        <v>0</v>
      </c>
      <c r="C287" t="str">
        <f t="shared" si="78"/>
        <v>Light Energia4466645397</v>
      </c>
      <c r="D287">
        <f t="shared" si="79"/>
        <v>23</v>
      </c>
      <c r="E287" s="9" t="s">
        <v>342</v>
      </c>
      <c r="F287" s="9" t="s">
        <v>334</v>
      </c>
      <c r="G287" s="9" t="s">
        <v>29</v>
      </c>
      <c r="H287">
        <f t="shared" si="69"/>
        <v>0</v>
      </c>
      <c r="I287" s="9"/>
      <c r="J287" s="1">
        <f t="shared" si="70"/>
        <v>33</v>
      </c>
      <c r="K287" s="2">
        <v>44666</v>
      </c>
      <c r="L287" s="2">
        <v>45397</v>
      </c>
      <c r="M287" s="10">
        <f t="shared" si="71"/>
        <v>2.0027397260273974</v>
      </c>
      <c r="N287" s="11">
        <f t="shared" si="72"/>
        <v>0</v>
      </c>
      <c r="O287" s="9" t="s">
        <v>47</v>
      </c>
      <c r="P287" t="str">
        <f t="shared" si="75"/>
        <v>0</v>
      </c>
      <c r="Q287" s="12">
        <v>1300000</v>
      </c>
      <c r="R287" s="9">
        <v>1000</v>
      </c>
      <c r="S287" s="1" t="str">
        <f>IF($V287="USD",INDEX('Dólar Spot'!$B:$B,MATCH(Base!$K287,'Dólar Spot'!$A:$A,0)),"")</f>
        <v/>
      </c>
      <c r="T287" s="11">
        <f t="shared" si="68"/>
        <v>1300000000</v>
      </c>
      <c r="U287" s="13">
        <f t="shared" si="73"/>
        <v>13</v>
      </c>
      <c r="V287" s="9" t="s">
        <v>44</v>
      </c>
      <c r="W287" s="9" t="s">
        <v>34</v>
      </c>
      <c r="X287">
        <f t="shared" si="76"/>
        <v>1</v>
      </c>
      <c r="Y287" s="1" t="str" cm="1">
        <f t="array" ref="Y287">INDEX(Ratings!$B$2:$M$42,_xlfn.XMATCH(Base!F287,Ratings!$A$2:$A$42),_xlfn.XMATCH(YEAR(Base!K287),Ratings!$B$1:$M$1))</f>
        <v>BB-</v>
      </c>
      <c r="Z287">
        <f t="shared" si="77"/>
        <v>0</v>
      </c>
      <c r="AA287">
        <f>IFERROR(IFERROR(IFERROR(INDEX('EMBI+'!$B:$B,MATCH(Base!$K287,'EMBI+'!$A:$A,0)),INDEX('EMBI+'!$B:$B,MATCH(Base!$K287+1,'EMBI+'!$A:$A,0))),INDEX('EMBI+'!$B:$B,MATCH(Base!$K287+2,'EMBI+'!$A:$A,0))),INDEX('EMBI+'!$B:$B,MATCH(Base!$K287+3,'EMBI+'!$A:$A,0)))/100</f>
        <v>2.84</v>
      </c>
      <c r="AB287" s="9">
        <v>86.286010000000005</v>
      </c>
      <c r="AC287" s="9">
        <v>107.60445</v>
      </c>
      <c r="AD287" s="9"/>
      <c r="AE287" s="9"/>
      <c r="AF287" s="2"/>
      <c r="AG287" s="2"/>
    </row>
    <row r="288" spans="1:33" x14ac:dyDescent="0.35">
      <c r="A288">
        <f t="shared" si="74"/>
        <v>286</v>
      </c>
      <c r="B288">
        <f>IF(G288="Bonds",COUNTIF($G$3:G288,"Bonds"),0)</f>
        <v>77</v>
      </c>
      <c r="C288" t="str">
        <f t="shared" si="78"/>
        <v>Light Energia4436518/06/2026</v>
      </c>
      <c r="D288">
        <f t="shared" si="79"/>
        <v>23</v>
      </c>
      <c r="E288" s="9" t="s">
        <v>368</v>
      </c>
      <c r="F288" s="9" t="s">
        <v>334</v>
      </c>
      <c r="G288" s="9" t="s">
        <v>37</v>
      </c>
      <c r="H288">
        <f t="shared" si="69"/>
        <v>1</v>
      </c>
      <c r="I288" s="9"/>
      <c r="J288" s="1">
        <f t="shared" si="70"/>
        <v>34</v>
      </c>
      <c r="K288" s="2">
        <v>44365</v>
      </c>
      <c r="L288" s="2" t="s">
        <v>369</v>
      </c>
      <c r="M288" s="10">
        <f t="shared" si="71"/>
        <v>5.0027397260273974</v>
      </c>
      <c r="N288" s="11">
        <f t="shared" si="72"/>
        <v>1</v>
      </c>
      <c r="O288" s="9" t="s">
        <v>39</v>
      </c>
      <c r="P288" t="str">
        <f t="shared" si="75"/>
        <v>0</v>
      </c>
      <c r="Q288" s="9"/>
      <c r="R288" s="9"/>
      <c r="S288" s="1">
        <f>IF($V288="USD",INDEX('Dólar Spot'!$B:$B,MATCH(Base!$K288,'Dólar Spot'!$A:$A,0)),"")</f>
        <v>5.0313999999999997</v>
      </c>
      <c r="T288" s="12">
        <v>600000000</v>
      </c>
      <c r="U288" s="13">
        <f t="shared" si="73"/>
        <v>30.188400000000001</v>
      </c>
      <c r="V288" s="9" t="s">
        <v>40</v>
      </c>
      <c r="W288" s="9" t="s">
        <v>34</v>
      </c>
      <c r="X288">
        <f t="shared" si="76"/>
        <v>1</v>
      </c>
      <c r="Y288" s="1" t="str" cm="1">
        <f t="array" ref="Y288">INDEX(Ratings!$B$2:$M$42,_xlfn.XMATCH(Base!F288,Ratings!$A$2:$A$42),_xlfn.XMATCH(YEAR(Base!K288),Ratings!$B$1:$M$1))</f>
        <v>BB-</v>
      </c>
      <c r="Z288">
        <f t="shared" si="77"/>
        <v>0</v>
      </c>
      <c r="AA288">
        <f>IFERROR(IFERROR(IFERROR(INDEX('EMBI+'!$B:$B,MATCH(Base!$K288,'EMBI+'!$A:$A,0)),INDEX('EMBI+'!$B:$B,MATCH(Base!$K288+1,'EMBI+'!$A:$A,0))),INDEX('EMBI+'!$B:$B,MATCH(Base!$K288+2,'EMBI+'!$A:$A,0))),INDEX('EMBI+'!$B:$B,MATCH(Base!$K288+3,'EMBI+'!$A:$A,0)))/100</f>
        <v>2.67</v>
      </c>
      <c r="AB288" s="9">
        <v>83.836119999999994</v>
      </c>
      <c r="AC288" s="9">
        <v>123.83684</v>
      </c>
      <c r="AD288" s="9"/>
      <c r="AE288" s="9"/>
      <c r="AF288" s="2"/>
      <c r="AG288" s="2"/>
    </row>
    <row r="289" spans="1:33" x14ac:dyDescent="0.35">
      <c r="A289">
        <f t="shared" si="74"/>
        <v>287</v>
      </c>
      <c r="B289">
        <f>IF(G289="Bonds",COUNTIF($G$3:G289,"Bonds"),0)</f>
        <v>78</v>
      </c>
      <c r="C289" t="str">
        <f t="shared" si="78"/>
        <v>Light Energia4322203/05/2023</v>
      </c>
      <c r="D289">
        <f t="shared" si="79"/>
        <v>23</v>
      </c>
      <c r="E289" s="9" t="s">
        <v>368</v>
      </c>
      <c r="F289" s="9" t="s">
        <v>334</v>
      </c>
      <c r="G289" s="9" t="s">
        <v>37</v>
      </c>
      <c r="H289">
        <f t="shared" si="69"/>
        <v>1</v>
      </c>
      <c r="I289" s="9"/>
      <c r="J289" s="1">
        <f t="shared" si="70"/>
        <v>35</v>
      </c>
      <c r="K289" s="2">
        <v>43222</v>
      </c>
      <c r="L289" s="2" t="s">
        <v>370</v>
      </c>
      <c r="M289" s="10">
        <f t="shared" si="71"/>
        <v>5.0054794520547947</v>
      </c>
      <c r="N289" s="11">
        <f t="shared" si="72"/>
        <v>1</v>
      </c>
      <c r="O289" s="9" t="s">
        <v>39</v>
      </c>
      <c r="P289" t="str">
        <f t="shared" si="75"/>
        <v>0</v>
      </c>
      <c r="Q289" s="9"/>
      <c r="R289" s="9"/>
      <c r="S289" s="1">
        <f>IF($V289="USD",INDEX('Dólar Spot'!$B:$B,MATCH(Base!$K289,'Dólar Spot'!$A:$A,0)),"")</f>
        <v>3.5417999999999998</v>
      </c>
      <c r="T289" s="12">
        <v>600000000</v>
      </c>
      <c r="U289" s="13">
        <f t="shared" si="73"/>
        <v>21.250800000000002</v>
      </c>
      <c r="V289" s="9" t="s">
        <v>40</v>
      </c>
      <c r="W289" s="9" t="s">
        <v>34</v>
      </c>
      <c r="X289">
        <f t="shared" si="76"/>
        <v>1</v>
      </c>
      <c r="Y289" s="1" t="str" cm="1">
        <f t="array" ref="Y289">INDEX(Ratings!$B$2:$M$42,_xlfn.XMATCH(Base!F289,Ratings!$A$2:$A$42),_xlfn.XMATCH(YEAR(Base!K289),Ratings!$B$1:$M$1))</f>
        <v>BB-</v>
      </c>
      <c r="Z289">
        <f t="shared" si="77"/>
        <v>0</v>
      </c>
      <c r="AA289">
        <f>IFERROR(IFERROR(IFERROR(INDEX('EMBI+'!$B:$B,MATCH(Base!$K289,'EMBI+'!$A:$A,0)),INDEX('EMBI+'!$B:$B,MATCH(Base!$K289+1,'EMBI+'!$A:$A,0))),INDEX('EMBI+'!$B:$B,MATCH(Base!$K289+2,'EMBI+'!$A:$A,0))),INDEX('EMBI+'!$B:$B,MATCH(Base!$K289+3,'EMBI+'!$A:$A,0)))/100</f>
        <v>2.56</v>
      </c>
      <c r="AB289" s="9">
        <v>33.558340000000001</v>
      </c>
      <c r="AC289" s="9">
        <v>75.49794</v>
      </c>
      <c r="AD289" s="9"/>
      <c r="AE289" s="9"/>
      <c r="AF289" s="2"/>
      <c r="AG289" s="2"/>
    </row>
    <row r="290" spans="1:33" x14ac:dyDescent="0.35">
      <c r="A290">
        <f t="shared" si="74"/>
        <v>288</v>
      </c>
      <c r="B290">
        <f>IF(G290="Bonds",COUNTIF($G$3:G290,"Bonds"),0)</f>
        <v>0</v>
      </c>
      <c r="C290" t="str">
        <f t="shared" si="78"/>
        <v>Marfrig4056142022</v>
      </c>
      <c r="D290">
        <f t="shared" si="79"/>
        <v>24</v>
      </c>
      <c r="E290" s="9" t="s">
        <v>371</v>
      </c>
      <c r="F290" s="9" t="s">
        <v>372</v>
      </c>
      <c r="G290" s="9" t="s">
        <v>29</v>
      </c>
      <c r="H290">
        <f t="shared" si="69"/>
        <v>0</v>
      </c>
      <c r="I290" s="9" t="s">
        <v>373</v>
      </c>
      <c r="J290" s="1">
        <f t="shared" si="70"/>
        <v>1</v>
      </c>
      <c r="K290" s="2">
        <v>40561</v>
      </c>
      <c r="L290" s="2">
        <v>42022</v>
      </c>
      <c r="M290" s="10">
        <f t="shared" si="71"/>
        <v>4.0027397260273974</v>
      </c>
      <c r="N290" s="11">
        <f t="shared" si="72"/>
        <v>0</v>
      </c>
      <c r="O290" s="9" t="s">
        <v>47</v>
      </c>
      <c r="P290" t="str">
        <f t="shared" si="75"/>
        <v>0</v>
      </c>
      <c r="Q290" s="12">
        <v>360000</v>
      </c>
      <c r="R290" s="9">
        <v>1000</v>
      </c>
      <c r="S290" s="1" t="str">
        <f>IF($V290="USD",INDEX('Dólar Spot'!$B:$B,MATCH(Base!$K290,'Dólar Spot'!$A:$A,0)),"")</f>
        <v/>
      </c>
      <c r="T290" s="11">
        <f>Q290*R290</f>
        <v>360000000</v>
      </c>
      <c r="U290" s="13">
        <f t="shared" si="73"/>
        <v>3.6</v>
      </c>
      <c r="V290" s="9" t="s">
        <v>44</v>
      </c>
      <c r="W290" s="9" t="s">
        <v>34</v>
      </c>
      <c r="X290">
        <f t="shared" si="76"/>
        <v>1</v>
      </c>
      <c r="Y290" s="1" t="str" cm="1">
        <f t="array" ref="Y290">INDEX(Ratings!$B$2:$M$42,_xlfn.XMATCH(Base!F290,Ratings!$A$2:$A$42),_xlfn.XMATCH(YEAR(Base!K290),Ratings!$B$1:$M$1))</f>
        <v>B+</v>
      </c>
      <c r="Z290">
        <f t="shared" si="77"/>
        <v>0</v>
      </c>
      <c r="AA290">
        <f>IFERROR(IFERROR(IFERROR(INDEX('EMBI+'!$B:$B,MATCH(Base!$K290,'EMBI+'!$A:$A,0)),INDEX('EMBI+'!$B:$B,MATCH(Base!$K290+1,'EMBI+'!$A:$A,0))),INDEX('EMBI+'!$B:$B,MATCH(Base!$K290+2,'EMBI+'!$A:$A,0))),INDEX('EMBI+'!$B:$B,MATCH(Base!$K290+3,'EMBI+'!$A:$A,0)))/100</f>
        <v>1.67</v>
      </c>
      <c r="AB290" s="9">
        <v>38.65616</v>
      </c>
      <c r="AC290" s="9">
        <v>96.79016</v>
      </c>
      <c r="AD290" s="9"/>
      <c r="AE290" s="9"/>
      <c r="AF290" s="2"/>
      <c r="AG290" s="2"/>
    </row>
    <row r="291" spans="1:33" x14ac:dyDescent="0.35">
      <c r="A291">
        <f t="shared" si="74"/>
        <v>289</v>
      </c>
      <c r="B291">
        <f>IF(G291="Bonds",COUNTIF($G$3:G291,"Bonds"),0)</f>
        <v>0</v>
      </c>
      <c r="C291" t="str">
        <f t="shared" si="78"/>
        <v>Marfrig4056142022</v>
      </c>
      <c r="D291">
        <f t="shared" si="79"/>
        <v>24</v>
      </c>
      <c r="E291" s="9" t="s">
        <v>371</v>
      </c>
      <c r="F291" s="9" t="s">
        <v>372</v>
      </c>
      <c r="G291" s="9" t="s">
        <v>29</v>
      </c>
      <c r="H291">
        <f t="shared" si="69"/>
        <v>0</v>
      </c>
      <c r="I291" s="9" t="s">
        <v>374</v>
      </c>
      <c r="J291" s="1">
        <f t="shared" si="70"/>
        <v>2</v>
      </c>
      <c r="K291" s="2">
        <v>40561</v>
      </c>
      <c r="L291" s="2">
        <v>42022</v>
      </c>
      <c r="M291" s="10">
        <f t="shared" si="71"/>
        <v>4.0027397260273974</v>
      </c>
      <c r="N291" s="11">
        <f t="shared" si="72"/>
        <v>0</v>
      </c>
      <c r="O291" s="9" t="s">
        <v>47</v>
      </c>
      <c r="P291" t="str">
        <f t="shared" si="75"/>
        <v>0</v>
      </c>
      <c r="Q291" s="12">
        <v>238200</v>
      </c>
      <c r="R291" s="9">
        <v>1000</v>
      </c>
      <c r="S291" s="1" t="str">
        <f>IF($V291="USD",INDEX('Dólar Spot'!$B:$B,MATCH(Base!$K291,'Dólar Spot'!$A:$A,0)),"")</f>
        <v/>
      </c>
      <c r="T291" s="11">
        <f>Q291*R291</f>
        <v>238200000</v>
      </c>
      <c r="U291" s="13">
        <f t="shared" si="73"/>
        <v>2.3820000000000001</v>
      </c>
      <c r="V291" s="9" t="s">
        <v>32</v>
      </c>
      <c r="W291" s="9" t="s">
        <v>34</v>
      </c>
      <c r="X291">
        <f t="shared" si="76"/>
        <v>1</v>
      </c>
      <c r="Y291" s="1" t="str" cm="1">
        <f t="array" ref="Y291">INDEX(Ratings!$B$2:$M$42,_xlfn.XMATCH(Base!F291,Ratings!$A$2:$A$42),_xlfn.XMATCH(YEAR(Base!K291),Ratings!$B$1:$M$1))</f>
        <v>B+</v>
      </c>
      <c r="Z291">
        <f t="shared" si="77"/>
        <v>0</v>
      </c>
      <c r="AA291">
        <f>IFERROR(IFERROR(IFERROR(INDEX('EMBI+'!$B:$B,MATCH(Base!$K291,'EMBI+'!$A:$A,0)),INDEX('EMBI+'!$B:$B,MATCH(Base!$K291+1,'EMBI+'!$A:$A,0))),INDEX('EMBI+'!$B:$B,MATCH(Base!$K291+2,'EMBI+'!$A:$A,0))),INDEX('EMBI+'!$B:$B,MATCH(Base!$K291+3,'EMBI+'!$A:$A,0)))/100</f>
        <v>1.67</v>
      </c>
      <c r="AB291" s="9">
        <v>38.65616</v>
      </c>
      <c r="AC291" s="9">
        <v>96.79016</v>
      </c>
      <c r="AD291" s="9"/>
      <c r="AE291" s="9"/>
      <c r="AF291" s="2"/>
      <c r="AG291" s="2"/>
    </row>
    <row r="292" spans="1:33" x14ac:dyDescent="0.35">
      <c r="A292">
        <f t="shared" si="74"/>
        <v>290</v>
      </c>
      <c r="B292">
        <f>IF(G292="Bonds",COUNTIF($G$3:G292,"Bonds"),0)</f>
        <v>0</v>
      </c>
      <c r="C292" t="str">
        <f t="shared" si="78"/>
        <v>Marfrig4458946037</v>
      </c>
      <c r="D292">
        <f t="shared" si="79"/>
        <v>24</v>
      </c>
      <c r="E292" s="9" t="s">
        <v>371</v>
      </c>
      <c r="F292" s="9" t="s">
        <v>372</v>
      </c>
      <c r="G292" s="9" t="s">
        <v>29</v>
      </c>
      <c r="H292">
        <f t="shared" si="69"/>
        <v>0</v>
      </c>
      <c r="I292" s="9"/>
      <c r="J292" s="1">
        <f t="shared" si="70"/>
        <v>3</v>
      </c>
      <c r="K292" s="2">
        <v>44589</v>
      </c>
      <c r="L292" s="2">
        <v>46037</v>
      </c>
      <c r="M292" s="10">
        <f t="shared" si="71"/>
        <v>3.967123287671233</v>
      </c>
      <c r="N292" s="11">
        <f t="shared" si="72"/>
        <v>0</v>
      </c>
      <c r="O292" s="9" t="s">
        <v>47</v>
      </c>
      <c r="P292" t="str">
        <f t="shared" si="75"/>
        <v>0</v>
      </c>
      <c r="Q292" s="12">
        <v>500000</v>
      </c>
      <c r="R292" s="9">
        <v>1000</v>
      </c>
      <c r="S292" s="1" t="str">
        <f>IF($V292="USD",INDEX('Dólar Spot'!$B:$B,MATCH(Base!$K292,'Dólar Spot'!$A:$A,0)),"")</f>
        <v/>
      </c>
      <c r="T292" s="11">
        <f t="shared" ref="T292:T294" si="80">Q292*R292</f>
        <v>500000000</v>
      </c>
      <c r="U292" s="13">
        <f t="shared" si="73"/>
        <v>5</v>
      </c>
      <c r="V292" s="9" t="s">
        <v>44</v>
      </c>
      <c r="W292" s="9" t="s">
        <v>34</v>
      </c>
      <c r="X292">
        <f t="shared" si="76"/>
        <v>1</v>
      </c>
      <c r="Y292" s="1" t="str" cm="1">
        <f t="array" ref="Y292">INDEX(Ratings!$B$2:$M$42,_xlfn.XMATCH(Base!F292,Ratings!$A$2:$A$42),_xlfn.XMATCH(YEAR(Base!K292),Ratings!$B$1:$M$1))</f>
        <v>BB</v>
      </c>
      <c r="Z292">
        <f t="shared" si="77"/>
        <v>0</v>
      </c>
      <c r="AA292">
        <f>IFERROR(IFERROR(IFERROR(INDEX('EMBI+'!$B:$B,MATCH(Base!$K292,'EMBI+'!$A:$A,0)),INDEX('EMBI+'!$B:$B,MATCH(Base!$K292+1,'EMBI+'!$A:$A,0))),INDEX('EMBI+'!$B:$B,MATCH(Base!$K292+2,'EMBI+'!$A:$A,0))),INDEX('EMBI+'!$B:$B,MATCH(Base!$K292+3,'EMBI+'!$A:$A,0)))/100</f>
        <v>3.39</v>
      </c>
      <c r="AB292" s="9">
        <v>39.169199999999996</v>
      </c>
      <c r="AC292" s="9">
        <v>309.68259999999998</v>
      </c>
      <c r="AD292" s="9"/>
      <c r="AE292" s="9"/>
      <c r="AF292" s="2"/>
      <c r="AG292" s="2"/>
    </row>
    <row r="293" spans="1:33" x14ac:dyDescent="0.35">
      <c r="A293">
        <f t="shared" si="74"/>
        <v>291</v>
      </c>
      <c r="B293">
        <f>IF(G293="Bonds",COUNTIF($G$3:G293,"Bonds"),0)</f>
        <v>0</v>
      </c>
      <c r="C293" t="str">
        <f t="shared" si="78"/>
        <v>Marfrig4487646702</v>
      </c>
      <c r="D293">
        <f t="shared" si="79"/>
        <v>24</v>
      </c>
      <c r="E293" s="9" t="s">
        <v>371</v>
      </c>
      <c r="F293" s="9" t="s">
        <v>372</v>
      </c>
      <c r="G293" s="9" t="s">
        <v>29</v>
      </c>
      <c r="H293">
        <f t="shared" si="69"/>
        <v>0</v>
      </c>
      <c r="I293" s="9"/>
      <c r="J293" s="1">
        <f t="shared" si="70"/>
        <v>4</v>
      </c>
      <c r="K293" s="2">
        <v>44876</v>
      </c>
      <c r="L293" s="2">
        <v>46702</v>
      </c>
      <c r="M293" s="10">
        <f t="shared" si="71"/>
        <v>5.0027397260273974</v>
      </c>
      <c r="N293" s="11">
        <f t="shared" si="72"/>
        <v>1</v>
      </c>
      <c r="O293" s="9" t="s">
        <v>47</v>
      </c>
      <c r="P293" t="str">
        <f t="shared" si="75"/>
        <v>0</v>
      </c>
      <c r="Q293" s="12">
        <v>750000</v>
      </c>
      <c r="R293" s="9">
        <v>1000</v>
      </c>
      <c r="S293" s="1" t="str">
        <f>IF($V293="USD",INDEX('Dólar Spot'!$B:$B,MATCH(Base!$K293,'Dólar Spot'!$A:$A,0)),"")</f>
        <v/>
      </c>
      <c r="T293" s="11">
        <f t="shared" si="80"/>
        <v>750000000</v>
      </c>
      <c r="U293" s="13">
        <f t="shared" si="73"/>
        <v>7.5</v>
      </c>
      <c r="V293" s="9" t="s">
        <v>44</v>
      </c>
      <c r="W293" s="9" t="s">
        <v>34</v>
      </c>
      <c r="X293">
        <f t="shared" si="76"/>
        <v>1</v>
      </c>
      <c r="Y293" s="1" t="str" cm="1">
        <f t="array" ref="Y293">INDEX(Ratings!$B$2:$M$42,_xlfn.XMATCH(Base!F293,Ratings!$A$2:$A$42),_xlfn.XMATCH(YEAR(Base!K293),Ratings!$B$1:$M$1))</f>
        <v>BB</v>
      </c>
      <c r="Z293">
        <f t="shared" si="77"/>
        <v>0</v>
      </c>
      <c r="AA293">
        <f>IFERROR(IFERROR(IFERROR(INDEX('EMBI+'!$B:$B,MATCH(Base!$K293,'EMBI+'!$A:$A,0)),INDEX('EMBI+'!$B:$B,MATCH(Base!$K293+1,'EMBI+'!$A:$A,0))),INDEX('EMBI+'!$B:$B,MATCH(Base!$K293+2,'EMBI+'!$A:$A,0))),INDEX('EMBI+'!$B:$B,MATCH(Base!$K293+3,'EMBI+'!$A:$A,0)))/100</f>
        <v>2.77</v>
      </c>
      <c r="AB293" s="9">
        <v>68.323999999999998</v>
      </c>
      <c r="AC293" s="9">
        <v>628.90448000000004</v>
      </c>
      <c r="AD293" s="9"/>
      <c r="AE293" s="9"/>
      <c r="AF293" s="2"/>
      <c r="AG293" s="2"/>
    </row>
    <row r="294" spans="1:33" x14ac:dyDescent="0.35">
      <c r="A294">
        <f t="shared" si="74"/>
        <v>292</v>
      </c>
      <c r="B294">
        <f>IF(G294="Bonds",COUNTIF($G$3:G294,"Bonds"),0)</f>
        <v>0</v>
      </c>
      <c r="C294" t="str">
        <f t="shared" si="78"/>
        <v>Marfrig4487647433</v>
      </c>
      <c r="D294">
        <f t="shared" si="79"/>
        <v>24</v>
      </c>
      <c r="E294" s="9" t="s">
        <v>371</v>
      </c>
      <c r="F294" s="9" t="s">
        <v>372</v>
      </c>
      <c r="G294" s="9" t="s">
        <v>29</v>
      </c>
      <c r="H294">
        <f t="shared" si="69"/>
        <v>0</v>
      </c>
      <c r="I294" s="9"/>
      <c r="J294" s="1">
        <f t="shared" si="70"/>
        <v>5</v>
      </c>
      <c r="K294" s="2">
        <v>44876</v>
      </c>
      <c r="L294" s="2">
        <v>47433</v>
      </c>
      <c r="M294" s="10">
        <f t="shared" si="71"/>
        <v>7.0054794520547947</v>
      </c>
      <c r="N294" s="11">
        <f t="shared" si="72"/>
        <v>1</v>
      </c>
      <c r="O294" s="9" t="s">
        <v>47</v>
      </c>
      <c r="P294" t="str">
        <f t="shared" si="75"/>
        <v>0</v>
      </c>
      <c r="Q294" s="12">
        <v>150000</v>
      </c>
      <c r="R294" s="9">
        <v>1000</v>
      </c>
      <c r="S294" s="1" t="str">
        <f>IF($V294="USD",INDEX('Dólar Spot'!$B:$B,MATCH(Base!$K294,'Dólar Spot'!$A:$A,0)),"")</f>
        <v/>
      </c>
      <c r="T294" s="11">
        <f t="shared" si="80"/>
        <v>150000000</v>
      </c>
      <c r="U294" s="13">
        <f t="shared" si="73"/>
        <v>1.5</v>
      </c>
      <c r="V294" s="9" t="s">
        <v>44</v>
      </c>
      <c r="W294" s="9" t="s">
        <v>34</v>
      </c>
      <c r="X294">
        <f t="shared" si="76"/>
        <v>1</v>
      </c>
      <c r="Y294" s="1" t="str" cm="1">
        <f t="array" ref="Y294">INDEX(Ratings!$B$2:$M$42,_xlfn.XMATCH(Base!F294,Ratings!$A$2:$A$42),_xlfn.XMATCH(YEAR(Base!K294),Ratings!$B$1:$M$1))</f>
        <v>BB</v>
      </c>
      <c r="Z294">
        <f t="shared" si="77"/>
        <v>0</v>
      </c>
      <c r="AA294">
        <f>IFERROR(IFERROR(IFERROR(INDEX('EMBI+'!$B:$B,MATCH(Base!$K294,'EMBI+'!$A:$A,0)),INDEX('EMBI+'!$B:$B,MATCH(Base!$K294+1,'EMBI+'!$A:$A,0))),INDEX('EMBI+'!$B:$B,MATCH(Base!$K294+2,'EMBI+'!$A:$A,0))),INDEX('EMBI+'!$B:$B,MATCH(Base!$K294+3,'EMBI+'!$A:$A,0)))/100</f>
        <v>2.77</v>
      </c>
      <c r="AB294" s="9">
        <v>68.323999999999998</v>
      </c>
      <c r="AC294" s="9">
        <v>628.90448000000004</v>
      </c>
      <c r="AD294" s="9"/>
      <c r="AE294" s="9"/>
      <c r="AF294" s="2"/>
      <c r="AG294" s="2"/>
    </row>
    <row r="295" spans="1:33" x14ac:dyDescent="0.35">
      <c r="A295">
        <f t="shared" si="74"/>
        <v>293</v>
      </c>
      <c r="B295">
        <f>IF(G295="Bonds",COUNTIF($G$3:G295,"Bonds"),0)</f>
        <v>79</v>
      </c>
      <c r="C295" t="str">
        <f t="shared" si="78"/>
        <v>Marfrig4422529/01/2031</v>
      </c>
      <c r="D295">
        <f t="shared" si="79"/>
        <v>24</v>
      </c>
      <c r="E295" s="9" t="s">
        <v>375</v>
      </c>
      <c r="F295" s="9" t="s">
        <v>372</v>
      </c>
      <c r="G295" s="9" t="s">
        <v>37</v>
      </c>
      <c r="H295">
        <f t="shared" si="69"/>
        <v>1</v>
      </c>
      <c r="I295" s="9"/>
      <c r="J295" s="1">
        <f t="shared" si="70"/>
        <v>6</v>
      </c>
      <c r="K295" s="2">
        <v>44225</v>
      </c>
      <c r="L295" s="2" t="s">
        <v>376</v>
      </c>
      <c r="M295" s="10">
        <f t="shared" si="71"/>
        <v>10.005479452054795</v>
      </c>
      <c r="N295" s="11">
        <f t="shared" si="72"/>
        <v>1</v>
      </c>
      <c r="O295" s="9" t="s">
        <v>39</v>
      </c>
      <c r="P295" t="str">
        <f t="shared" si="75"/>
        <v>0</v>
      </c>
      <c r="Q295" s="9"/>
      <c r="R295" s="9"/>
      <c r="S295" s="1">
        <f>IF($V295="USD",INDEX('Dólar Spot'!$B:$B,MATCH(Base!$K295,'Dólar Spot'!$A:$A,0)),"")</f>
        <v>5.4752999999999998</v>
      </c>
      <c r="T295" s="12">
        <v>1500000000</v>
      </c>
      <c r="U295" s="13">
        <f t="shared" si="73"/>
        <v>82.129499999999993</v>
      </c>
      <c r="V295" s="9" t="s">
        <v>40</v>
      </c>
      <c r="W295" s="9" t="s">
        <v>34</v>
      </c>
      <c r="X295">
        <f t="shared" si="76"/>
        <v>1</v>
      </c>
      <c r="Y295" s="1" t="str" cm="1">
        <f t="array" ref="Y295">INDEX(Ratings!$B$2:$M$42,_xlfn.XMATCH(Base!F295,Ratings!$A$2:$A$42),_xlfn.XMATCH(YEAR(Base!K295),Ratings!$B$1:$M$1))</f>
        <v>BB</v>
      </c>
      <c r="Z295">
        <f t="shared" si="77"/>
        <v>0</v>
      </c>
      <c r="AA295">
        <f>IFERROR(IFERROR(IFERROR(INDEX('EMBI+'!$B:$B,MATCH(Base!$K295,'EMBI+'!$A:$A,0)),INDEX('EMBI+'!$B:$B,MATCH(Base!$K295+1,'EMBI+'!$A:$A,0))),INDEX('EMBI+'!$B:$B,MATCH(Base!$K295+2,'EMBI+'!$A:$A,0))),INDEX('EMBI+'!$B:$B,MATCH(Base!$K295+3,'EMBI+'!$A:$A,0)))/100</f>
        <v>2.88</v>
      </c>
      <c r="AB295" s="9">
        <v>20.947089999999999</v>
      </c>
      <c r="AC295" s="9">
        <v>274.99576999999999</v>
      </c>
      <c r="AD295" s="9"/>
      <c r="AE295" s="9"/>
      <c r="AF295" s="2"/>
      <c r="AG295" s="2"/>
    </row>
    <row r="296" spans="1:33" x14ac:dyDescent="0.35">
      <c r="A296">
        <f t="shared" si="74"/>
        <v>294</v>
      </c>
      <c r="B296">
        <f>IF(G296="Bonds",COUNTIF($G$3:G296,"Bonds"),0)</f>
        <v>80</v>
      </c>
      <c r="C296" t="str">
        <f t="shared" si="78"/>
        <v>Marfrig4311919/01/2025</v>
      </c>
      <c r="D296">
        <f t="shared" si="79"/>
        <v>24</v>
      </c>
      <c r="E296" s="9" t="s">
        <v>375</v>
      </c>
      <c r="F296" s="9" t="s">
        <v>372</v>
      </c>
      <c r="G296" s="9" t="s">
        <v>37</v>
      </c>
      <c r="H296">
        <f t="shared" si="69"/>
        <v>1</v>
      </c>
      <c r="I296" s="9"/>
      <c r="J296" s="1">
        <f t="shared" si="70"/>
        <v>7</v>
      </c>
      <c r="K296" s="2">
        <v>43119</v>
      </c>
      <c r="L296" s="2" t="s">
        <v>377</v>
      </c>
      <c r="M296" s="10">
        <f t="shared" si="71"/>
        <v>7.0054794520547947</v>
      </c>
      <c r="N296" s="11">
        <f t="shared" si="72"/>
        <v>1</v>
      </c>
      <c r="O296" s="9" t="s">
        <v>39</v>
      </c>
      <c r="P296" t="str">
        <f t="shared" si="75"/>
        <v>0</v>
      </c>
      <c r="Q296" s="9"/>
      <c r="R296" s="9"/>
      <c r="S296" s="1">
        <f>IF($V296="USD",INDEX('Dólar Spot'!$B:$B,MATCH(Base!$K296,'Dólar Spot'!$A:$A,0)),"")</f>
        <v>3.2081</v>
      </c>
      <c r="T296" s="12">
        <v>1000000000</v>
      </c>
      <c r="U296" s="13">
        <f t="shared" si="73"/>
        <v>32.081000000000003</v>
      </c>
      <c r="V296" s="9" t="s">
        <v>40</v>
      </c>
      <c r="W296" s="9" t="s">
        <v>34</v>
      </c>
      <c r="X296">
        <f t="shared" si="76"/>
        <v>1</v>
      </c>
      <c r="Y296" s="1" t="str" cm="1">
        <f t="array" ref="Y296">INDEX(Ratings!$B$2:$M$42,_xlfn.XMATCH(Base!F296,Ratings!$A$2:$A$42),_xlfn.XMATCH(YEAR(Base!K296),Ratings!$B$1:$M$1))</f>
        <v>BB-</v>
      </c>
      <c r="Z296">
        <f t="shared" si="77"/>
        <v>0</v>
      </c>
      <c r="AA296">
        <f>IFERROR(IFERROR(IFERROR(INDEX('EMBI+'!$B:$B,MATCH(Base!$K296,'EMBI+'!$A:$A,0)),INDEX('EMBI+'!$B:$B,MATCH(Base!$K296+1,'EMBI+'!$A:$A,0))),INDEX('EMBI+'!$B:$B,MATCH(Base!$K296+2,'EMBI+'!$A:$A,0))),INDEX('EMBI+'!$B:$B,MATCH(Base!$K296+3,'EMBI+'!$A:$A,0)))/100</f>
        <v>2.31</v>
      </c>
      <c r="AB296" s="9">
        <v>23.925319999999999</v>
      </c>
      <c r="AC296" s="9">
        <v>124.5898</v>
      </c>
      <c r="AD296" s="9"/>
      <c r="AE296" s="9"/>
      <c r="AF296" s="2"/>
      <c r="AG296" s="2"/>
    </row>
    <row r="297" spans="1:33" x14ac:dyDescent="0.35">
      <c r="A297">
        <f t="shared" si="74"/>
        <v>295</v>
      </c>
      <c r="B297">
        <f>IF(G297="Bonds",COUNTIF($G$3:G297,"Bonds"),0)</f>
        <v>81</v>
      </c>
      <c r="C297" t="str">
        <f t="shared" si="78"/>
        <v>Marfrig4280915/03/2024</v>
      </c>
      <c r="D297">
        <f t="shared" si="79"/>
        <v>24</v>
      </c>
      <c r="E297" s="9" t="s">
        <v>375</v>
      </c>
      <c r="F297" s="9" t="s">
        <v>372</v>
      </c>
      <c r="G297" s="9" t="s">
        <v>37</v>
      </c>
      <c r="H297">
        <f t="shared" si="69"/>
        <v>1</v>
      </c>
      <c r="I297" s="9"/>
      <c r="J297" s="1">
        <f t="shared" si="70"/>
        <v>8</v>
      </c>
      <c r="K297" s="2">
        <v>42809</v>
      </c>
      <c r="L297" s="2" t="s">
        <v>378</v>
      </c>
      <c r="M297" s="10">
        <f t="shared" si="71"/>
        <v>7.0054794520547947</v>
      </c>
      <c r="N297" s="11">
        <f t="shared" si="72"/>
        <v>1</v>
      </c>
      <c r="O297" s="9" t="s">
        <v>39</v>
      </c>
      <c r="P297" t="str">
        <f t="shared" si="75"/>
        <v>0</v>
      </c>
      <c r="Q297" s="9"/>
      <c r="R297" s="9"/>
      <c r="S297" s="1">
        <f>IF($V297="USD",INDEX('Dólar Spot'!$B:$B,MATCH(Base!$K297,'Dólar Spot'!$A:$A,0)),"")</f>
        <v>3.1623000000000001</v>
      </c>
      <c r="T297" s="12">
        <v>750000000</v>
      </c>
      <c r="U297" s="13">
        <f t="shared" si="73"/>
        <v>23.71725</v>
      </c>
      <c r="V297" s="9" t="s">
        <v>40</v>
      </c>
      <c r="W297" s="9" t="s">
        <v>34</v>
      </c>
      <c r="X297">
        <f t="shared" si="76"/>
        <v>1</v>
      </c>
      <c r="Y297" s="1" t="str" cm="1">
        <f t="array" ref="Y297">INDEX(Ratings!$B$2:$M$42,_xlfn.XMATCH(Base!F297,Ratings!$A$2:$A$42),_xlfn.XMATCH(YEAR(Base!K297),Ratings!$B$1:$M$1))</f>
        <v>BB-</v>
      </c>
      <c r="Z297">
        <f t="shared" si="77"/>
        <v>0</v>
      </c>
      <c r="AA297">
        <f>IFERROR(IFERROR(IFERROR(INDEX('EMBI+'!$B:$B,MATCH(Base!$K297,'EMBI+'!$A:$A,0)),INDEX('EMBI+'!$B:$B,MATCH(Base!$K297+1,'EMBI+'!$A:$A,0))),INDEX('EMBI+'!$B:$B,MATCH(Base!$K297+2,'EMBI+'!$A:$A,0))),INDEX('EMBI+'!$B:$B,MATCH(Base!$K297+3,'EMBI+'!$A:$A,0)))/100</f>
        <v>2.82</v>
      </c>
      <c r="AB297" s="9">
        <v>27.93412</v>
      </c>
      <c r="AC297" s="9">
        <v>118.78127000000001</v>
      </c>
      <c r="AD297" s="9"/>
      <c r="AE297" s="9"/>
      <c r="AF297" s="2"/>
      <c r="AG297" s="2"/>
    </row>
    <row r="298" spans="1:33" x14ac:dyDescent="0.35">
      <c r="A298">
        <f t="shared" si="74"/>
        <v>296</v>
      </c>
      <c r="B298">
        <f>IF(G298="Bonds",COUNTIF($G$3:G298,"Bonds"),0)</f>
        <v>82</v>
      </c>
      <c r="C298" t="str">
        <f t="shared" si="78"/>
        <v>Marfrig4252908/06/2023</v>
      </c>
      <c r="D298">
        <f t="shared" si="79"/>
        <v>24</v>
      </c>
      <c r="E298" s="9" t="s">
        <v>379</v>
      </c>
      <c r="F298" s="9" t="s">
        <v>372</v>
      </c>
      <c r="G298" s="9" t="s">
        <v>37</v>
      </c>
      <c r="H298">
        <f t="shared" si="69"/>
        <v>1</v>
      </c>
      <c r="I298" s="9"/>
      <c r="J298" s="1">
        <f t="shared" si="70"/>
        <v>9</v>
      </c>
      <c r="K298" s="2">
        <v>42529</v>
      </c>
      <c r="L298" s="2" t="s">
        <v>380</v>
      </c>
      <c r="M298" s="10">
        <f t="shared" si="71"/>
        <v>7.0027397260273974</v>
      </c>
      <c r="N298" s="11">
        <f t="shared" si="72"/>
        <v>1</v>
      </c>
      <c r="O298" s="9" t="s">
        <v>39</v>
      </c>
      <c r="P298" t="str">
        <f t="shared" si="75"/>
        <v>0</v>
      </c>
      <c r="Q298" s="9"/>
      <c r="R298" s="9"/>
      <c r="S298" s="1">
        <f>IF($V298="USD",INDEX('Dólar Spot'!$B:$B,MATCH(Base!$K298,'Dólar Spot'!$A:$A,0)),"")</f>
        <v>3.3892000000000002</v>
      </c>
      <c r="T298" s="12">
        <v>750000000</v>
      </c>
      <c r="U298" s="13">
        <f t="shared" si="73"/>
        <v>25.419</v>
      </c>
      <c r="V298" s="9" t="s">
        <v>40</v>
      </c>
      <c r="W298" s="9" t="s">
        <v>34</v>
      </c>
      <c r="X298">
        <f t="shared" si="76"/>
        <v>1</v>
      </c>
      <c r="Y298" s="1" t="str" cm="1">
        <f t="array" ref="Y298">INDEX(Ratings!$B$2:$M$42,_xlfn.XMATCH(Base!F298,Ratings!$A$2:$A$42),_xlfn.XMATCH(YEAR(Base!K298),Ratings!$B$1:$M$1))</f>
        <v>B+</v>
      </c>
      <c r="Z298">
        <f t="shared" si="77"/>
        <v>0</v>
      </c>
      <c r="AA298">
        <f>IFERROR(IFERROR(IFERROR(INDEX('EMBI+'!$B:$B,MATCH(Base!$K298,'EMBI+'!$A:$A,0)),INDEX('EMBI+'!$B:$B,MATCH(Base!$K298+1,'EMBI+'!$A:$A,0))),INDEX('EMBI+'!$B:$B,MATCH(Base!$K298+2,'EMBI+'!$A:$A,0))),INDEX('EMBI+'!$B:$B,MATCH(Base!$K298+3,'EMBI+'!$A:$A,0)))/100</f>
        <v>3.71</v>
      </c>
      <c r="AB298" s="9">
        <v>15.349919999999999</v>
      </c>
      <c r="AC298" s="9">
        <v>110.12948</v>
      </c>
      <c r="AD298" s="9"/>
      <c r="AE298" s="9"/>
      <c r="AF298" s="2"/>
      <c r="AG298" s="2"/>
    </row>
    <row r="299" spans="1:33" x14ac:dyDescent="0.35">
      <c r="A299">
        <f t="shared" si="74"/>
        <v>297</v>
      </c>
      <c r="B299">
        <f>IF(G299="Bonds",COUNTIF($G$3:G299,"Bonds"),0)</f>
        <v>83</v>
      </c>
      <c r="C299" t="str">
        <f t="shared" si="78"/>
        <v>Marfrig4181424/06/2019</v>
      </c>
      <c r="D299">
        <f t="shared" si="79"/>
        <v>24</v>
      </c>
      <c r="E299" s="9" t="s">
        <v>379</v>
      </c>
      <c r="F299" s="9" t="s">
        <v>372</v>
      </c>
      <c r="G299" s="9" t="s">
        <v>37</v>
      </c>
      <c r="H299">
        <f t="shared" si="69"/>
        <v>1</v>
      </c>
      <c r="I299" s="9"/>
      <c r="J299" s="1">
        <f t="shared" si="70"/>
        <v>10</v>
      </c>
      <c r="K299" s="2">
        <v>41814</v>
      </c>
      <c r="L299" s="2" t="s">
        <v>381</v>
      </c>
      <c r="M299" s="10">
        <f t="shared" si="71"/>
        <v>5.0027397260273974</v>
      </c>
      <c r="N299" s="11">
        <f t="shared" si="72"/>
        <v>1</v>
      </c>
      <c r="O299" s="9" t="s">
        <v>39</v>
      </c>
      <c r="P299" t="str">
        <f t="shared" si="75"/>
        <v>0</v>
      </c>
      <c r="Q299" s="9"/>
      <c r="R299" s="9"/>
      <c r="S299" s="1">
        <f>IF($V299="USD",INDEX('Dólar Spot'!$B:$B,MATCH(Base!$K299,'Dólar Spot'!$A:$A,0)),"")</f>
        <v>2.2210999999999999</v>
      </c>
      <c r="T299" s="12">
        <v>850000000</v>
      </c>
      <c r="U299" s="13">
        <f t="shared" si="73"/>
        <v>18.879349999999999</v>
      </c>
      <c r="V299" s="9" t="s">
        <v>40</v>
      </c>
      <c r="W299" s="9" t="s">
        <v>34</v>
      </c>
      <c r="X299">
        <f t="shared" si="76"/>
        <v>1</v>
      </c>
      <c r="Y299" s="1" t="str" cm="1">
        <f t="array" ref="Y299">INDEX(Ratings!$B$2:$M$42,_xlfn.XMATCH(Base!F299,Ratings!$A$2:$A$42),_xlfn.XMATCH(YEAR(Base!K299),Ratings!$B$1:$M$1))</f>
        <v>B</v>
      </c>
      <c r="Z299">
        <f t="shared" si="77"/>
        <v>0</v>
      </c>
      <c r="AA299">
        <f>IFERROR(IFERROR(IFERROR(INDEX('EMBI+'!$B:$B,MATCH(Base!$K299,'EMBI+'!$A:$A,0)),INDEX('EMBI+'!$B:$B,MATCH(Base!$K299+1,'EMBI+'!$A:$A,0))),INDEX('EMBI+'!$B:$B,MATCH(Base!$K299+2,'EMBI+'!$A:$A,0))),INDEX('EMBI+'!$B:$B,MATCH(Base!$K299+3,'EMBI+'!$A:$A,0)))/100</f>
        <v>2.0699999999999998</v>
      </c>
      <c r="AB299" s="9">
        <v>29.323260000000001</v>
      </c>
      <c r="AC299" s="9">
        <v>95.277079999999998</v>
      </c>
      <c r="AD299" s="9"/>
      <c r="AE299" s="9"/>
      <c r="AF299" s="2"/>
      <c r="AG299" s="2"/>
    </row>
    <row r="300" spans="1:33" x14ac:dyDescent="0.35">
      <c r="A300">
        <f t="shared" si="74"/>
        <v>298</v>
      </c>
      <c r="B300">
        <f>IF(G300="Bonds",COUNTIF($G$3:G300,"Bonds"),0)</f>
        <v>84</v>
      </c>
      <c r="C300" t="str">
        <f t="shared" si="78"/>
        <v>Marfrig4067209/05/2018</v>
      </c>
      <c r="D300">
        <f t="shared" si="79"/>
        <v>24</v>
      </c>
      <c r="E300" s="9" t="s">
        <v>379</v>
      </c>
      <c r="F300" s="9" t="s">
        <v>372</v>
      </c>
      <c r="G300" s="9" t="s">
        <v>37</v>
      </c>
      <c r="H300">
        <f t="shared" si="69"/>
        <v>1</v>
      </c>
      <c r="I300" s="9"/>
      <c r="J300" s="1">
        <f t="shared" si="70"/>
        <v>11</v>
      </c>
      <c r="K300" s="2">
        <v>40672</v>
      </c>
      <c r="L300" s="2" t="s">
        <v>382</v>
      </c>
      <c r="M300" s="10">
        <f t="shared" si="71"/>
        <v>7.0054794520547947</v>
      </c>
      <c r="N300" s="11">
        <f t="shared" si="72"/>
        <v>1</v>
      </c>
      <c r="O300" s="9" t="s">
        <v>39</v>
      </c>
      <c r="P300" t="str">
        <f t="shared" si="75"/>
        <v>0</v>
      </c>
      <c r="Q300" s="9"/>
      <c r="R300" s="9"/>
      <c r="S300" s="1">
        <f>IF($V300="USD",INDEX('Dólar Spot'!$B:$B,MATCH(Base!$K300,'Dólar Spot'!$A:$A,0)),"")</f>
        <v>1.6191</v>
      </c>
      <c r="T300" s="12">
        <v>750000000</v>
      </c>
      <c r="U300" s="13">
        <f t="shared" si="73"/>
        <v>12.14325</v>
      </c>
      <c r="V300" s="9" t="s">
        <v>40</v>
      </c>
      <c r="W300" s="9" t="s">
        <v>35</v>
      </c>
      <c r="X300">
        <f t="shared" si="76"/>
        <v>0</v>
      </c>
      <c r="Y300" s="1" t="str" cm="1">
        <f t="array" ref="Y300">INDEX(Ratings!$B$2:$M$42,_xlfn.XMATCH(Base!F300,Ratings!$A$2:$A$42),_xlfn.XMATCH(YEAR(Base!K300),Ratings!$B$1:$M$1))</f>
        <v>B+</v>
      </c>
      <c r="Z300">
        <f t="shared" si="77"/>
        <v>0</v>
      </c>
      <c r="AA300">
        <f>IFERROR(IFERROR(IFERROR(INDEX('EMBI+'!$B:$B,MATCH(Base!$K300,'EMBI+'!$A:$A,0)),INDEX('EMBI+'!$B:$B,MATCH(Base!$K300+1,'EMBI+'!$A:$A,0))),INDEX('EMBI+'!$B:$B,MATCH(Base!$K300+2,'EMBI+'!$A:$A,0))),INDEX('EMBI+'!$B:$B,MATCH(Base!$K300+3,'EMBI+'!$A:$A,0)))/100</f>
        <v>1.68</v>
      </c>
      <c r="AB300" s="9">
        <v>62.929229999999997</v>
      </c>
      <c r="AC300" s="9">
        <v>98.327629999999999</v>
      </c>
      <c r="AD300" s="9"/>
      <c r="AE300" s="9"/>
      <c r="AF300" s="2"/>
      <c r="AG300" s="2"/>
    </row>
    <row r="301" spans="1:33" x14ac:dyDescent="0.35">
      <c r="A301">
        <f t="shared" si="74"/>
        <v>299</v>
      </c>
      <c r="B301">
        <f>IF(G301="Bonds",COUNTIF($G$3:G301,"Bonds"),0)</f>
        <v>85</v>
      </c>
      <c r="C301" t="str">
        <f t="shared" si="78"/>
        <v>Marfrig4153720/09/2021</v>
      </c>
      <c r="D301">
        <f t="shared" si="79"/>
        <v>24</v>
      </c>
      <c r="E301" s="9" t="s">
        <v>379</v>
      </c>
      <c r="F301" s="9" t="s">
        <v>372</v>
      </c>
      <c r="G301" s="9" t="s">
        <v>37</v>
      </c>
      <c r="H301">
        <f t="shared" si="69"/>
        <v>1</v>
      </c>
      <c r="I301" s="9"/>
      <c r="J301" s="1">
        <f t="shared" si="70"/>
        <v>12</v>
      </c>
      <c r="K301" s="2">
        <v>41537</v>
      </c>
      <c r="L301" s="2" t="s">
        <v>383</v>
      </c>
      <c r="M301" s="10">
        <f t="shared" si="71"/>
        <v>8.0054794520547947</v>
      </c>
      <c r="N301" s="11">
        <f t="shared" si="72"/>
        <v>1</v>
      </c>
      <c r="O301" s="9" t="s">
        <v>39</v>
      </c>
      <c r="P301" t="str">
        <f t="shared" si="75"/>
        <v>0</v>
      </c>
      <c r="Q301" s="9"/>
      <c r="R301" s="9"/>
      <c r="S301" s="1">
        <f>IF($V301="USD",INDEX('Dólar Spot'!$B:$B,MATCH(Base!$K301,'Dólar Spot'!$A:$A,0)),"")</f>
        <v>2.2046999999999999</v>
      </c>
      <c r="T301" s="12">
        <v>400000000</v>
      </c>
      <c r="U301" s="13">
        <f t="shared" si="73"/>
        <v>8.8187999999999995</v>
      </c>
      <c r="V301" s="9" t="s">
        <v>40</v>
      </c>
      <c r="W301" s="9" t="s">
        <v>34</v>
      </c>
      <c r="X301">
        <f t="shared" si="76"/>
        <v>1</v>
      </c>
      <c r="Y301" s="1" t="str" cm="1">
        <f t="array" ref="Y301">INDEX(Ratings!$B$2:$M$42,_xlfn.XMATCH(Base!F301,Ratings!$A$2:$A$42),_xlfn.XMATCH(YEAR(Base!K301),Ratings!$B$1:$M$1))</f>
        <v>B</v>
      </c>
      <c r="Z301">
        <f t="shared" si="77"/>
        <v>0</v>
      </c>
      <c r="AA301">
        <f>IFERROR(IFERROR(IFERROR(INDEX('EMBI+'!$B:$B,MATCH(Base!$K301,'EMBI+'!$A:$A,0)),INDEX('EMBI+'!$B:$B,MATCH(Base!$K301+1,'EMBI+'!$A:$A,0))),INDEX('EMBI+'!$B:$B,MATCH(Base!$K301+2,'EMBI+'!$A:$A,0))),INDEX('EMBI+'!$B:$B,MATCH(Base!$K301+3,'EMBI+'!$A:$A,0)))/100</f>
        <v>2.13</v>
      </c>
      <c r="AB301" s="9">
        <v>31.436499999999999</v>
      </c>
      <c r="AC301" s="9">
        <v>92.680809999999994</v>
      </c>
      <c r="AD301" s="9"/>
      <c r="AE301" s="9"/>
      <c r="AF301" s="2"/>
      <c r="AG301" s="2"/>
    </row>
    <row r="302" spans="1:33" x14ac:dyDescent="0.35">
      <c r="A302">
        <f t="shared" si="74"/>
        <v>300</v>
      </c>
      <c r="B302">
        <f>IF(G302="Bonds",COUNTIF($G$3:G302,"Bonds"),0)</f>
        <v>86</v>
      </c>
      <c r="C302" t="str">
        <f t="shared" si="78"/>
        <v>Marfrig4129824/07/2017</v>
      </c>
      <c r="D302">
        <f t="shared" si="79"/>
        <v>24</v>
      </c>
      <c r="E302" s="9" t="s">
        <v>379</v>
      </c>
      <c r="F302" s="9" t="s">
        <v>372</v>
      </c>
      <c r="G302" s="9" t="s">
        <v>37</v>
      </c>
      <c r="H302">
        <f t="shared" si="69"/>
        <v>1</v>
      </c>
      <c r="I302" s="9"/>
      <c r="J302" s="1">
        <f t="shared" si="70"/>
        <v>13</v>
      </c>
      <c r="K302" s="2">
        <v>41298</v>
      </c>
      <c r="L302" s="2" t="s">
        <v>384</v>
      </c>
      <c r="M302" s="10">
        <f t="shared" si="71"/>
        <v>4.4986301369863018</v>
      </c>
      <c r="N302" s="11">
        <f t="shared" si="72"/>
        <v>0</v>
      </c>
      <c r="O302" s="9" t="s">
        <v>39</v>
      </c>
      <c r="P302" t="str">
        <f t="shared" si="75"/>
        <v>0</v>
      </c>
      <c r="Q302" s="9"/>
      <c r="R302" s="9"/>
      <c r="S302" s="1">
        <f>IF($V302="USD",INDEX('Dólar Spot'!$B:$B,MATCH(Base!$K302,'Dólar Spot'!$A:$A,0)),"")</f>
        <v>2.0337999999999998</v>
      </c>
      <c r="T302" s="12">
        <v>600000000</v>
      </c>
      <c r="U302" s="13">
        <f t="shared" si="73"/>
        <v>12.2028</v>
      </c>
      <c r="V302" s="9" t="s">
        <v>40</v>
      </c>
      <c r="W302" s="9" t="s">
        <v>34</v>
      </c>
      <c r="X302">
        <f t="shared" si="76"/>
        <v>1</v>
      </c>
      <c r="Y302" s="1" t="str" cm="1">
        <f t="array" ref="Y302">INDEX(Ratings!$B$2:$M$42,_xlfn.XMATCH(Base!F302,Ratings!$A$2:$A$42),_xlfn.XMATCH(YEAR(Base!K302),Ratings!$B$1:$M$1))</f>
        <v>B</v>
      </c>
      <c r="Z302">
        <f t="shared" si="77"/>
        <v>0</v>
      </c>
      <c r="AA302">
        <f>IFERROR(IFERROR(IFERROR(INDEX('EMBI+'!$B:$B,MATCH(Base!$K302,'EMBI+'!$A:$A,0)),INDEX('EMBI+'!$B:$B,MATCH(Base!$K302+1,'EMBI+'!$A:$A,0))),INDEX('EMBI+'!$B:$B,MATCH(Base!$K302+2,'EMBI+'!$A:$A,0))),INDEX('EMBI+'!$B:$B,MATCH(Base!$K302+3,'EMBI+'!$A:$A,0)))/100</f>
        <v>1.51</v>
      </c>
      <c r="AB302" s="9">
        <v>41.562379999999997</v>
      </c>
      <c r="AC302" s="9">
        <v>125.28247</v>
      </c>
      <c r="AD302" s="9"/>
      <c r="AE302" s="9"/>
      <c r="AF302" s="2"/>
      <c r="AG302" s="2"/>
    </row>
    <row r="303" spans="1:33" x14ac:dyDescent="0.35">
      <c r="A303">
        <f t="shared" si="74"/>
        <v>301</v>
      </c>
      <c r="B303">
        <f>IF(G303="Bonds",COUNTIF($G$3:G303,"Bonds"),0)</f>
        <v>87</v>
      </c>
      <c r="C303" t="str">
        <f t="shared" si="78"/>
        <v>Marfrig4359914/05/2026</v>
      </c>
      <c r="D303">
        <f t="shared" si="79"/>
        <v>24</v>
      </c>
      <c r="E303" s="9" t="s">
        <v>385</v>
      </c>
      <c r="F303" s="9" t="s">
        <v>372</v>
      </c>
      <c r="G303" s="9" t="s">
        <v>37</v>
      </c>
      <c r="H303">
        <f t="shared" si="69"/>
        <v>1</v>
      </c>
      <c r="I303" s="9"/>
      <c r="J303" s="1">
        <f t="shared" si="70"/>
        <v>14</v>
      </c>
      <c r="K303" s="2">
        <v>43599</v>
      </c>
      <c r="L303" s="2" t="s">
        <v>386</v>
      </c>
      <c r="M303" s="10">
        <f t="shared" si="71"/>
        <v>7.0054794520547947</v>
      </c>
      <c r="N303" s="11">
        <f t="shared" si="72"/>
        <v>1</v>
      </c>
      <c r="O303" s="9" t="s">
        <v>39</v>
      </c>
      <c r="P303" t="str">
        <f t="shared" si="75"/>
        <v>0</v>
      </c>
      <c r="Q303" s="9"/>
      <c r="R303" s="9"/>
      <c r="S303" s="1">
        <f>IF($V303="USD",INDEX('Dólar Spot'!$B:$B,MATCH(Base!$K303,'Dólar Spot'!$A:$A,0)),"")</f>
        <v>3.9782000000000002</v>
      </c>
      <c r="T303" s="12">
        <v>1000000000</v>
      </c>
      <c r="U303" s="13">
        <f t="shared" si="73"/>
        <v>39.781999999999996</v>
      </c>
      <c r="V303" s="9" t="s">
        <v>40</v>
      </c>
      <c r="W303" s="9" t="s">
        <v>34</v>
      </c>
      <c r="X303">
        <f t="shared" si="76"/>
        <v>1</v>
      </c>
      <c r="Y303" s="1" t="str" cm="1">
        <f t="array" ref="Y303">INDEX(Ratings!$B$2:$M$42,_xlfn.XMATCH(Base!F303,Ratings!$A$2:$A$42),_xlfn.XMATCH(YEAR(Base!K303),Ratings!$B$1:$M$1))</f>
        <v>BB-</v>
      </c>
      <c r="Z303">
        <f t="shared" si="77"/>
        <v>0</v>
      </c>
      <c r="AA303">
        <f>IFERROR(IFERROR(IFERROR(INDEX('EMBI+'!$B:$B,MATCH(Base!$K303,'EMBI+'!$A:$A,0)),INDEX('EMBI+'!$B:$B,MATCH(Base!$K303+1,'EMBI+'!$A:$A,0))),INDEX('EMBI+'!$B:$B,MATCH(Base!$K303+2,'EMBI+'!$A:$A,0))),INDEX('EMBI+'!$B:$B,MATCH(Base!$K303+3,'EMBI+'!$A:$A,0)))/100</f>
        <v>2.56</v>
      </c>
      <c r="AB303" s="9">
        <v>7.1590999999999996</v>
      </c>
      <c r="AC303" s="9">
        <v>167.89487</v>
      </c>
      <c r="AD303" s="9"/>
      <c r="AE303" s="9"/>
      <c r="AF303" s="2"/>
      <c r="AG303" s="2"/>
    </row>
    <row r="304" spans="1:33" x14ac:dyDescent="0.35">
      <c r="A304">
        <f t="shared" si="74"/>
        <v>302</v>
      </c>
      <c r="B304">
        <f>IF(G304="Bonds",COUNTIF($G$3:G304,"Bonds"),0)</f>
        <v>88</v>
      </c>
      <c r="C304" t="str">
        <f t="shared" si="78"/>
        <v>Marfrig4368306/08/2029</v>
      </c>
      <c r="D304">
        <f t="shared" si="79"/>
        <v>24</v>
      </c>
      <c r="E304" s="9" t="s">
        <v>385</v>
      </c>
      <c r="F304" s="9" t="s">
        <v>372</v>
      </c>
      <c r="G304" s="9" t="s">
        <v>37</v>
      </c>
      <c r="H304">
        <f t="shared" si="69"/>
        <v>1</v>
      </c>
      <c r="I304" s="9"/>
      <c r="J304" s="1">
        <f t="shared" si="70"/>
        <v>15</v>
      </c>
      <c r="K304" s="2">
        <v>43683</v>
      </c>
      <c r="L304" s="2" t="s">
        <v>387</v>
      </c>
      <c r="M304" s="10">
        <f t="shared" si="71"/>
        <v>10.008219178082191</v>
      </c>
      <c r="N304" s="11">
        <f t="shared" si="72"/>
        <v>1</v>
      </c>
      <c r="O304" s="9" t="s">
        <v>39</v>
      </c>
      <c r="P304" t="str">
        <f t="shared" si="75"/>
        <v>0</v>
      </c>
      <c r="Q304" s="9"/>
      <c r="R304" s="9"/>
      <c r="S304" s="1">
        <f>IF($V304="USD",INDEX('Dólar Spot'!$B:$B,MATCH(Base!$K304,'Dólar Spot'!$A:$A,0)),"")</f>
        <v>3.9636999999999998</v>
      </c>
      <c r="T304" s="12">
        <v>500000000</v>
      </c>
      <c r="U304" s="13">
        <f t="shared" si="73"/>
        <v>19.8185</v>
      </c>
      <c r="V304" s="9" t="s">
        <v>40</v>
      </c>
      <c r="W304" s="9" t="s">
        <v>34</v>
      </c>
      <c r="X304">
        <f t="shared" si="76"/>
        <v>1</v>
      </c>
      <c r="Y304" s="1" t="str" cm="1">
        <f t="array" ref="Y304">INDEX(Ratings!$B$2:$M$42,_xlfn.XMATCH(Base!F304,Ratings!$A$2:$A$42),_xlfn.XMATCH(YEAR(Base!K304),Ratings!$B$1:$M$1))</f>
        <v>BB-</v>
      </c>
      <c r="Z304">
        <f t="shared" si="77"/>
        <v>0</v>
      </c>
      <c r="AA304">
        <f>IFERROR(IFERROR(IFERROR(INDEX('EMBI+'!$B:$B,MATCH(Base!$K304,'EMBI+'!$A:$A,0)),INDEX('EMBI+'!$B:$B,MATCH(Base!$K304+1,'EMBI+'!$A:$A,0))),INDEX('EMBI+'!$B:$B,MATCH(Base!$K304+2,'EMBI+'!$A:$A,0))),INDEX('EMBI+'!$B:$B,MATCH(Base!$K304+3,'EMBI+'!$A:$A,0)))/100</f>
        <v>2.33</v>
      </c>
      <c r="AB304" s="9">
        <v>8.40334</v>
      </c>
      <c r="AC304" s="9">
        <v>170.62026</v>
      </c>
      <c r="AD304" s="9"/>
      <c r="AE304" s="9"/>
      <c r="AF304" s="2"/>
      <c r="AG304" s="2"/>
    </row>
    <row r="305" spans="1:33" x14ac:dyDescent="0.35">
      <c r="A305">
        <f t="shared" si="74"/>
        <v>303</v>
      </c>
      <c r="B305">
        <f>IF(G305="Bonds",COUNTIF($G$3:G305,"Bonds"),0)</f>
        <v>0</v>
      </c>
      <c r="C305" t="str">
        <f t="shared" si="78"/>
        <v>Minerva4144043266</v>
      </c>
      <c r="D305">
        <f t="shared" si="79"/>
        <v>25</v>
      </c>
      <c r="E305" s="9" t="s">
        <v>388</v>
      </c>
      <c r="F305" s="9" t="s">
        <v>389</v>
      </c>
      <c r="G305" s="9" t="s">
        <v>29</v>
      </c>
      <c r="H305">
        <f t="shared" si="69"/>
        <v>0</v>
      </c>
      <c r="I305" s="9" t="s">
        <v>390</v>
      </c>
      <c r="J305" s="1">
        <f t="shared" si="70"/>
        <v>1</v>
      </c>
      <c r="K305" s="2">
        <v>41440</v>
      </c>
      <c r="L305" s="2">
        <v>43266</v>
      </c>
      <c r="M305" s="10">
        <f t="shared" si="71"/>
        <v>5.0027397260273974</v>
      </c>
      <c r="N305" s="11">
        <f t="shared" si="72"/>
        <v>1</v>
      </c>
      <c r="O305" s="9" t="s">
        <v>47</v>
      </c>
      <c r="P305" t="str">
        <f t="shared" si="75"/>
        <v>0</v>
      </c>
      <c r="Q305" s="12">
        <v>30000</v>
      </c>
      <c r="R305" s="9">
        <v>10000</v>
      </c>
      <c r="S305" s="1" t="str">
        <f>IF($V305="USD",INDEX('Dólar Spot'!$B:$B,MATCH(Base!$K305,'Dólar Spot'!$A:$A,0)),"")</f>
        <v/>
      </c>
      <c r="T305" s="11">
        <f>Q305*R305</f>
        <v>300000000</v>
      </c>
      <c r="U305" s="13">
        <f t="shared" si="73"/>
        <v>3</v>
      </c>
      <c r="V305" s="9" t="s">
        <v>44</v>
      </c>
      <c r="W305" s="9" t="s">
        <v>34</v>
      </c>
      <c r="X305">
        <f t="shared" si="76"/>
        <v>1</v>
      </c>
      <c r="Y305" s="1" t="str" cm="1">
        <f t="array" ref="Y305">INDEX(Ratings!$B$2:$M$42,_xlfn.XMATCH(Base!F305,Ratings!$A$2:$A$42),_xlfn.XMATCH(YEAR(Base!K305),Ratings!$B$1:$M$1))</f>
        <v>B+</v>
      </c>
      <c r="Z305">
        <f t="shared" si="77"/>
        <v>0</v>
      </c>
      <c r="AA305">
        <f>IFERROR(IFERROR(IFERROR(INDEX('EMBI+'!$B:$B,MATCH(Base!$K305,'EMBI+'!$A:$A,0)),INDEX('EMBI+'!$B:$B,MATCH(Base!$K305+1,'EMBI+'!$A:$A,0))),INDEX('EMBI+'!$B:$B,MATCH(Base!$K305+2,'EMBI+'!$A:$A,0))),INDEX('EMBI+'!$B:$B,MATCH(Base!$K305+3,'EMBI+'!$A:$A,0)))/100</f>
        <v>2.16</v>
      </c>
      <c r="AB305" s="9">
        <v>4.9285300000000003</v>
      </c>
      <c r="AC305" s="9">
        <v>30.764430000000001</v>
      </c>
      <c r="AD305" s="9"/>
      <c r="AE305" s="9"/>
      <c r="AF305" s="2"/>
      <c r="AG305" s="2"/>
    </row>
    <row r="306" spans="1:33" x14ac:dyDescent="0.35">
      <c r="A306">
        <f t="shared" si="74"/>
        <v>304</v>
      </c>
      <c r="B306">
        <f>IF(G306="Bonds",COUNTIF($G$3:G306,"Bonds"),0)</f>
        <v>0</v>
      </c>
      <c r="C306" t="str">
        <f t="shared" si="78"/>
        <v>Minerva4360044696</v>
      </c>
      <c r="D306">
        <f t="shared" si="79"/>
        <v>25</v>
      </c>
      <c r="E306" s="9" t="s">
        <v>388</v>
      </c>
      <c r="F306" s="9" t="s">
        <v>389</v>
      </c>
      <c r="G306" s="9" t="s">
        <v>29</v>
      </c>
      <c r="H306">
        <f t="shared" si="69"/>
        <v>0</v>
      </c>
      <c r="I306" s="9" t="s">
        <v>391</v>
      </c>
      <c r="J306" s="1">
        <f t="shared" si="70"/>
        <v>2</v>
      </c>
      <c r="K306" s="2">
        <v>43600</v>
      </c>
      <c r="L306" s="2">
        <v>44696</v>
      </c>
      <c r="M306" s="10">
        <f t="shared" si="71"/>
        <v>3.0027397260273974</v>
      </c>
      <c r="N306" s="11">
        <f t="shared" si="72"/>
        <v>0</v>
      </c>
      <c r="O306" s="9" t="s">
        <v>47</v>
      </c>
      <c r="P306" t="str">
        <f t="shared" si="75"/>
        <v>0</v>
      </c>
      <c r="Q306" s="12">
        <v>400000</v>
      </c>
      <c r="R306" s="9">
        <v>1000</v>
      </c>
      <c r="S306" s="1" t="str">
        <f>IF($V306="USD",INDEX('Dólar Spot'!$B:$B,MATCH(Base!$K306,'Dólar Spot'!$A:$A,0)),"")</f>
        <v/>
      </c>
      <c r="T306" s="11">
        <f>Q306*R306</f>
        <v>400000000</v>
      </c>
      <c r="U306" s="13">
        <f t="shared" si="73"/>
        <v>4</v>
      </c>
      <c r="V306" s="9" t="s">
        <v>44</v>
      </c>
      <c r="W306" s="9" t="s">
        <v>34</v>
      </c>
      <c r="X306">
        <f t="shared" si="76"/>
        <v>1</v>
      </c>
      <c r="Y306" s="1" t="str" cm="1">
        <f t="array" ref="Y306">INDEX(Ratings!$B$2:$M$42,_xlfn.XMATCH(Base!F306,Ratings!$A$2:$A$42),_xlfn.XMATCH(YEAR(Base!K306),Ratings!$B$1:$M$1))</f>
        <v>BB-</v>
      </c>
      <c r="Z306">
        <f t="shared" si="77"/>
        <v>0</v>
      </c>
      <c r="AA306">
        <f>IFERROR(IFERROR(IFERROR(INDEX('EMBI+'!$B:$B,MATCH(Base!$K306,'EMBI+'!$A:$A,0)),INDEX('EMBI+'!$B:$B,MATCH(Base!$K306+1,'EMBI+'!$A:$A,0))),INDEX('EMBI+'!$B:$B,MATCH(Base!$K306+2,'EMBI+'!$A:$A,0))),INDEX('EMBI+'!$B:$B,MATCH(Base!$K306+3,'EMBI+'!$A:$A,0)))/100</f>
        <v>2.6</v>
      </c>
      <c r="AB306" s="9">
        <v>-3.9032200000000001</v>
      </c>
      <c r="AC306" s="9">
        <v>92.599530000000001</v>
      </c>
      <c r="AD306" s="9"/>
      <c r="AE306" s="9"/>
      <c r="AF306" s="2"/>
      <c r="AG306" s="2"/>
    </row>
    <row r="307" spans="1:33" x14ac:dyDescent="0.35">
      <c r="A307">
        <f t="shared" si="74"/>
        <v>305</v>
      </c>
      <c r="B307">
        <f>IF(G307="Bonds",COUNTIF($G$3:G307,"Bonds"),0)</f>
        <v>0</v>
      </c>
      <c r="C307" t="str">
        <f t="shared" si="78"/>
        <v>Minerva4448446310</v>
      </c>
      <c r="D307">
        <f t="shared" si="79"/>
        <v>25</v>
      </c>
      <c r="E307" s="9" t="s">
        <v>388</v>
      </c>
      <c r="F307" s="9" t="s">
        <v>389</v>
      </c>
      <c r="G307" s="9" t="s">
        <v>29</v>
      </c>
      <c r="H307">
        <f t="shared" si="69"/>
        <v>0</v>
      </c>
      <c r="I307" s="9" t="s">
        <v>392</v>
      </c>
      <c r="J307" s="1">
        <f t="shared" si="70"/>
        <v>3</v>
      </c>
      <c r="K307" s="2">
        <v>44484</v>
      </c>
      <c r="L307" s="2">
        <v>46310</v>
      </c>
      <c r="M307" s="10">
        <f t="shared" si="71"/>
        <v>5.0027397260273974</v>
      </c>
      <c r="N307" s="11">
        <f t="shared" si="72"/>
        <v>1</v>
      </c>
      <c r="O307" s="9" t="s">
        <v>47</v>
      </c>
      <c r="P307" t="str">
        <f t="shared" si="75"/>
        <v>0</v>
      </c>
      <c r="Q307" s="12">
        <v>400000</v>
      </c>
      <c r="R307" s="9">
        <v>1000</v>
      </c>
      <c r="S307" s="1" t="str">
        <f>IF($V307="USD",INDEX('Dólar Spot'!$B:$B,MATCH(Base!$K307,'Dólar Spot'!$A:$A,0)),"")</f>
        <v/>
      </c>
      <c r="T307" s="11">
        <f>Q307*R307</f>
        <v>400000000</v>
      </c>
      <c r="U307" s="13">
        <f t="shared" si="73"/>
        <v>4</v>
      </c>
      <c r="V307" s="9" t="s">
        <v>44</v>
      </c>
      <c r="W307" s="9" t="s">
        <v>34</v>
      </c>
      <c r="X307">
        <f t="shared" si="76"/>
        <v>1</v>
      </c>
      <c r="Y307" s="1" t="str" cm="1">
        <f t="array" ref="Y307">INDEX(Ratings!$B$2:$M$42,_xlfn.XMATCH(Base!F307,Ratings!$A$2:$A$42),_xlfn.XMATCH(YEAR(Base!K307),Ratings!$B$1:$M$1))</f>
        <v>BB</v>
      </c>
      <c r="Z307">
        <f t="shared" si="77"/>
        <v>0</v>
      </c>
      <c r="AA307">
        <f>IFERROR(IFERROR(IFERROR(INDEX('EMBI+'!$B:$B,MATCH(Base!$K307,'EMBI+'!$A:$A,0)),INDEX('EMBI+'!$B:$B,MATCH(Base!$K307+1,'EMBI+'!$A:$A,0))),INDEX('EMBI+'!$B:$B,MATCH(Base!$K307+2,'EMBI+'!$A:$A,0))),INDEX('EMBI+'!$B:$B,MATCH(Base!$K307+3,'EMBI+'!$A:$A,0)))/100</f>
        <v>3.24</v>
      </c>
      <c r="AB307" s="9">
        <v>6.5413100000000002</v>
      </c>
      <c r="AC307" s="9">
        <v>134.04705000000001</v>
      </c>
      <c r="AD307" s="9"/>
      <c r="AE307" s="9"/>
      <c r="AF307" s="2"/>
      <c r="AG307" s="2"/>
    </row>
    <row r="308" spans="1:33" x14ac:dyDescent="0.35">
      <c r="A308">
        <f t="shared" si="74"/>
        <v>306</v>
      </c>
      <c r="B308">
        <f>IF(G308="Bonds",COUNTIF($G$3:G308,"Bonds"),0)</f>
        <v>89</v>
      </c>
      <c r="C308" t="str">
        <f t="shared" si="78"/>
        <v>Minerva4427318/03/2031</v>
      </c>
      <c r="D308">
        <f t="shared" si="79"/>
        <v>25</v>
      </c>
      <c r="E308" s="9" t="s">
        <v>393</v>
      </c>
      <c r="F308" s="9" t="s">
        <v>389</v>
      </c>
      <c r="G308" s="9" t="s">
        <v>37</v>
      </c>
      <c r="H308">
        <f t="shared" si="69"/>
        <v>1</v>
      </c>
      <c r="I308" s="9"/>
      <c r="J308" s="1">
        <f t="shared" si="70"/>
        <v>4</v>
      </c>
      <c r="K308" s="2">
        <v>44273</v>
      </c>
      <c r="L308" s="2" t="s">
        <v>394</v>
      </c>
      <c r="M308" s="10">
        <f t="shared" si="71"/>
        <v>10.005479452054795</v>
      </c>
      <c r="N308" s="11">
        <f t="shared" si="72"/>
        <v>1</v>
      </c>
      <c r="O308" s="9" t="s">
        <v>39</v>
      </c>
      <c r="P308" t="str">
        <f t="shared" si="75"/>
        <v>0</v>
      </c>
      <c r="Q308" s="9"/>
      <c r="R308" s="9"/>
      <c r="S308" s="1">
        <f>IF($V308="USD",INDEX('Dólar Spot'!$B:$B,MATCH(Base!$K308,'Dólar Spot'!$A:$A,0)),"")</f>
        <v>5.5468000000000002</v>
      </c>
      <c r="T308" s="12">
        <v>1000000000</v>
      </c>
      <c r="U308" s="13">
        <f t="shared" si="73"/>
        <v>55.468000000000004</v>
      </c>
      <c r="V308" s="9" t="s">
        <v>40</v>
      </c>
      <c r="W308" s="9" t="s">
        <v>34</v>
      </c>
      <c r="X308">
        <f t="shared" si="76"/>
        <v>1</v>
      </c>
      <c r="Y308" s="1" t="str" cm="1">
        <f t="array" ref="Y308">INDEX(Ratings!$B$2:$M$42,_xlfn.XMATCH(Base!F308,Ratings!$A$2:$A$42),_xlfn.XMATCH(YEAR(Base!K308),Ratings!$B$1:$M$1))</f>
        <v>BB</v>
      </c>
      <c r="Z308">
        <f t="shared" si="77"/>
        <v>0</v>
      </c>
      <c r="AA308">
        <f>IFERROR(IFERROR(IFERROR(INDEX('EMBI+'!$B:$B,MATCH(Base!$K308,'EMBI+'!$A:$A,0)),INDEX('EMBI+'!$B:$B,MATCH(Base!$K308+1,'EMBI+'!$A:$A,0))),INDEX('EMBI+'!$B:$B,MATCH(Base!$K308+2,'EMBI+'!$A:$A,0))),INDEX('EMBI+'!$B:$B,MATCH(Base!$K308+3,'EMBI+'!$A:$A,0)))/100</f>
        <v>2.89</v>
      </c>
      <c r="AB308" s="9">
        <v>10.13836</v>
      </c>
      <c r="AC308" s="9">
        <v>117.94814</v>
      </c>
      <c r="AD308" s="9"/>
      <c r="AE308" s="9"/>
      <c r="AF308" s="2"/>
      <c r="AG308" s="2"/>
    </row>
    <row r="309" spans="1:33" x14ac:dyDescent="0.35">
      <c r="A309">
        <f t="shared" si="74"/>
        <v>307</v>
      </c>
      <c r="B309">
        <f>IF(G309="Bonds",COUNTIF($G$3:G309,"Bonds"),0)</f>
        <v>90</v>
      </c>
      <c r="C309" t="str">
        <f t="shared" si="78"/>
        <v>Minerva4308819/01/2028</v>
      </c>
      <c r="D309">
        <f t="shared" si="79"/>
        <v>25</v>
      </c>
      <c r="E309" s="9" t="s">
        <v>393</v>
      </c>
      <c r="F309" s="9" t="s">
        <v>389</v>
      </c>
      <c r="G309" s="9" t="s">
        <v>37</v>
      </c>
      <c r="H309">
        <f t="shared" si="69"/>
        <v>1</v>
      </c>
      <c r="I309" s="9"/>
      <c r="J309" s="1">
        <f t="shared" si="70"/>
        <v>5</v>
      </c>
      <c r="K309" s="2">
        <v>43088</v>
      </c>
      <c r="L309" s="2" t="s">
        <v>395</v>
      </c>
      <c r="M309" s="10">
        <f t="shared" si="71"/>
        <v>10.09041095890411</v>
      </c>
      <c r="N309" s="11">
        <f t="shared" si="72"/>
        <v>1</v>
      </c>
      <c r="O309" s="9" t="s">
        <v>39</v>
      </c>
      <c r="P309" t="str">
        <f t="shared" si="75"/>
        <v>0</v>
      </c>
      <c r="Q309" s="9"/>
      <c r="R309" s="9"/>
      <c r="S309" s="1">
        <f>IF($V309="USD",INDEX('Dólar Spot'!$B:$B,MATCH(Base!$K309,'Dólar Spot'!$A:$A,0)),"")</f>
        <v>3.2877000000000001</v>
      </c>
      <c r="T309" s="12">
        <v>500000000</v>
      </c>
      <c r="U309" s="13">
        <f t="shared" si="73"/>
        <v>16.438500000000001</v>
      </c>
      <c r="V309" s="9" t="s">
        <v>40</v>
      </c>
      <c r="W309" s="9" t="s">
        <v>34</v>
      </c>
      <c r="X309">
        <f t="shared" si="76"/>
        <v>1</v>
      </c>
      <c r="Y309" s="1" t="str" cm="1">
        <f t="array" ref="Y309">INDEX(Ratings!$B$2:$M$42,_xlfn.XMATCH(Base!F309,Ratings!$A$2:$A$42),_xlfn.XMATCH(YEAR(Base!K309),Ratings!$B$1:$M$1))</f>
        <v>BB-</v>
      </c>
      <c r="Z309">
        <f t="shared" si="77"/>
        <v>0</v>
      </c>
      <c r="AA309">
        <f>IFERROR(IFERROR(IFERROR(INDEX('EMBI+'!$B:$B,MATCH(Base!$K309,'EMBI+'!$A:$A,0)),INDEX('EMBI+'!$B:$B,MATCH(Base!$K309+1,'EMBI+'!$A:$A,0))),INDEX('EMBI+'!$B:$B,MATCH(Base!$K309+2,'EMBI+'!$A:$A,0))),INDEX('EMBI+'!$B:$B,MATCH(Base!$K309+3,'EMBI+'!$A:$A,0)))/100</f>
        <v>2.34</v>
      </c>
      <c r="AB309" s="9">
        <v>0.71077000000000001</v>
      </c>
      <c r="AC309" s="9">
        <v>96.070080000000004</v>
      </c>
      <c r="AD309" s="9"/>
      <c r="AE309" s="9"/>
      <c r="AF309" s="2"/>
      <c r="AG309" s="2"/>
    </row>
    <row r="310" spans="1:33" x14ac:dyDescent="0.35">
      <c r="A310">
        <f t="shared" si="74"/>
        <v>308</v>
      </c>
      <c r="B310">
        <f>IF(G310="Bonds",COUNTIF($G$3:G310,"Bonds"),0)</f>
        <v>91</v>
      </c>
      <c r="C310" t="str">
        <f t="shared" si="78"/>
        <v>Minerva4263320/09/2026</v>
      </c>
      <c r="D310">
        <f t="shared" si="79"/>
        <v>25</v>
      </c>
      <c r="E310" s="9" t="s">
        <v>393</v>
      </c>
      <c r="F310" s="9" t="s">
        <v>389</v>
      </c>
      <c r="G310" s="9" t="s">
        <v>37</v>
      </c>
      <c r="H310">
        <f t="shared" si="69"/>
        <v>1</v>
      </c>
      <c r="I310" s="9"/>
      <c r="J310" s="1">
        <f t="shared" si="70"/>
        <v>6</v>
      </c>
      <c r="K310" s="2">
        <v>42633</v>
      </c>
      <c r="L310" s="2" t="s">
        <v>396</v>
      </c>
      <c r="M310" s="10">
        <f t="shared" si="71"/>
        <v>10.005479452054795</v>
      </c>
      <c r="N310" s="11">
        <f t="shared" si="72"/>
        <v>1</v>
      </c>
      <c r="O310" s="9" t="s">
        <v>39</v>
      </c>
      <c r="P310" t="str">
        <f t="shared" si="75"/>
        <v>0</v>
      </c>
      <c r="Q310" s="9"/>
      <c r="R310" s="9"/>
      <c r="S310" s="1">
        <f>IF($V310="USD",INDEX('Dólar Spot'!$B:$B,MATCH(Base!$K310,'Dólar Spot'!$A:$A,0)),"")</f>
        <v>3.2534000000000001</v>
      </c>
      <c r="T310" s="12">
        <v>1000000000</v>
      </c>
      <c r="U310" s="13">
        <f t="shared" si="73"/>
        <v>32.533999999999999</v>
      </c>
      <c r="V310" s="9" t="s">
        <v>40</v>
      </c>
      <c r="W310" s="9" t="s">
        <v>34</v>
      </c>
      <c r="X310">
        <f t="shared" si="76"/>
        <v>1</v>
      </c>
      <c r="Y310" s="1" t="str" cm="1">
        <f t="array" ref="Y310">INDEX(Ratings!$B$2:$M$42,_xlfn.XMATCH(Base!F310,Ratings!$A$2:$A$42),_xlfn.XMATCH(YEAR(Base!K310),Ratings!$B$1:$M$1))</f>
        <v>BB-</v>
      </c>
      <c r="Z310">
        <f t="shared" si="77"/>
        <v>0</v>
      </c>
      <c r="AA310">
        <f>IFERROR(IFERROR(IFERROR(INDEX('EMBI+'!$B:$B,MATCH(Base!$K310,'EMBI+'!$A:$A,0)),INDEX('EMBI+'!$B:$B,MATCH(Base!$K310+1,'EMBI+'!$A:$A,0))),INDEX('EMBI+'!$B:$B,MATCH(Base!$K310+2,'EMBI+'!$A:$A,0))),INDEX('EMBI+'!$B:$B,MATCH(Base!$K310+3,'EMBI+'!$A:$A,0)))/100</f>
        <v>3.28</v>
      </c>
      <c r="AB310" s="9">
        <v>6.3338099999999997</v>
      </c>
      <c r="AC310" s="9">
        <v>67.331180000000003</v>
      </c>
      <c r="AD310" s="9"/>
      <c r="AE310" s="9"/>
      <c r="AF310" s="2"/>
      <c r="AG310" s="2"/>
    </row>
    <row r="311" spans="1:33" x14ac:dyDescent="0.35">
      <c r="A311">
        <f t="shared" si="74"/>
        <v>309</v>
      </c>
      <c r="B311">
        <f>IF(G311="Bonds",COUNTIF($G$3:G311,"Bonds"),0)</f>
        <v>92</v>
      </c>
      <c r="C311" t="str">
        <f t="shared" si="78"/>
        <v>Minerva4439018/03/2031</v>
      </c>
      <c r="D311">
        <f t="shared" si="79"/>
        <v>25</v>
      </c>
      <c r="E311" s="9" t="s">
        <v>393</v>
      </c>
      <c r="F311" s="9" t="s">
        <v>389</v>
      </c>
      <c r="G311" s="9" t="s">
        <v>37</v>
      </c>
      <c r="H311">
        <f t="shared" si="69"/>
        <v>1</v>
      </c>
      <c r="I311" s="9"/>
      <c r="J311" s="1">
        <f t="shared" si="70"/>
        <v>7</v>
      </c>
      <c r="K311" s="2">
        <v>44390</v>
      </c>
      <c r="L311" s="2" t="s">
        <v>394</v>
      </c>
      <c r="M311" s="10">
        <f t="shared" si="71"/>
        <v>9.6849315068493151</v>
      </c>
      <c r="N311" s="11">
        <f t="shared" si="72"/>
        <v>1</v>
      </c>
      <c r="O311" s="9" t="s">
        <v>39</v>
      </c>
      <c r="P311" t="str">
        <f t="shared" si="75"/>
        <v>0</v>
      </c>
      <c r="Q311" s="9"/>
      <c r="R311" s="9"/>
      <c r="S311" s="1">
        <f>IF($V311="USD",INDEX('Dólar Spot'!$B:$B,MATCH(Base!$K311,'Dólar Spot'!$A:$A,0)),"")</f>
        <v>5.1764000000000001</v>
      </c>
      <c r="T311" s="12">
        <v>400000000</v>
      </c>
      <c r="U311" s="13">
        <f t="shared" si="73"/>
        <v>20.7056</v>
      </c>
      <c r="V311" s="9" t="s">
        <v>40</v>
      </c>
      <c r="W311" s="9" t="s">
        <v>34</v>
      </c>
      <c r="X311">
        <f t="shared" si="76"/>
        <v>1</v>
      </c>
      <c r="Y311" s="1" t="str" cm="1">
        <f t="array" ref="Y311">INDEX(Ratings!$B$2:$M$42,_xlfn.XMATCH(Base!F311,Ratings!$A$2:$A$42),_xlfn.XMATCH(YEAR(Base!K311),Ratings!$B$1:$M$1))</f>
        <v>BB</v>
      </c>
      <c r="Z311">
        <f t="shared" si="77"/>
        <v>0</v>
      </c>
      <c r="AA311">
        <f>IFERROR(IFERROR(IFERROR(INDEX('EMBI+'!$B:$B,MATCH(Base!$K311,'EMBI+'!$A:$A,0)),INDEX('EMBI+'!$B:$B,MATCH(Base!$K311+1,'EMBI+'!$A:$A,0))),INDEX('EMBI+'!$B:$B,MATCH(Base!$K311+2,'EMBI+'!$A:$A,0))),INDEX('EMBI+'!$B:$B,MATCH(Base!$K311+3,'EMBI+'!$A:$A,0)))/100</f>
        <v>2.85</v>
      </c>
      <c r="AB311" s="9">
        <v>4.2292500000000004</v>
      </c>
      <c r="AC311" s="9">
        <v>116.51172</v>
      </c>
      <c r="AD311" s="9"/>
      <c r="AE311" s="9"/>
      <c r="AF311" s="2"/>
      <c r="AG311" s="2"/>
    </row>
    <row r="312" spans="1:33" x14ac:dyDescent="0.35">
      <c r="A312">
        <f t="shared" si="74"/>
        <v>310</v>
      </c>
      <c r="B312">
        <f>IF(G312="Bonds",COUNTIF($G$3:G312,"Bonds"),0)</f>
        <v>93</v>
      </c>
      <c r="C312" t="str">
        <f t="shared" si="78"/>
        <v>Minerva4130531/01/2023</v>
      </c>
      <c r="D312">
        <f t="shared" si="79"/>
        <v>25</v>
      </c>
      <c r="E312" s="9" t="s">
        <v>393</v>
      </c>
      <c r="F312" s="9" t="s">
        <v>389</v>
      </c>
      <c r="G312" s="9" t="s">
        <v>37</v>
      </c>
      <c r="H312">
        <f t="shared" si="69"/>
        <v>1</v>
      </c>
      <c r="I312" s="9"/>
      <c r="J312" s="1">
        <f t="shared" si="70"/>
        <v>8</v>
      </c>
      <c r="K312" s="2">
        <v>41305</v>
      </c>
      <c r="L312" s="2" t="s">
        <v>397</v>
      </c>
      <c r="M312" s="10">
        <f t="shared" si="71"/>
        <v>10.005479452054795</v>
      </c>
      <c r="N312" s="11">
        <f t="shared" si="72"/>
        <v>1</v>
      </c>
      <c r="O312" s="9" t="s">
        <v>39</v>
      </c>
      <c r="P312" t="str">
        <f t="shared" si="75"/>
        <v>0</v>
      </c>
      <c r="Q312" s="9"/>
      <c r="R312" s="9"/>
      <c r="S312" s="1">
        <f>IF($V312="USD",INDEX('Dólar Spot'!$B:$B,MATCH(Base!$K312,'Dólar Spot'!$A:$A,0)),"")</f>
        <v>1.9877</v>
      </c>
      <c r="T312" s="12">
        <v>850000000</v>
      </c>
      <c r="U312" s="13">
        <f t="shared" si="73"/>
        <v>16.89545</v>
      </c>
      <c r="V312" s="9" t="s">
        <v>40</v>
      </c>
      <c r="W312" s="9" t="s">
        <v>34</v>
      </c>
      <c r="X312">
        <f t="shared" si="76"/>
        <v>1</v>
      </c>
      <c r="Y312" s="1" t="str" cm="1">
        <f t="array" ref="Y312">INDEX(Ratings!$B$2:$M$42,_xlfn.XMATCH(Base!F312,Ratings!$A$2:$A$42),_xlfn.XMATCH(YEAR(Base!K312),Ratings!$B$1:$M$1))</f>
        <v>B+</v>
      </c>
      <c r="Z312">
        <f t="shared" si="77"/>
        <v>0</v>
      </c>
      <c r="AA312">
        <f>IFERROR(IFERROR(IFERROR(INDEX('EMBI+'!$B:$B,MATCH(Base!$K312,'EMBI+'!$A:$A,0)),INDEX('EMBI+'!$B:$B,MATCH(Base!$K312+1,'EMBI+'!$A:$A,0))),INDEX('EMBI+'!$B:$B,MATCH(Base!$K312+2,'EMBI+'!$A:$A,0))),INDEX('EMBI+'!$B:$B,MATCH(Base!$K312+3,'EMBI+'!$A:$A,0)))/100</f>
        <v>1.55</v>
      </c>
      <c r="AB312" s="9">
        <v>7.5188899999999999</v>
      </c>
      <c r="AC312" s="9">
        <v>26.66264</v>
      </c>
      <c r="AD312" s="9"/>
      <c r="AE312" s="9"/>
      <c r="AF312" s="2"/>
      <c r="AG312" s="2"/>
    </row>
    <row r="313" spans="1:33" x14ac:dyDescent="0.35">
      <c r="A313">
        <f t="shared" si="74"/>
        <v>311</v>
      </c>
      <c r="B313">
        <f>IF(G313="Bonds",COUNTIF($G$3:G313,"Bonds"),0)</f>
        <v>94</v>
      </c>
      <c r="C313" t="str">
        <f t="shared" si="78"/>
        <v>Minerva4290220/09/2026</v>
      </c>
      <c r="D313">
        <f t="shared" si="79"/>
        <v>25</v>
      </c>
      <c r="E313" s="9" t="s">
        <v>393</v>
      </c>
      <c r="F313" s="9" t="s">
        <v>389</v>
      </c>
      <c r="G313" s="9" t="s">
        <v>37</v>
      </c>
      <c r="H313">
        <f t="shared" si="69"/>
        <v>1</v>
      </c>
      <c r="I313" s="9"/>
      <c r="J313" s="1">
        <f t="shared" si="70"/>
        <v>9</v>
      </c>
      <c r="K313" s="2">
        <v>42902</v>
      </c>
      <c r="L313" s="2" t="s">
        <v>396</v>
      </c>
      <c r="M313" s="10">
        <f t="shared" si="71"/>
        <v>9.2684931506849306</v>
      </c>
      <c r="N313" s="11">
        <f t="shared" si="72"/>
        <v>1</v>
      </c>
      <c r="O313" s="9" t="s">
        <v>39</v>
      </c>
      <c r="P313" t="str">
        <f t="shared" si="75"/>
        <v>0</v>
      </c>
      <c r="Q313" s="9"/>
      <c r="R313" s="9"/>
      <c r="S313" s="1">
        <f>IF($V313="USD",INDEX('Dólar Spot'!$B:$B,MATCH(Base!$K313,'Dólar Spot'!$A:$A,0)),"")</f>
        <v>3.2886000000000002</v>
      </c>
      <c r="T313" s="12">
        <v>350000000</v>
      </c>
      <c r="U313" s="13">
        <f t="shared" si="73"/>
        <v>11.5101</v>
      </c>
      <c r="V313" s="9" t="s">
        <v>40</v>
      </c>
      <c r="W313" s="9" t="s">
        <v>34</v>
      </c>
      <c r="X313">
        <f t="shared" si="76"/>
        <v>1</v>
      </c>
      <c r="Y313" s="1" t="str" cm="1">
        <f t="array" ref="Y313">INDEX(Ratings!$B$2:$M$42,_xlfn.XMATCH(Base!F313,Ratings!$A$2:$A$42),_xlfn.XMATCH(YEAR(Base!K313),Ratings!$B$1:$M$1))</f>
        <v>BB-</v>
      </c>
      <c r="Z313">
        <f t="shared" si="77"/>
        <v>0</v>
      </c>
      <c r="AA313">
        <f>IFERROR(IFERROR(IFERROR(INDEX('EMBI+'!$B:$B,MATCH(Base!$K313,'EMBI+'!$A:$A,0)),INDEX('EMBI+'!$B:$B,MATCH(Base!$K313+1,'EMBI+'!$A:$A,0))),INDEX('EMBI+'!$B:$B,MATCH(Base!$K313+2,'EMBI+'!$A:$A,0))),INDEX('EMBI+'!$B:$B,MATCH(Base!$K313+3,'EMBI+'!$A:$A,0)))/100</f>
        <v>2.86</v>
      </c>
      <c r="AB313" s="9">
        <v>3.6151200000000001</v>
      </c>
      <c r="AC313" s="9">
        <v>83.618510000000001</v>
      </c>
      <c r="AD313" s="9"/>
      <c r="AE313" s="9"/>
      <c r="AF313" s="2"/>
      <c r="AG313" s="2"/>
    </row>
    <row r="314" spans="1:33" x14ac:dyDescent="0.35">
      <c r="A314">
        <f t="shared" si="74"/>
        <v>312</v>
      </c>
      <c r="B314">
        <f>IF(G314="Bonds",COUNTIF($G$3:G314,"Bonds"),0)</f>
        <v>95</v>
      </c>
      <c r="C314" t="str">
        <f t="shared" si="78"/>
        <v>Minerva4099710/02/2022</v>
      </c>
      <c r="D314">
        <f t="shared" si="79"/>
        <v>25</v>
      </c>
      <c r="E314" s="9" t="s">
        <v>393</v>
      </c>
      <c r="F314" s="9" t="s">
        <v>389</v>
      </c>
      <c r="G314" s="9" t="s">
        <v>37</v>
      </c>
      <c r="H314">
        <f t="shared" si="69"/>
        <v>1</v>
      </c>
      <c r="I314" s="9"/>
      <c r="J314" s="1">
        <f t="shared" si="70"/>
        <v>10</v>
      </c>
      <c r="K314" s="2">
        <v>40997</v>
      </c>
      <c r="L314" s="2" t="s">
        <v>398</v>
      </c>
      <c r="M314" s="10">
        <f t="shared" si="71"/>
        <v>9.8767123287671232</v>
      </c>
      <c r="N314" s="11">
        <f t="shared" si="72"/>
        <v>1</v>
      </c>
      <c r="O314" s="9" t="s">
        <v>39</v>
      </c>
      <c r="P314" t="str">
        <f t="shared" si="75"/>
        <v>0</v>
      </c>
      <c r="Q314" s="9"/>
      <c r="R314" s="9"/>
      <c r="S314" s="1">
        <f>IF($V314="USD",INDEX('Dólar Spot'!$B:$B,MATCH(Base!$K314,'Dólar Spot'!$A:$A,0)),"")</f>
        <v>1.8327</v>
      </c>
      <c r="T314" s="12">
        <v>100000000</v>
      </c>
      <c r="U314" s="13">
        <f t="shared" si="73"/>
        <v>1.8327</v>
      </c>
      <c r="V314" s="9" t="s">
        <v>40</v>
      </c>
      <c r="W314" s="9" t="s">
        <v>34</v>
      </c>
      <c r="X314">
        <f t="shared" si="76"/>
        <v>1</v>
      </c>
      <c r="Y314" s="1" t="str" cm="1">
        <f t="array" ref="Y314">INDEX(Ratings!$B$2:$M$42,_xlfn.XMATCH(Base!F314,Ratings!$A$2:$A$42),_xlfn.XMATCH(YEAR(Base!K314),Ratings!$B$1:$M$1))</f>
        <v>B+</v>
      </c>
      <c r="Z314">
        <f t="shared" si="77"/>
        <v>0</v>
      </c>
      <c r="AA314">
        <f>IFERROR(IFERROR(IFERROR(INDEX('EMBI+'!$B:$B,MATCH(Base!$K314,'EMBI+'!$A:$A,0)),INDEX('EMBI+'!$B:$B,MATCH(Base!$K314+1,'EMBI+'!$A:$A,0))),INDEX('EMBI+'!$B:$B,MATCH(Base!$K314+2,'EMBI+'!$A:$A,0))),INDEX('EMBI+'!$B:$B,MATCH(Base!$K314+3,'EMBI+'!$A:$A,0)))/100</f>
        <v>1.83</v>
      </c>
      <c r="AB314" s="9">
        <v>4.6002900000000002</v>
      </c>
      <c r="AC314" s="9">
        <v>22.720300000000002</v>
      </c>
      <c r="AD314" s="9"/>
      <c r="AE314" s="9"/>
      <c r="AF314" s="2"/>
      <c r="AG314" s="2"/>
    </row>
    <row r="315" spans="1:33" x14ac:dyDescent="0.35">
      <c r="A315">
        <f t="shared" si="74"/>
        <v>313</v>
      </c>
      <c r="B315">
        <f>IF(G315="Bonds",COUNTIF($G$3:G315,"Bonds"),0)</f>
        <v>96</v>
      </c>
      <c r="C315" t="str">
        <f t="shared" si="78"/>
        <v>Minerva4187131/01/2023</v>
      </c>
      <c r="D315">
        <f t="shared" si="79"/>
        <v>25</v>
      </c>
      <c r="E315" s="9" t="s">
        <v>393</v>
      </c>
      <c r="F315" s="9" t="s">
        <v>389</v>
      </c>
      <c r="G315" s="9" t="s">
        <v>37</v>
      </c>
      <c r="H315">
        <f t="shared" si="69"/>
        <v>1</v>
      </c>
      <c r="I315" s="9"/>
      <c r="J315" s="1">
        <f t="shared" si="70"/>
        <v>11</v>
      </c>
      <c r="K315" s="2">
        <v>41871</v>
      </c>
      <c r="L315" s="2" t="s">
        <v>397</v>
      </c>
      <c r="M315" s="10">
        <f t="shared" si="71"/>
        <v>8.4547945205479458</v>
      </c>
      <c r="N315" s="11">
        <f t="shared" si="72"/>
        <v>1</v>
      </c>
      <c r="O315" s="9" t="s">
        <v>39</v>
      </c>
      <c r="P315" t="str">
        <f t="shared" si="75"/>
        <v>0</v>
      </c>
      <c r="Q315" s="9"/>
      <c r="R315" s="9"/>
      <c r="S315" s="1">
        <f>IF($V315="USD",INDEX('Dólar Spot'!$B:$B,MATCH(Base!$K315,'Dólar Spot'!$A:$A,0)),"")</f>
        <v>2.2544</v>
      </c>
      <c r="T315" s="12">
        <v>200000000</v>
      </c>
      <c r="U315" s="13">
        <f t="shared" si="73"/>
        <v>4.5087999999999999</v>
      </c>
      <c r="V315" s="9" t="s">
        <v>40</v>
      </c>
      <c r="W315" s="9" t="s">
        <v>34</v>
      </c>
      <c r="X315">
        <f t="shared" si="76"/>
        <v>1</v>
      </c>
      <c r="Y315" s="1" t="str" cm="1">
        <f t="array" ref="Y315">INDEX(Ratings!$B$2:$M$42,_xlfn.XMATCH(Base!F315,Ratings!$A$2:$A$42),_xlfn.XMATCH(YEAR(Base!K315),Ratings!$B$1:$M$1))</f>
        <v>BB-</v>
      </c>
      <c r="Z315">
        <f t="shared" si="77"/>
        <v>0</v>
      </c>
      <c r="AA315">
        <f>IFERROR(IFERROR(IFERROR(INDEX('EMBI+'!$B:$B,MATCH(Base!$K315,'EMBI+'!$A:$A,0)),INDEX('EMBI+'!$B:$B,MATCH(Base!$K315+1,'EMBI+'!$A:$A,0))),INDEX('EMBI+'!$B:$B,MATCH(Base!$K315+2,'EMBI+'!$A:$A,0))),INDEX('EMBI+'!$B:$B,MATCH(Base!$K315+3,'EMBI+'!$A:$A,0)))/100</f>
        <v>2.13</v>
      </c>
      <c r="AB315" s="9">
        <v>3.90029</v>
      </c>
      <c r="AC315" s="9">
        <v>46.723979999999997</v>
      </c>
      <c r="AD315" s="9"/>
      <c r="AE315" s="9"/>
      <c r="AF315" s="2"/>
      <c r="AG315" s="2"/>
    </row>
    <row r="316" spans="1:33" x14ac:dyDescent="0.35">
      <c r="A316">
        <f t="shared" si="74"/>
        <v>314</v>
      </c>
      <c r="B316">
        <f>IF(G316="Bonds",COUNTIF($G$3:G316,"Bonds"),0)</f>
        <v>97</v>
      </c>
      <c r="C316" t="str">
        <f t="shared" si="78"/>
        <v>Minerva4094910/02/2022</v>
      </c>
      <c r="D316">
        <f t="shared" si="79"/>
        <v>25</v>
      </c>
      <c r="E316" s="9" t="s">
        <v>393</v>
      </c>
      <c r="F316" s="9" t="s">
        <v>389</v>
      </c>
      <c r="G316" s="9" t="s">
        <v>37</v>
      </c>
      <c r="H316">
        <f t="shared" si="69"/>
        <v>1</v>
      </c>
      <c r="I316" s="9"/>
      <c r="J316" s="1">
        <f t="shared" si="70"/>
        <v>12</v>
      </c>
      <c r="K316" s="2">
        <v>40949</v>
      </c>
      <c r="L316" s="2" t="s">
        <v>398</v>
      </c>
      <c r="M316" s="10">
        <f t="shared" si="71"/>
        <v>10.008219178082191</v>
      </c>
      <c r="N316" s="11">
        <f t="shared" si="72"/>
        <v>1</v>
      </c>
      <c r="O316" s="9" t="s">
        <v>39</v>
      </c>
      <c r="P316" t="str">
        <f t="shared" si="75"/>
        <v>0</v>
      </c>
      <c r="Q316" s="9"/>
      <c r="R316" s="9"/>
      <c r="S316" s="1">
        <f>IF($V316="USD",INDEX('Dólar Spot'!$B:$B,MATCH(Base!$K316,'Dólar Spot'!$A:$A,0)),"")</f>
        <v>1.7254</v>
      </c>
      <c r="T316" s="12">
        <v>350000000</v>
      </c>
      <c r="U316" s="13">
        <f t="shared" si="73"/>
        <v>6.0388999999999999</v>
      </c>
      <c r="V316" s="9" t="s">
        <v>40</v>
      </c>
      <c r="W316" s="9" t="s">
        <v>34</v>
      </c>
      <c r="X316">
        <f t="shared" si="76"/>
        <v>1</v>
      </c>
      <c r="Y316" s="1" t="str" cm="1">
        <f t="array" ref="Y316">INDEX(Ratings!$B$2:$M$42,_xlfn.XMATCH(Base!F316,Ratings!$A$2:$A$42),_xlfn.XMATCH(YEAR(Base!K316),Ratings!$B$1:$M$1))</f>
        <v>B+</v>
      </c>
      <c r="Z316">
        <f t="shared" si="77"/>
        <v>0</v>
      </c>
      <c r="AA316">
        <f>IFERROR(IFERROR(IFERROR(INDEX('EMBI+'!$B:$B,MATCH(Base!$K316,'EMBI+'!$A:$A,0)),INDEX('EMBI+'!$B:$B,MATCH(Base!$K316+1,'EMBI+'!$A:$A,0))),INDEX('EMBI+'!$B:$B,MATCH(Base!$K316+2,'EMBI+'!$A:$A,0))),INDEX('EMBI+'!$B:$B,MATCH(Base!$K316+3,'EMBI+'!$A:$A,0)))/100</f>
        <v>2.0099999999999998</v>
      </c>
      <c r="AB316" s="9">
        <v>5.3596199999999996</v>
      </c>
      <c r="AC316" s="9">
        <v>20.351400000000002</v>
      </c>
      <c r="AD316" s="9"/>
      <c r="AE316" s="9"/>
      <c r="AF316" s="2"/>
      <c r="AG316" s="2"/>
    </row>
    <row r="317" spans="1:33" x14ac:dyDescent="0.35">
      <c r="A317">
        <f t="shared" si="74"/>
        <v>315</v>
      </c>
      <c r="B317">
        <f>IF(G317="Bonds",COUNTIF($G$3:G317,"Bonds"),0)</f>
        <v>0</v>
      </c>
      <c r="C317" t="str">
        <f t="shared" si="78"/>
        <v>Movida4227143367</v>
      </c>
      <c r="D317">
        <f t="shared" si="79"/>
        <v>26</v>
      </c>
      <c r="E317" s="9" t="s">
        <v>399</v>
      </c>
      <c r="F317" s="9" t="s">
        <v>400</v>
      </c>
      <c r="G317" s="9" t="s">
        <v>29</v>
      </c>
      <c r="H317">
        <f t="shared" si="69"/>
        <v>0</v>
      </c>
      <c r="I317" s="9" t="s">
        <v>401</v>
      </c>
      <c r="J317" s="1">
        <f t="shared" si="70"/>
        <v>1</v>
      </c>
      <c r="K317" s="2">
        <v>42271</v>
      </c>
      <c r="L317" s="2">
        <v>43367</v>
      </c>
      <c r="M317" s="10">
        <f t="shared" si="71"/>
        <v>3.0027397260273974</v>
      </c>
      <c r="N317" s="11">
        <f t="shared" si="72"/>
        <v>0</v>
      </c>
      <c r="O317" s="9" t="s">
        <v>47</v>
      </c>
      <c r="P317" t="str">
        <f t="shared" si="75"/>
        <v>0</v>
      </c>
      <c r="Q317" s="12">
        <v>30000</v>
      </c>
      <c r="R317" s="9">
        <v>10000</v>
      </c>
      <c r="S317" s="1" t="str">
        <f>IF($V317="USD",INDEX('Dólar Spot'!$B:$B,MATCH(Base!$K317,'Dólar Spot'!$A:$A,0)),"")</f>
        <v/>
      </c>
      <c r="T317" s="11">
        <f t="shared" ref="T317:T350" si="81">Q317*R317</f>
        <v>300000000</v>
      </c>
      <c r="U317" s="13">
        <f t="shared" si="73"/>
        <v>3</v>
      </c>
      <c r="V317" s="9" t="s">
        <v>44</v>
      </c>
      <c r="W317" s="9" t="s">
        <v>35</v>
      </c>
      <c r="X317">
        <f t="shared" si="76"/>
        <v>0</v>
      </c>
      <c r="Y317" s="1" t="str" cm="1">
        <f t="array" ref="Y317">INDEX(Ratings!$B$2:$M$42,_xlfn.XMATCH(Base!F317,Ratings!$A$2:$A$42),_xlfn.XMATCH(YEAR(Base!K317),Ratings!$B$1:$M$1))</f>
        <v>NR</v>
      </c>
      <c r="Z317">
        <f t="shared" si="77"/>
        <v>0</v>
      </c>
      <c r="AA317">
        <f>IFERROR(IFERROR(IFERROR(INDEX('EMBI+'!$B:$B,MATCH(Base!$K317,'EMBI+'!$A:$A,0)),INDEX('EMBI+'!$B:$B,MATCH(Base!$K317+1,'EMBI+'!$A:$A,0))),INDEX('EMBI+'!$B:$B,MATCH(Base!$K317+2,'EMBI+'!$A:$A,0))),INDEX('EMBI+'!$B:$B,MATCH(Base!$K317+3,'EMBI+'!$A:$A,0)))/100</f>
        <v>4.5</v>
      </c>
      <c r="AB317" s="9">
        <v>7.9670100000000001</v>
      </c>
      <c r="AC317" s="9">
        <v>4.7010399999999999</v>
      </c>
      <c r="AD317" s="9"/>
      <c r="AE317" s="9"/>
      <c r="AF317" s="2"/>
      <c r="AG317" s="2"/>
    </row>
    <row r="318" spans="1:33" x14ac:dyDescent="0.35">
      <c r="A318">
        <f t="shared" si="74"/>
        <v>316</v>
      </c>
      <c r="B318">
        <f>IF(G318="Bonds",COUNTIF($G$3:G318,"Bonds"),0)</f>
        <v>0</v>
      </c>
      <c r="C318" t="str">
        <f t="shared" si="78"/>
        <v>Movida4417546001</v>
      </c>
      <c r="D318">
        <f t="shared" si="79"/>
        <v>26</v>
      </c>
      <c r="E318" s="9" t="s">
        <v>402</v>
      </c>
      <c r="F318" s="9" t="s">
        <v>400</v>
      </c>
      <c r="G318" s="9" t="s">
        <v>29</v>
      </c>
      <c r="H318">
        <f t="shared" si="69"/>
        <v>0</v>
      </c>
      <c r="I318" s="9" t="s">
        <v>403</v>
      </c>
      <c r="J318" s="1">
        <f t="shared" si="70"/>
        <v>2</v>
      </c>
      <c r="K318" s="2">
        <v>44175</v>
      </c>
      <c r="L318" s="2">
        <v>46001</v>
      </c>
      <c r="M318" s="10">
        <f t="shared" si="71"/>
        <v>5.0027397260273974</v>
      </c>
      <c r="N318" s="11">
        <f t="shared" si="72"/>
        <v>1</v>
      </c>
      <c r="O318" s="9" t="s">
        <v>47</v>
      </c>
      <c r="P318" t="str">
        <f t="shared" si="75"/>
        <v>0</v>
      </c>
      <c r="Q318" s="12">
        <v>600000</v>
      </c>
      <c r="R318" s="9">
        <v>1000</v>
      </c>
      <c r="S318" s="1" t="str">
        <f>IF($V318="USD",INDEX('Dólar Spot'!$B:$B,MATCH(Base!$K318,'Dólar Spot'!$A:$A,0)),"")</f>
        <v/>
      </c>
      <c r="T318" s="11">
        <f t="shared" si="81"/>
        <v>600000000</v>
      </c>
      <c r="U318" s="13">
        <f t="shared" si="73"/>
        <v>6</v>
      </c>
      <c r="V318" s="9" t="s">
        <v>44</v>
      </c>
      <c r="W318" s="9" t="s">
        <v>34</v>
      </c>
      <c r="X318">
        <f t="shared" si="76"/>
        <v>1</v>
      </c>
      <c r="Y318" s="1" t="str" cm="1">
        <f t="array" ref="Y318">INDEX(Ratings!$B$2:$M$42,_xlfn.XMATCH(Base!F318,Ratings!$A$2:$A$42),_xlfn.XMATCH(YEAR(Base!K318),Ratings!$B$1:$M$1))</f>
        <v>NR</v>
      </c>
      <c r="Z318">
        <f t="shared" si="77"/>
        <v>0</v>
      </c>
      <c r="AA318">
        <f>IFERROR(IFERROR(IFERROR(INDEX('EMBI+'!$B:$B,MATCH(Base!$K318,'EMBI+'!$A:$A,0)),INDEX('EMBI+'!$B:$B,MATCH(Base!$K318+1,'EMBI+'!$A:$A,0))),INDEX('EMBI+'!$B:$B,MATCH(Base!$K318+2,'EMBI+'!$A:$A,0))),INDEX('EMBI+'!$B:$B,MATCH(Base!$K318+3,'EMBI+'!$A:$A,0)))/100</f>
        <v>2.68</v>
      </c>
      <c r="AB318" s="9">
        <v>23.5868</v>
      </c>
      <c r="AC318" s="9">
        <v>44.069580000000002</v>
      </c>
      <c r="AD318" s="9"/>
      <c r="AE318" s="9"/>
      <c r="AF318" s="2"/>
      <c r="AG318" s="2"/>
    </row>
    <row r="319" spans="1:33" x14ac:dyDescent="0.35">
      <c r="A319">
        <f t="shared" si="74"/>
        <v>317</v>
      </c>
      <c r="B319">
        <f>IF(G319="Bonds",COUNTIF($G$3:G319,"Bonds"),0)</f>
        <v>0</v>
      </c>
      <c r="C319" t="str">
        <f t="shared" si="78"/>
        <v>Movida4418046006</v>
      </c>
      <c r="D319">
        <f t="shared" si="79"/>
        <v>26</v>
      </c>
      <c r="E319" s="9" t="s">
        <v>402</v>
      </c>
      <c r="F319" s="9" t="s">
        <v>400</v>
      </c>
      <c r="G319" s="9" t="s">
        <v>29</v>
      </c>
      <c r="H319">
        <f t="shared" si="69"/>
        <v>0</v>
      </c>
      <c r="I319" s="9" t="s">
        <v>404</v>
      </c>
      <c r="J319" s="1">
        <f t="shared" si="70"/>
        <v>3</v>
      </c>
      <c r="K319" s="2">
        <v>44180</v>
      </c>
      <c r="L319" s="2">
        <v>46006</v>
      </c>
      <c r="M319" s="10">
        <f t="shared" si="71"/>
        <v>5.0027397260273974</v>
      </c>
      <c r="N319" s="11">
        <f t="shared" si="72"/>
        <v>1</v>
      </c>
      <c r="O319" s="9" t="s">
        <v>61</v>
      </c>
      <c r="P319" t="str">
        <f t="shared" si="75"/>
        <v>1</v>
      </c>
      <c r="Q319" s="12">
        <v>150000</v>
      </c>
      <c r="R319" s="9">
        <v>1000</v>
      </c>
      <c r="S319" s="1" t="str">
        <f>IF($V319="USD",INDEX('Dólar Spot'!$B:$B,MATCH(Base!$K319,'Dólar Spot'!$A:$A,0)),"")</f>
        <v/>
      </c>
      <c r="T319" s="11">
        <f t="shared" si="81"/>
        <v>150000000</v>
      </c>
      <c r="U319" s="13">
        <f t="shared" si="73"/>
        <v>1.5</v>
      </c>
      <c r="V319" s="9" t="s">
        <v>44</v>
      </c>
      <c r="W319" s="9" t="s">
        <v>34</v>
      </c>
      <c r="X319">
        <f t="shared" si="76"/>
        <v>1</v>
      </c>
      <c r="Y319" s="1" t="str" cm="1">
        <f t="array" ref="Y319">INDEX(Ratings!$B$2:$M$42,_xlfn.XMATCH(Base!F319,Ratings!$A$2:$A$42),_xlfn.XMATCH(YEAR(Base!K319),Ratings!$B$1:$M$1))</f>
        <v>NR</v>
      </c>
      <c r="Z319">
        <f t="shared" si="77"/>
        <v>0</v>
      </c>
      <c r="AA319">
        <f>IFERROR(IFERROR(IFERROR(INDEX('EMBI+'!$B:$B,MATCH(Base!$K319,'EMBI+'!$A:$A,0)),INDEX('EMBI+'!$B:$B,MATCH(Base!$K319+1,'EMBI+'!$A:$A,0))),INDEX('EMBI+'!$B:$B,MATCH(Base!$K319+2,'EMBI+'!$A:$A,0))),INDEX('EMBI+'!$B:$B,MATCH(Base!$K319+3,'EMBI+'!$A:$A,0)))/100</f>
        <v>2.63</v>
      </c>
      <c r="AB319" s="9">
        <v>23.5868</v>
      </c>
      <c r="AC319" s="9">
        <v>44.069580000000002</v>
      </c>
      <c r="AD319" s="9"/>
      <c r="AE319" s="9"/>
      <c r="AF319" s="2"/>
      <c r="AG319" s="2"/>
    </row>
    <row r="320" spans="1:33" x14ac:dyDescent="0.35">
      <c r="A320">
        <f t="shared" si="74"/>
        <v>318</v>
      </c>
      <c r="B320">
        <f>IF(G320="Bonds",COUNTIF($G$3:G320,"Bonds"),0)</f>
        <v>0</v>
      </c>
      <c r="C320" t="str">
        <f t="shared" si="78"/>
        <v>Movida4318845014</v>
      </c>
      <c r="D320">
        <f t="shared" si="79"/>
        <v>26</v>
      </c>
      <c r="E320" s="9" t="s">
        <v>402</v>
      </c>
      <c r="F320" s="9" t="s">
        <v>400</v>
      </c>
      <c r="G320" s="9" t="s">
        <v>29</v>
      </c>
      <c r="H320">
        <f t="shared" si="69"/>
        <v>0</v>
      </c>
      <c r="I320" s="9" t="s">
        <v>405</v>
      </c>
      <c r="J320" s="1">
        <f t="shared" si="70"/>
        <v>4</v>
      </c>
      <c r="K320" s="2">
        <v>43188</v>
      </c>
      <c r="L320" s="2">
        <v>45014</v>
      </c>
      <c r="M320" s="10">
        <f t="shared" si="71"/>
        <v>5.0027397260273974</v>
      </c>
      <c r="N320" s="11">
        <f t="shared" si="72"/>
        <v>1</v>
      </c>
      <c r="O320" s="9" t="s">
        <v>47</v>
      </c>
      <c r="P320" t="str">
        <f t="shared" si="75"/>
        <v>0</v>
      </c>
      <c r="Q320" s="12">
        <v>250000000</v>
      </c>
      <c r="R320" s="9">
        <v>1</v>
      </c>
      <c r="S320" s="1" t="str">
        <f>IF($V320="USD",INDEX('Dólar Spot'!$B:$B,MATCH(Base!$K320,'Dólar Spot'!$A:$A,0)),"")</f>
        <v/>
      </c>
      <c r="T320" s="11">
        <f t="shared" si="81"/>
        <v>250000000</v>
      </c>
      <c r="U320" s="13">
        <f t="shared" si="73"/>
        <v>2.5</v>
      </c>
      <c r="V320" s="9" t="s">
        <v>44</v>
      </c>
      <c r="W320" s="9" t="s">
        <v>34</v>
      </c>
      <c r="X320">
        <f t="shared" si="76"/>
        <v>1</v>
      </c>
      <c r="Y320" s="1" t="str" cm="1">
        <f t="array" ref="Y320">INDEX(Ratings!$B$2:$M$42,_xlfn.XMATCH(Base!F320,Ratings!$A$2:$A$42),_xlfn.XMATCH(YEAR(Base!K320),Ratings!$B$1:$M$1))</f>
        <v>NR</v>
      </c>
      <c r="Z320">
        <f t="shared" si="77"/>
        <v>0</v>
      </c>
      <c r="AA320">
        <f>IFERROR(IFERROR(IFERROR(INDEX('EMBI+'!$B:$B,MATCH(Base!$K320,'EMBI+'!$A:$A,0)),INDEX('EMBI+'!$B:$B,MATCH(Base!$K320+1,'EMBI+'!$A:$A,0))),INDEX('EMBI+'!$B:$B,MATCH(Base!$K320+2,'EMBI+'!$A:$A,0))),INDEX('EMBI+'!$B:$B,MATCH(Base!$K320+3,'EMBI+'!$A:$A,0)))/100</f>
        <v>2.48</v>
      </c>
      <c r="AB320" s="9">
        <v>12.916410000000001</v>
      </c>
      <c r="AC320" s="9">
        <v>17.18169</v>
      </c>
      <c r="AD320" s="9"/>
      <c r="AE320" s="9"/>
      <c r="AF320" s="2"/>
      <c r="AG320" s="2"/>
    </row>
    <row r="321" spans="1:33" x14ac:dyDescent="0.35">
      <c r="A321">
        <f t="shared" si="74"/>
        <v>319</v>
      </c>
      <c r="B321">
        <f>IF(G321="Bonds",COUNTIF($G$3:G321,"Bonds"),0)</f>
        <v>0</v>
      </c>
      <c r="C321" t="str">
        <f t="shared" si="78"/>
        <v>Movida4338344479</v>
      </c>
      <c r="D321">
        <f t="shared" si="79"/>
        <v>26</v>
      </c>
      <c r="E321" s="9" t="s">
        <v>402</v>
      </c>
      <c r="F321" s="9" t="s">
        <v>400</v>
      </c>
      <c r="G321" s="9" t="s">
        <v>29</v>
      </c>
      <c r="H321">
        <f t="shared" si="69"/>
        <v>0</v>
      </c>
      <c r="I321" s="9" t="s">
        <v>406</v>
      </c>
      <c r="J321" s="1">
        <f t="shared" si="70"/>
        <v>5</v>
      </c>
      <c r="K321" s="2">
        <v>43383</v>
      </c>
      <c r="L321" s="2">
        <v>44479</v>
      </c>
      <c r="M321" s="10">
        <f t="shared" si="71"/>
        <v>3.0027397260273974</v>
      </c>
      <c r="N321" s="11">
        <f t="shared" si="72"/>
        <v>0</v>
      </c>
      <c r="O321" s="9" t="s">
        <v>47</v>
      </c>
      <c r="P321" t="str">
        <f t="shared" si="75"/>
        <v>0</v>
      </c>
      <c r="Q321" s="12">
        <v>100000</v>
      </c>
      <c r="R321" s="9">
        <v>1000</v>
      </c>
      <c r="S321" s="1" t="str">
        <f>IF($V321="USD",INDEX('Dólar Spot'!$B:$B,MATCH(Base!$K321,'Dólar Spot'!$A:$A,0)),"")</f>
        <v/>
      </c>
      <c r="T321" s="11">
        <f t="shared" si="81"/>
        <v>100000000</v>
      </c>
      <c r="U321" s="13">
        <f t="shared" si="73"/>
        <v>1</v>
      </c>
      <c r="V321" s="9" t="s">
        <v>44</v>
      </c>
      <c r="W321" s="9" t="s">
        <v>34</v>
      </c>
      <c r="X321">
        <f t="shared" si="76"/>
        <v>1</v>
      </c>
      <c r="Y321" s="1" t="str" cm="1">
        <f t="array" ref="Y321">INDEX(Ratings!$B$2:$M$42,_xlfn.XMATCH(Base!F321,Ratings!$A$2:$A$42),_xlfn.XMATCH(YEAR(Base!K321),Ratings!$B$1:$M$1))</f>
        <v>NR</v>
      </c>
      <c r="Z321">
        <f t="shared" si="77"/>
        <v>0</v>
      </c>
      <c r="AA321">
        <f>IFERROR(IFERROR(IFERROR(INDEX('EMBI+'!$B:$B,MATCH(Base!$K321,'EMBI+'!$A:$A,0)),INDEX('EMBI+'!$B:$B,MATCH(Base!$K321+1,'EMBI+'!$A:$A,0))),INDEX('EMBI+'!$B:$B,MATCH(Base!$K321+2,'EMBI+'!$A:$A,0))),INDEX('EMBI+'!$B:$B,MATCH(Base!$K321+3,'EMBI+'!$A:$A,0)))/100</f>
        <v>2.68</v>
      </c>
      <c r="AB321" s="9">
        <v>16.3767</v>
      </c>
      <c r="AC321" s="9">
        <v>20.63148</v>
      </c>
      <c r="AD321" s="9"/>
      <c r="AE321" s="9"/>
      <c r="AF321" s="2"/>
      <c r="AG321" s="2"/>
    </row>
    <row r="322" spans="1:33" x14ac:dyDescent="0.35">
      <c r="A322">
        <f t="shared" si="74"/>
        <v>320</v>
      </c>
      <c r="B322">
        <f>IF(G322="Bonds",COUNTIF($G$3:G322,"Bonds"),0)</f>
        <v>0</v>
      </c>
      <c r="C322" t="str">
        <f t="shared" si="78"/>
        <v>Movida4364045315</v>
      </c>
      <c r="D322">
        <f t="shared" si="79"/>
        <v>26</v>
      </c>
      <c r="E322" s="9" t="s">
        <v>402</v>
      </c>
      <c r="F322" s="9" t="s">
        <v>400</v>
      </c>
      <c r="G322" s="9" t="s">
        <v>29</v>
      </c>
      <c r="H322">
        <f t="shared" si="69"/>
        <v>0</v>
      </c>
      <c r="I322" s="9" t="s">
        <v>407</v>
      </c>
      <c r="J322" s="1">
        <f t="shared" si="70"/>
        <v>6</v>
      </c>
      <c r="K322" s="2">
        <v>43640</v>
      </c>
      <c r="L322" s="2">
        <v>45315</v>
      </c>
      <c r="M322" s="10">
        <f t="shared" si="71"/>
        <v>4.5890410958904111</v>
      </c>
      <c r="N322" s="11">
        <f t="shared" si="72"/>
        <v>0</v>
      </c>
      <c r="O322" s="9" t="s">
        <v>47</v>
      </c>
      <c r="P322" t="str">
        <f t="shared" si="75"/>
        <v>0</v>
      </c>
      <c r="Q322" s="12">
        <v>200000</v>
      </c>
      <c r="R322" s="9">
        <v>1000</v>
      </c>
      <c r="S322" s="1" t="str">
        <f>IF($V322="USD",INDEX('Dólar Spot'!$B:$B,MATCH(Base!$K322,'Dólar Spot'!$A:$A,0)),"")</f>
        <v/>
      </c>
      <c r="T322" s="11">
        <f t="shared" si="81"/>
        <v>200000000</v>
      </c>
      <c r="U322" s="13">
        <f t="shared" si="73"/>
        <v>2</v>
      </c>
      <c r="V322" s="9" t="s">
        <v>44</v>
      </c>
      <c r="W322" s="9" t="s">
        <v>34</v>
      </c>
      <c r="X322">
        <f t="shared" si="76"/>
        <v>1</v>
      </c>
      <c r="Y322" s="1" t="str" cm="1">
        <f t="array" ref="Y322">INDEX(Ratings!$B$2:$M$42,_xlfn.XMATCH(Base!F322,Ratings!$A$2:$A$42),_xlfn.XMATCH(YEAR(Base!K322),Ratings!$B$1:$M$1))</f>
        <v>NR</v>
      </c>
      <c r="Z322">
        <f t="shared" si="77"/>
        <v>0</v>
      </c>
      <c r="AA322">
        <f>IFERROR(IFERROR(IFERROR(INDEX('EMBI+'!$B:$B,MATCH(Base!$K322,'EMBI+'!$A:$A,0)),INDEX('EMBI+'!$B:$B,MATCH(Base!$K322+1,'EMBI+'!$A:$A,0))),INDEX('EMBI+'!$B:$B,MATCH(Base!$K322+2,'EMBI+'!$A:$A,0))),INDEX('EMBI+'!$B:$B,MATCH(Base!$K322+3,'EMBI+'!$A:$A,0)))/100</f>
        <v>2.39</v>
      </c>
      <c r="AB322" s="9">
        <v>17.01417</v>
      </c>
      <c r="AC322" s="9">
        <v>32.898569999999999</v>
      </c>
      <c r="AD322" s="9"/>
      <c r="AE322" s="9"/>
      <c r="AF322" s="2"/>
      <c r="AG322" s="2"/>
    </row>
    <row r="323" spans="1:33" x14ac:dyDescent="0.35">
      <c r="A323">
        <f t="shared" si="74"/>
        <v>321</v>
      </c>
      <c r="B323">
        <f>IF(G323="Bonds",COUNTIF($G$3:G323,"Bonds"),0)</f>
        <v>0</v>
      </c>
      <c r="C323" t="str">
        <f t="shared" si="78"/>
        <v>Movida4395144671</v>
      </c>
      <c r="D323">
        <f t="shared" si="79"/>
        <v>26</v>
      </c>
      <c r="E323" s="9" t="s">
        <v>402</v>
      </c>
      <c r="F323" s="9" t="s">
        <v>400</v>
      </c>
      <c r="G323" s="9" t="s">
        <v>29</v>
      </c>
      <c r="H323">
        <f t="shared" ref="H323:H386" si="82">IF(G323="Bonds",1,0)</f>
        <v>0</v>
      </c>
      <c r="I323" s="9" t="s">
        <v>408</v>
      </c>
      <c r="J323" s="1">
        <f t="shared" ref="J323:J386" si="83">IF(F323=F322,J322+1,1)</f>
        <v>7</v>
      </c>
      <c r="K323" s="2">
        <v>43951</v>
      </c>
      <c r="L323" s="2">
        <v>44671</v>
      </c>
      <c r="M323" s="10">
        <f t="shared" ref="M323:M386" si="84">(L323-K323)/365</f>
        <v>1.9726027397260273</v>
      </c>
      <c r="N323" s="11">
        <f t="shared" ref="N323:N386" si="85">IF(M323&gt;5,1,0)</f>
        <v>0</v>
      </c>
      <c r="O323" s="9" t="s">
        <v>47</v>
      </c>
      <c r="P323" t="str">
        <f t="shared" si="75"/>
        <v>0</v>
      </c>
      <c r="Q323" s="12">
        <v>200000</v>
      </c>
      <c r="R323" s="9">
        <v>1000</v>
      </c>
      <c r="S323" s="1" t="str">
        <f>IF($V323="USD",INDEX('Dólar Spot'!$B:$B,MATCH(Base!$K323,'Dólar Spot'!$A:$A,0)),"")</f>
        <v/>
      </c>
      <c r="T323" s="11">
        <f t="shared" si="81"/>
        <v>200000000</v>
      </c>
      <c r="U323" s="13">
        <f t="shared" ref="U323:U386" si="86">IF(V323="USD",T323*S323/100000000,Q323*R323/100000000)</f>
        <v>2</v>
      </c>
      <c r="V323" s="9" t="s">
        <v>44</v>
      </c>
      <c r="W323" s="9" t="s">
        <v>34</v>
      </c>
      <c r="X323">
        <f t="shared" si="76"/>
        <v>1</v>
      </c>
      <c r="Y323" s="1" t="str" cm="1">
        <f t="array" ref="Y323">INDEX(Ratings!$B$2:$M$42,_xlfn.XMATCH(Base!F323,Ratings!$A$2:$A$42),_xlfn.XMATCH(YEAR(Base!K323),Ratings!$B$1:$M$1))</f>
        <v>NR</v>
      </c>
      <c r="Z323">
        <f t="shared" si="77"/>
        <v>0</v>
      </c>
      <c r="AA323">
        <f>IFERROR(IFERROR(IFERROR(INDEX('EMBI+'!$B:$B,MATCH(Base!$K323,'EMBI+'!$A:$A,0)),INDEX('EMBI+'!$B:$B,MATCH(Base!$K323+1,'EMBI+'!$A:$A,0))),INDEX('EMBI+'!$B:$B,MATCH(Base!$K323+2,'EMBI+'!$A:$A,0))),INDEX('EMBI+'!$B:$B,MATCH(Base!$K323+3,'EMBI+'!$A:$A,0)))/100</f>
        <v>4.22</v>
      </c>
      <c r="AB323" s="9">
        <v>21.796430000000001</v>
      </c>
      <c r="AC323" s="9">
        <v>32.69021</v>
      </c>
      <c r="AD323" s="9"/>
      <c r="AE323" s="9"/>
      <c r="AF323" s="2"/>
      <c r="AG323" s="2"/>
    </row>
    <row r="324" spans="1:33" x14ac:dyDescent="0.35">
      <c r="A324">
        <f t="shared" ref="A324:A387" si="87">+A323+1</f>
        <v>322</v>
      </c>
      <c r="B324">
        <f>IF(G324="Bonds",COUNTIF($G$3:G324,"Bonds"),0)</f>
        <v>0</v>
      </c>
      <c r="C324" t="str">
        <f t="shared" si="78"/>
        <v>Movida4415345248</v>
      </c>
      <c r="D324">
        <f t="shared" si="79"/>
        <v>26</v>
      </c>
      <c r="E324" s="9" t="s">
        <v>402</v>
      </c>
      <c r="F324" s="9" t="s">
        <v>400</v>
      </c>
      <c r="G324" s="9" t="s">
        <v>29</v>
      </c>
      <c r="H324">
        <f t="shared" si="82"/>
        <v>0</v>
      </c>
      <c r="I324" s="9" t="s">
        <v>409</v>
      </c>
      <c r="J324" s="1">
        <f t="shared" si="83"/>
        <v>8</v>
      </c>
      <c r="K324" s="2">
        <v>44153</v>
      </c>
      <c r="L324" s="2">
        <v>45248</v>
      </c>
      <c r="M324" s="10">
        <f t="shared" si="84"/>
        <v>3</v>
      </c>
      <c r="N324" s="11">
        <f t="shared" si="85"/>
        <v>0</v>
      </c>
      <c r="O324" s="9" t="s">
        <v>47</v>
      </c>
      <c r="P324" t="str">
        <f t="shared" ref="P324:P387" si="88">IF(OR(O324="Real",O324="Flutuante",O324="SR SECURED"),"1","0")</f>
        <v>0</v>
      </c>
      <c r="Q324" s="12">
        <v>200000</v>
      </c>
      <c r="R324" s="9">
        <v>1000</v>
      </c>
      <c r="S324" s="1" t="str">
        <f>IF($V324="USD",INDEX('Dólar Spot'!$B:$B,MATCH(Base!$K324,'Dólar Spot'!$A:$A,0)),"")</f>
        <v/>
      </c>
      <c r="T324" s="11">
        <f t="shared" si="81"/>
        <v>200000000</v>
      </c>
      <c r="U324" s="13">
        <f t="shared" si="86"/>
        <v>2</v>
      </c>
      <c r="V324" s="9" t="s">
        <v>44</v>
      </c>
      <c r="W324" s="9" t="s">
        <v>34</v>
      </c>
      <c r="X324">
        <f t="shared" ref="X324:X387" si="89">IF(OR(W324="N",W324="AT MATURITY"),0,1)</f>
        <v>1</v>
      </c>
      <c r="Y324" s="1" t="str" cm="1">
        <f t="array" ref="Y324">INDEX(Ratings!$B$2:$M$42,_xlfn.XMATCH(Base!F324,Ratings!$A$2:$A$42),_xlfn.XMATCH(YEAR(Base!K324),Ratings!$B$1:$M$1))</f>
        <v>NR</v>
      </c>
      <c r="Z324">
        <f t="shared" ref="Z324:Z387" si="90">IF(AND(Y324&lt;&gt;"BBB-",Y324&lt;&gt;"BBB",Y324&lt;&gt;"BBB+"),0,1)</f>
        <v>0</v>
      </c>
      <c r="AA324">
        <f>IFERROR(IFERROR(IFERROR(INDEX('EMBI+'!$B:$B,MATCH(Base!$K324,'EMBI+'!$A:$A,0)),INDEX('EMBI+'!$B:$B,MATCH(Base!$K324+1,'EMBI+'!$A:$A,0))),INDEX('EMBI+'!$B:$B,MATCH(Base!$K324+2,'EMBI+'!$A:$A,0))),INDEX('EMBI+'!$B:$B,MATCH(Base!$K324+3,'EMBI+'!$A:$A,0)))/100</f>
        <v>2.75</v>
      </c>
      <c r="AB324" s="9">
        <v>22.172609999999999</v>
      </c>
      <c r="AC324" s="9">
        <v>38.059820000000002</v>
      </c>
      <c r="AD324" s="9"/>
      <c r="AE324" s="9"/>
      <c r="AF324" s="2"/>
      <c r="AG324" s="2"/>
    </row>
    <row r="325" spans="1:33" x14ac:dyDescent="0.35">
      <c r="A325">
        <f t="shared" si="87"/>
        <v>323</v>
      </c>
      <c r="B325">
        <f>IF(G325="Bonds",COUNTIF($G$3:G325,"Bonds"),0)</f>
        <v>0</v>
      </c>
      <c r="C325" t="str">
        <f t="shared" ref="C325:C388" si="91">F325&amp;K325&amp;L325</f>
        <v>Movida4430146919</v>
      </c>
      <c r="D325">
        <f t="shared" ref="D325:D388" si="92">IF(F325&lt;&gt;F324,D324+1,D324)</f>
        <v>26</v>
      </c>
      <c r="E325" s="9" t="s">
        <v>402</v>
      </c>
      <c r="F325" s="9" t="s">
        <v>400</v>
      </c>
      <c r="G325" s="9" t="s">
        <v>29</v>
      </c>
      <c r="H325">
        <f t="shared" si="82"/>
        <v>0</v>
      </c>
      <c r="I325" s="9" t="s">
        <v>410</v>
      </c>
      <c r="J325" s="1">
        <f t="shared" si="83"/>
        <v>9</v>
      </c>
      <c r="K325" s="2">
        <v>44301</v>
      </c>
      <c r="L325" s="2">
        <v>46919</v>
      </c>
      <c r="M325" s="10">
        <f t="shared" si="84"/>
        <v>7.1726027397260275</v>
      </c>
      <c r="N325" s="11">
        <f t="shared" si="85"/>
        <v>1</v>
      </c>
      <c r="O325" s="9" t="s">
        <v>61</v>
      </c>
      <c r="P325" t="str">
        <f t="shared" si="88"/>
        <v>1</v>
      </c>
      <c r="Q325" s="12">
        <v>400000</v>
      </c>
      <c r="R325" s="9">
        <v>1000</v>
      </c>
      <c r="S325" s="1" t="str">
        <f>IF($V325="USD",INDEX('Dólar Spot'!$B:$B,MATCH(Base!$K325,'Dólar Spot'!$A:$A,0)),"")</f>
        <v/>
      </c>
      <c r="T325" s="11">
        <f t="shared" si="81"/>
        <v>400000000</v>
      </c>
      <c r="U325" s="13">
        <f t="shared" si="86"/>
        <v>4</v>
      </c>
      <c r="V325" s="9" t="s">
        <v>32</v>
      </c>
      <c r="W325" s="9" t="s">
        <v>34</v>
      </c>
      <c r="X325">
        <f t="shared" si="89"/>
        <v>1</v>
      </c>
      <c r="Y325" s="1" t="str" cm="1">
        <f t="array" ref="Y325">INDEX(Ratings!$B$2:$M$42,_xlfn.XMATCH(Base!F325,Ratings!$A$2:$A$42),_xlfn.XMATCH(YEAR(Base!K325),Ratings!$B$1:$M$1))</f>
        <v>BB-</v>
      </c>
      <c r="Z325">
        <f t="shared" si="90"/>
        <v>0</v>
      </c>
      <c r="AA325">
        <f>IFERROR(IFERROR(IFERROR(INDEX('EMBI+'!$B:$B,MATCH(Base!$K325,'EMBI+'!$A:$A,0)),INDEX('EMBI+'!$B:$B,MATCH(Base!$K325+1,'EMBI+'!$A:$A,0))),INDEX('EMBI+'!$B:$B,MATCH(Base!$K325+2,'EMBI+'!$A:$A,0))),INDEX('EMBI+'!$B:$B,MATCH(Base!$K325+3,'EMBI+'!$A:$A,0)))/100</f>
        <v>2.9</v>
      </c>
      <c r="AB325" s="9">
        <v>23.495509999999999</v>
      </c>
      <c r="AC325" s="9">
        <v>90.58766</v>
      </c>
      <c r="AD325" s="9"/>
      <c r="AE325" s="9"/>
      <c r="AF325" s="2"/>
      <c r="AG325" s="2"/>
    </row>
    <row r="326" spans="1:33" x14ac:dyDescent="0.35">
      <c r="A326">
        <f t="shared" si="87"/>
        <v>324</v>
      </c>
      <c r="B326">
        <f>IF(G326="Bonds",COUNTIF($G$3:G326,"Bonds"),0)</f>
        <v>0</v>
      </c>
      <c r="C326" t="str">
        <f t="shared" si="91"/>
        <v>Movida4453046356</v>
      </c>
      <c r="D326">
        <f t="shared" si="92"/>
        <v>26</v>
      </c>
      <c r="E326" s="9" t="s">
        <v>402</v>
      </c>
      <c r="F326" s="9" t="s">
        <v>400</v>
      </c>
      <c r="G326" s="9" t="s">
        <v>29</v>
      </c>
      <c r="H326">
        <f t="shared" si="82"/>
        <v>0</v>
      </c>
      <c r="I326" s="9" t="s">
        <v>411</v>
      </c>
      <c r="J326" s="1">
        <f t="shared" si="83"/>
        <v>10</v>
      </c>
      <c r="K326" s="2">
        <v>44530</v>
      </c>
      <c r="L326" s="2">
        <v>46356</v>
      </c>
      <c r="M326" s="10">
        <f t="shared" si="84"/>
        <v>5.0027397260273974</v>
      </c>
      <c r="N326" s="11">
        <f t="shared" si="85"/>
        <v>1</v>
      </c>
      <c r="O326" s="9" t="s">
        <v>47</v>
      </c>
      <c r="P326" t="str">
        <f t="shared" si="88"/>
        <v>0</v>
      </c>
      <c r="Q326" s="12">
        <v>400000</v>
      </c>
      <c r="R326" s="9">
        <v>1000</v>
      </c>
      <c r="S326" s="1" t="str">
        <f>IF($V326="USD",INDEX('Dólar Spot'!$B:$B,MATCH(Base!$K326,'Dólar Spot'!$A:$A,0)),"")</f>
        <v/>
      </c>
      <c r="T326" s="11">
        <f t="shared" si="81"/>
        <v>400000000</v>
      </c>
      <c r="U326" s="13">
        <f t="shared" si="86"/>
        <v>4</v>
      </c>
      <c r="V326" s="9" t="s">
        <v>44</v>
      </c>
      <c r="W326" s="9" t="s">
        <v>34</v>
      </c>
      <c r="X326">
        <f t="shared" si="89"/>
        <v>1</v>
      </c>
      <c r="Y326" s="1" t="str" cm="1">
        <f t="array" ref="Y326">INDEX(Ratings!$B$2:$M$42,_xlfn.XMATCH(Base!F326,Ratings!$A$2:$A$42),_xlfn.XMATCH(YEAR(Base!K326),Ratings!$B$1:$M$1))</f>
        <v>BB-</v>
      </c>
      <c r="Z326">
        <f t="shared" si="90"/>
        <v>0</v>
      </c>
      <c r="AA326">
        <f>IFERROR(IFERROR(IFERROR(INDEX('EMBI+'!$B:$B,MATCH(Base!$K326,'EMBI+'!$A:$A,0)),INDEX('EMBI+'!$B:$B,MATCH(Base!$K326+1,'EMBI+'!$A:$A,0))),INDEX('EMBI+'!$B:$B,MATCH(Base!$K326+2,'EMBI+'!$A:$A,0))),INDEX('EMBI+'!$B:$B,MATCH(Base!$K326+3,'EMBI+'!$A:$A,0)))/100</f>
        <v>3.66</v>
      </c>
      <c r="AB326" s="9">
        <v>32.844720000000002</v>
      </c>
      <c r="AC326" s="9">
        <v>147.65666999999999</v>
      </c>
      <c r="AD326" s="9"/>
      <c r="AE326" s="9"/>
      <c r="AF326" s="2"/>
      <c r="AG326" s="2"/>
    </row>
    <row r="327" spans="1:33" x14ac:dyDescent="0.35">
      <c r="A327">
        <f t="shared" si="87"/>
        <v>325</v>
      </c>
      <c r="B327">
        <f>IF(G327="Bonds",COUNTIF($G$3:G327,"Bonds"),0)</f>
        <v>0</v>
      </c>
      <c r="C327" t="str">
        <f t="shared" si="91"/>
        <v>Movida4430146006</v>
      </c>
      <c r="D327">
        <f t="shared" si="92"/>
        <v>26</v>
      </c>
      <c r="E327" s="9" t="s">
        <v>402</v>
      </c>
      <c r="F327" s="9" t="s">
        <v>400</v>
      </c>
      <c r="G327" s="9" t="s">
        <v>29</v>
      </c>
      <c r="H327">
        <f t="shared" si="82"/>
        <v>0</v>
      </c>
      <c r="I327" s="9" t="s">
        <v>412</v>
      </c>
      <c r="J327" s="1">
        <f t="shared" si="83"/>
        <v>11</v>
      </c>
      <c r="K327" s="2">
        <v>44301</v>
      </c>
      <c r="L327" s="2">
        <v>46006</v>
      </c>
      <c r="M327" s="10">
        <f t="shared" si="84"/>
        <v>4.6712328767123283</v>
      </c>
      <c r="N327" s="11">
        <f t="shared" si="85"/>
        <v>0</v>
      </c>
      <c r="O327" s="9" t="s">
        <v>61</v>
      </c>
      <c r="P327" t="str">
        <f t="shared" si="88"/>
        <v>1</v>
      </c>
      <c r="Q327" s="12">
        <v>300000</v>
      </c>
      <c r="R327" s="9">
        <v>1000</v>
      </c>
      <c r="S327" s="1" t="str">
        <f>IF($V327="USD",INDEX('Dólar Spot'!$B:$B,MATCH(Base!$K327,'Dólar Spot'!$A:$A,0)),"")</f>
        <v/>
      </c>
      <c r="T327" s="11">
        <f t="shared" si="81"/>
        <v>300000000</v>
      </c>
      <c r="U327" s="13">
        <f t="shared" si="86"/>
        <v>3</v>
      </c>
      <c r="V327" s="9" t="s">
        <v>32</v>
      </c>
      <c r="W327" s="9" t="s">
        <v>35</v>
      </c>
      <c r="X327">
        <f t="shared" si="89"/>
        <v>0</v>
      </c>
      <c r="Y327" s="1" t="str" cm="1">
        <f t="array" ref="Y327">INDEX(Ratings!$B$2:$M$42,_xlfn.XMATCH(Base!F327,Ratings!$A$2:$A$42),_xlfn.XMATCH(YEAR(Base!K327),Ratings!$B$1:$M$1))</f>
        <v>BB-</v>
      </c>
      <c r="Z327">
        <f t="shared" si="90"/>
        <v>0</v>
      </c>
      <c r="AA327">
        <f>IFERROR(IFERROR(IFERROR(INDEX('EMBI+'!$B:$B,MATCH(Base!$K327,'EMBI+'!$A:$A,0)),INDEX('EMBI+'!$B:$B,MATCH(Base!$K327+1,'EMBI+'!$A:$A,0))),INDEX('EMBI+'!$B:$B,MATCH(Base!$K327+2,'EMBI+'!$A:$A,0))),INDEX('EMBI+'!$B:$B,MATCH(Base!$K327+3,'EMBI+'!$A:$A,0)))/100</f>
        <v>2.9</v>
      </c>
      <c r="AB327" s="9">
        <v>23.495509999999999</v>
      </c>
      <c r="AC327" s="9">
        <v>90.58766</v>
      </c>
      <c r="AD327" s="9"/>
      <c r="AE327" s="9"/>
      <c r="AF327" s="2"/>
      <c r="AG327" s="2"/>
    </row>
    <row r="328" spans="1:33" x14ac:dyDescent="0.35">
      <c r="A328">
        <f t="shared" si="87"/>
        <v>326</v>
      </c>
      <c r="B328">
        <f>IF(G328="Bonds",COUNTIF($G$3:G328,"Bonds"),0)</f>
        <v>0</v>
      </c>
      <c r="C328" t="str">
        <f t="shared" si="91"/>
        <v>Movida4465646482</v>
      </c>
      <c r="D328">
        <f t="shared" si="92"/>
        <v>26</v>
      </c>
      <c r="E328" s="9" t="s">
        <v>402</v>
      </c>
      <c r="F328" s="9" t="s">
        <v>400</v>
      </c>
      <c r="G328" s="9" t="s">
        <v>29</v>
      </c>
      <c r="H328">
        <f t="shared" si="82"/>
        <v>0</v>
      </c>
      <c r="I328" s="9"/>
      <c r="J328" s="1">
        <f t="shared" si="83"/>
        <v>12</v>
      </c>
      <c r="K328" s="2">
        <v>44656</v>
      </c>
      <c r="L328" s="2">
        <v>46482</v>
      </c>
      <c r="M328" s="10">
        <f t="shared" si="84"/>
        <v>5.0027397260273974</v>
      </c>
      <c r="N328" s="11">
        <f t="shared" si="85"/>
        <v>1</v>
      </c>
      <c r="O328" s="9" t="s">
        <v>61</v>
      </c>
      <c r="P328" t="str">
        <f t="shared" si="88"/>
        <v>1</v>
      </c>
      <c r="Q328" s="12">
        <v>1000000</v>
      </c>
      <c r="R328" s="9">
        <v>1000</v>
      </c>
      <c r="S328" s="1" t="str">
        <f>IF($V328="USD",INDEX('Dólar Spot'!$B:$B,MATCH(Base!$K328,'Dólar Spot'!$A:$A,0)),"")</f>
        <v/>
      </c>
      <c r="T328" s="11">
        <f t="shared" si="81"/>
        <v>1000000000</v>
      </c>
      <c r="U328" s="13">
        <f t="shared" si="86"/>
        <v>10</v>
      </c>
      <c r="V328" s="9" t="s">
        <v>44</v>
      </c>
      <c r="W328" s="9" t="s">
        <v>34</v>
      </c>
      <c r="X328">
        <f t="shared" si="89"/>
        <v>1</v>
      </c>
      <c r="Y328" s="1" t="str" cm="1">
        <f t="array" ref="Y328">INDEX(Ratings!$B$2:$M$42,_xlfn.XMATCH(Base!F328,Ratings!$A$2:$A$42),_xlfn.XMATCH(YEAR(Base!K328),Ratings!$B$1:$M$1))</f>
        <v>BB</v>
      </c>
      <c r="Z328">
        <f t="shared" si="90"/>
        <v>0</v>
      </c>
      <c r="AA328">
        <f>IFERROR(IFERROR(IFERROR(INDEX('EMBI+'!$B:$B,MATCH(Base!$K328,'EMBI+'!$A:$A,0)),INDEX('EMBI+'!$B:$B,MATCH(Base!$K328+1,'EMBI+'!$A:$A,0))),INDEX('EMBI+'!$B:$B,MATCH(Base!$K328+2,'EMBI+'!$A:$A,0))),INDEX('EMBI+'!$B:$B,MATCH(Base!$K328+3,'EMBI+'!$A:$A,0)))/100</f>
        <v>2.83</v>
      </c>
      <c r="AB328" s="9">
        <v>32.412860000000002</v>
      </c>
      <c r="AC328" s="9">
        <v>138.78756000000001</v>
      </c>
      <c r="AD328" s="9"/>
      <c r="AE328" s="9"/>
      <c r="AF328" s="2"/>
      <c r="AG328" s="2"/>
    </row>
    <row r="329" spans="1:33" x14ac:dyDescent="0.35">
      <c r="A329">
        <f t="shared" si="87"/>
        <v>327</v>
      </c>
      <c r="B329">
        <f>IF(G329="Bonds",COUNTIF($G$3:G329,"Bonds"),0)</f>
        <v>0</v>
      </c>
      <c r="C329" t="str">
        <f t="shared" si="91"/>
        <v>Movida4480146627</v>
      </c>
      <c r="D329">
        <f t="shared" si="92"/>
        <v>26</v>
      </c>
      <c r="E329" s="9" t="s">
        <v>402</v>
      </c>
      <c r="F329" s="9" t="s">
        <v>400</v>
      </c>
      <c r="G329" s="9" t="s">
        <v>29</v>
      </c>
      <c r="H329">
        <f t="shared" si="82"/>
        <v>0</v>
      </c>
      <c r="I329" s="9"/>
      <c r="J329" s="1">
        <f t="shared" si="83"/>
        <v>13</v>
      </c>
      <c r="K329" s="2">
        <v>44801</v>
      </c>
      <c r="L329" s="2">
        <v>46627</v>
      </c>
      <c r="M329" s="10">
        <f t="shared" si="84"/>
        <v>5.0027397260273974</v>
      </c>
      <c r="N329" s="11">
        <f t="shared" si="85"/>
        <v>1</v>
      </c>
      <c r="O329" s="9" t="s">
        <v>47</v>
      </c>
      <c r="P329" t="str">
        <f t="shared" si="88"/>
        <v>0</v>
      </c>
      <c r="Q329" s="12">
        <v>750000</v>
      </c>
      <c r="R329" s="9">
        <v>1000</v>
      </c>
      <c r="S329" s="1" t="str">
        <f>IF($V329="USD",INDEX('Dólar Spot'!$B:$B,MATCH(Base!$K329,'Dólar Spot'!$A:$A,0)),"")</f>
        <v/>
      </c>
      <c r="T329" s="11">
        <f t="shared" si="81"/>
        <v>750000000</v>
      </c>
      <c r="U329" s="13">
        <f t="shared" si="86"/>
        <v>7.5</v>
      </c>
      <c r="V329" s="9" t="s">
        <v>44</v>
      </c>
      <c r="W329" s="9" t="s">
        <v>34</v>
      </c>
      <c r="X329">
        <f t="shared" si="89"/>
        <v>1</v>
      </c>
      <c r="Y329" s="1" t="str" cm="1">
        <f t="array" ref="Y329">INDEX(Ratings!$B$2:$M$42,_xlfn.XMATCH(Base!F329,Ratings!$A$2:$A$42),_xlfn.XMATCH(YEAR(Base!K329),Ratings!$B$1:$M$1))</f>
        <v>BB</v>
      </c>
      <c r="Z329">
        <f t="shared" si="90"/>
        <v>0</v>
      </c>
      <c r="AA329">
        <f>IFERROR(IFERROR(IFERROR(INDEX('EMBI+'!$B:$B,MATCH(Base!$K329,'EMBI+'!$A:$A,0)),INDEX('EMBI+'!$B:$B,MATCH(Base!$K329+1,'EMBI+'!$A:$A,0))),INDEX('EMBI+'!$B:$B,MATCH(Base!$K329+2,'EMBI+'!$A:$A,0))),INDEX('EMBI+'!$B:$B,MATCH(Base!$K329+3,'EMBI+'!$A:$A,0)))/100</f>
        <v>2.97</v>
      </c>
      <c r="AB329" s="9">
        <v>27.770779999999998</v>
      </c>
      <c r="AC329" s="9">
        <v>196.40942999999999</v>
      </c>
      <c r="AD329" s="9"/>
      <c r="AE329" s="9"/>
      <c r="AF329" s="2"/>
      <c r="AG329" s="2"/>
    </row>
    <row r="330" spans="1:33" x14ac:dyDescent="0.35">
      <c r="A330">
        <f t="shared" si="87"/>
        <v>328</v>
      </c>
      <c r="B330">
        <f>IF(G330="Bonds",COUNTIF($G$3:G330,"Bonds"),0)</f>
        <v>0</v>
      </c>
      <c r="C330" t="str">
        <f t="shared" si="91"/>
        <v>Movida4491746743</v>
      </c>
      <c r="D330">
        <f t="shared" si="92"/>
        <v>26</v>
      </c>
      <c r="E330" s="9" t="s">
        <v>402</v>
      </c>
      <c r="F330" s="9" t="s">
        <v>400</v>
      </c>
      <c r="G330" s="9" t="s">
        <v>29</v>
      </c>
      <c r="H330">
        <f t="shared" si="82"/>
        <v>0</v>
      </c>
      <c r="I330" s="9"/>
      <c r="J330" s="1">
        <f t="shared" si="83"/>
        <v>14</v>
      </c>
      <c r="K330" s="2">
        <v>44917</v>
      </c>
      <c r="L330" s="2">
        <v>46743</v>
      </c>
      <c r="M330" s="10">
        <f t="shared" si="84"/>
        <v>5.0027397260273974</v>
      </c>
      <c r="N330" s="11">
        <f t="shared" si="85"/>
        <v>1</v>
      </c>
      <c r="O330" s="9" t="s">
        <v>61</v>
      </c>
      <c r="P330" t="str">
        <f t="shared" si="88"/>
        <v>1</v>
      </c>
      <c r="Q330" s="12">
        <v>600000</v>
      </c>
      <c r="R330" s="9">
        <v>1000</v>
      </c>
      <c r="S330" s="1" t="str">
        <f>IF($V330="USD",INDEX('Dólar Spot'!$B:$B,MATCH(Base!$K330,'Dólar Spot'!$A:$A,0)),"")</f>
        <v/>
      </c>
      <c r="T330" s="11">
        <f t="shared" si="81"/>
        <v>600000000</v>
      </c>
      <c r="U330" s="13">
        <f t="shared" si="86"/>
        <v>6</v>
      </c>
      <c r="V330" s="9" t="s">
        <v>44</v>
      </c>
      <c r="W330" s="9" t="s">
        <v>34</v>
      </c>
      <c r="X330">
        <f t="shared" si="89"/>
        <v>1</v>
      </c>
      <c r="Y330" s="1" t="str" cm="1">
        <f t="array" ref="Y330">INDEX(Ratings!$B$2:$M$42,_xlfn.XMATCH(Base!F330,Ratings!$A$2:$A$42),_xlfn.XMATCH(YEAR(Base!K330),Ratings!$B$1:$M$1))</f>
        <v>BB</v>
      </c>
      <c r="Z330">
        <f t="shared" si="90"/>
        <v>0</v>
      </c>
      <c r="AA330">
        <f>IFERROR(IFERROR(IFERROR(INDEX('EMBI+'!$B:$B,MATCH(Base!$K330,'EMBI+'!$A:$A,0)),INDEX('EMBI+'!$B:$B,MATCH(Base!$K330+1,'EMBI+'!$A:$A,0))),INDEX('EMBI+'!$B:$B,MATCH(Base!$K330+2,'EMBI+'!$A:$A,0))),INDEX('EMBI+'!$B:$B,MATCH(Base!$K330+3,'EMBI+'!$A:$A,0)))/100</f>
        <v>2.65</v>
      </c>
      <c r="AB330" s="9">
        <v>27.68683</v>
      </c>
      <c r="AC330" s="9">
        <v>177.23979</v>
      </c>
      <c r="AD330" s="9"/>
      <c r="AE330" s="9"/>
      <c r="AF330" s="2"/>
      <c r="AG330" s="2"/>
    </row>
    <row r="331" spans="1:33" x14ac:dyDescent="0.35">
      <c r="A331">
        <f t="shared" si="87"/>
        <v>329</v>
      </c>
      <c r="B331">
        <f>IF(G331="Bonds",COUNTIF($G$3:G331,"Bonds"),0)</f>
        <v>0</v>
      </c>
      <c r="C331" t="str">
        <f t="shared" si="91"/>
        <v>Movida4293144027</v>
      </c>
      <c r="D331">
        <f t="shared" si="92"/>
        <v>26</v>
      </c>
      <c r="E331" s="9" t="s">
        <v>413</v>
      </c>
      <c r="F331" s="9" t="s">
        <v>400</v>
      </c>
      <c r="G331" s="9" t="s">
        <v>29</v>
      </c>
      <c r="H331">
        <f t="shared" si="82"/>
        <v>0</v>
      </c>
      <c r="I331" s="9" t="s">
        <v>414</v>
      </c>
      <c r="J331" s="1">
        <f t="shared" si="83"/>
        <v>15</v>
      </c>
      <c r="K331" s="2">
        <v>42931</v>
      </c>
      <c r="L331" s="2">
        <v>44027</v>
      </c>
      <c r="M331" s="10">
        <f t="shared" si="84"/>
        <v>3.0027397260273974</v>
      </c>
      <c r="N331" s="11">
        <f t="shared" si="85"/>
        <v>0</v>
      </c>
      <c r="O331" s="9" t="s">
        <v>47</v>
      </c>
      <c r="P331" t="str">
        <f t="shared" si="88"/>
        <v>0</v>
      </c>
      <c r="Q331" s="12">
        <v>150000</v>
      </c>
      <c r="R331" s="9">
        <v>1000</v>
      </c>
      <c r="S331" s="1" t="str">
        <f>IF($V331="USD",INDEX('Dólar Spot'!$B:$B,MATCH(Base!$K331,'Dólar Spot'!$A:$A,0)),"")</f>
        <v/>
      </c>
      <c r="T331" s="11">
        <f t="shared" si="81"/>
        <v>150000000</v>
      </c>
      <c r="U331" s="13">
        <f t="shared" si="86"/>
        <v>1.5</v>
      </c>
      <c r="V331" s="9" t="s">
        <v>44</v>
      </c>
      <c r="W331" s="9" t="s">
        <v>34</v>
      </c>
      <c r="X331">
        <f t="shared" si="89"/>
        <v>1</v>
      </c>
      <c r="Y331" s="1" t="str" cm="1">
        <f t="array" ref="Y331">INDEX(Ratings!$B$2:$M$42,_xlfn.XMATCH(Base!F331,Ratings!$A$2:$A$42),_xlfn.XMATCH(YEAR(Base!K331),Ratings!$B$1:$M$1))</f>
        <v>NR</v>
      </c>
      <c r="Z331">
        <f t="shared" si="90"/>
        <v>0</v>
      </c>
      <c r="AA331">
        <f>IFERROR(IFERROR(IFERROR(INDEX('EMBI+'!$B:$B,MATCH(Base!$K331,'EMBI+'!$A:$A,0)),INDEX('EMBI+'!$B:$B,MATCH(Base!$K331+1,'EMBI+'!$A:$A,0))),INDEX('EMBI+'!$B:$B,MATCH(Base!$K331+2,'EMBI+'!$A:$A,0))),INDEX('EMBI+'!$B:$B,MATCH(Base!$K331+3,'EMBI+'!$A:$A,0)))/100</f>
        <v>2.73</v>
      </c>
      <c r="AB331" s="9">
        <v>12.541679999999999</v>
      </c>
      <c r="AC331" s="9">
        <v>13.86938</v>
      </c>
      <c r="AD331" s="9"/>
      <c r="AE331" s="9"/>
      <c r="AF331" s="2"/>
      <c r="AG331" s="2"/>
    </row>
    <row r="332" spans="1:33" x14ac:dyDescent="0.35">
      <c r="A332">
        <f t="shared" si="87"/>
        <v>330</v>
      </c>
      <c r="B332">
        <f>IF(G332="Bonds",COUNTIF($G$3:G332,"Bonds"),0)</f>
        <v>0</v>
      </c>
      <c r="C332" t="str">
        <f t="shared" si="91"/>
        <v>Movida4325844354</v>
      </c>
      <c r="D332">
        <f t="shared" si="92"/>
        <v>26</v>
      </c>
      <c r="E332" s="9" t="s">
        <v>413</v>
      </c>
      <c r="F332" s="9" t="s">
        <v>400</v>
      </c>
      <c r="G332" s="9" t="s">
        <v>29</v>
      </c>
      <c r="H332">
        <f t="shared" si="82"/>
        <v>0</v>
      </c>
      <c r="I332" s="9" t="s">
        <v>415</v>
      </c>
      <c r="J332" s="1">
        <f t="shared" si="83"/>
        <v>16</v>
      </c>
      <c r="K332" s="2">
        <v>43258</v>
      </c>
      <c r="L332" s="2">
        <v>44354</v>
      </c>
      <c r="M332" s="10">
        <f t="shared" si="84"/>
        <v>3.0027397260273974</v>
      </c>
      <c r="N332" s="11">
        <f t="shared" si="85"/>
        <v>0</v>
      </c>
      <c r="O332" s="9" t="s">
        <v>47</v>
      </c>
      <c r="P332" t="str">
        <f t="shared" si="88"/>
        <v>0</v>
      </c>
      <c r="Q332" s="12">
        <v>13825</v>
      </c>
      <c r="R332" s="9">
        <v>10000</v>
      </c>
      <c r="S332" s="1" t="str">
        <f>IF($V332="USD",INDEX('Dólar Spot'!$B:$B,MATCH(Base!$K332,'Dólar Spot'!$A:$A,0)),"")</f>
        <v/>
      </c>
      <c r="T332" s="11">
        <f t="shared" si="81"/>
        <v>138250000</v>
      </c>
      <c r="U332" s="13">
        <f t="shared" si="86"/>
        <v>1.3825000000000001</v>
      </c>
      <c r="V332" s="9" t="s">
        <v>44</v>
      </c>
      <c r="W332" s="9" t="s">
        <v>34</v>
      </c>
      <c r="X332">
        <f t="shared" si="89"/>
        <v>1</v>
      </c>
      <c r="Y332" s="1" t="str" cm="1">
        <f t="array" ref="Y332">INDEX(Ratings!$B$2:$M$42,_xlfn.XMATCH(Base!F332,Ratings!$A$2:$A$42),_xlfn.XMATCH(YEAR(Base!K332),Ratings!$B$1:$M$1))</f>
        <v>NR</v>
      </c>
      <c r="Z332">
        <f t="shared" si="90"/>
        <v>0</v>
      </c>
      <c r="AA332">
        <f>IFERROR(IFERROR(IFERROR(INDEX('EMBI+'!$B:$B,MATCH(Base!$K332,'EMBI+'!$A:$A,0)),INDEX('EMBI+'!$B:$B,MATCH(Base!$K332+1,'EMBI+'!$A:$A,0))),INDEX('EMBI+'!$B:$B,MATCH(Base!$K332+2,'EMBI+'!$A:$A,0))),INDEX('EMBI+'!$B:$B,MATCH(Base!$K332+3,'EMBI+'!$A:$A,0)))/100</f>
        <v>3.3</v>
      </c>
      <c r="AB332" s="9">
        <v>15.163600000000001</v>
      </c>
      <c r="AC332" s="9">
        <v>23.096820000000001</v>
      </c>
      <c r="AD332" s="9"/>
      <c r="AE332" s="9"/>
      <c r="AF332" s="2"/>
      <c r="AG332" s="2"/>
    </row>
    <row r="333" spans="1:33" x14ac:dyDescent="0.35">
      <c r="A333">
        <f t="shared" si="87"/>
        <v>331</v>
      </c>
      <c r="B333">
        <f>IF(G333="Bonds",COUNTIF($G$3:G333,"Bonds"),0)</f>
        <v>0</v>
      </c>
      <c r="C333" t="str">
        <f t="shared" si="91"/>
        <v>Movida4344145450</v>
      </c>
      <c r="D333">
        <f t="shared" si="92"/>
        <v>26</v>
      </c>
      <c r="E333" s="9" t="s">
        <v>413</v>
      </c>
      <c r="F333" s="9" t="s">
        <v>400</v>
      </c>
      <c r="G333" s="9" t="s">
        <v>29</v>
      </c>
      <c r="H333">
        <f t="shared" si="82"/>
        <v>0</v>
      </c>
      <c r="I333" s="9" t="s">
        <v>416</v>
      </c>
      <c r="J333" s="1">
        <f t="shared" si="83"/>
        <v>17</v>
      </c>
      <c r="K333" s="2">
        <v>43441</v>
      </c>
      <c r="L333" s="2">
        <v>45450</v>
      </c>
      <c r="M333" s="10">
        <f t="shared" si="84"/>
        <v>5.5041095890410956</v>
      </c>
      <c r="N333" s="11">
        <f t="shared" si="85"/>
        <v>1</v>
      </c>
      <c r="O333" s="9" t="s">
        <v>47</v>
      </c>
      <c r="P333" t="str">
        <f t="shared" si="88"/>
        <v>0</v>
      </c>
      <c r="Q333" s="12">
        <v>214478</v>
      </c>
      <c r="R333" s="9">
        <v>1000</v>
      </c>
      <c r="S333" s="1" t="str">
        <f>IF($V333="USD",INDEX('Dólar Spot'!$B:$B,MATCH(Base!$K333,'Dólar Spot'!$A:$A,0)),"")</f>
        <v/>
      </c>
      <c r="T333" s="11">
        <f t="shared" si="81"/>
        <v>214478000</v>
      </c>
      <c r="U333" s="13">
        <f t="shared" si="86"/>
        <v>2.1447799999999999</v>
      </c>
      <c r="V333" s="9" t="s">
        <v>44</v>
      </c>
      <c r="W333" s="9" t="s">
        <v>34</v>
      </c>
      <c r="X333">
        <f t="shared" si="89"/>
        <v>1</v>
      </c>
      <c r="Y333" s="1" t="str" cm="1">
        <f t="array" ref="Y333">INDEX(Ratings!$B$2:$M$42,_xlfn.XMATCH(Base!F333,Ratings!$A$2:$A$42),_xlfn.XMATCH(YEAR(Base!K333),Ratings!$B$1:$M$1))</f>
        <v>NR</v>
      </c>
      <c r="Z333">
        <f t="shared" si="90"/>
        <v>0</v>
      </c>
      <c r="AA333">
        <f>IFERROR(IFERROR(IFERROR(INDEX('EMBI+'!$B:$B,MATCH(Base!$K333,'EMBI+'!$A:$A,0)),INDEX('EMBI+'!$B:$B,MATCH(Base!$K333+1,'EMBI+'!$A:$A,0))),INDEX('EMBI+'!$B:$B,MATCH(Base!$K333+2,'EMBI+'!$A:$A,0))),INDEX('EMBI+'!$B:$B,MATCH(Base!$K333+3,'EMBI+'!$A:$A,0)))/100</f>
        <v>2.74</v>
      </c>
      <c r="AB333" s="9">
        <v>16.588419999999999</v>
      </c>
      <c r="AC333" s="9">
        <v>22.659320000000001</v>
      </c>
      <c r="AD333" s="9"/>
      <c r="AE333" s="9"/>
      <c r="AF333" s="2"/>
      <c r="AG333" s="2"/>
    </row>
    <row r="334" spans="1:33" x14ac:dyDescent="0.35">
      <c r="A334">
        <f t="shared" si="87"/>
        <v>332</v>
      </c>
      <c r="B334">
        <f>IF(G334="Bonds",COUNTIF($G$3:G334,"Bonds"),0)</f>
        <v>0</v>
      </c>
      <c r="C334" t="str">
        <f t="shared" si="91"/>
        <v>Movida4364344837</v>
      </c>
      <c r="D334">
        <f t="shared" si="92"/>
        <v>26</v>
      </c>
      <c r="E334" s="9" t="s">
        <v>413</v>
      </c>
      <c r="F334" s="9" t="s">
        <v>400</v>
      </c>
      <c r="G334" s="9" t="s">
        <v>29</v>
      </c>
      <c r="H334">
        <f t="shared" si="82"/>
        <v>0</v>
      </c>
      <c r="I334" s="9" t="s">
        <v>417</v>
      </c>
      <c r="J334" s="1">
        <f t="shared" si="83"/>
        <v>18</v>
      </c>
      <c r="K334" s="2">
        <v>43643</v>
      </c>
      <c r="L334" s="2">
        <v>44837</v>
      </c>
      <c r="M334" s="10">
        <f t="shared" si="84"/>
        <v>3.2712328767123289</v>
      </c>
      <c r="N334" s="11">
        <f t="shared" si="85"/>
        <v>0</v>
      </c>
      <c r="O334" s="9" t="s">
        <v>47</v>
      </c>
      <c r="P334" t="str">
        <f t="shared" si="88"/>
        <v>0</v>
      </c>
      <c r="Q334" s="12">
        <v>250000</v>
      </c>
      <c r="R334" s="9">
        <v>1000</v>
      </c>
      <c r="S334" s="1" t="str">
        <f>IF($V334="USD",INDEX('Dólar Spot'!$B:$B,MATCH(Base!$K334,'Dólar Spot'!$A:$A,0)),"")</f>
        <v/>
      </c>
      <c r="T334" s="11">
        <f t="shared" si="81"/>
        <v>250000000</v>
      </c>
      <c r="U334" s="13">
        <f t="shared" si="86"/>
        <v>2.5</v>
      </c>
      <c r="V334" s="9" t="s">
        <v>44</v>
      </c>
      <c r="W334" s="9" t="s">
        <v>34</v>
      </c>
      <c r="X334">
        <f t="shared" si="89"/>
        <v>1</v>
      </c>
      <c r="Y334" s="1" t="str" cm="1">
        <f t="array" ref="Y334">INDEX(Ratings!$B$2:$M$42,_xlfn.XMATCH(Base!F334,Ratings!$A$2:$A$42),_xlfn.XMATCH(YEAR(Base!K334),Ratings!$B$1:$M$1))</f>
        <v>NR</v>
      </c>
      <c r="Z334">
        <f t="shared" si="90"/>
        <v>0</v>
      </c>
      <c r="AA334">
        <f>IFERROR(IFERROR(IFERROR(INDEX('EMBI+'!$B:$B,MATCH(Base!$K334,'EMBI+'!$A:$A,0)),INDEX('EMBI+'!$B:$B,MATCH(Base!$K334+1,'EMBI+'!$A:$A,0))),INDEX('EMBI+'!$B:$B,MATCH(Base!$K334+2,'EMBI+'!$A:$A,0))),INDEX('EMBI+'!$B:$B,MATCH(Base!$K334+3,'EMBI+'!$A:$A,0)))/100</f>
        <v>2.42</v>
      </c>
      <c r="AB334" s="9">
        <v>17.01417</v>
      </c>
      <c r="AC334" s="9">
        <v>32.898569999999999</v>
      </c>
      <c r="AD334" s="9"/>
      <c r="AE334" s="9"/>
      <c r="AF334" s="2"/>
      <c r="AG334" s="2"/>
    </row>
    <row r="335" spans="1:33" x14ac:dyDescent="0.35">
      <c r="A335">
        <f t="shared" si="87"/>
        <v>333</v>
      </c>
      <c r="B335">
        <f>IF(G335="Bonds",COUNTIF($G$3:G335,"Bonds"),0)</f>
        <v>0</v>
      </c>
      <c r="C335" t="str">
        <f t="shared" si="91"/>
        <v>Movida4411945214</v>
      </c>
      <c r="D335">
        <f t="shared" si="92"/>
        <v>26</v>
      </c>
      <c r="E335" s="9" t="s">
        <v>413</v>
      </c>
      <c r="F335" s="9" t="s">
        <v>400</v>
      </c>
      <c r="G335" s="9" t="s">
        <v>29</v>
      </c>
      <c r="H335">
        <f t="shared" si="82"/>
        <v>0</v>
      </c>
      <c r="I335" s="9" t="s">
        <v>418</v>
      </c>
      <c r="J335" s="1">
        <f t="shared" si="83"/>
        <v>19</v>
      </c>
      <c r="K335" s="2">
        <v>44119</v>
      </c>
      <c r="L335" s="2">
        <v>45214</v>
      </c>
      <c r="M335" s="10">
        <f t="shared" si="84"/>
        <v>3</v>
      </c>
      <c r="N335" s="11">
        <f t="shared" si="85"/>
        <v>0</v>
      </c>
      <c r="O335" s="9" t="s">
        <v>47</v>
      </c>
      <c r="P335" t="str">
        <f t="shared" si="88"/>
        <v>0</v>
      </c>
      <c r="Q335" s="12">
        <v>250000</v>
      </c>
      <c r="R335" s="9">
        <v>1000</v>
      </c>
      <c r="S335" s="1" t="str">
        <f>IF($V335="USD",INDEX('Dólar Spot'!$B:$B,MATCH(Base!$K335,'Dólar Spot'!$A:$A,0)),"")</f>
        <v/>
      </c>
      <c r="T335" s="11">
        <f t="shared" si="81"/>
        <v>250000000</v>
      </c>
      <c r="U335" s="13">
        <f t="shared" si="86"/>
        <v>2.5</v>
      </c>
      <c r="V335" s="9" t="s">
        <v>44</v>
      </c>
      <c r="W335" s="9" t="s">
        <v>34</v>
      </c>
      <c r="X335">
        <f t="shared" si="89"/>
        <v>1</v>
      </c>
      <c r="Y335" s="1" t="str" cm="1">
        <f t="array" ref="Y335">INDEX(Ratings!$B$2:$M$42,_xlfn.XMATCH(Base!F335,Ratings!$A$2:$A$42),_xlfn.XMATCH(YEAR(Base!K335),Ratings!$B$1:$M$1))</f>
        <v>NR</v>
      </c>
      <c r="Z335">
        <f t="shared" si="90"/>
        <v>0</v>
      </c>
      <c r="AA335">
        <f>IFERROR(IFERROR(IFERROR(INDEX('EMBI+'!$B:$B,MATCH(Base!$K335,'EMBI+'!$A:$A,0)),INDEX('EMBI+'!$B:$B,MATCH(Base!$K335+1,'EMBI+'!$A:$A,0))),INDEX('EMBI+'!$B:$B,MATCH(Base!$K335+2,'EMBI+'!$A:$A,0))),INDEX('EMBI+'!$B:$B,MATCH(Base!$K335+3,'EMBI+'!$A:$A,0)))/100</f>
        <v>3.1</v>
      </c>
      <c r="AB335" s="9">
        <v>22.172609999999999</v>
      </c>
      <c r="AC335" s="9">
        <v>38.059820000000002</v>
      </c>
      <c r="AD335" s="9"/>
      <c r="AE335" s="9"/>
      <c r="AF335" s="2"/>
      <c r="AG335" s="2"/>
    </row>
    <row r="336" spans="1:33" x14ac:dyDescent="0.35">
      <c r="A336">
        <f t="shared" si="87"/>
        <v>334</v>
      </c>
      <c r="B336">
        <f>IF(G336="Bonds",COUNTIF($G$3:G336,"Bonds"),0)</f>
        <v>0</v>
      </c>
      <c r="C336" t="str">
        <f t="shared" si="91"/>
        <v>Movida4429846492</v>
      </c>
      <c r="D336">
        <f t="shared" si="92"/>
        <v>26</v>
      </c>
      <c r="E336" s="9" t="s">
        <v>413</v>
      </c>
      <c r="F336" s="9" t="s">
        <v>400</v>
      </c>
      <c r="G336" s="9" t="s">
        <v>29</v>
      </c>
      <c r="H336">
        <f t="shared" si="82"/>
        <v>0</v>
      </c>
      <c r="I336" s="9" t="s">
        <v>419</v>
      </c>
      <c r="J336" s="1">
        <f t="shared" si="83"/>
        <v>20</v>
      </c>
      <c r="K336" s="2">
        <v>44298</v>
      </c>
      <c r="L336" s="2">
        <v>46492</v>
      </c>
      <c r="M336" s="10">
        <f t="shared" si="84"/>
        <v>6.0109589041095894</v>
      </c>
      <c r="N336" s="11">
        <f t="shared" si="85"/>
        <v>1</v>
      </c>
      <c r="O336" s="9" t="s">
        <v>61</v>
      </c>
      <c r="P336" t="str">
        <f t="shared" si="88"/>
        <v>1</v>
      </c>
      <c r="Q336" s="12">
        <v>550000</v>
      </c>
      <c r="R336" s="9">
        <v>1000</v>
      </c>
      <c r="S336" s="1" t="str">
        <f>IF($V336="USD",INDEX('Dólar Spot'!$B:$B,MATCH(Base!$K336,'Dólar Spot'!$A:$A,0)),"")</f>
        <v/>
      </c>
      <c r="T336" s="11">
        <f t="shared" si="81"/>
        <v>550000000</v>
      </c>
      <c r="U336" s="13">
        <f t="shared" si="86"/>
        <v>5.5</v>
      </c>
      <c r="V336" s="9" t="s">
        <v>44</v>
      </c>
      <c r="W336" s="9" t="s">
        <v>34</v>
      </c>
      <c r="X336">
        <f t="shared" si="89"/>
        <v>1</v>
      </c>
      <c r="Y336" s="1" t="str" cm="1">
        <f t="array" ref="Y336">INDEX(Ratings!$B$2:$M$42,_xlfn.XMATCH(Base!F336,Ratings!$A$2:$A$42),_xlfn.XMATCH(YEAR(Base!K336),Ratings!$B$1:$M$1))</f>
        <v>BB-</v>
      </c>
      <c r="Z336">
        <f t="shared" si="90"/>
        <v>0</v>
      </c>
      <c r="AA336">
        <f>IFERROR(IFERROR(IFERROR(INDEX('EMBI+'!$B:$B,MATCH(Base!$K336,'EMBI+'!$A:$A,0)),INDEX('EMBI+'!$B:$B,MATCH(Base!$K336+1,'EMBI+'!$A:$A,0))),INDEX('EMBI+'!$B:$B,MATCH(Base!$K336+2,'EMBI+'!$A:$A,0))),INDEX('EMBI+'!$B:$B,MATCH(Base!$K336+3,'EMBI+'!$A:$A,0)))/100</f>
        <v>2.92</v>
      </c>
      <c r="AB336" s="9">
        <v>23.495509999999999</v>
      </c>
      <c r="AC336" s="9">
        <v>90.58766</v>
      </c>
      <c r="AD336" s="9"/>
      <c r="AE336" s="9"/>
      <c r="AF336" s="2"/>
      <c r="AG336" s="2"/>
    </row>
    <row r="337" spans="1:33" x14ac:dyDescent="0.35">
      <c r="A337">
        <f t="shared" si="87"/>
        <v>335</v>
      </c>
      <c r="B337">
        <f>IF(G337="Bonds",COUNTIF($G$3:G337,"Bonds"),0)</f>
        <v>0</v>
      </c>
      <c r="C337" t="str">
        <f t="shared" si="91"/>
        <v>Movida4445446280</v>
      </c>
      <c r="D337">
        <f t="shared" si="92"/>
        <v>26</v>
      </c>
      <c r="E337" s="9" t="s">
        <v>413</v>
      </c>
      <c r="F337" s="9" t="s">
        <v>400</v>
      </c>
      <c r="G337" s="9" t="s">
        <v>29</v>
      </c>
      <c r="H337">
        <f t="shared" si="82"/>
        <v>0</v>
      </c>
      <c r="I337" s="9" t="s">
        <v>420</v>
      </c>
      <c r="J337" s="1">
        <f t="shared" si="83"/>
        <v>21</v>
      </c>
      <c r="K337" s="2">
        <v>44454</v>
      </c>
      <c r="L337" s="2">
        <v>46280</v>
      </c>
      <c r="M337" s="10">
        <f t="shared" si="84"/>
        <v>5.0027397260273974</v>
      </c>
      <c r="N337" s="11">
        <f t="shared" si="85"/>
        <v>1</v>
      </c>
      <c r="O337" s="9" t="s">
        <v>47</v>
      </c>
      <c r="P337" t="str">
        <f t="shared" si="88"/>
        <v>0</v>
      </c>
      <c r="Q337" s="12">
        <v>1150000</v>
      </c>
      <c r="R337" s="9">
        <v>1000</v>
      </c>
      <c r="S337" s="1" t="str">
        <f>IF($V337="USD",INDEX('Dólar Spot'!$B:$B,MATCH(Base!$K337,'Dólar Spot'!$A:$A,0)),"")</f>
        <v/>
      </c>
      <c r="T337" s="11">
        <f t="shared" si="81"/>
        <v>1150000000</v>
      </c>
      <c r="U337" s="13">
        <f t="shared" si="86"/>
        <v>11.5</v>
      </c>
      <c r="V337" s="9" t="s">
        <v>44</v>
      </c>
      <c r="W337" s="9" t="s">
        <v>34</v>
      </c>
      <c r="X337">
        <f t="shared" si="89"/>
        <v>1</v>
      </c>
      <c r="Y337" s="1" t="str" cm="1">
        <f t="array" ref="Y337">INDEX(Ratings!$B$2:$M$42,_xlfn.XMATCH(Base!F337,Ratings!$A$2:$A$42),_xlfn.XMATCH(YEAR(Base!K337),Ratings!$B$1:$M$1))</f>
        <v>BB-</v>
      </c>
      <c r="Z337">
        <f t="shared" si="90"/>
        <v>0</v>
      </c>
      <c r="AA337">
        <f>IFERROR(IFERROR(IFERROR(INDEX('EMBI+'!$B:$B,MATCH(Base!$K337,'EMBI+'!$A:$A,0)),INDEX('EMBI+'!$B:$B,MATCH(Base!$K337+1,'EMBI+'!$A:$A,0))),INDEX('EMBI+'!$B:$B,MATCH(Base!$K337+2,'EMBI+'!$A:$A,0))),INDEX('EMBI+'!$B:$B,MATCH(Base!$K337+3,'EMBI+'!$A:$A,0)))/100</f>
        <v>3.14</v>
      </c>
      <c r="AB337" s="9">
        <v>31.78125</v>
      </c>
      <c r="AC337" s="9">
        <v>139.9127</v>
      </c>
      <c r="AD337" s="9"/>
      <c r="AE337" s="9"/>
      <c r="AF337" s="2"/>
      <c r="AG337" s="2"/>
    </row>
    <row r="338" spans="1:33" x14ac:dyDescent="0.35">
      <c r="A338">
        <f t="shared" si="87"/>
        <v>336</v>
      </c>
      <c r="B338">
        <f>IF(G338="Bonds",COUNTIF($G$3:G338,"Bonds"),0)</f>
        <v>0</v>
      </c>
      <c r="C338" t="str">
        <f t="shared" si="91"/>
        <v>Movida4293144757</v>
      </c>
      <c r="D338">
        <f t="shared" si="92"/>
        <v>26</v>
      </c>
      <c r="E338" s="9" t="s">
        <v>413</v>
      </c>
      <c r="F338" s="9" t="s">
        <v>400</v>
      </c>
      <c r="G338" s="9" t="s">
        <v>29</v>
      </c>
      <c r="H338">
        <f t="shared" si="82"/>
        <v>0</v>
      </c>
      <c r="I338" s="9" t="s">
        <v>421</v>
      </c>
      <c r="J338" s="1">
        <f t="shared" si="83"/>
        <v>22</v>
      </c>
      <c r="K338" s="2">
        <v>42931</v>
      </c>
      <c r="L338" s="2">
        <v>44757</v>
      </c>
      <c r="M338" s="10">
        <f t="shared" si="84"/>
        <v>5.0027397260273974</v>
      </c>
      <c r="N338" s="11">
        <f t="shared" si="85"/>
        <v>1</v>
      </c>
      <c r="O338" s="9" t="s">
        <v>47</v>
      </c>
      <c r="P338" t="str">
        <f t="shared" si="88"/>
        <v>0</v>
      </c>
      <c r="Q338" s="12">
        <v>250000</v>
      </c>
      <c r="R338" s="9">
        <v>1000</v>
      </c>
      <c r="S338" s="1" t="str">
        <f>IF($V338="USD",INDEX('Dólar Spot'!$B:$B,MATCH(Base!$K338,'Dólar Spot'!$A:$A,0)),"")</f>
        <v/>
      </c>
      <c r="T338" s="11">
        <f t="shared" si="81"/>
        <v>250000000</v>
      </c>
      <c r="U338" s="13">
        <f t="shared" si="86"/>
        <v>2.5</v>
      </c>
      <c r="V338" s="9" t="s">
        <v>44</v>
      </c>
      <c r="W338" s="9" t="s">
        <v>34</v>
      </c>
      <c r="X338">
        <f t="shared" si="89"/>
        <v>1</v>
      </c>
      <c r="Y338" s="1" t="str" cm="1">
        <f t="array" ref="Y338">INDEX(Ratings!$B$2:$M$42,_xlfn.XMATCH(Base!F338,Ratings!$A$2:$A$42),_xlfn.XMATCH(YEAR(Base!K338),Ratings!$B$1:$M$1))</f>
        <v>NR</v>
      </c>
      <c r="Z338">
        <f t="shared" si="90"/>
        <v>0</v>
      </c>
      <c r="AA338">
        <f>IFERROR(IFERROR(IFERROR(INDEX('EMBI+'!$B:$B,MATCH(Base!$K338,'EMBI+'!$A:$A,0)),INDEX('EMBI+'!$B:$B,MATCH(Base!$K338+1,'EMBI+'!$A:$A,0))),INDEX('EMBI+'!$B:$B,MATCH(Base!$K338+2,'EMBI+'!$A:$A,0))),INDEX('EMBI+'!$B:$B,MATCH(Base!$K338+3,'EMBI+'!$A:$A,0)))/100</f>
        <v>2.73</v>
      </c>
      <c r="AB338" s="9">
        <v>12.541679999999999</v>
      </c>
      <c r="AC338" s="9">
        <v>13.86938</v>
      </c>
      <c r="AD338" s="9"/>
      <c r="AE338" s="9"/>
      <c r="AF338" s="2"/>
      <c r="AG338" s="2"/>
    </row>
    <row r="339" spans="1:33" x14ac:dyDescent="0.35">
      <c r="A339">
        <f t="shared" si="87"/>
        <v>337</v>
      </c>
      <c r="B339">
        <f>IF(G339="Bonds",COUNTIF($G$3:G339,"Bonds"),0)</f>
        <v>0</v>
      </c>
      <c r="C339" t="str">
        <f t="shared" si="91"/>
        <v>Movida4325845084</v>
      </c>
      <c r="D339">
        <f t="shared" si="92"/>
        <v>26</v>
      </c>
      <c r="E339" s="9" t="s">
        <v>413</v>
      </c>
      <c r="F339" s="9" t="s">
        <v>400</v>
      </c>
      <c r="G339" s="9" t="s">
        <v>29</v>
      </c>
      <c r="H339">
        <f t="shared" si="82"/>
        <v>0</v>
      </c>
      <c r="I339" s="9" t="s">
        <v>422</v>
      </c>
      <c r="J339" s="1">
        <f t="shared" si="83"/>
        <v>23</v>
      </c>
      <c r="K339" s="2">
        <v>43258</v>
      </c>
      <c r="L339" s="2">
        <v>45084</v>
      </c>
      <c r="M339" s="10">
        <f t="shared" si="84"/>
        <v>5.0027397260273974</v>
      </c>
      <c r="N339" s="11">
        <f t="shared" si="85"/>
        <v>1</v>
      </c>
      <c r="O339" s="9" t="s">
        <v>47</v>
      </c>
      <c r="P339" t="str">
        <f t="shared" si="88"/>
        <v>0</v>
      </c>
      <c r="Q339" s="12">
        <v>18150</v>
      </c>
      <c r="R339" s="9">
        <v>10000</v>
      </c>
      <c r="S339" s="1" t="str">
        <f>IF($V339="USD",INDEX('Dólar Spot'!$B:$B,MATCH(Base!$K339,'Dólar Spot'!$A:$A,0)),"")</f>
        <v/>
      </c>
      <c r="T339" s="11">
        <f t="shared" si="81"/>
        <v>181500000</v>
      </c>
      <c r="U339" s="13">
        <f t="shared" si="86"/>
        <v>1.8149999999999999</v>
      </c>
      <c r="V339" s="9" t="s">
        <v>44</v>
      </c>
      <c r="W339" s="9" t="s">
        <v>34</v>
      </c>
      <c r="X339">
        <f t="shared" si="89"/>
        <v>1</v>
      </c>
      <c r="Y339" s="1" t="str" cm="1">
        <f t="array" ref="Y339">INDEX(Ratings!$B$2:$M$42,_xlfn.XMATCH(Base!F339,Ratings!$A$2:$A$42),_xlfn.XMATCH(YEAR(Base!K339),Ratings!$B$1:$M$1))</f>
        <v>NR</v>
      </c>
      <c r="Z339">
        <f t="shared" si="90"/>
        <v>0</v>
      </c>
      <c r="AA339">
        <f>IFERROR(IFERROR(IFERROR(INDEX('EMBI+'!$B:$B,MATCH(Base!$K339,'EMBI+'!$A:$A,0)),INDEX('EMBI+'!$B:$B,MATCH(Base!$K339+1,'EMBI+'!$A:$A,0))),INDEX('EMBI+'!$B:$B,MATCH(Base!$K339+2,'EMBI+'!$A:$A,0))),INDEX('EMBI+'!$B:$B,MATCH(Base!$K339+3,'EMBI+'!$A:$A,0)))/100</f>
        <v>3.3</v>
      </c>
      <c r="AB339" s="9">
        <v>15.163600000000001</v>
      </c>
      <c r="AC339" s="9">
        <v>23.096820000000001</v>
      </c>
      <c r="AD339" s="9"/>
      <c r="AE339" s="9"/>
      <c r="AF339" s="2"/>
      <c r="AG339" s="2"/>
    </row>
    <row r="340" spans="1:33" x14ac:dyDescent="0.35">
      <c r="A340">
        <f t="shared" si="87"/>
        <v>338</v>
      </c>
      <c r="B340">
        <f>IF(G340="Bonds",COUNTIF($G$3:G340,"Bonds"),0)</f>
        <v>0</v>
      </c>
      <c r="C340" t="str">
        <f t="shared" si="91"/>
        <v>Movida4344145450</v>
      </c>
      <c r="D340">
        <f t="shared" si="92"/>
        <v>26</v>
      </c>
      <c r="E340" s="9" t="s">
        <v>413</v>
      </c>
      <c r="F340" s="9" t="s">
        <v>400</v>
      </c>
      <c r="G340" s="9" t="s">
        <v>29</v>
      </c>
      <c r="H340">
        <f t="shared" si="82"/>
        <v>0</v>
      </c>
      <c r="I340" s="9" t="s">
        <v>423</v>
      </c>
      <c r="J340" s="1">
        <f t="shared" si="83"/>
        <v>24</v>
      </c>
      <c r="K340" s="2">
        <v>43441</v>
      </c>
      <c r="L340" s="2">
        <v>45450</v>
      </c>
      <c r="M340" s="10">
        <f t="shared" si="84"/>
        <v>5.5041095890410956</v>
      </c>
      <c r="N340" s="11">
        <f t="shared" si="85"/>
        <v>1</v>
      </c>
      <c r="O340" s="9" t="s">
        <v>47</v>
      </c>
      <c r="P340" t="str">
        <f t="shared" si="88"/>
        <v>0</v>
      </c>
      <c r="Q340" s="12">
        <v>138112</v>
      </c>
      <c r="R340" s="9">
        <v>1000</v>
      </c>
      <c r="S340" s="1" t="str">
        <f>IF($V340="USD",INDEX('Dólar Spot'!$B:$B,MATCH(Base!$K340,'Dólar Spot'!$A:$A,0)),"")</f>
        <v/>
      </c>
      <c r="T340" s="11">
        <f t="shared" si="81"/>
        <v>138112000</v>
      </c>
      <c r="U340" s="13">
        <f t="shared" si="86"/>
        <v>1.3811199999999999</v>
      </c>
      <c r="V340" s="9" t="s">
        <v>44</v>
      </c>
      <c r="W340" s="9" t="s">
        <v>34</v>
      </c>
      <c r="X340">
        <f t="shared" si="89"/>
        <v>1</v>
      </c>
      <c r="Y340" s="1" t="str" cm="1">
        <f t="array" ref="Y340">INDEX(Ratings!$B$2:$M$42,_xlfn.XMATCH(Base!F340,Ratings!$A$2:$A$42),_xlfn.XMATCH(YEAR(Base!K340),Ratings!$B$1:$M$1))</f>
        <v>NR</v>
      </c>
      <c r="Z340">
        <f t="shared" si="90"/>
        <v>0</v>
      </c>
      <c r="AA340">
        <f>IFERROR(IFERROR(IFERROR(INDEX('EMBI+'!$B:$B,MATCH(Base!$K340,'EMBI+'!$A:$A,0)),INDEX('EMBI+'!$B:$B,MATCH(Base!$K340+1,'EMBI+'!$A:$A,0))),INDEX('EMBI+'!$B:$B,MATCH(Base!$K340+2,'EMBI+'!$A:$A,0))),INDEX('EMBI+'!$B:$B,MATCH(Base!$K340+3,'EMBI+'!$A:$A,0)))/100</f>
        <v>2.74</v>
      </c>
      <c r="AB340" s="9">
        <v>16.588419999999999</v>
      </c>
      <c r="AC340" s="9">
        <v>22.659320000000001</v>
      </c>
      <c r="AD340" s="9"/>
      <c r="AE340" s="9"/>
      <c r="AF340" s="2"/>
      <c r="AG340" s="2"/>
    </row>
    <row r="341" spans="1:33" x14ac:dyDescent="0.35">
      <c r="A341">
        <f t="shared" si="87"/>
        <v>339</v>
      </c>
      <c r="B341">
        <f>IF(G341="Bonds",COUNTIF($G$3:G341,"Bonds"),0)</f>
        <v>0</v>
      </c>
      <c r="C341" t="str">
        <f t="shared" si="91"/>
        <v>Movida4364345500</v>
      </c>
      <c r="D341">
        <f t="shared" si="92"/>
        <v>26</v>
      </c>
      <c r="E341" s="9" t="s">
        <v>413</v>
      </c>
      <c r="F341" s="9" t="s">
        <v>400</v>
      </c>
      <c r="G341" s="9" t="s">
        <v>29</v>
      </c>
      <c r="H341">
        <f t="shared" si="82"/>
        <v>0</v>
      </c>
      <c r="I341" s="9" t="s">
        <v>424</v>
      </c>
      <c r="J341" s="1">
        <f t="shared" si="83"/>
        <v>25</v>
      </c>
      <c r="K341" s="2">
        <v>43643</v>
      </c>
      <c r="L341" s="2">
        <v>45500</v>
      </c>
      <c r="M341" s="10">
        <f t="shared" si="84"/>
        <v>5.087671232876712</v>
      </c>
      <c r="N341" s="11">
        <f t="shared" si="85"/>
        <v>1</v>
      </c>
      <c r="O341" s="9" t="s">
        <v>47</v>
      </c>
      <c r="P341" t="str">
        <f t="shared" si="88"/>
        <v>0</v>
      </c>
      <c r="Q341" s="12">
        <v>166450</v>
      </c>
      <c r="R341" s="9">
        <v>1000</v>
      </c>
      <c r="S341" s="1" t="str">
        <f>IF($V341="USD",INDEX('Dólar Spot'!$B:$B,MATCH(Base!$K341,'Dólar Spot'!$A:$A,0)),"")</f>
        <v/>
      </c>
      <c r="T341" s="11">
        <f t="shared" si="81"/>
        <v>166450000</v>
      </c>
      <c r="U341" s="13">
        <f t="shared" si="86"/>
        <v>1.6645000000000001</v>
      </c>
      <c r="V341" s="9" t="s">
        <v>44</v>
      </c>
      <c r="W341" s="9" t="s">
        <v>34</v>
      </c>
      <c r="X341">
        <f t="shared" si="89"/>
        <v>1</v>
      </c>
      <c r="Y341" s="1" t="str" cm="1">
        <f t="array" ref="Y341">INDEX(Ratings!$B$2:$M$42,_xlfn.XMATCH(Base!F341,Ratings!$A$2:$A$42),_xlfn.XMATCH(YEAR(Base!K341),Ratings!$B$1:$M$1))</f>
        <v>NR</v>
      </c>
      <c r="Z341">
        <f t="shared" si="90"/>
        <v>0</v>
      </c>
      <c r="AA341">
        <f>IFERROR(IFERROR(IFERROR(INDEX('EMBI+'!$B:$B,MATCH(Base!$K341,'EMBI+'!$A:$A,0)),INDEX('EMBI+'!$B:$B,MATCH(Base!$K341+1,'EMBI+'!$A:$A,0))),INDEX('EMBI+'!$B:$B,MATCH(Base!$K341+2,'EMBI+'!$A:$A,0))),INDEX('EMBI+'!$B:$B,MATCH(Base!$K341+3,'EMBI+'!$A:$A,0)))/100</f>
        <v>2.42</v>
      </c>
      <c r="AB341" s="9">
        <v>17.01417</v>
      </c>
      <c r="AC341" s="9">
        <v>32.898569999999999</v>
      </c>
      <c r="AD341" s="9"/>
      <c r="AE341" s="9"/>
      <c r="AF341" s="2"/>
      <c r="AG341" s="2"/>
    </row>
    <row r="342" spans="1:33" x14ac:dyDescent="0.35">
      <c r="A342">
        <f t="shared" si="87"/>
        <v>340</v>
      </c>
      <c r="B342">
        <f>IF(G342="Bonds",COUNTIF($G$3:G342,"Bonds"),0)</f>
        <v>0</v>
      </c>
      <c r="C342" t="str">
        <f t="shared" si="91"/>
        <v>Movida4411945945</v>
      </c>
      <c r="D342">
        <f t="shared" si="92"/>
        <v>26</v>
      </c>
      <c r="E342" s="9" t="s">
        <v>413</v>
      </c>
      <c r="F342" s="9" t="s">
        <v>400</v>
      </c>
      <c r="G342" s="9" t="s">
        <v>29</v>
      </c>
      <c r="H342">
        <f t="shared" si="82"/>
        <v>0</v>
      </c>
      <c r="I342" s="9" t="s">
        <v>425</v>
      </c>
      <c r="J342" s="1">
        <f t="shared" si="83"/>
        <v>26</v>
      </c>
      <c r="K342" s="2">
        <v>44119</v>
      </c>
      <c r="L342" s="2">
        <v>45945</v>
      </c>
      <c r="M342" s="10">
        <f t="shared" si="84"/>
        <v>5.0027397260273974</v>
      </c>
      <c r="N342" s="11">
        <f t="shared" si="85"/>
        <v>1</v>
      </c>
      <c r="O342" s="9" t="s">
        <v>47</v>
      </c>
      <c r="P342" t="str">
        <f t="shared" si="88"/>
        <v>0</v>
      </c>
      <c r="Q342" s="12">
        <v>350000</v>
      </c>
      <c r="R342" s="9">
        <v>1000</v>
      </c>
      <c r="S342" s="1" t="str">
        <f>IF($V342="USD",INDEX('Dólar Spot'!$B:$B,MATCH(Base!$K342,'Dólar Spot'!$A:$A,0)),"")</f>
        <v/>
      </c>
      <c r="T342" s="11">
        <f t="shared" si="81"/>
        <v>350000000</v>
      </c>
      <c r="U342" s="13">
        <f t="shared" si="86"/>
        <v>3.5</v>
      </c>
      <c r="V342" s="9" t="s">
        <v>44</v>
      </c>
      <c r="W342" s="9" t="s">
        <v>34</v>
      </c>
      <c r="X342">
        <f t="shared" si="89"/>
        <v>1</v>
      </c>
      <c r="Y342" s="1" t="str" cm="1">
        <f t="array" ref="Y342">INDEX(Ratings!$B$2:$M$42,_xlfn.XMATCH(Base!F342,Ratings!$A$2:$A$42),_xlfn.XMATCH(YEAR(Base!K342),Ratings!$B$1:$M$1))</f>
        <v>NR</v>
      </c>
      <c r="Z342">
        <f t="shared" si="90"/>
        <v>0</v>
      </c>
      <c r="AA342">
        <f>IFERROR(IFERROR(IFERROR(INDEX('EMBI+'!$B:$B,MATCH(Base!$K342,'EMBI+'!$A:$A,0)),INDEX('EMBI+'!$B:$B,MATCH(Base!$K342+1,'EMBI+'!$A:$A,0))),INDEX('EMBI+'!$B:$B,MATCH(Base!$K342+2,'EMBI+'!$A:$A,0))),INDEX('EMBI+'!$B:$B,MATCH(Base!$K342+3,'EMBI+'!$A:$A,0)))/100</f>
        <v>3.1</v>
      </c>
      <c r="AB342" s="9">
        <v>22.172609999999999</v>
      </c>
      <c r="AC342" s="9">
        <v>38.059820000000002</v>
      </c>
      <c r="AD342" s="9"/>
      <c r="AE342" s="9"/>
      <c r="AF342" s="2"/>
      <c r="AG342" s="2"/>
    </row>
    <row r="343" spans="1:33" x14ac:dyDescent="0.35">
      <c r="A343">
        <f t="shared" si="87"/>
        <v>341</v>
      </c>
      <c r="B343">
        <f>IF(G343="Bonds",COUNTIF($G$3:G343,"Bonds"),0)</f>
        <v>0</v>
      </c>
      <c r="C343" t="str">
        <f t="shared" si="91"/>
        <v>Movida4445447376</v>
      </c>
      <c r="D343">
        <f t="shared" si="92"/>
        <v>26</v>
      </c>
      <c r="E343" s="9" t="s">
        <v>413</v>
      </c>
      <c r="F343" s="9" t="s">
        <v>400</v>
      </c>
      <c r="G343" s="9" t="s">
        <v>29</v>
      </c>
      <c r="H343">
        <f t="shared" si="82"/>
        <v>0</v>
      </c>
      <c r="I343" s="9" t="s">
        <v>426</v>
      </c>
      <c r="J343" s="1">
        <f t="shared" si="83"/>
        <v>27</v>
      </c>
      <c r="K343" s="2">
        <v>44454</v>
      </c>
      <c r="L343" s="2">
        <v>47376</v>
      </c>
      <c r="M343" s="10">
        <f t="shared" si="84"/>
        <v>8.0054794520547947</v>
      </c>
      <c r="N343" s="11">
        <f t="shared" si="85"/>
        <v>1</v>
      </c>
      <c r="O343" s="9" t="s">
        <v>47</v>
      </c>
      <c r="P343" t="str">
        <f t="shared" si="88"/>
        <v>0</v>
      </c>
      <c r="Q343" s="12">
        <v>250000</v>
      </c>
      <c r="R343" s="9">
        <v>1000</v>
      </c>
      <c r="S343" s="1" t="str">
        <f>IF($V343="USD",INDEX('Dólar Spot'!$B:$B,MATCH(Base!$K343,'Dólar Spot'!$A:$A,0)),"")</f>
        <v/>
      </c>
      <c r="T343" s="11">
        <f t="shared" si="81"/>
        <v>250000000</v>
      </c>
      <c r="U343" s="13">
        <f t="shared" si="86"/>
        <v>2.5</v>
      </c>
      <c r="V343" s="9" t="s">
        <v>44</v>
      </c>
      <c r="W343" s="9" t="s">
        <v>34</v>
      </c>
      <c r="X343">
        <f t="shared" si="89"/>
        <v>1</v>
      </c>
      <c r="Y343" s="1" t="str" cm="1">
        <f t="array" ref="Y343">INDEX(Ratings!$B$2:$M$42,_xlfn.XMATCH(Base!F343,Ratings!$A$2:$A$42),_xlfn.XMATCH(YEAR(Base!K343),Ratings!$B$1:$M$1))</f>
        <v>BB-</v>
      </c>
      <c r="Z343">
        <f t="shared" si="90"/>
        <v>0</v>
      </c>
      <c r="AA343">
        <f>IFERROR(IFERROR(IFERROR(INDEX('EMBI+'!$B:$B,MATCH(Base!$K343,'EMBI+'!$A:$A,0)),INDEX('EMBI+'!$B:$B,MATCH(Base!$K343+1,'EMBI+'!$A:$A,0))),INDEX('EMBI+'!$B:$B,MATCH(Base!$K343+2,'EMBI+'!$A:$A,0))),INDEX('EMBI+'!$B:$B,MATCH(Base!$K343+3,'EMBI+'!$A:$A,0)))/100</f>
        <v>3.14</v>
      </c>
      <c r="AB343" s="9">
        <v>31.78125</v>
      </c>
      <c r="AC343" s="9">
        <v>139.9127</v>
      </c>
      <c r="AD343" s="9"/>
      <c r="AE343" s="9"/>
      <c r="AF343" s="2"/>
      <c r="AG343" s="2"/>
    </row>
    <row r="344" spans="1:33" x14ac:dyDescent="0.35">
      <c r="A344">
        <f t="shared" si="87"/>
        <v>342</v>
      </c>
      <c r="B344">
        <f>IF(G344="Bonds",COUNTIF($G$3:G344,"Bonds"),0)</f>
        <v>0</v>
      </c>
      <c r="C344" t="str">
        <f t="shared" si="91"/>
        <v>Movida4325845084</v>
      </c>
      <c r="D344">
        <f t="shared" si="92"/>
        <v>26</v>
      </c>
      <c r="E344" s="9" t="s">
        <v>413</v>
      </c>
      <c r="F344" s="9" t="s">
        <v>400</v>
      </c>
      <c r="G344" s="9" t="s">
        <v>29</v>
      </c>
      <c r="H344">
        <f t="shared" si="82"/>
        <v>0</v>
      </c>
      <c r="I344" s="9" t="s">
        <v>427</v>
      </c>
      <c r="J344" s="1">
        <f t="shared" si="83"/>
        <v>28</v>
      </c>
      <c r="K344" s="2">
        <v>43258</v>
      </c>
      <c r="L344" s="2">
        <v>45084</v>
      </c>
      <c r="M344" s="10">
        <f t="shared" si="84"/>
        <v>5.0027397260273974</v>
      </c>
      <c r="N344" s="11">
        <f t="shared" si="85"/>
        <v>1</v>
      </c>
      <c r="O344" s="9" t="s">
        <v>47</v>
      </c>
      <c r="P344" t="str">
        <f t="shared" si="88"/>
        <v>0</v>
      </c>
      <c r="Q344" s="12">
        <v>13025</v>
      </c>
      <c r="R344" s="9">
        <v>10000</v>
      </c>
      <c r="S344" s="1" t="str">
        <f>IF($V344="USD",INDEX('Dólar Spot'!$B:$B,MATCH(Base!$K344,'Dólar Spot'!$A:$A,0)),"")</f>
        <v/>
      </c>
      <c r="T344" s="11">
        <f t="shared" si="81"/>
        <v>130250000</v>
      </c>
      <c r="U344" s="13">
        <f t="shared" si="86"/>
        <v>1.3025</v>
      </c>
      <c r="V344" s="9" t="s">
        <v>44</v>
      </c>
      <c r="W344" s="9" t="s">
        <v>34</v>
      </c>
      <c r="X344">
        <f t="shared" si="89"/>
        <v>1</v>
      </c>
      <c r="Y344" s="1" t="str" cm="1">
        <f t="array" ref="Y344">INDEX(Ratings!$B$2:$M$42,_xlfn.XMATCH(Base!F344,Ratings!$A$2:$A$42),_xlfn.XMATCH(YEAR(Base!K344),Ratings!$B$1:$M$1))</f>
        <v>NR</v>
      </c>
      <c r="Z344">
        <f t="shared" si="90"/>
        <v>0</v>
      </c>
      <c r="AA344">
        <f>IFERROR(IFERROR(IFERROR(INDEX('EMBI+'!$B:$B,MATCH(Base!$K344,'EMBI+'!$A:$A,0)),INDEX('EMBI+'!$B:$B,MATCH(Base!$K344+1,'EMBI+'!$A:$A,0))),INDEX('EMBI+'!$B:$B,MATCH(Base!$K344+2,'EMBI+'!$A:$A,0))),INDEX('EMBI+'!$B:$B,MATCH(Base!$K344+3,'EMBI+'!$A:$A,0)))/100</f>
        <v>3.3</v>
      </c>
      <c r="AB344" s="9">
        <v>15.163600000000001</v>
      </c>
      <c r="AC344" s="9">
        <v>23.096820000000001</v>
      </c>
      <c r="AD344" s="9"/>
      <c r="AE344" s="9"/>
      <c r="AF344" s="2"/>
      <c r="AG344" s="2"/>
    </row>
    <row r="345" spans="1:33" x14ac:dyDescent="0.35">
      <c r="A345">
        <f t="shared" si="87"/>
        <v>343</v>
      </c>
      <c r="B345">
        <f>IF(G345="Bonds",COUNTIF($G$3:G345,"Bonds"),0)</f>
        <v>0</v>
      </c>
      <c r="C345" t="str">
        <f t="shared" si="91"/>
        <v>Movida4344145450</v>
      </c>
      <c r="D345">
        <f t="shared" si="92"/>
        <v>26</v>
      </c>
      <c r="E345" s="9" t="s">
        <v>413</v>
      </c>
      <c r="F345" s="9" t="s">
        <v>400</v>
      </c>
      <c r="G345" s="9" t="s">
        <v>29</v>
      </c>
      <c r="H345">
        <f t="shared" si="82"/>
        <v>0</v>
      </c>
      <c r="I345" s="9" t="s">
        <v>428</v>
      </c>
      <c r="J345" s="1">
        <f t="shared" si="83"/>
        <v>29</v>
      </c>
      <c r="K345" s="2">
        <v>43441</v>
      </c>
      <c r="L345" s="2">
        <v>45450</v>
      </c>
      <c r="M345" s="10">
        <f t="shared" si="84"/>
        <v>5.5041095890410956</v>
      </c>
      <c r="N345" s="11">
        <f t="shared" si="85"/>
        <v>1</v>
      </c>
      <c r="O345" s="9" t="s">
        <v>47</v>
      </c>
      <c r="P345" t="str">
        <f t="shared" si="88"/>
        <v>0</v>
      </c>
      <c r="Q345" s="12">
        <v>247410</v>
      </c>
      <c r="R345" s="9">
        <v>1000</v>
      </c>
      <c r="S345" s="1" t="str">
        <f>IF($V345="USD",INDEX('Dólar Spot'!$B:$B,MATCH(Base!$K345,'Dólar Spot'!$A:$A,0)),"")</f>
        <v/>
      </c>
      <c r="T345" s="11">
        <f t="shared" si="81"/>
        <v>247410000</v>
      </c>
      <c r="U345" s="13">
        <f t="shared" si="86"/>
        <v>2.4741</v>
      </c>
      <c r="V345" s="9" t="s">
        <v>44</v>
      </c>
      <c r="W345" s="9" t="s">
        <v>34</v>
      </c>
      <c r="X345">
        <f t="shared" si="89"/>
        <v>1</v>
      </c>
      <c r="Y345" s="1" t="str" cm="1">
        <f t="array" ref="Y345">INDEX(Ratings!$B$2:$M$42,_xlfn.XMATCH(Base!F345,Ratings!$A$2:$A$42),_xlfn.XMATCH(YEAR(Base!K345),Ratings!$B$1:$M$1))</f>
        <v>NR</v>
      </c>
      <c r="Z345">
        <f t="shared" si="90"/>
        <v>0</v>
      </c>
      <c r="AA345">
        <f>IFERROR(IFERROR(IFERROR(INDEX('EMBI+'!$B:$B,MATCH(Base!$K345,'EMBI+'!$A:$A,0)),INDEX('EMBI+'!$B:$B,MATCH(Base!$K345+1,'EMBI+'!$A:$A,0))),INDEX('EMBI+'!$B:$B,MATCH(Base!$K345+2,'EMBI+'!$A:$A,0))),INDEX('EMBI+'!$B:$B,MATCH(Base!$K345+3,'EMBI+'!$A:$A,0)))/100</f>
        <v>2.74</v>
      </c>
      <c r="AB345" s="9">
        <v>16.588419999999999</v>
      </c>
      <c r="AC345" s="9">
        <v>22.659320000000001</v>
      </c>
      <c r="AD345" s="9"/>
      <c r="AE345" s="9"/>
      <c r="AF345" s="2"/>
      <c r="AG345" s="2"/>
    </row>
    <row r="346" spans="1:33" x14ac:dyDescent="0.35">
      <c r="A346">
        <f t="shared" si="87"/>
        <v>344</v>
      </c>
      <c r="B346">
        <f>IF(G346="Bonds",COUNTIF($G$3:G346,"Bonds"),0)</f>
        <v>0</v>
      </c>
      <c r="C346" t="str">
        <f t="shared" si="91"/>
        <v>Movida4364346595</v>
      </c>
      <c r="D346">
        <f t="shared" si="92"/>
        <v>26</v>
      </c>
      <c r="E346" s="9" t="s">
        <v>413</v>
      </c>
      <c r="F346" s="9" t="s">
        <v>400</v>
      </c>
      <c r="G346" s="9" t="s">
        <v>29</v>
      </c>
      <c r="H346">
        <f t="shared" si="82"/>
        <v>0</v>
      </c>
      <c r="I346" s="9" t="s">
        <v>429</v>
      </c>
      <c r="J346" s="1">
        <f t="shared" si="83"/>
        <v>30</v>
      </c>
      <c r="K346" s="2">
        <v>43643</v>
      </c>
      <c r="L346" s="2">
        <v>46595</v>
      </c>
      <c r="M346" s="10">
        <f t="shared" si="84"/>
        <v>8.087671232876712</v>
      </c>
      <c r="N346" s="11">
        <f t="shared" si="85"/>
        <v>1</v>
      </c>
      <c r="O346" s="9" t="s">
        <v>47</v>
      </c>
      <c r="P346" t="str">
        <f t="shared" si="88"/>
        <v>0</v>
      </c>
      <c r="Q346" s="12">
        <v>283550</v>
      </c>
      <c r="R346" s="9">
        <v>1000</v>
      </c>
      <c r="S346" s="1" t="str">
        <f>IF($V346="USD",INDEX('Dólar Spot'!$B:$B,MATCH(Base!$K346,'Dólar Spot'!$A:$A,0)),"")</f>
        <v/>
      </c>
      <c r="T346" s="11">
        <f t="shared" si="81"/>
        <v>283550000</v>
      </c>
      <c r="U346" s="13">
        <f t="shared" si="86"/>
        <v>2.8355000000000001</v>
      </c>
      <c r="V346" s="9" t="s">
        <v>44</v>
      </c>
      <c r="W346" s="9" t="s">
        <v>34</v>
      </c>
      <c r="X346">
        <f t="shared" si="89"/>
        <v>1</v>
      </c>
      <c r="Y346" s="1" t="str" cm="1">
        <f t="array" ref="Y346">INDEX(Ratings!$B$2:$M$42,_xlfn.XMATCH(Base!F346,Ratings!$A$2:$A$42),_xlfn.XMATCH(YEAR(Base!K346),Ratings!$B$1:$M$1))</f>
        <v>NR</v>
      </c>
      <c r="Z346">
        <f t="shared" si="90"/>
        <v>0</v>
      </c>
      <c r="AA346">
        <f>IFERROR(IFERROR(IFERROR(INDEX('EMBI+'!$B:$B,MATCH(Base!$K346,'EMBI+'!$A:$A,0)),INDEX('EMBI+'!$B:$B,MATCH(Base!$K346+1,'EMBI+'!$A:$A,0))),INDEX('EMBI+'!$B:$B,MATCH(Base!$K346+2,'EMBI+'!$A:$A,0))),INDEX('EMBI+'!$B:$B,MATCH(Base!$K346+3,'EMBI+'!$A:$A,0)))/100</f>
        <v>2.42</v>
      </c>
      <c r="AB346" s="9">
        <v>17.01417</v>
      </c>
      <c r="AC346" s="9">
        <v>32.898569999999999</v>
      </c>
      <c r="AD346" s="9"/>
      <c r="AE346" s="9"/>
      <c r="AF346" s="2"/>
      <c r="AG346" s="2"/>
    </row>
    <row r="347" spans="1:33" x14ac:dyDescent="0.35">
      <c r="A347">
        <f t="shared" si="87"/>
        <v>345</v>
      </c>
      <c r="B347">
        <f>IF(G347="Bonds",COUNTIF($G$3:G347,"Bonds"),0)</f>
        <v>0</v>
      </c>
      <c r="C347" t="str">
        <f t="shared" si="91"/>
        <v>Movida4445448106</v>
      </c>
      <c r="D347">
        <f t="shared" si="92"/>
        <v>26</v>
      </c>
      <c r="E347" s="9" t="s">
        <v>413</v>
      </c>
      <c r="F347" s="9" t="s">
        <v>400</v>
      </c>
      <c r="G347" s="9" t="s">
        <v>29</v>
      </c>
      <c r="H347">
        <f t="shared" si="82"/>
        <v>0</v>
      </c>
      <c r="I347" s="9" t="s">
        <v>430</v>
      </c>
      <c r="J347" s="1">
        <f t="shared" si="83"/>
        <v>31</v>
      </c>
      <c r="K347" s="2">
        <v>44454</v>
      </c>
      <c r="L347" s="2">
        <v>48106</v>
      </c>
      <c r="M347" s="10">
        <f t="shared" si="84"/>
        <v>10.005479452054795</v>
      </c>
      <c r="N347" s="11">
        <f t="shared" si="85"/>
        <v>1</v>
      </c>
      <c r="O347" s="9" t="s">
        <v>47</v>
      </c>
      <c r="P347" t="str">
        <f t="shared" si="88"/>
        <v>0</v>
      </c>
      <c r="Q347" s="12">
        <v>350000</v>
      </c>
      <c r="R347" s="9">
        <v>1000</v>
      </c>
      <c r="S347" s="1" t="str">
        <f>IF($V347="USD",INDEX('Dólar Spot'!$B:$B,MATCH(Base!$K347,'Dólar Spot'!$A:$A,0)),"")</f>
        <v/>
      </c>
      <c r="T347" s="11">
        <f t="shared" si="81"/>
        <v>350000000</v>
      </c>
      <c r="U347" s="13">
        <f t="shared" si="86"/>
        <v>3.5</v>
      </c>
      <c r="V347" s="9" t="s">
        <v>32</v>
      </c>
      <c r="W347" s="9" t="s">
        <v>34</v>
      </c>
      <c r="X347">
        <f t="shared" si="89"/>
        <v>1</v>
      </c>
      <c r="Y347" s="1" t="str" cm="1">
        <f t="array" ref="Y347">INDEX(Ratings!$B$2:$M$42,_xlfn.XMATCH(Base!F347,Ratings!$A$2:$A$42),_xlfn.XMATCH(YEAR(Base!K347),Ratings!$B$1:$M$1))</f>
        <v>BB-</v>
      </c>
      <c r="Z347">
        <f t="shared" si="90"/>
        <v>0</v>
      </c>
      <c r="AA347">
        <f>IFERROR(IFERROR(IFERROR(INDEX('EMBI+'!$B:$B,MATCH(Base!$K347,'EMBI+'!$A:$A,0)),INDEX('EMBI+'!$B:$B,MATCH(Base!$K347+1,'EMBI+'!$A:$A,0))),INDEX('EMBI+'!$B:$B,MATCH(Base!$K347+2,'EMBI+'!$A:$A,0))),INDEX('EMBI+'!$B:$B,MATCH(Base!$K347+3,'EMBI+'!$A:$A,0)))/100</f>
        <v>3.14</v>
      </c>
      <c r="AB347" s="9">
        <v>31.78125</v>
      </c>
      <c r="AC347" s="9">
        <v>139.9127</v>
      </c>
      <c r="AD347" s="9"/>
      <c r="AE347" s="9"/>
      <c r="AF347" s="2"/>
      <c r="AG347" s="2"/>
    </row>
    <row r="348" spans="1:33" x14ac:dyDescent="0.35">
      <c r="A348">
        <f t="shared" si="87"/>
        <v>346</v>
      </c>
      <c r="B348">
        <f>IF(G348="Bonds",COUNTIF($G$3:G348,"Bonds"),0)</f>
        <v>0</v>
      </c>
      <c r="C348" t="str">
        <f t="shared" si="91"/>
        <v>Movida4472747284</v>
      </c>
      <c r="D348">
        <f t="shared" si="92"/>
        <v>26</v>
      </c>
      <c r="E348" s="9" t="s">
        <v>413</v>
      </c>
      <c r="F348" s="9" t="s">
        <v>400</v>
      </c>
      <c r="G348" s="9" t="s">
        <v>29</v>
      </c>
      <c r="H348">
        <f t="shared" si="82"/>
        <v>0</v>
      </c>
      <c r="I348" s="9"/>
      <c r="J348" s="1">
        <f t="shared" si="83"/>
        <v>32</v>
      </c>
      <c r="K348" s="2">
        <v>44727</v>
      </c>
      <c r="L348" s="2">
        <v>47284</v>
      </c>
      <c r="M348" s="10">
        <f t="shared" si="84"/>
        <v>7.0054794520547947</v>
      </c>
      <c r="N348" s="11">
        <f t="shared" si="85"/>
        <v>1</v>
      </c>
      <c r="O348" s="9" t="s">
        <v>47</v>
      </c>
      <c r="P348" t="str">
        <f t="shared" si="88"/>
        <v>0</v>
      </c>
      <c r="Q348" s="12">
        <v>408169</v>
      </c>
      <c r="R348" s="9">
        <v>1000</v>
      </c>
      <c r="S348" s="1" t="str">
        <f>IF($V348="USD",INDEX('Dólar Spot'!$B:$B,MATCH(Base!$K348,'Dólar Spot'!$A:$A,0)),"")</f>
        <v/>
      </c>
      <c r="T348" s="11">
        <f t="shared" si="81"/>
        <v>408169000</v>
      </c>
      <c r="U348" s="13">
        <f t="shared" si="86"/>
        <v>4.08169</v>
      </c>
      <c r="V348" s="9" t="s">
        <v>32</v>
      </c>
      <c r="W348" s="9" t="s">
        <v>34</v>
      </c>
      <c r="X348">
        <f t="shared" si="89"/>
        <v>1</v>
      </c>
      <c r="Y348" s="1" t="str" cm="1">
        <f t="array" ref="Y348">INDEX(Ratings!$B$2:$M$42,_xlfn.XMATCH(Base!F348,Ratings!$A$2:$A$42),_xlfn.XMATCH(YEAR(Base!K348),Ratings!$B$1:$M$1))</f>
        <v>BB</v>
      </c>
      <c r="Z348">
        <f t="shared" si="90"/>
        <v>0</v>
      </c>
      <c r="AA348">
        <f>IFERROR(IFERROR(IFERROR(INDEX('EMBI+'!$B:$B,MATCH(Base!$K348,'EMBI+'!$A:$A,0)),INDEX('EMBI+'!$B:$B,MATCH(Base!$K348+1,'EMBI+'!$A:$A,0))),INDEX('EMBI+'!$B:$B,MATCH(Base!$K348+2,'EMBI+'!$A:$A,0))),INDEX('EMBI+'!$B:$B,MATCH(Base!$K348+3,'EMBI+'!$A:$A,0)))/100</f>
        <v>3.36</v>
      </c>
      <c r="AB348" s="9">
        <v>28.545380000000002</v>
      </c>
      <c r="AC348" s="9">
        <v>158.34459000000001</v>
      </c>
      <c r="AD348" s="9"/>
      <c r="AE348" s="9"/>
      <c r="AF348" s="2"/>
      <c r="AG348" s="2"/>
    </row>
    <row r="349" spans="1:33" x14ac:dyDescent="0.35">
      <c r="A349">
        <f t="shared" si="87"/>
        <v>347</v>
      </c>
      <c r="B349">
        <f>IF(G349="Bonds",COUNTIF($G$3:G349,"Bonds"),0)</f>
        <v>0</v>
      </c>
      <c r="C349" t="str">
        <f t="shared" si="91"/>
        <v>Movida4481946645</v>
      </c>
      <c r="D349">
        <f t="shared" si="92"/>
        <v>26</v>
      </c>
      <c r="E349" s="9" t="s">
        <v>413</v>
      </c>
      <c r="F349" s="9" t="s">
        <v>400</v>
      </c>
      <c r="G349" s="9" t="s">
        <v>29</v>
      </c>
      <c r="H349">
        <f t="shared" si="82"/>
        <v>0</v>
      </c>
      <c r="I349" s="9"/>
      <c r="J349" s="1">
        <f t="shared" si="83"/>
        <v>33</v>
      </c>
      <c r="K349" s="2">
        <v>44819</v>
      </c>
      <c r="L349" s="2">
        <v>46645</v>
      </c>
      <c r="M349" s="10">
        <f t="shared" si="84"/>
        <v>5.0027397260273974</v>
      </c>
      <c r="N349" s="11">
        <f t="shared" si="85"/>
        <v>1</v>
      </c>
      <c r="O349" s="9" t="s">
        <v>47</v>
      </c>
      <c r="P349" t="str">
        <f t="shared" si="88"/>
        <v>0</v>
      </c>
      <c r="Q349" s="12">
        <v>1000000</v>
      </c>
      <c r="R349" s="9">
        <v>1000</v>
      </c>
      <c r="S349" s="1" t="str">
        <f>IF($V349="USD",INDEX('Dólar Spot'!$B:$B,MATCH(Base!$K349,'Dólar Spot'!$A:$A,0)),"")</f>
        <v/>
      </c>
      <c r="T349" s="11">
        <f t="shared" si="81"/>
        <v>1000000000</v>
      </c>
      <c r="U349" s="13">
        <f t="shared" si="86"/>
        <v>10</v>
      </c>
      <c r="V349" s="9" t="s">
        <v>44</v>
      </c>
      <c r="W349" s="9" t="s">
        <v>34</v>
      </c>
      <c r="X349">
        <f t="shared" si="89"/>
        <v>1</v>
      </c>
      <c r="Y349" s="1" t="str" cm="1">
        <f t="array" ref="Y349">INDEX(Ratings!$B$2:$M$42,_xlfn.XMATCH(Base!F349,Ratings!$A$2:$A$42),_xlfn.XMATCH(YEAR(Base!K349),Ratings!$B$1:$M$1))</f>
        <v>BB</v>
      </c>
      <c r="Z349">
        <f t="shared" si="90"/>
        <v>0</v>
      </c>
      <c r="AA349">
        <f>IFERROR(IFERROR(IFERROR(INDEX('EMBI+'!$B:$B,MATCH(Base!$K349,'EMBI+'!$A:$A,0)),INDEX('EMBI+'!$B:$B,MATCH(Base!$K349+1,'EMBI+'!$A:$A,0))),INDEX('EMBI+'!$B:$B,MATCH(Base!$K349+2,'EMBI+'!$A:$A,0))),INDEX('EMBI+'!$B:$B,MATCH(Base!$K349+3,'EMBI+'!$A:$A,0)))/100</f>
        <v>2.61</v>
      </c>
      <c r="AB349" s="9">
        <v>27.770779999999998</v>
      </c>
      <c r="AC349" s="9">
        <v>196.40942999999999</v>
      </c>
      <c r="AD349" s="9"/>
      <c r="AE349" s="9"/>
      <c r="AF349" s="2"/>
      <c r="AG349" s="2"/>
    </row>
    <row r="350" spans="1:33" x14ac:dyDescent="0.35">
      <c r="A350">
        <f t="shared" si="87"/>
        <v>348</v>
      </c>
      <c r="B350">
        <f>IF(G350="Bonds",COUNTIF($G$3:G350,"Bonds"),0)</f>
        <v>0</v>
      </c>
      <c r="C350" t="str">
        <f t="shared" si="91"/>
        <v>Movida4472748380</v>
      </c>
      <c r="D350">
        <f t="shared" si="92"/>
        <v>26</v>
      </c>
      <c r="E350" s="9" t="s">
        <v>413</v>
      </c>
      <c r="F350" s="9" t="s">
        <v>400</v>
      </c>
      <c r="G350" s="9" t="s">
        <v>29</v>
      </c>
      <c r="H350">
        <f t="shared" si="82"/>
        <v>0</v>
      </c>
      <c r="I350" s="9"/>
      <c r="J350" s="1">
        <f t="shared" si="83"/>
        <v>34</v>
      </c>
      <c r="K350" s="2">
        <v>44727</v>
      </c>
      <c r="L350" s="2">
        <v>48380</v>
      </c>
      <c r="M350" s="10">
        <f t="shared" si="84"/>
        <v>10.008219178082191</v>
      </c>
      <c r="N350" s="11">
        <f t="shared" si="85"/>
        <v>1</v>
      </c>
      <c r="O350" s="9" t="s">
        <v>47</v>
      </c>
      <c r="P350" t="str">
        <f t="shared" si="88"/>
        <v>0</v>
      </c>
      <c r="Q350" s="12">
        <v>591831</v>
      </c>
      <c r="R350" s="9">
        <v>1000</v>
      </c>
      <c r="S350" s="1" t="str">
        <f>IF($V350="USD",INDEX('Dólar Spot'!$B:$B,MATCH(Base!$K350,'Dólar Spot'!$A:$A,0)),"")</f>
        <v/>
      </c>
      <c r="T350" s="11">
        <f t="shared" si="81"/>
        <v>591831000</v>
      </c>
      <c r="U350" s="13">
        <f t="shared" si="86"/>
        <v>5.91831</v>
      </c>
      <c r="V350" s="9" t="s">
        <v>32</v>
      </c>
      <c r="W350" s="9" t="s">
        <v>34</v>
      </c>
      <c r="X350">
        <f t="shared" si="89"/>
        <v>1</v>
      </c>
      <c r="Y350" s="1" t="str" cm="1">
        <f t="array" ref="Y350">INDEX(Ratings!$B$2:$M$42,_xlfn.XMATCH(Base!F350,Ratings!$A$2:$A$42),_xlfn.XMATCH(YEAR(Base!K350),Ratings!$B$1:$M$1))</f>
        <v>BB</v>
      </c>
      <c r="Z350">
        <f t="shared" si="90"/>
        <v>0</v>
      </c>
      <c r="AA350">
        <f>IFERROR(IFERROR(IFERROR(INDEX('EMBI+'!$B:$B,MATCH(Base!$K350,'EMBI+'!$A:$A,0)),INDEX('EMBI+'!$B:$B,MATCH(Base!$K350+1,'EMBI+'!$A:$A,0))),INDEX('EMBI+'!$B:$B,MATCH(Base!$K350+2,'EMBI+'!$A:$A,0))),INDEX('EMBI+'!$B:$B,MATCH(Base!$K350+3,'EMBI+'!$A:$A,0)))/100</f>
        <v>3.36</v>
      </c>
      <c r="AB350" s="9">
        <v>28.545380000000002</v>
      </c>
      <c r="AC350" s="9">
        <v>158.34459000000001</v>
      </c>
      <c r="AD350" s="9"/>
      <c r="AE350" s="9"/>
      <c r="AF350" s="2"/>
      <c r="AG350" s="2"/>
    </row>
    <row r="351" spans="1:33" x14ac:dyDescent="0.35">
      <c r="A351">
        <f t="shared" si="87"/>
        <v>349</v>
      </c>
      <c r="B351">
        <f>IF(G351="Bonds",COUNTIF($G$3:G351,"Bonds"),0)</f>
        <v>98</v>
      </c>
      <c r="C351" t="str">
        <f t="shared" si="91"/>
        <v>Movida4423508/02/2031</v>
      </c>
      <c r="D351">
        <f t="shared" si="92"/>
        <v>26</v>
      </c>
      <c r="E351" s="9" t="s">
        <v>431</v>
      </c>
      <c r="F351" s="9" t="s">
        <v>400</v>
      </c>
      <c r="G351" s="9" t="s">
        <v>37</v>
      </c>
      <c r="H351">
        <f t="shared" si="82"/>
        <v>1</v>
      </c>
      <c r="I351" s="9"/>
      <c r="J351" s="1">
        <f t="shared" si="83"/>
        <v>35</v>
      </c>
      <c r="K351" s="2">
        <v>44235</v>
      </c>
      <c r="L351" s="2" t="s">
        <v>262</v>
      </c>
      <c r="M351" s="10">
        <f t="shared" si="84"/>
        <v>10.005479452054795</v>
      </c>
      <c r="N351" s="11">
        <f t="shared" si="85"/>
        <v>1</v>
      </c>
      <c r="O351" s="9" t="s">
        <v>39</v>
      </c>
      <c r="P351" t="str">
        <f t="shared" si="88"/>
        <v>0</v>
      </c>
      <c r="Q351" s="9"/>
      <c r="R351" s="9"/>
      <c r="S351" s="1">
        <f>IF($V351="USD",INDEX('Dólar Spot'!$B:$B,MATCH(Base!$K351,'Dólar Spot'!$A:$A,0)),"")</f>
        <v>5.3663999999999996</v>
      </c>
      <c r="T351" s="12">
        <v>500000000</v>
      </c>
      <c r="U351" s="13">
        <f t="shared" si="86"/>
        <v>26.832000000000001</v>
      </c>
      <c r="V351" s="9" t="s">
        <v>40</v>
      </c>
      <c r="W351" s="9" t="s">
        <v>34</v>
      </c>
      <c r="X351">
        <f t="shared" si="89"/>
        <v>1</v>
      </c>
      <c r="Y351" s="1" t="str" cm="1">
        <f t="array" ref="Y351">INDEX(Ratings!$B$2:$M$42,_xlfn.XMATCH(Base!F351,Ratings!$A$2:$A$42),_xlfn.XMATCH(YEAR(Base!K351),Ratings!$B$1:$M$1))</f>
        <v>BB-</v>
      </c>
      <c r="Z351">
        <f t="shared" si="90"/>
        <v>0</v>
      </c>
      <c r="AA351">
        <f>IFERROR(IFERROR(IFERROR(INDEX('EMBI+'!$B:$B,MATCH(Base!$K351,'EMBI+'!$A:$A,0)),INDEX('EMBI+'!$B:$B,MATCH(Base!$K351+1,'EMBI+'!$A:$A,0))),INDEX('EMBI+'!$B:$B,MATCH(Base!$K351+2,'EMBI+'!$A:$A,0))),INDEX('EMBI+'!$B:$B,MATCH(Base!$K351+3,'EMBI+'!$A:$A,0)))/100</f>
        <v>2.68</v>
      </c>
      <c r="AB351" s="9">
        <v>23.5868</v>
      </c>
      <c r="AC351" s="9">
        <v>44.069580000000002</v>
      </c>
      <c r="AD351" s="9"/>
      <c r="AE351" s="9"/>
      <c r="AF351" s="2"/>
      <c r="AG351" s="2"/>
    </row>
    <row r="352" spans="1:33" x14ac:dyDescent="0.35">
      <c r="A352">
        <f t="shared" si="87"/>
        <v>350</v>
      </c>
      <c r="B352">
        <f>IF(G352="Bonds",COUNTIF($G$3:G352,"Bonds"),0)</f>
        <v>99</v>
      </c>
      <c r="C352" t="str">
        <f t="shared" si="91"/>
        <v>Movida4445408/02/2031</v>
      </c>
      <c r="D352">
        <f t="shared" si="92"/>
        <v>26</v>
      </c>
      <c r="E352" s="9" t="s">
        <v>431</v>
      </c>
      <c r="F352" s="9" t="s">
        <v>400</v>
      </c>
      <c r="G352" s="9" t="s">
        <v>37</v>
      </c>
      <c r="H352">
        <f t="shared" si="82"/>
        <v>1</v>
      </c>
      <c r="I352" s="9"/>
      <c r="J352" s="1">
        <f t="shared" si="83"/>
        <v>36</v>
      </c>
      <c r="K352" s="2">
        <v>44454</v>
      </c>
      <c r="L352" s="2" t="s">
        <v>262</v>
      </c>
      <c r="M352" s="10">
        <f t="shared" si="84"/>
        <v>9.4054794520547951</v>
      </c>
      <c r="N352" s="11">
        <f t="shared" si="85"/>
        <v>1</v>
      </c>
      <c r="O352" s="9" t="s">
        <v>39</v>
      </c>
      <c r="P352" t="str">
        <f t="shared" si="88"/>
        <v>0</v>
      </c>
      <c r="Q352" s="9"/>
      <c r="R352" s="9"/>
      <c r="S352" s="1">
        <f>IF($V352="USD",INDEX('Dólar Spot'!$B:$B,MATCH(Base!$K352,'Dólar Spot'!$A:$A,0)),"")</f>
        <v>5.2569999999999997</v>
      </c>
      <c r="T352" s="12">
        <v>300000000</v>
      </c>
      <c r="U352" s="13">
        <f t="shared" si="86"/>
        <v>15.771000000000001</v>
      </c>
      <c r="V352" s="9" t="s">
        <v>40</v>
      </c>
      <c r="W352" s="9" t="s">
        <v>34</v>
      </c>
      <c r="X352">
        <f t="shared" si="89"/>
        <v>1</v>
      </c>
      <c r="Y352" s="1" t="str" cm="1">
        <f t="array" ref="Y352">INDEX(Ratings!$B$2:$M$42,_xlfn.XMATCH(Base!F352,Ratings!$A$2:$A$42),_xlfn.XMATCH(YEAR(Base!K352),Ratings!$B$1:$M$1))</f>
        <v>BB-</v>
      </c>
      <c r="Z352">
        <f t="shared" si="90"/>
        <v>0</v>
      </c>
      <c r="AA352">
        <f>IFERROR(IFERROR(IFERROR(INDEX('EMBI+'!$B:$B,MATCH(Base!$K352,'EMBI+'!$A:$A,0)),INDEX('EMBI+'!$B:$B,MATCH(Base!$K352+1,'EMBI+'!$A:$A,0))),INDEX('EMBI+'!$B:$B,MATCH(Base!$K352+2,'EMBI+'!$A:$A,0))),INDEX('EMBI+'!$B:$B,MATCH(Base!$K352+3,'EMBI+'!$A:$A,0)))/100</f>
        <v>3.14</v>
      </c>
      <c r="AB352" s="9">
        <v>31.78125</v>
      </c>
      <c r="AC352" s="9">
        <v>139.9127</v>
      </c>
      <c r="AD352" s="9"/>
      <c r="AE352" s="9"/>
      <c r="AF352" s="2"/>
      <c r="AG352" s="2"/>
    </row>
    <row r="353" spans="1:33" x14ac:dyDescent="0.35">
      <c r="A353">
        <f t="shared" si="87"/>
        <v>351</v>
      </c>
      <c r="B353">
        <f>IF(G353="Bonds",COUNTIF($G$3:G353,"Bonds"),0)</f>
        <v>0</v>
      </c>
      <c r="C353" t="str">
        <f t="shared" si="91"/>
        <v>Natura Cosméticos4169542791</v>
      </c>
      <c r="D353">
        <f t="shared" si="92"/>
        <v>27</v>
      </c>
      <c r="E353" s="9" t="s">
        <v>432</v>
      </c>
      <c r="F353" s="9" t="s">
        <v>433</v>
      </c>
      <c r="G353" s="9" t="s">
        <v>29</v>
      </c>
      <c r="H353">
        <f t="shared" si="82"/>
        <v>0</v>
      </c>
      <c r="I353" s="9" t="s">
        <v>434</v>
      </c>
      <c r="J353" s="1">
        <f t="shared" si="83"/>
        <v>1</v>
      </c>
      <c r="K353" s="2">
        <v>41695</v>
      </c>
      <c r="L353" s="2">
        <v>42791</v>
      </c>
      <c r="M353" s="10">
        <f t="shared" si="84"/>
        <v>3.0027397260273974</v>
      </c>
      <c r="N353" s="11">
        <f t="shared" si="85"/>
        <v>0</v>
      </c>
      <c r="O353" s="9" t="s">
        <v>47</v>
      </c>
      <c r="P353" t="str">
        <f t="shared" si="88"/>
        <v>0</v>
      </c>
      <c r="Q353" s="12">
        <v>20000</v>
      </c>
      <c r="R353" s="9">
        <v>10000</v>
      </c>
      <c r="S353" s="1" t="str">
        <f>IF($V353="USD",INDEX('Dólar Spot'!$B:$B,MATCH(Base!$K353,'Dólar Spot'!$A:$A,0)),"")</f>
        <v/>
      </c>
      <c r="T353" s="11">
        <f t="shared" ref="T353:T369" si="93">Q353*R353</f>
        <v>200000000</v>
      </c>
      <c r="U353" s="13">
        <f t="shared" si="86"/>
        <v>2</v>
      </c>
      <c r="V353" s="9" t="s">
        <v>44</v>
      </c>
      <c r="W353" s="9" t="s">
        <v>35</v>
      </c>
      <c r="X353">
        <f t="shared" si="89"/>
        <v>0</v>
      </c>
      <c r="Y353" s="1" t="str" cm="1">
        <f t="array" ref="Y353">INDEX(Ratings!$B$2:$M$42,_xlfn.XMATCH(Base!F353,Ratings!$A$2:$A$42),_xlfn.XMATCH(YEAR(Base!K353),Ratings!$B$1:$M$1))</f>
        <v>BBB</v>
      </c>
      <c r="Z353">
        <f t="shared" si="90"/>
        <v>1</v>
      </c>
      <c r="AA353">
        <f>IFERROR(IFERROR(IFERROR(INDEX('EMBI+'!$B:$B,MATCH(Base!$K353,'EMBI+'!$A:$A,0)),INDEX('EMBI+'!$B:$B,MATCH(Base!$K353+1,'EMBI+'!$A:$A,0))),INDEX('EMBI+'!$B:$B,MATCH(Base!$K353+2,'EMBI+'!$A:$A,0))),INDEX('EMBI+'!$B:$B,MATCH(Base!$K353+3,'EMBI+'!$A:$A,0)))/100</f>
        <v>2.44</v>
      </c>
      <c r="AB353" s="9">
        <v>12.495279999999999</v>
      </c>
      <c r="AC353" s="9">
        <v>35.815480000000001</v>
      </c>
      <c r="AD353" s="9"/>
      <c r="AE353" s="9"/>
      <c r="AF353" s="2"/>
      <c r="AG353" s="2"/>
    </row>
    <row r="354" spans="1:33" x14ac:dyDescent="0.35">
      <c r="A354">
        <f t="shared" si="87"/>
        <v>352</v>
      </c>
      <c r="B354">
        <f>IF(G354="Bonds",COUNTIF($G$3:G354,"Bonds"),0)</f>
        <v>0</v>
      </c>
      <c r="C354" t="str">
        <f t="shared" si="91"/>
        <v>Natura Cosméticos4207943175</v>
      </c>
      <c r="D354">
        <f t="shared" si="92"/>
        <v>27</v>
      </c>
      <c r="E354" s="9" t="s">
        <v>432</v>
      </c>
      <c r="F354" s="9" t="s">
        <v>433</v>
      </c>
      <c r="G354" s="9" t="s">
        <v>29</v>
      </c>
      <c r="H354">
        <f t="shared" si="82"/>
        <v>0</v>
      </c>
      <c r="I354" s="9" t="s">
        <v>435</v>
      </c>
      <c r="J354" s="1">
        <f t="shared" si="83"/>
        <v>2</v>
      </c>
      <c r="K354" s="2">
        <v>42079</v>
      </c>
      <c r="L354" s="2">
        <v>43175</v>
      </c>
      <c r="M354" s="10">
        <f t="shared" si="84"/>
        <v>3.0027397260273974</v>
      </c>
      <c r="N354" s="11">
        <f t="shared" si="85"/>
        <v>0</v>
      </c>
      <c r="O354" s="9" t="s">
        <v>47</v>
      </c>
      <c r="P354" t="str">
        <f t="shared" si="88"/>
        <v>0</v>
      </c>
      <c r="Q354" s="12">
        <v>40000</v>
      </c>
      <c r="R354" s="9">
        <v>10000</v>
      </c>
      <c r="S354" s="1" t="str">
        <f>IF($V354="USD",INDEX('Dólar Spot'!$B:$B,MATCH(Base!$K354,'Dólar Spot'!$A:$A,0)),"")</f>
        <v/>
      </c>
      <c r="T354" s="11">
        <f t="shared" si="93"/>
        <v>400000000</v>
      </c>
      <c r="U354" s="13">
        <f t="shared" si="86"/>
        <v>4</v>
      </c>
      <c r="V354" s="9" t="s">
        <v>44</v>
      </c>
      <c r="W354" s="9" t="s">
        <v>35</v>
      </c>
      <c r="X354">
        <f t="shared" si="89"/>
        <v>0</v>
      </c>
      <c r="Y354" s="1" t="str" cm="1">
        <f t="array" ref="Y354">INDEX(Ratings!$B$2:$M$42,_xlfn.XMATCH(Base!F354,Ratings!$A$2:$A$42),_xlfn.XMATCH(YEAR(Base!K354),Ratings!$B$1:$M$1))</f>
        <v>BBB</v>
      </c>
      <c r="Z354">
        <f t="shared" si="90"/>
        <v>1</v>
      </c>
      <c r="AA354">
        <f>IFERROR(IFERROR(IFERROR(INDEX('EMBI+'!$B:$B,MATCH(Base!$K354,'EMBI+'!$A:$A,0)),INDEX('EMBI+'!$B:$B,MATCH(Base!$K354+1,'EMBI+'!$A:$A,0))),INDEX('EMBI+'!$B:$B,MATCH(Base!$K354+2,'EMBI+'!$A:$A,0))),INDEX('EMBI+'!$B:$B,MATCH(Base!$K354+3,'EMBI+'!$A:$A,0)))/100</f>
        <v>3.44</v>
      </c>
      <c r="AB354" s="9">
        <v>12.93028</v>
      </c>
      <c r="AC354" s="9">
        <v>52.914949999999997</v>
      </c>
      <c r="AD354" s="9"/>
      <c r="AE354" s="9"/>
      <c r="AF354" s="2"/>
      <c r="AG354" s="2"/>
    </row>
    <row r="355" spans="1:33" x14ac:dyDescent="0.35">
      <c r="A355">
        <f t="shared" si="87"/>
        <v>353</v>
      </c>
      <c r="B355">
        <f>IF(G355="Bonds",COUNTIF($G$3:G355,"Bonds"),0)</f>
        <v>0</v>
      </c>
      <c r="C355" t="str">
        <f t="shared" si="91"/>
        <v>Natura Cosméticos4300344099</v>
      </c>
      <c r="D355">
        <f t="shared" si="92"/>
        <v>27</v>
      </c>
      <c r="E355" s="9" t="s">
        <v>432</v>
      </c>
      <c r="F355" s="9" t="s">
        <v>433</v>
      </c>
      <c r="G355" s="9" t="s">
        <v>29</v>
      </c>
      <c r="H355">
        <f t="shared" si="82"/>
        <v>0</v>
      </c>
      <c r="I355" s="9" t="s">
        <v>436</v>
      </c>
      <c r="J355" s="1">
        <f t="shared" si="83"/>
        <v>3</v>
      </c>
      <c r="K355" s="2">
        <v>43003</v>
      </c>
      <c r="L355" s="2">
        <v>44099</v>
      </c>
      <c r="M355" s="10">
        <f t="shared" si="84"/>
        <v>3.0027397260273974</v>
      </c>
      <c r="N355" s="11">
        <f t="shared" si="85"/>
        <v>0</v>
      </c>
      <c r="O355" s="9" t="s">
        <v>47</v>
      </c>
      <c r="P355" t="str">
        <f t="shared" si="88"/>
        <v>0</v>
      </c>
      <c r="Q355" s="12">
        <v>77273</v>
      </c>
      <c r="R355" s="9">
        <v>10000</v>
      </c>
      <c r="S355" s="1" t="str">
        <f>IF($V355="USD",INDEX('Dólar Spot'!$B:$B,MATCH(Base!$K355,'Dólar Spot'!$A:$A,0)),"")</f>
        <v/>
      </c>
      <c r="T355" s="11">
        <f t="shared" si="93"/>
        <v>772730000</v>
      </c>
      <c r="U355" s="13">
        <f t="shared" si="86"/>
        <v>7.7272999999999996</v>
      </c>
      <c r="V355" s="9" t="s">
        <v>44</v>
      </c>
      <c r="W355" s="9" t="s">
        <v>35</v>
      </c>
      <c r="X355">
        <f t="shared" si="89"/>
        <v>0</v>
      </c>
      <c r="Y355" s="1" t="str" cm="1">
        <f t="array" ref="Y355">INDEX(Ratings!$B$2:$M$42,_xlfn.XMATCH(Base!F355,Ratings!$A$2:$A$42),_xlfn.XMATCH(YEAR(Base!K355),Ratings!$B$1:$M$1))</f>
        <v>NR</v>
      </c>
      <c r="Z355">
        <f t="shared" si="90"/>
        <v>0</v>
      </c>
      <c r="AA355">
        <f>IFERROR(IFERROR(IFERROR(INDEX('EMBI+'!$B:$B,MATCH(Base!$K355,'EMBI+'!$A:$A,0)),INDEX('EMBI+'!$B:$B,MATCH(Base!$K355+1,'EMBI+'!$A:$A,0))),INDEX('EMBI+'!$B:$B,MATCH(Base!$K355+2,'EMBI+'!$A:$A,0))),INDEX('EMBI+'!$B:$B,MATCH(Base!$K355+3,'EMBI+'!$A:$A,0)))/100</f>
        <v>2.57</v>
      </c>
      <c r="AB355" s="9">
        <v>14.12555</v>
      </c>
      <c r="AC355" s="9">
        <v>96.109200000000001</v>
      </c>
      <c r="AD355" s="9"/>
      <c r="AE355" s="9"/>
      <c r="AF355" s="2"/>
      <c r="AG355" s="2"/>
    </row>
    <row r="356" spans="1:33" x14ac:dyDescent="0.35">
      <c r="A356">
        <f t="shared" si="87"/>
        <v>354</v>
      </c>
      <c r="B356">
        <f>IF(G356="Bonds",COUNTIF($G$3:G356,"Bonds"),0)</f>
        <v>0</v>
      </c>
      <c r="C356" t="str">
        <f t="shared" si="91"/>
        <v>Natura Cosméticos4314543691</v>
      </c>
      <c r="D356">
        <f t="shared" si="92"/>
        <v>27</v>
      </c>
      <c r="E356" s="9" t="s">
        <v>432</v>
      </c>
      <c r="F356" s="9" t="s">
        <v>433</v>
      </c>
      <c r="G356" s="9" t="s">
        <v>29</v>
      </c>
      <c r="H356">
        <f t="shared" si="82"/>
        <v>0</v>
      </c>
      <c r="I356" s="9" t="s">
        <v>437</v>
      </c>
      <c r="J356" s="1">
        <f t="shared" si="83"/>
        <v>4</v>
      </c>
      <c r="K356" s="2">
        <v>43145</v>
      </c>
      <c r="L356" s="2">
        <v>43691</v>
      </c>
      <c r="M356" s="10">
        <f t="shared" si="84"/>
        <v>1.4958904109589042</v>
      </c>
      <c r="N356" s="11">
        <f t="shared" si="85"/>
        <v>0</v>
      </c>
      <c r="O356" s="9" t="s">
        <v>47</v>
      </c>
      <c r="P356" t="str">
        <f t="shared" si="88"/>
        <v>0</v>
      </c>
      <c r="Q356" s="12">
        <v>140000</v>
      </c>
      <c r="R356" s="9">
        <v>10000</v>
      </c>
      <c r="S356" s="1" t="str">
        <f>IF($V356="USD",INDEX('Dólar Spot'!$B:$B,MATCH(Base!$K356,'Dólar Spot'!$A:$A,0)),"")</f>
        <v/>
      </c>
      <c r="T356" s="11">
        <f t="shared" si="93"/>
        <v>1400000000</v>
      </c>
      <c r="U356" s="13">
        <f t="shared" si="86"/>
        <v>14</v>
      </c>
      <c r="V356" s="9" t="s">
        <v>44</v>
      </c>
      <c r="W356" s="9" t="s">
        <v>34</v>
      </c>
      <c r="X356">
        <f t="shared" si="89"/>
        <v>1</v>
      </c>
      <c r="Y356" s="1" t="str" cm="1">
        <f t="array" ref="Y356">INDEX(Ratings!$B$2:$M$42,_xlfn.XMATCH(Base!F356,Ratings!$A$2:$A$42),_xlfn.XMATCH(YEAR(Base!K356),Ratings!$B$1:$M$1))</f>
        <v>BB</v>
      </c>
      <c r="Z356">
        <f t="shared" si="90"/>
        <v>0</v>
      </c>
      <c r="AA356">
        <f>IFERROR(IFERROR(IFERROR(INDEX('EMBI+'!$B:$B,MATCH(Base!$K356,'EMBI+'!$A:$A,0)),INDEX('EMBI+'!$B:$B,MATCH(Base!$K356+1,'EMBI+'!$A:$A,0))),INDEX('EMBI+'!$B:$B,MATCH(Base!$K356+2,'EMBI+'!$A:$A,0))),INDEX('EMBI+'!$B:$B,MATCH(Base!$K356+3,'EMBI+'!$A:$A,0)))/100</f>
        <v>2.4900000000000002</v>
      </c>
      <c r="AB356" s="9">
        <v>16.347460000000002</v>
      </c>
      <c r="AC356" s="9">
        <v>93.319000000000003</v>
      </c>
      <c r="AD356" s="9"/>
      <c r="AE356" s="9"/>
      <c r="AF356" s="2"/>
      <c r="AG356" s="2"/>
    </row>
    <row r="357" spans="1:33" x14ac:dyDescent="0.35">
      <c r="A357">
        <f t="shared" si="87"/>
        <v>355</v>
      </c>
      <c r="B357">
        <f>IF(G357="Bonds",COUNTIF($G$3:G357,"Bonds"),0)</f>
        <v>0</v>
      </c>
      <c r="C357" t="str">
        <f t="shared" si="91"/>
        <v>Natura Cosméticos4336444095</v>
      </c>
      <c r="D357">
        <f t="shared" si="92"/>
        <v>27</v>
      </c>
      <c r="E357" s="9" t="s">
        <v>432</v>
      </c>
      <c r="F357" s="9" t="s">
        <v>433</v>
      </c>
      <c r="G357" s="9" t="s">
        <v>29</v>
      </c>
      <c r="H357">
        <f t="shared" si="82"/>
        <v>0</v>
      </c>
      <c r="I357" s="9" t="s">
        <v>438</v>
      </c>
      <c r="J357" s="1">
        <f t="shared" si="83"/>
        <v>5</v>
      </c>
      <c r="K357" s="2">
        <v>43364</v>
      </c>
      <c r="L357" s="2">
        <v>44095</v>
      </c>
      <c r="M357" s="10">
        <f t="shared" si="84"/>
        <v>2.0027397260273974</v>
      </c>
      <c r="N357" s="11">
        <f t="shared" si="85"/>
        <v>0</v>
      </c>
      <c r="O357" s="9" t="s">
        <v>47</v>
      </c>
      <c r="P357" t="str">
        <f t="shared" si="88"/>
        <v>0</v>
      </c>
      <c r="Q357" s="12">
        <v>38904</v>
      </c>
      <c r="R357" s="9">
        <v>10000</v>
      </c>
      <c r="S357" s="1" t="str">
        <f>IF($V357="USD",INDEX('Dólar Spot'!$B:$B,MATCH(Base!$K357,'Dólar Spot'!$A:$A,0)),"")</f>
        <v/>
      </c>
      <c r="T357" s="11">
        <f t="shared" si="93"/>
        <v>389040000</v>
      </c>
      <c r="U357" s="13">
        <f t="shared" si="86"/>
        <v>3.8904000000000001</v>
      </c>
      <c r="V357" s="9" t="s">
        <v>44</v>
      </c>
      <c r="W357" s="9" t="s">
        <v>35</v>
      </c>
      <c r="X357">
        <f t="shared" si="89"/>
        <v>0</v>
      </c>
      <c r="Y357" s="1" t="str" cm="1">
        <f t="array" ref="Y357">INDEX(Ratings!$B$2:$M$42,_xlfn.XMATCH(Base!F357,Ratings!$A$2:$A$42),_xlfn.XMATCH(YEAR(Base!K357),Ratings!$B$1:$M$1))</f>
        <v>BB</v>
      </c>
      <c r="Z357">
        <f t="shared" si="90"/>
        <v>0</v>
      </c>
      <c r="AA357">
        <f>IFERROR(IFERROR(IFERROR(INDEX('EMBI+'!$B:$B,MATCH(Base!$K357,'EMBI+'!$A:$A,0)),INDEX('EMBI+'!$B:$B,MATCH(Base!$K357+1,'EMBI+'!$A:$A,0))),INDEX('EMBI+'!$B:$B,MATCH(Base!$K357+2,'EMBI+'!$A:$A,0))),INDEX('EMBI+'!$B:$B,MATCH(Base!$K357+3,'EMBI+'!$A:$A,0)))/100</f>
        <v>2.87</v>
      </c>
      <c r="AB357" s="9">
        <v>25.02177</v>
      </c>
      <c r="AC357" s="9">
        <v>86.90795</v>
      </c>
      <c r="AD357" s="9"/>
      <c r="AE357" s="9"/>
      <c r="AF357" s="2"/>
      <c r="AG357" s="2"/>
    </row>
    <row r="358" spans="1:33" x14ac:dyDescent="0.35">
      <c r="A358">
        <f t="shared" si="87"/>
        <v>356</v>
      </c>
      <c r="B358">
        <f>IF(G358="Bonds",COUNTIF($G$3:G358,"Bonds"),0)</f>
        <v>0</v>
      </c>
      <c r="C358" t="str">
        <f t="shared" si="91"/>
        <v>Natura Cosméticos4169543156</v>
      </c>
      <c r="D358">
        <f t="shared" si="92"/>
        <v>27</v>
      </c>
      <c r="E358" s="9" t="s">
        <v>432</v>
      </c>
      <c r="F358" s="9" t="s">
        <v>433</v>
      </c>
      <c r="G358" s="9" t="s">
        <v>29</v>
      </c>
      <c r="H358">
        <f t="shared" si="82"/>
        <v>0</v>
      </c>
      <c r="I358" s="9" t="s">
        <v>439</v>
      </c>
      <c r="J358" s="1">
        <f t="shared" si="83"/>
        <v>6</v>
      </c>
      <c r="K358" s="2">
        <v>41695</v>
      </c>
      <c r="L358" s="2">
        <v>43156</v>
      </c>
      <c r="M358" s="10">
        <f t="shared" si="84"/>
        <v>4.0027397260273974</v>
      </c>
      <c r="N358" s="11">
        <f t="shared" si="85"/>
        <v>0</v>
      </c>
      <c r="O358" s="9" t="s">
        <v>47</v>
      </c>
      <c r="P358" t="str">
        <f t="shared" si="88"/>
        <v>0</v>
      </c>
      <c r="Q358" s="12">
        <v>20000</v>
      </c>
      <c r="R358" s="9">
        <v>10000</v>
      </c>
      <c r="S358" s="1" t="str">
        <f>IF($V358="USD",INDEX('Dólar Spot'!$B:$B,MATCH(Base!$K358,'Dólar Spot'!$A:$A,0)),"")</f>
        <v/>
      </c>
      <c r="T358" s="11">
        <f t="shared" si="93"/>
        <v>200000000</v>
      </c>
      <c r="U358" s="13">
        <f t="shared" si="86"/>
        <v>2</v>
      </c>
      <c r="V358" s="9" t="s">
        <v>44</v>
      </c>
      <c r="W358" s="9" t="s">
        <v>35</v>
      </c>
      <c r="X358">
        <f t="shared" si="89"/>
        <v>0</v>
      </c>
      <c r="Y358" s="1" t="str" cm="1">
        <f t="array" ref="Y358">INDEX(Ratings!$B$2:$M$42,_xlfn.XMATCH(Base!F358,Ratings!$A$2:$A$42),_xlfn.XMATCH(YEAR(Base!K358),Ratings!$B$1:$M$1))</f>
        <v>BBB</v>
      </c>
      <c r="Z358">
        <f t="shared" si="90"/>
        <v>1</v>
      </c>
      <c r="AA358">
        <f>IFERROR(IFERROR(IFERROR(INDEX('EMBI+'!$B:$B,MATCH(Base!$K358,'EMBI+'!$A:$A,0)),INDEX('EMBI+'!$B:$B,MATCH(Base!$K358+1,'EMBI+'!$A:$A,0))),INDEX('EMBI+'!$B:$B,MATCH(Base!$K358+2,'EMBI+'!$A:$A,0))),INDEX('EMBI+'!$B:$B,MATCH(Base!$K358+3,'EMBI+'!$A:$A,0)))/100</f>
        <v>2.44</v>
      </c>
      <c r="AB358" s="9">
        <v>12.495279999999999</v>
      </c>
      <c r="AC358" s="9">
        <v>35.815480000000001</v>
      </c>
      <c r="AD358" s="9"/>
      <c r="AE358" s="9"/>
      <c r="AF358" s="2"/>
      <c r="AG358" s="2"/>
    </row>
    <row r="359" spans="1:33" x14ac:dyDescent="0.35">
      <c r="A359">
        <f t="shared" si="87"/>
        <v>357</v>
      </c>
      <c r="B359">
        <f>IF(G359="Bonds",COUNTIF($G$3:G359,"Bonds"),0)</f>
        <v>0</v>
      </c>
      <c r="C359" t="str">
        <f t="shared" si="91"/>
        <v>Natura Cosméticos4207943540</v>
      </c>
      <c r="D359">
        <f t="shared" si="92"/>
        <v>27</v>
      </c>
      <c r="E359" s="9" t="s">
        <v>432</v>
      </c>
      <c r="F359" s="9" t="s">
        <v>433</v>
      </c>
      <c r="G359" s="9" t="s">
        <v>29</v>
      </c>
      <c r="H359">
        <f t="shared" si="82"/>
        <v>0</v>
      </c>
      <c r="I359" s="9" t="s">
        <v>440</v>
      </c>
      <c r="J359" s="1">
        <f t="shared" si="83"/>
        <v>7</v>
      </c>
      <c r="K359" s="2">
        <v>42079</v>
      </c>
      <c r="L359" s="2">
        <v>43540</v>
      </c>
      <c r="M359" s="10">
        <f t="shared" si="84"/>
        <v>4.0027397260273974</v>
      </c>
      <c r="N359" s="11">
        <f t="shared" si="85"/>
        <v>0</v>
      </c>
      <c r="O359" s="9" t="s">
        <v>47</v>
      </c>
      <c r="P359" t="str">
        <f t="shared" si="88"/>
        <v>0</v>
      </c>
      <c r="Q359" s="12">
        <v>25000</v>
      </c>
      <c r="R359" s="9">
        <v>10000</v>
      </c>
      <c r="S359" s="1" t="str">
        <f>IF($V359="USD",INDEX('Dólar Spot'!$B:$B,MATCH(Base!$K359,'Dólar Spot'!$A:$A,0)),"")</f>
        <v/>
      </c>
      <c r="T359" s="11">
        <f t="shared" si="93"/>
        <v>250000000</v>
      </c>
      <c r="U359" s="13">
        <f t="shared" si="86"/>
        <v>2.5</v>
      </c>
      <c r="V359" s="9" t="s">
        <v>44</v>
      </c>
      <c r="W359" s="9" t="s">
        <v>35</v>
      </c>
      <c r="X359">
        <f t="shared" si="89"/>
        <v>0</v>
      </c>
      <c r="Y359" s="1" t="str" cm="1">
        <f t="array" ref="Y359">INDEX(Ratings!$B$2:$M$42,_xlfn.XMATCH(Base!F359,Ratings!$A$2:$A$42),_xlfn.XMATCH(YEAR(Base!K359),Ratings!$B$1:$M$1))</f>
        <v>BBB</v>
      </c>
      <c r="Z359">
        <f t="shared" si="90"/>
        <v>1</v>
      </c>
      <c r="AA359">
        <f>IFERROR(IFERROR(IFERROR(INDEX('EMBI+'!$B:$B,MATCH(Base!$K359,'EMBI+'!$A:$A,0)),INDEX('EMBI+'!$B:$B,MATCH(Base!$K359+1,'EMBI+'!$A:$A,0))),INDEX('EMBI+'!$B:$B,MATCH(Base!$K359+2,'EMBI+'!$A:$A,0))),INDEX('EMBI+'!$B:$B,MATCH(Base!$K359+3,'EMBI+'!$A:$A,0)))/100</f>
        <v>3.44</v>
      </c>
      <c r="AB359" s="9">
        <v>12.93028</v>
      </c>
      <c r="AC359" s="9">
        <v>52.914949999999997</v>
      </c>
      <c r="AD359" s="9"/>
      <c r="AE359" s="9"/>
      <c r="AF359" s="2"/>
      <c r="AG359" s="2"/>
    </row>
    <row r="360" spans="1:33" x14ac:dyDescent="0.35">
      <c r="A360">
        <f t="shared" si="87"/>
        <v>358</v>
      </c>
      <c r="B360">
        <f>IF(G360="Bonds",COUNTIF($G$3:G360,"Bonds"),0)</f>
        <v>0</v>
      </c>
      <c r="C360" t="str">
        <f t="shared" si="91"/>
        <v>Natura Cosméticos4300344464</v>
      </c>
      <c r="D360">
        <f t="shared" si="92"/>
        <v>27</v>
      </c>
      <c r="E360" s="9" t="s">
        <v>432</v>
      </c>
      <c r="F360" s="9" t="s">
        <v>433</v>
      </c>
      <c r="G360" s="9" t="s">
        <v>29</v>
      </c>
      <c r="H360">
        <f t="shared" si="82"/>
        <v>0</v>
      </c>
      <c r="I360" s="9" t="s">
        <v>441</v>
      </c>
      <c r="J360" s="1">
        <f t="shared" si="83"/>
        <v>8</v>
      </c>
      <c r="K360" s="2">
        <v>43003</v>
      </c>
      <c r="L360" s="2">
        <v>44464</v>
      </c>
      <c r="M360" s="10">
        <f t="shared" si="84"/>
        <v>4.0027397260273974</v>
      </c>
      <c r="N360" s="11">
        <f t="shared" si="85"/>
        <v>0</v>
      </c>
      <c r="O360" s="9" t="s">
        <v>47</v>
      </c>
      <c r="P360" t="str">
        <f t="shared" si="88"/>
        <v>0</v>
      </c>
      <c r="Q360" s="12">
        <v>182727</v>
      </c>
      <c r="R360" s="9">
        <v>10000</v>
      </c>
      <c r="S360" s="1" t="str">
        <f>IF($V360="USD",INDEX('Dólar Spot'!$B:$B,MATCH(Base!$K360,'Dólar Spot'!$A:$A,0)),"")</f>
        <v/>
      </c>
      <c r="T360" s="11">
        <f t="shared" si="93"/>
        <v>1827270000</v>
      </c>
      <c r="U360" s="13">
        <f t="shared" si="86"/>
        <v>18.2727</v>
      </c>
      <c r="V360" s="9" t="s">
        <v>44</v>
      </c>
      <c r="W360" s="9" t="s">
        <v>35</v>
      </c>
      <c r="X360">
        <f t="shared" si="89"/>
        <v>0</v>
      </c>
      <c r="Y360" s="1" t="str" cm="1">
        <f t="array" ref="Y360">INDEX(Ratings!$B$2:$M$42,_xlfn.XMATCH(Base!F360,Ratings!$A$2:$A$42),_xlfn.XMATCH(YEAR(Base!K360),Ratings!$B$1:$M$1))</f>
        <v>NR</v>
      </c>
      <c r="Z360">
        <f t="shared" si="90"/>
        <v>0</v>
      </c>
      <c r="AA360">
        <f>IFERROR(IFERROR(IFERROR(INDEX('EMBI+'!$B:$B,MATCH(Base!$K360,'EMBI+'!$A:$A,0)),INDEX('EMBI+'!$B:$B,MATCH(Base!$K360+1,'EMBI+'!$A:$A,0))),INDEX('EMBI+'!$B:$B,MATCH(Base!$K360+2,'EMBI+'!$A:$A,0))),INDEX('EMBI+'!$B:$B,MATCH(Base!$K360+3,'EMBI+'!$A:$A,0)))/100</f>
        <v>2.57</v>
      </c>
      <c r="AB360" s="9">
        <v>14.12555</v>
      </c>
      <c r="AC360" s="9">
        <v>96.109200000000001</v>
      </c>
      <c r="AD360" s="9"/>
      <c r="AE360" s="9"/>
      <c r="AF360" s="2"/>
      <c r="AG360" s="2"/>
    </row>
    <row r="361" spans="1:33" x14ac:dyDescent="0.35">
      <c r="A361">
        <f t="shared" si="87"/>
        <v>359</v>
      </c>
      <c r="B361">
        <f>IF(G361="Bonds",COUNTIF($G$3:G361,"Bonds"),0)</f>
        <v>0</v>
      </c>
      <c r="C361" t="str">
        <f t="shared" si="91"/>
        <v>Natura Cosméticos4336444460</v>
      </c>
      <c r="D361">
        <f t="shared" si="92"/>
        <v>27</v>
      </c>
      <c r="E361" s="9" t="s">
        <v>432</v>
      </c>
      <c r="F361" s="9" t="s">
        <v>433</v>
      </c>
      <c r="G361" s="9" t="s">
        <v>29</v>
      </c>
      <c r="H361">
        <f t="shared" si="82"/>
        <v>0</v>
      </c>
      <c r="I361" s="9" t="s">
        <v>442</v>
      </c>
      <c r="J361" s="1">
        <f t="shared" si="83"/>
        <v>9</v>
      </c>
      <c r="K361" s="2">
        <v>43364</v>
      </c>
      <c r="L361" s="2">
        <v>44460</v>
      </c>
      <c r="M361" s="10">
        <f t="shared" si="84"/>
        <v>3.0027397260273974</v>
      </c>
      <c r="N361" s="11">
        <f t="shared" si="85"/>
        <v>0</v>
      </c>
      <c r="O361" s="9" t="s">
        <v>47</v>
      </c>
      <c r="P361" t="str">
        <f t="shared" si="88"/>
        <v>0</v>
      </c>
      <c r="Q361" s="12">
        <v>30831</v>
      </c>
      <c r="R361" s="9">
        <v>10000</v>
      </c>
      <c r="S361" s="1" t="str">
        <f>IF($V361="USD",INDEX('Dólar Spot'!$B:$B,MATCH(Base!$K361,'Dólar Spot'!$A:$A,0)),"")</f>
        <v/>
      </c>
      <c r="T361" s="11">
        <f t="shared" si="93"/>
        <v>308310000</v>
      </c>
      <c r="U361" s="13">
        <f t="shared" si="86"/>
        <v>3.0831</v>
      </c>
      <c r="V361" s="9" t="s">
        <v>44</v>
      </c>
      <c r="W361" s="9" t="s">
        <v>35</v>
      </c>
      <c r="X361">
        <f t="shared" si="89"/>
        <v>0</v>
      </c>
      <c r="Y361" s="1" t="str" cm="1">
        <f t="array" ref="Y361">INDEX(Ratings!$B$2:$M$42,_xlfn.XMATCH(Base!F361,Ratings!$A$2:$A$42),_xlfn.XMATCH(YEAR(Base!K361),Ratings!$B$1:$M$1))</f>
        <v>BB</v>
      </c>
      <c r="Z361">
        <f t="shared" si="90"/>
        <v>0</v>
      </c>
      <c r="AA361">
        <f>IFERROR(IFERROR(IFERROR(INDEX('EMBI+'!$B:$B,MATCH(Base!$K361,'EMBI+'!$A:$A,0)),INDEX('EMBI+'!$B:$B,MATCH(Base!$K361+1,'EMBI+'!$A:$A,0))),INDEX('EMBI+'!$B:$B,MATCH(Base!$K361+2,'EMBI+'!$A:$A,0))),INDEX('EMBI+'!$B:$B,MATCH(Base!$K361+3,'EMBI+'!$A:$A,0)))/100</f>
        <v>2.87</v>
      </c>
      <c r="AB361" s="9">
        <v>25.02177</v>
      </c>
      <c r="AC361" s="9">
        <v>86.90795</v>
      </c>
      <c r="AD361" s="9"/>
      <c r="AE361" s="9"/>
      <c r="AF361" s="2"/>
      <c r="AG361" s="2"/>
    </row>
    <row r="362" spans="1:33" x14ac:dyDescent="0.35">
      <c r="A362">
        <f t="shared" si="87"/>
        <v>360</v>
      </c>
      <c r="B362">
        <f>IF(G362="Bonds",COUNTIF($G$3:G362,"Bonds"),0)</f>
        <v>0</v>
      </c>
      <c r="C362" t="str">
        <f t="shared" si="91"/>
        <v>Natura Cosméticos4169543521</v>
      </c>
      <c r="D362">
        <f t="shared" si="92"/>
        <v>27</v>
      </c>
      <c r="E362" s="9" t="s">
        <v>432</v>
      </c>
      <c r="F362" s="9" t="s">
        <v>433</v>
      </c>
      <c r="G362" s="9" t="s">
        <v>29</v>
      </c>
      <c r="H362">
        <f t="shared" si="82"/>
        <v>0</v>
      </c>
      <c r="I362" s="9" t="s">
        <v>443</v>
      </c>
      <c r="J362" s="1">
        <f t="shared" si="83"/>
        <v>10</v>
      </c>
      <c r="K362" s="2">
        <v>41695</v>
      </c>
      <c r="L362" s="2">
        <v>43521</v>
      </c>
      <c r="M362" s="10">
        <f t="shared" si="84"/>
        <v>5.0027397260273974</v>
      </c>
      <c r="N362" s="11">
        <f t="shared" si="85"/>
        <v>1</v>
      </c>
      <c r="O362" s="9" t="s">
        <v>47</v>
      </c>
      <c r="P362" t="str">
        <f t="shared" si="88"/>
        <v>0</v>
      </c>
      <c r="Q362" s="12">
        <v>20000</v>
      </c>
      <c r="R362" s="9">
        <v>10000</v>
      </c>
      <c r="S362" s="1" t="str">
        <f>IF($V362="USD",INDEX('Dólar Spot'!$B:$B,MATCH(Base!$K362,'Dólar Spot'!$A:$A,0)),"")</f>
        <v/>
      </c>
      <c r="T362" s="11">
        <f t="shared" si="93"/>
        <v>200000000</v>
      </c>
      <c r="U362" s="13">
        <f t="shared" si="86"/>
        <v>2</v>
      </c>
      <c r="V362" s="9" t="s">
        <v>44</v>
      </c>
      <c r="W362" s="9" t="s">
        <v>35</v>
      </c>
      <c r="X362">
        <f t="shared" si="89"/>
        <v>0</v>
      </c>
      <c r="Y362" s="1" t="str" cm="1">
        <f t="array" ref="Y362">INDEX(Ratings!$B$2:$M$42,_xlfn.XMATCH(Base!F362,Ratings!$A$2:$A$42),_xlfn.XMATCH(YEAR(Base!K362),Ratings!$B$1:$M$1))</f>
        <v>BBB</v>
      </c>
      <c r="Z362">
        <f t="shared" si="90"/>
        <v>1</v>
      </c>
      <c r="AA362">
        <f>IFERROR(IFERROR(IFERROR(INDEX('EMBI+'!$B:$B,MATCH(Base!$K362,'EMBI+'!$A:$A,0)),INDEX('EMBI+'!$B:$B,MATCH(Base!$K362+1,'EMBI+'!$A:$A,0))),INDEX('EMBI+'!$B:$B,MATCH(Base!$K362+2,'EMBI+'!$A:$A,0))),INDEX('EMBI+'!$B:$B,MATCH(Base!$K362+3,'EMBI+'!$A:$A,0)))/100</f>
        <v>2.44</v>
      </c>
      <c r="AB362" s="9">
        <v>12.495279999999999</v>
      </c>
      <c r="AC362" s="9">
        <v>35.815480000000001</v>
      </c>
      <c r="AD362" s="9"/>
      <c r="AE362" s="9"/>
      <c r="AF362" s="2"/>
      <c r="AG362" s="2"/>
    </row>
    <row r="363" spans="1:33" x14ac:dyDescent="0.35">
      <c r="A363">
        <f t="shared" si="87"/>
        <v>361</v>
      </c>
      <c r="B363">
        <f>IF(G363="Bonds",COUNTIF($G$3:G363,"Bonds"),0)</f>
        <v>0</v>
      </c>
      <c r="C363" t="str">
        <f t="shared" si="91"/>
        <v>Natura Cosméticos4207943906</v>
      </c>
      <c r="D363">
        <f t="shared" si="92"/>
        <v>27</v>
      </c>
      <c r="E363" s="9" t="s">
        <v>432</v>
      </c>
      <c r="F363" s="9" t="s">
        <v>433</v>
      </c>
      <c r="G363" s="9" t="s">
        <v>29</v>
      </c>
      <c r="H363">
        <f t="shared" si="82"/>
        <v>0</v>
      </c>
      <c r="I363" s="9" t="s">
        <v>444</v>
      </c>
      <c r="J363" s="1">
        <f t="shared" si="83"/>
        <v>11</v>
      </c>
      <c r="K363" s="2">
        <v>42079</v>
      </c>
      <c r="L363" s="2">
        <v>43906</v>
      </c>
      <c r="M363" s="10">
        <f t="shared" si="84"/>
        <v>5.0054794520547947</v>
      </c>
      <c r="N363" s="11">
        <f t="shared" si="85"/>
        <v>1</v>
      </c>
      <c r="O363" s="9" t="s">
        <v>47</v>
      </c>
      <c r="P363" t="str">
        <f t="shared" si="88"/>
        <v>0</v>
      </c>
      <c r="Q363" s="12">
        <v>15000</v>
      </c>
      <c r="R363" s="9">
        <v>10000</v>
      </c>
      <c r="S363" s="1" t="str">
        <f>IF($V363="USD",INDEX('Dólar Spot'!$B:$B,MATCH(Base!$K363,'Dólar Spot'!$A:$A,0)),"")</f>
        <v/>
      </c>
      <c r="T363" s="11">
        <f t="shared" si="93"/>
        <v>150000000</v>
      </c>
      <c r="U363" s="13">
        <f t="shared" si="86"/>
        <v>1.5</v>
      </c>
      <c r="V363" s="9" t="s">
        <v>44</v>
      </c>
      <c r="W363" s="9" t="s">
        <v>35</v>
      </c>
      <c r="X363">
        <f t="shared" si="89"/>
        <v>0</v>
      </c>
      <c r="Y363" s="1" t="str" cm="1">
        <f t="array" ref="Y363">INDEX(Ratings!$B$2:$M$42,_xlfn.XMATCH(Base!F363,Ratings!$A$2:$A$42),_xlfn.XMATCH(YEAR(Base!K363),Ratings!$B$1:$M$1))</f>
        <v>BBB</v>
      </c>
      <c r="Z363">
        <f t="shared" si="90"/>
        <v>1</v>
      </c>
      <c r="AA363">
        <f>IFERROR(IFERROR(IFERROR(INDEX('EMBI+'!$B:$B,MATCH(Base!$K363,'EMBI+'!$A:$A,0)),INDEX('EMBI+'!$B:$B,MATCH(Base!$K363+1,'EMBI+'!$A:$A,0))),INDEX('EMBI+'!$B:$B,MATCH(Base!$K363+2,'EMBI+'!$A:$A,0))),INDEX('EMBI+'!$B:$B,MATCH(Base!$K363+3,'EMBI+'!$A:$A,0)))/100</f>
        <v>3.44</v>
      </c>
      <c r="AB363" s="9">
        <v>12.93028</v>
      </c>
      <c r="AC363" s="9">
        <v>52.914949999999997</v>
      </c>
      <c r="AD363" s="9"/>
      <c r="AE363" s="9"/>
      <c r="AF363" s="2"/>
      <c r="AG363" s="2"/>
    </row>
    <row r="364" spans="1:33" x14ac:dyDescent="0.35">
      <c r="A364">
        <f t="shared" si="87"/>
        <v>362</v>
      </c>
      <c r="B364">
        <f>IF(G364="Bonds",COUNTIF($G$3:G364,"Bonds"),0)</f>
        <v>0</v>
      </c>
      <c r="C364" t="str">
        <f t="shared" si="91"/>
        <v>Natura Cosméticos4336444825</v>
      </c>
      <c r="D364">
        <f t="shared" si="92"/>
        <v>27</v>
      </c>
      <c r="E364" s="9" t="s">
        <v>432</v>
      </c>
      <c r="F364" s="9" t="s">
        <v>433</v>
      </c>
      <c r="G364" s="9" t="s">
        <v>29</v>
      </c>
      <c r="H364">
        <f t="shared" si="82"/>
        <v>0</v>
      </c>
      <c r="I364" s="9" t="s">
        <v>445</v>
      </c>
      <c r="J364" s="1">
        <f t="shared" si="83"/>
        <v>12</v>
      </c>
      <c r="K364" s="2">
        <v>43364</v>
      </c>
      <c r="L364" s="2">
        <v>44825</v>
      </c>
      <c r="M364" s="10">
        <f t="shared" si="84"/>
        <v>4.0027397260273974</v>
      </c>
      <c r="N364" s="11">
        <f t="shared" si="85"/>
        <v>0</v>
      </c>
      <c r="O364" s="9" t="s">
        <v>47</v>
      </c>
      <c r="P364" t="str">
        <f t="shared" si="88"/>
        <v>0</v>
      </c>
      <c r="Q364" s="12">
        <v>30265</v>
      </c>
      <c r="R364" s="9">
        <v>10000</v>
      </c>
      <c r="S364" s="1" t="str">
        <f>IF($V364="USD",INDEX('Dólar Spot'!$B:$B,MATCH(Base!$K364,'Dólar Spot'!$A:$A,0)),"")</f>
        <v/>
      </c>
      <c r="T364" s="11">
        <f t="shared" si="93"/>
        <v>302650000</v>
      </c>
      <c r="U364" s="13">
        <f t="shared" si="86"/>
        <v>3.0265</v>
      </c>
      <c r="V364" s="9" t="s">
        <v>44</v>
      </c>
      <c r="W364" s="9" t="s">
        <v>35</v>
      </c>
      <c r="X364">
        <f t="shared" si="89"/>
        <v>0</v>
      </c>
      <c r="Y364" s="1" t="str" cm="1">
        <f t="array" ref="Y364">INDEX(Ratings!$B$2:$M$42,_xlfn.XMATCH(Base!F364,Ratings!$A$2:$A$42),_xlfn.XMATCH(YEAR(Base!K364),Ratings!$B$1:$M$1))</f>
        <v>BB</v>
      </c>
      <c r="Z364">
        <f t="shared" si="90"/>
        <v>0</v>
      </c>
      <c r="AA364">
        <f>IFERROR(IFERROR(IFERROR(INDEX('EMBI+'!$B:$B,MATCH(Base!$K364,'EMBI+'!$A:$A,0)),INDEX('EMBI+'!$B:$B,MATCH(Base!$K364+1,'EMBI+'!$A:$A,0))),INDEX('EMBI+'!$B:$B,MATCH(Base!$K364+2,'EMBI+'!$A:$A,0))),INDEX('EMBI+'!$B:$B,MATCH(Base!$K364+3,'EMBI+'!$A:$A,0)))/100</f>
        <v>2.87</v>
      </c>
      <c r="AB364" s="9">
        <v>25.02177</v>
      </c>
      <c r="AC364" s="9">
        <v>86.90795</v>
      </c>
      <c r="AD364" s="9"/>
      <c r="AE364" s="9"/>
      <c r="AF364" s="2"/>
      <c r="AG364" s="2"/>
    </row>
    <row r="365" spans="1:33" x14ac:dyDescent="0.35">
      <c r="A365">
        <f t="shared" si="87"/>
        <v>363</v>
      </c>
      <c r="B365">
        <f>IF(G365="Bonds",COUNTIF($G$3:G365,"Bonds"),0)</f>
        <v>0</v>
      </c>
      <c r="C365" t="str">
        <f t="shared" si="91"/>
        <v>Natura Cosméticos4370345530</v>
      </c>
      <c r="D365">
        <f t="shared" si="92"/>
        <v>27</v>
      </c>
      <c r="E365" s="9" t="s">
        <v>432</v>
      </c>
      <c r="F365" s="9" t="s">
        <v>433</v>
      </c>
      <c r="G365" s="9" t="s">
        <v>29</v>
      </c>
      <c r="H365">
        <f t="shared" si="82"/>
        <v>0</v>
      </c>
      <c r="I365" s="9" t="s">
        <v>446</v>
      </c>
      <c r="J365" s="1">
        <f t="shared" si="83"/>
        <v>13</v>
      </c>
      <c r="K365" s="2">
        <v>43703</v>
      </c>
      <c r="L365" s="2">
        <v>45530</v>
      </c>
      <c r="M365" s="10">
        <f t="shared" si="84"/>
        <v>5.0054794520547947</v>
      </c>
      <c r="N365" s="11">
        <f t="shared" si="85"/>
        <v>1</v>
      </c>
      <c r="O365" s="9" t="s">
        <v>47</v>
      </c>
      <c r="P365" t="str">
        <f t="shared" si="88"/>
        <v>0</v>
      </c>
      <c r="Q365" s="12">
        <v>40000</v>
      </c>
      <c r="R365" s="9">
        <v>10000</v>
      </c>
      <c r="S365" s="1" t="str">
        <f>IF($V365="USD",INDEX('Dólar Spot'!$B:$B,MATCH(Base!$K365,'Dólar Spot'!$A:$A,0)),"")</f>
        <v/>
      </c>
      <c r="T365" s="11">
        <f t="shared" si="93"/>
        <v>400000000</v>
      </c>
      <c r="U365" s="13">
        <f t="shared" si="86"/>
        <v>4</v>
      </c>
      <c r="V365" s="9" t="s">
        <v>44</v>
      </c>
      <c r="W365" s="9" t="s">
        <v>34</v>
      </c>
      <c r="X365">
        <f t="shared" si="89"/>
        <v>1</v>
      </c>
      <c r="Y365" s="1" t="str" cm="1">
        <f t="array" ref="Y365">INDEX(Ratings!$B$2:$M$42,_xlfn.XMATCH(Base!F365,Ratings!$A$2:$A$42),_xlfn.XMATCH(YEAR(Base!K365),Ratings!$B$1:$M$1))</f>
        <v>BB</v>
      </c>
      <c r="Z365">
        <f t="shared" si="90"/>
        <v>0</v>
      </c>
      <c r="AA365">
        <f>IFERROR(IFERROR(IFERROR(INDEX('EMBI+'!$B:$B,MATCH(Base!$K365,'EMBI+'!$A:$A,0)),INDEX('EMBI+'!$B:$B,MATCH(Base!$K365+1,'EMBI+'!$A:$A,0))),INDEX('EMBI+'!$B:$B,MATCH(Base!$K365+2,'EMBI+'!$A:$A,0))),INDEX('EMBI+'!$B:$B,MATCH(Base!$K365+3,'EMBI+'!$A:$A,0)))/100</f>
        <v>2.4500000000000002</v>
      </c>
      <c r="AB365" s="9">
        <v>30.579440000000002</v>
      </c>
      <c r="AC365" s="9">
        <v>80.136340000000004</v>
      </c>
      <c r="AD365" s="9"/>
      <c r="AE365" s="9"/>
      <c r="AF365" s="2"/>
      <c r="AG365" s="2"/>
    </row>
    <row r="366" spans="1:33" x14ac:dyDescent="0.35">
      <c r="A366">
        <f t="shared" si="87"/>
        <v>364</v>
      </c>
      <c r="B366">
        <f>IF(G366="Bonds",COUNTIF($G$3:G366,"Bonds"),0)</f>
        <v>0</v>
      </c>
      <c r="C366" t="str">
        <f t="shared" si="91"/>
        <v>Natura Cosméticos4370345530</v>
      </c>
      <c r="D366">
        <f t="shared" si="92"/>
        <v>27</v>
      </c>
      <c r="E366" s="9" t="s">
        <v>432</v>
      </c>
      <c r="F366" s="9" t="s">
        <v>433</v>
      </c>
      <c r="G366" s="9" t="s">
        <v>29</v>
      </c>
      <c r="H366">
        <f t="shared" si="82"/>
        <v>0</v>
      </c>
      <c r="I366" s="9" t="s">
        <v>447</v>
      </c>
      <c r="J366" s="1">
        <f t="shared" si="83"/>
        <v>14</v>
      </c>
      <c r="K366" s="2">
        <v>43703</v>
      </c>
      <c r="L366" s="2">
        <v>45530</v>
      </c>
      <c r="M366" s="10">
        <f t="shared" si="84"/>
        <v>5.0054794520547947</v>
      </c>
      <c r="N366" s="11">
        <f t="shared" si="85"/>
        <v>1</v>
      </c>
      <c r="O366" s="9" t="s">
        <v>47</v>
      </c>
      <c r="P366" t="str">
        <f t="shared" si="88"/>
        <v>0</v>
      </c>
      <c r="Q366" s="12">
        <v>9570</v>
      </c>
      <c r="R366" s="9">
        <v>10000</v>
      </c>
      <c r="S366" s="1" t="str">
        <f>IF($V366="USD",INDEX('Dólar Spot'!$B:$B,MATCH(Base!$K366,'Dólar Spot'!$A:$A,0)),"")</f>
        <v/>
      </c>
      <c r="T366" s="11">
        <f t="shared" si="93"/>
        <v>95700000</v>
      </c>
      <c r="U366" s="13">
        <f t="shared" si="86"/>
        <v>0.95699999999999996</v>
      </c>
      <c r="V366" s="9" t="s">
        <v>44</v>
      </c>
      <c r="W366" s="9" t="s">
        <v>34</v>
      </c>
      <c r="X366">
        <f t="shared" si="89"/>
        <v>1</v>
      </c>
      <c r="Y366" s="1" t="str" cm="1">
        <f t="array" ref="Y366">INDEX(Ratings!$B$2:$M$42,_xlfn.XMATCH(Base!F366,Ratings!$A$2:$A$42),_xlfn.XMATCH(YEAR(Base!K366),Ratings!$B$1:$M$1))</f>
        <v>BB</v>
      </c>
      <c r="Z366">
        <f t="shared" si="90"/>
        <v>0</v>
      </c>
      <c r="AA366">
        <f>IFERROR(IFERROR(IFERROR(INDEX('EMBI+'!$B:$B,MATCH(Base!$K366,'EMBI+'!$A:$A,0)),INDEX('EMBI+'!$B:$B,MATCH(Base!$K366+1,'EMBI+'!$A:$A,0))),INDEX('EMBI+'!$B:$B,MATCH(Base!$K366+2,'EMBI+'!$A:$A,0))),INDEX('EMBI+'!$B:$B,MATCH(Base!$K366+3,'EMBI+'!$A:$A,0)))/100</f>
        <v>2.4500000000000002</v>
      </c>
      <c r="AB366" s="9">
        <v>30.579440000000002</v>
      </c>
      <c r="AC366" s="9">
        <v>80.136340000000004</v>
      </c>
      <c r="AD366" s="9"/>
      <c r="AE366" s="9"/>
      <c r="AF366" s="2"/>
      <c r="AG366" s="2"/>
    </row>
    <row r="367" spans="1:33" x14ac:dyDescent="0.35">
      <c r="A367">
        <f t="shared" si="87"/>
        <v>365</v>
      </c>
      <c r="B367">
        <f>IF(G367="Bonds",COUNTIF($G$3:G367,"Bonds"),0)</f>
        <v>0</v>
      </c>
      <c r="C367" t="str">
        <f t="shared" si="91"/>
        <v>Natura Cosméticos4370345530</v>
      </c>
      <c r="D367">
        <f t="shared" si="92"/>
        <v>27</v>
      </c>
      <c r="E367" s="9" t="s">
        <v>432</v>
      </c>
      <c r="F367" s="9" t="s">
        <v>433</v>
      </c>
      <c r="G367" s="9" t="s">
        <v>29</v>
      </c>
      <c r="H367">
        <f t="shared" si="82"/>
        <v>0</v>
      </c>
      <c r="I367" s="9" t="s">
        <v>448</v>
      </c>
      <c r="J367" s="1">
        <f t="shared" si="83"/>
        <v>15</v>
      </c>
      <c r="K367" s="2">
        <v>43703</v>
      </c>
      <c r="L367" s="2">
        <v>45530</v>
      </c>
      <c r="M367" s="10">
        <f t="shared" si="84"/>
        <v>5.0054794520547947</v>
      </c>
      <c r="N367" s="11">
        <f t="shared" si="85"/>
        <v>1</v>
      </c>
      <c r="O367" s="9" t="s">
        <v>47</v>
      </c>
      <c r="P367" t="str">
        <f t="shared" si="88"/>
        <v>0</v>
      </c>
      <c r="Q367" s="12">
        <v>68726</v>
      </c>
      <c r="R367" s="9">
        <v>10000</v>
      </c>
      <c r="S367" s="1" t="str">
        <f>IF($V367="USD",INDEX('Dólar Spot'!$B:$B,MATCH(Base!$K367,'Dólar Spot'!$A:$A,0)),"")</f>
        <v/>
      </c>
      <c r="T367" s="11">
        <f t="shared" si="93"/>
        <v>687260000</v>
      </c>
      <c r="U367" s="13">
        <f t="shared" si="86"/>
        <v>6.8726000000000003</v>
      </c>
      <c r="V367" s="9" t="s">
        <v>44</v>
      </c>
      <c r="W367" s="9" t="s">
        <v>34</v>
      </c>
      <c r="X367">
        <f t="shared" si="89"/>
        <v>1</v>
      </c>
      <c r="Y367" s="1" t="str" cm="1">
        <f t="array" ref="Y367">INDEX(Ratings!$B$2:$M$42,_xlfn.XMATCH(Base!F367,Ratings!$A$2:$A$42),_xlfn.XMATCH(YEAR(Base!K367),Ratings!$B$1:$M$1))</f>
        <v>BB</v>
      </c>
      <c r="Z367">
        <f t="shared" si="90"/>
        <v>0</v>
      </c>
      <c r="AA367">
        <f>IFERROR(IFERROR(IFERROR(INDEX('EMBI+'!$B:$B,MATCH(Base!$K367,'EMBI+'!$A:$A,0)),INDEX('EMBI+'!$B:$B,MATCH(Base!$K367+1,'EMBI+'!$A:$A,0))),INDEX('EMBI+'!$B:$B,MATCH(Base!$K367+2,'EMBI+'!$A:$A,0))),INDEX('EMBI+'!$B:$B,MATCH(Base!$K367+3,'EMBI+'!$A:$A,0)))/100</f>
        <v>2.4500000000000002</v>
      </c>
      <c r="AB367" s="9">
        <v>30.579440000000002</v>
      </c>
      <c r="AC367" s="9">
        <v>80.136340000000004</v>
      </c>
      <c r="AD367" s="9"/>
      <c r="AE367" s="9"/>
      <c r="AF367" s="2"/>
      <c r="AG367" s="2"/>
    </row>
    <row r="368" spans="1:33" x14ac:dyDescent="0.35">
      <c r="A368">
        <f t="shared" si="87"/>
        <v>366</v>
      </c>
      <c r="B368">
        <f>IF(G368="Bonds",COUNTIF($G$3:G368,"Bonds"),0)</f>
        <v>0</v>
      </c>
      <c r="C368" t="str">
        <f t="shared" si="91"/>
        <v>Natura Cosméticos4370345530</v>
      </c>
      <c r="D368">
        <f t="shared" si="92"/>
        <v>27</v>
      </c>
      <c r="E368" s="9" t="s">
        <v>432</v>
      </c>
      <c r="F368" s="9" t="s">
        <v>433</v>
      </c>
      <c r="G368" s="9" t="s">
        <v>29</v>
      </c>
      <c r="H368">
        <f t="shared" si="82"/>
        <v>0</v>
      </c>
      <c r="I368" s="9" t="s">
        <v>449</v>
      </c>
      <c r="J368" s="1">
        <f t="shared" si="83"/>
        <v>16</v>
      </c>
      <c r="K368" s="2">
        <v>43703</v>
      </c>
      <c r="L368" s="2">
        <v>45530</v>
      </c>
      <c r="M368" s="10">
        <f t="shared" si="84"/>
        <v>5.0054794520547947</v>
      </c>
      <c r="N368" s="11">
        <f t="shared" si="85"/>
        <v>1</v>
      </c>
      <c r="O368" s="9" t="s">
        <v>47</v>
      </c>
      <c r="P368" t="str">
        <f t="shared" si="88"/>
        <v>0</v>
      </c>
      <c r="Q368" s="12">
        <v>39452</v>
      </c>
      <c r="R368" s="9">
        <v>10000</v>
      </c>
      <c r="S368" s="1" t="str">
        <f>IF($V368="USD",INDEX('Dólar Spot'!$B:$B,MATCH(Base!$K368,'Dólar Spot'!$A:$A,0)),"")</f>
        <v/>
      </c>
      <c r="T368" s="11">
        <f t="shared" si="93"/>
        <v>394520000</v>
      </c>
      <c r="U368" s="13">
        <f t="shared" si="86"/>
        <v>3.9451999999999998</v>
      </c>
      <c r="V368" s="9" t="s">
        <v>44</v>
      </c>
      <c r="W368" s="9" t="s">
        <v>34</v>
      </c>
      <c r="X368">
        <f t="shared" si="89"/>
        <v>1</v>
      </c>
      <c r="Y368" s="1" t="str" cm="1">
        <f t="array" ref="Y368">INDEX(Ratings!$B$2:$M$42,_xlfn.XMATCH(Base!F368,Ratings!$A$2:$A$42),_xlfn.XMATCH(YEAR(Base!K368),Ratings!$B$1:$M$1))</f>
        <v>BB</v>
      </c>
      <c r="Z368">
        <f t="shared" si="90"/>
        <v>0</v>
      </c>
      <c r="AA368">
        <f>IFERROR(IFERROR(IFERROR(INDEX('EMBI+'!$B:$B,MATCH(Base!$K368,'EMBI+'!$A:$A,0)),INDEX('EMBI+'!$B:$B,MATCH(Base!$K368+1,'EMBI+'!$A:$A,0))),INDEX('EMBI+'!$B:$B,MATCH(Base!$K368+2,'EMBI+'!$A:$A,0))),INDEX('EMBI+'!$B:$B,MATCH(Base!$K368+3,'EMBI+'!$A:$A,0)))/100</f>
        <v>2.4500000000000002</v>
      </c>
      <c r="AB368" s="9">
        <v>30.579440000000002</v>
      </c>
      <c r="AC368" s="9">
        <v>80.136340000000004</v>
      </c>
      <c r="AD368" s="9"/>
      <c r="AE368" s="9"/>
      <c r="AF368" s="2"/>
      <c r="AG368" s="2"/>
    </row>
    <row r="369" spans="1:33" x14ac:dyDescent="0.35">
      <c r="A369">
        <f t="shared" si="87"/>
        <v>367</v>
      </c>
      <c r="B369">
        <f>IF(G369="Bonds",COUNTIF($G$3:G369,"Bonds"),0)</f>
        <v>0</v>
      </c>
      <c r="C369" t="str">
        <f t="shared" si="91"/>
        <v>Natura Cosméticos4476346589</v>
      </c>
      <c r="D369">
        <f t="shared" si="92"/>
        <v>27</v>
      </c>
      <c r="E369" s="9" t="s">
        <v>432</v>
      </c>
      <c r="F369" s="9" t="s">
        <v>433</v>
      </c>
      <c r="G369" s="9" t="s">
        <v>29</v>
      </c>
      <c r="H369">
        <f t="shared" si="82"/>
        <v>0</v>
      </c>
      <c r="I369" s="9"/>
      <c r="J369" s="1">
        <f t="shared" si="83"/>
        <v>17</v>
      </c>
      <c r="K369" s="2">
        <v>44763</v>
      </c>
      <c r="L369" s="2">
        <v>46589</v>
      </c>
      <c r="M369" s="10">
        <f t="shared" si="84"/>
        <v>5.0027397260273974</v>
      </c>
      <c r="N369" s="11">
        <f t="shared" si="85"/>
        <v>1</v>
      </c>
      <c r="O369" s="9" t="s">
        <v>47</v>
      </c>
      <c r="P369" t="str">
        <f t="shared" si="88"/>
        <v>0</v>
      </c>
      <c r="Q369" s="12">
        <v>826030</v>
      </c>
      <c r="R369" s="9">
        <v>1000</v>
      </c>
      <c r="S369" s="1" t="str">
        <f>IF($V369="USD",INDEX('Dólar Spot'!$B:$B,MATCH(Base!$K369,'Dólar Spot'!$A:$A,0)),"")</f>
        <v/>
      </c>
      <c r="T369" s="11">
        <f t="shared" si="93"/>
        <v>826030000</v>
      </c>
      <c r="U369" s="13">
        <f t="shared" si="86"/>
        <v>8.2603000000000009</v>
      </c>
      <c r="V369" s="9" t="s">
        <v>44</v>
      </c>
      <c r="W369" s="9" t="s">
        <v>34</v>
      </c>
      <c r="X369">
        <f t="shared" si="89"/>
        <v>1</v>
      </c>
      <c r="Y369" s="1" t="str" cm="1">
        <f t="array" ref="Y369">INDEX(Ratings!$B$2:$M$42,_xlfn.XMATCH(Base!F369,Ratings!$A$2:$A$42),_xlfn.XMATCH(YEAR(Base!K369),Ratings!$B$1:$M$1))</f>
        <v>BB</v>
      </c>
      <c r="Z369">
        <f t="shared" si="90"/>
        <v>0</v>
      </c>
      <c r="AA369">
        <f>IFERROR(IFERROR(IFERROR(INDEX('EMBI+'!$B:$B,MATCH(Base!$K369,'EMBI+'!$A:$A,0)),INDEX('EMBI+'!$B:$B,MATCH(Base!$K369+1,'EMBI+'!$A:$A,0))),INDEX('EMBI+'!$B:$B,MATCH(Base!$K369+2,'EMBI+'!$A:$A,0))),INDEX('EMBI+'!$B:$B,MATCH(Base!$K369+3,'EMBI+'!$A:$A,0)))/100</f>
        <v>3.37</v>
      </c>
      <c r="AB369" s="9">
        <v>242.31110000000001</v>
      </c>
      <c r="AC369" s="9">
        <v>130.39537000000001</v>
      </c>
      <c r="AD369" s="9"/>
      <c r="AE369" s="9"/>
      <c r="AF369" s="2"/>
      <c r="AG369" s="2"/>
    </row>
    <row r="370" spans="1:33" x14ac:dyDescent="0.35">
      <c r="A370">
        <f t="shared" si="87"/>
        <v>368</v>
      </c>
      <c r="B370">
        <f>IF(G370="Bonds",COUNTIF($G$3:G370,"Bonds"),0)</f>
        <v>100</v>
      </c>
      <c r="C370" t="str">
        <f t="shared" si="91"/>
        <v>Natura Cosméticos4431903/05/2028</v>
      </c>
      <c r="D370">
        <f t="shared" si="92"/>
        <v>27</v>
      </c>
      <c r="E370" s="9" t="s">
        <v>450</v>
      </c>
      <c r="F370" s="9" t="s">
        <v>433</v>
      </c>
      <c r="G370" s="9" t="s">
        <v>37</v>
      </c>
      <c r="H370">
        <f t="shared" si="82"/>
        <v>1</v>
      </c>
      <c r="I370" s="9"/>
      <c r="J370" s="1">
        <f t="shared" si="83"/>
        <v>18</v>
      </c>
      <c r="K370" s="2">
        <v>44319</v>
      </c>
      <c r="L370" s="2" t="s">
        <v>451</v>
      </c>
      <c r="M370" s="10">
        <f t="shared" si="84"/>
        <v>7.0054794520547947</v>
      </c>
      <c r="N370" s="11">
        <f t="shared" si="85"/>
        <v>1</v>
      </c>
      <c r="O370" s="9" t="s">
        <v>39</v>
      </c>
      <c r="P370" t="str">
        <f t="shared" si="88"/>
        <v>0</v>
      </c>
      <c r="Q370" s="9"/>
      <c r="R370" s="9"/>
      <c r="S370" s="1">
        <f>IF($V370="USD",INDEX('Dólar Spot'!$B:$B,MATCH(Base!$K370,'Dólar Spot'!$A:$A,0)),"")</f>
        <v>5.4081000000000001</v>
      </c>
      <c r="T370" s="12">
        <v>1000000000</v>
      </c>
      <c r="U370" s="13">
        <f t="shared" si="86"/>
        <v>54.081000000000003</v>
      </c>
      <c r="V370" s="9" t="s">
        <v>40</v>
      </c>
      <c r="W370" s="9" t="s">
        <v>34</v>
      </c>
      <c r="X370">
        <f t="shared" si="89"/>
        <v>1</v>
      </c>
      <c r="Y370" s="1" t="str" cm="1">
        <f t="array" ref="Y370">INDEX(Ratings!$B$2:$M$42,_xlfn.XMATCH(Base!F370,Ratings!$A$2:$A$42),_xlfn.XMATCH(YEAR(Base!K370),Ratings!$B$1:$M$1))</f>
        <v>BB</v>
      </c>
      <c r="Z370">
        <f t="shared" si="90"/>
        <v>0</v>
      </c>
      <c r="AA370">
        <f>IFERROR(IFERROR(IFERROR(INDEX('EMBI+'!$B:$B,MATCH(Base!$K370,'EMBI+'!$A:$A,0)),INDEX('EMBI+'!$B:$B,MATCH(Base!$K370+1,'EMBI+'!$A:$A,0))),INDEX('EMBI+'!$B:$B,MATCH(Base!$K370+2,'EMBI+'!$A:$A,0))),INDEX('EMBI+'!$B:$B,MATCH(Base!$K370+3,'EMBI+'!$A:$A,0)))/100</f>
        <v>2.77</v>
      </c>
      <c r="AB370" s="9">
        <v>286.91334999999998</v>
      </c>
      <c r="AC370" s="9">
        <v>140.10891000000001</v>
      </c>
      <c r="AD370" s="9"/>
      <c r="AE370" s="9"/>
      <c r="AF370" s="2"/>
      <c r="AG370" s="2"/>
    </row>
    <row r="371" spans="1:33" x14ac:dyDescent="0.35">
      <c r="A371">
        <f t="shared" si="87"/>
        <v>369</v>
      </c>
      <c r="B371">
        <f>IF(G371="Bonds",COUNTIF($G$3:G371,"Bonds"),0)</f>
        <v>101</v>
      </c>
      <c r="C371" t="str">
        <f t="shared" si="91"/>
        <v>Natura Cosméticos4313201/02/2023</v>
      </c>
      <c r="D371">
        <f t="shared" si="92"/>
        <v>27</v>
      </c>
      <c r="E371" s="9" t="s">
        <v>450</v>
      </c>
      <c r="F371" s="9" t="s">
        <v>433</v>
      </c>
      <c r="G371" s="9" t="s">
        <v>37</v>
      </c>
      <c r="H371">
        <f t="shared" si="82"/>
        <v>1</v>
      </c>
      <c r="I371" s="9"/>
      <c r="J371" s="1">
        <f t="shared" si="83"/>
        <v>19</v>
      </c>
      <c r="K371" s="2">
        <v>43132</v>
      </c>
      <c r="L371" s="2" t="s">
        <v>452</v>
      </c>
      <c r="M371" s="10">
        <f t="shared" si="84"/>
        <v>5.0027397260273974</v>
      </c>
      <c r="N371" s="11">
        <f t="shared" si="85"/>
        <v>1</v>
      </c>
      <c r="O371" s="9" t="s">
        <v>33</v>
      </c>
      <c r="P371" t="str">
        <f t="shared" si="88"/>
        <v>0</v>
      </c>
      <c r="Q371" s="9"/>
      <c r="R371" s="9"/>
      <c r="S371" s="1">
        <f>IF($V371="USD",INDEX('Dólar Spot'!$B:$B,MATCH(Base!$K371,'Dólar Spot'!$A:$A,0)),"")</f>
        <v>3.1724000000000001</v>
      </c>
      <c r="T371" s="12">
        <v>750000000</v>
      </c>
      <c r="U371" s="13">
        <f t="shared" si="86"/>
        <v>23.792999999999999</v>
      </c>
      <c r="V371" s="9" t="s">
        <v>40</v>
      </c>
      <c r="W371" s="9" t="s">
        <v>34</v>
      </c>
      <c r="X371">
        <f t="shared" si="89"/>
        <v>1</v>
      </c>
      <c r="Y371" s="1" t="str" cm="1">
        <f t="array" ref="Y371">INDEX(Ratings!$B$2:$M$42,_xlfn.XMATCH(Base!F371,Ratings!$A$2:$A$42),_xlfn.XMATCH(YEAR(Base!K371),Ratings!$B$1:$M$1))</f>
        <v>BB</v>
      </c>
      <c r="Z371">
        <f t="shared" si="90"/>
        <v>0</v>
      </c>
      <c r="AA371">
        <f>IFERROR(IFERROR(IFERROR(INDEX('EMBI+'!$B:$B,MATCH(Base!$K371,'EMBI+'!$A:$A,0)),INDEX('EMBI+'!$B:$B,MATCH(Base!$K371+1,'EMBI+'!$A:$A,0))),INDEX('EMBI+'!$B:$B,MATCH(Base!$K371+2,'EMBI+'!$A:$A,0))),INDEX('EMBI+'!$B:$B,MATCH(Base!$K371+3,'EMBI+'!$A:$A,0)))/100</f>
        <v>2.27</v>
      </c>
      <c r="AB371" s="9">
        <v>16.347460000000002</v>
      </c>
      <c r="AC371" s="9">
        <v>93.319000000000003</v>
      </c>
      <c r="AD371" s="9"/>
      <c r="AE371" s="9"/>
      <c r="AF371" s="2"/>
      <c r="AG371" s="2"/>
    </row>
    <row r="372" spans="1:33" x14ac:dyDescent="0.35">
      <c r="A372">
        <f t="shared" si="87"/>
        <v>370</v>
      </c>
      <c r="B372">
        <f>IF(G372="Bonds",COUNTIF($G$3:G372,"Bonds"),0)</f>
        <v>102</v>
      </c>
      <c r="C372" t="str">
        <f t="shared" si="91"/>
        <v>Natura Cosméticos4466447227</v>
      </c>
      <c r="D372">
        <f t="shared" si="92"/>
        <v>27</v>
      </c>
      <c r="E372" s="9" t="s">
        <v>719</v>
      </c>
      <c r="F372" s="9" t="s">
        <v>433</v>
      </c>
      <c r="G372" s="9" t="s">
        <v>37</v>
      </c>
      <c r="H372">
        <f t="shared" si="82"/>
        <v>1</v>
      </c>
      <c r="I372" s="9"/>
      <c r="J372" s="1">
        <f t="shared" si="83"/>
        <v>20</v>
      </c>
      <c r="K372" s="2">
        <v>44664</v>
      </c>
      <c r="L372" s="2">
        <v>47227</v>
      </c>
      <c r="M372" s="10">
        <f t="shared" si="84"/>
        <v>7.021917808219178</v>
      </c>
      <c r="N372" s="11">
        <f t="shared" si="85"/>
        <v>1</v>
      </c>
      <c r="O372" s="9" t="s">
        <v>33</v>
      </c>
      <c r="P372" t="str">
        <f t="shared" si="88"/>
        <v>0</v>
      </c>
      <c r="Q372" s="9"/>
      <c r="R372" s="9"/>
      <c r="S372" s="1">
        <f>IF($V372="USD",INDEX('Dólar Spot'!$B:$B,MATCH(Base!$K372,'Dólar Spot'!$A:$A,0)),"")</f>
        <v>4.6898999999999997</v>
      </c>
      <c r="T372" s="12">
        <v>600000000</v>
      </c>
      <c r="U372" s="13">
        <f t="shared" si="86"/>
        <v>28.139399999999998</v>
      </c>
      <c r="V372" s="9" t="s">
        <v>40</v>
      </c>
      <c r="W372" s="9" t="s">
        <v>34</v>
      </c>
      <c r="X372">
        <f t="shared" si="89"/>
        <v>1</v>
      </c>
      <c r="Y372" s="1" t="str" cm="1">
        <f t="array" ref="Y372">INDEX(Ratings!$B$2:$M$42,_xlfn.XMATCH(Base!F372,Ratings!$A$2:$A$42),_xlfn.XMATCH(YEAR(Base!K372),Ratings!$B$1:$M$1))</f>
        <v>BB</v>
      </c>
      <c r="Z372">
        <f t="shared" si="90"/>
        <v>0</v>
      </c>
      <c r="AA372">
        <f>IFERROR(IFERROR(IFERROR(INDEX('EMBI+'!$B:$B,MATCH(Base!$K372,'EMBI+'!$A:$A,0)),INDEX('EMBI+'!$B:$B,MATCH(Base!$K372+1,'EMBI+'!$A:$A,0))),INDEX('EMBI+'!$B:$B,MATCH(Base!$K372+2,'EMBI+'!$A:$A,0))),INDEX('EMBI+'!$B:$B,MATCH(Base!$K372+3,'EMBI+'!$A:$A,0)))/100</f>
        <v>2.96</v>
      </c>
      <c r="AB372" s="9">
        <v>238.31944999999999</v>
      </c>
      <c r="AC372" s="9">
        <v>118.66976</v>
      </c>
      <c r="AD372" s="9"/>
      <c r="AE372" s="9"/>
      <c r="AF372" s="2"/>
      <c r="AG372" s="2"/>
    </row>
    <row r="373" spans="1:33" x14ac:dyDescent="0.35">
      <c r="A373">
        <f t="shared" si="87"/>
        <v>371</v>
      </c>
      <c r="B373">
        <f>IF(G373="Bonds",COUNTIF($G$3:G373,"Bonds"),0)</f>
        <v>0</v>
      </c>
      <c r="C373" t="str">
        <f t="shared" si="91"/>
        <v>Oi4136143552</v>
      </c>
      <c r="D373">
        <f t="shared" si="92"/>
        <v>28</v>
      </c>
      <c r="E373" s="9" t="s">
        <v>453</v>
      </c>
      <c r="F373" s="9" t="s">
        <v>454</v>
      </c>
      <c r="G373" s="9" t="s">
        <v>29</v>
      </c>
      <c r="H373">
        <f t="shared" si="82"/>
        <v>0</v>
      </c>
      <c r="I373" s="9" t="s">
        <v>455</v>
      </c>
      <c r="J373" s="1">
        <f t="shared" si="83"/>
        <v>1</v>
      </c>
      <c r="K373" s="2">
        <v>41361</v>
      </c>
      <c r="L373" s="2">
        <v>43552</v>
      </c>
      <c r="M373" s="10">
        <f t="shared" si="84"/>
        <v>6.0027397260273974</v>
      </c>
      <c r="N373" s="11">
        <f t="shared" si="85"/>
        <v>1</v>
      </c>
      <c r="O373" s="9" t="s">
        <v>47</v>
      </c>
      <c r="P373" t="str">
        <f t="shared" si="88"/>
        <v>0</v>
      </c>
      <c r="Q373" s="12">
        <v>150000</v>
      </c>
      <c r="R373" s="9">
        <v>10000</v>
      </c>
      <c r="S373" s="1" t="str">
        <f>IF($V373="USD",INDEX('Dólar Spot'!$B:$B,MATCH(Base!$K373,'Dólar Spot'!$A:$A,0)),"")</f>
        <v/>
      </c>
      <c r="T373" s="11">
        <f t="shared" ref="T373:T378" si="94">Q373*R373</f>
        <v>1500000000</v>
      </c>
      <c r="U373" s="13">
        <f t="shared" si="86"/>
        <v>15</v>
      </c>
      <c r="V373" s="9" t="s">
        <v>44</v>
      </c>
      <c r="W373" s="9" t="s">
        <v>34</v>
      </c>
      <c r="X373">
        <f t="shared" si="89"/>
        <v>1</v>
      </c>
      <c r="Y373" s="1" t="str" cm="1">
        <f t="array" ref="Y373">INDEX(Ratings!$B$2:$M$42,_xlfn.XMATCH(Base!F373,Ratings!$A$2:$A$42),_xlfn.XMATCH(YEAR(Base!K373),Ratings!$B$1:$M$1))</f>
        <v>BBB-</v>
      </c>
      <c r="Z373">
        <f t="shared" si="90"/>
        <v>1</v>
      </c>
      <c r="AA373">
        <f>IFERROR(IFERROR(IFERROR(INDEX('EMBI+'!$B:$B,MATCH(Base!$K373,'EMBI+'!$A:$A,0)),INDEX('EMBI+'!$B:$B,MATCH(Base!$K373+1,'EMBI+'!$A:$A,0))),INDEX('EMBI+'!$B:$B,MATCH(Base!$K373+2,'EMBI+'!$A:$A,0))),INDEX('EMBI+'!$B:$B,MATCH(Base!$K373+3,'EMBI+'!$A:$A,0)))/100</f>
        <v>1.89</v>
      </c>
      <c r="AB373" s="9">
        <v>107.92925</v>
      </c>
      <c r="AC373" s="9">
        <v>340.01420999999999</v>
      </c>
      <c r="AD373" s="9"/>
      <c r="AE373" s="9"/>
      <c r="AF373" s="2"/>
      <c r="AG373" s="2"/>
    </row>
    <row r="374" spans="1:33" x14ac:dyDescent="0.35">
      <c r="A374">
        <f t="shared" si="87"/>
        <v>372</v>
      </c>
      <c r="B374">
        <f>IF(G374="Bonds",COUNTIF($G$3:G374,"Bonds"),0)</f>
        <v>0</v>
      </c>
      <c r="C374" t="str">
        <f t="shared" si="91"/>
        <v>Oi4076342955</v>
      </c>
      <c r="D374">
        <f t="shared" si="92"/>
        <v>28</v>
      </c>
      <c r="E374" s="9" t="s">
        <v>453</v>
      </c>
      <c r="F374" s="9" t="s">
        <v>454</v>
      </c>
      <c r="G374" s="9" t="s">
        <v>29</v>
      </c>
      <c r="H374">
        <f t="shared" si="82"/>
        <v>0</v>
      </c>
      <c r="I374" s="9" t="s">
        <v>456</v>
      </c>
      <c r="J374" s="1">
        <f t="shared" si="83"/>
        <v>2</v>
      </c>
      <c r="K374" s="2">
        <v>40763</v>
      </c>
      <c r="L374" s="2">
        <v>42955</v>
      </c>
      <c r="M374" s="10">
        <f t="shared" si="84"/>
        <v>6.0054794520547947</v>
      </c>
      <c r="N374" s="11">
        <f t="shared" si="85"/>
        <v>1</v>
      </c>
      <c r="O374" s="9" t="s">
        <v>47</v>
      </c>
      <c r="P374" t="str">
        <f t="shared" si="88"/>
        <v>0</v>
      </c>
      <c r="Q374" s="12">
        <v>100</v>
      </c>
      <c r="R374" s="9">
        <v>10000000</v>
      </c>
      <c r="S374" s="1" t="str">
        <f>IF($V374="USD",INDEX('Dólar Spot'!$B:$B,MATCH(Base!$K374,'Dólar Spot'!$A:$A,0)),"")</f>
        <v/>
      </c>
      <c r="T374" s="11">
        <f t="shared" si="94"/>
        <v>1000000000</v>
      </c>
      <c r="U374" s="13">
        <f t="shared" si="86"/>
        <v>10</v>
      </c>
      <c r="V374" s="9" t="s">
        <v>44</v>
      </c>
      <c r="W374" s="9" t="s">
        <v>34</v>
      </c>
      <c r="X374">
        <f t="shared" si="89"/>
        <v>1</v>
      </c>
      <c r="Y374" s="1" t="str" cm="1">
        <f t="array" ref="Y374">INDEX(Ratings!$B$2:$M$42,_xlfn.XMATCH(Base!F374,Ratings!$A$2:$A$42),_xlfn.XMATCH(YEAR(Base!K374),Ratings!$B$1:$M$1))</f>
        <v>BBB</v>
      </c>
      <c r="Z374">
        <f t="shared" si="90"/>
        <v>1</v>
      </c>
      <c r="AA374">
        <f>IFERROR(IFERROR(IFERROR(INDEX('EMBI+'!$B:$B,MATCH(Base!$K374,'EMBI+'!$A:$A,0)),INDEX('EMBI+'!$B:$B,MATCH(Base!$K374+1,'EMBI+'!$A:$A,0))),INDEX('EMBI+'!$B:$B,MATCH(Base!$K374+2,'EMBI+'!$A:$A,0))),INDEX('EMBI+'!$B:$B,MATCH(Base!$K374+3,'EMBI+'!$A:$A,0)))/100</f>
        <v>2.12</v>
      </c>
      <c r="AB374" s="9">
        <v>103.01571</v>
      </c>
      <c r="AC374" s="9">
        <v>37.241759999999999</v>
      </c>
      <c r="AD374" s="9"/>
      <c r="AE374" s="9"/>
      <c r="AF374" s="2"/>
      <c r="AG374" s="2"/>
    </row>
    <row r="375" spans="1:33" x14ac:dyDescent="0.35">
      <c r="A375">
        <f t="shared" si="87"/>
        <v>373</v>
      </c>
      <c r="B375">
        <f>IF(G375="Bonds",COUNTIF($G$3:G375,"Bonds"),0)</f>
        <v>0</v>
      </c>
      <c r="C375" t="str">
        <f t="shared" si="91"/>
        <v>Oi4090543462</v>
      </c>
      <c r="D375">
        <f t="shared" si="92"/>
        <v>28</v>
      </c>
      <c r="E375" s="9" t="s">
        <v>453</v>
      </c>
      <c r="F375" s="9" t="s">
        <v>454</v>
      </c>
      <c r="G375" s="9" t="s">
        <v>29</v>
      </c>
      <c r="H375">
        <f t="shared" si="82"/>
        <v>0</v>
      </c>
      <c r="I375" s="9" t="s">
        <v>457</v>
      </c>
      <c r="J375" s="1">
        <f t="shared" si="83"/>
        <v>3</v>
      </c>
      <c r="K375" s="2">
        <v>40905</v>
      </c>
      <c r="L375" s="2">
        <v>43462</v>
      </c>
      <c r="M375" s="10">
        <f t="shared" si="84"/>
        <v>7.0054794520547947</v>
      </c>
      <c r="N375" s="11">
        <f t="shared" si="85"/>
        <v>1</v>
      </c>
      <c r="O375" s="9" t="s">
        <v>47</v>
      </c>
      <c r="P375" t="str">
        <f t="shared" si="88"/>
        <v>0</v>
      </c>
      <c r="Q375" s="12">
        <v>2350</v>
      </c>
      <c r="R375" s="9">
        <v>1000000</v>
      </c>
      <c r="S375" s="1" t="str">
        <f>IF($V375="USD",INDEX('Dólar Spot'!$B:$B,MATCH(Base!$K375,'Dólar Spot'!$A:$A,0)),"")</f>
        <v/>
      </c>
      <c r="T375" s="11">
        <f t="shared" si="94"/>
        <v>2350000000</v>
      </c>
      <c r="U375" s="13">
        <f t="shared" si="86"/>
        <v>23.5</v>
      </c>
      <c r="V375" s="9" t="s">
        <v>44</v>
      </c>
      <c r="W375" s="9" t="s">
        <v>34</v>
      </c>
      <c r="X375">
        <f t="shared" si="89"/>
        <v>1</v>
      </c>
      <c r="Y375" s="1" t="str" cm="1">
        <f t="array" ref="Y375">INDEX(Ratings!$B$2:$M$42,_xlfn.XMATCH(Base!F375,Ratings!$A$2:$A$42),_xlfn.XMATCH(YEAR(Base!K375),Ratings!$B$1:$M$1))</f>
        <v>BBB</v>
      </c>
      <c r="Z375">
        <f t="shared" si="90"/>
        <v>1</v>
      </c>
      <c r="AA375">
        <f>IFERROR(IFERROR(IFERROR(INDEX('EMBI+'!$B:$B,MATCH(Base!$K375,'EMBI+'!$A:$A,0)),INDEX('EMBI+'!$B:$B,MATCH(Base!$K375+1,'EMBI+'!$A:$A,0))),INDEX('EMBI+'!$B:$B,MATCH(Base!$K375+2,'EMBI+'!$A:$A,0))),INDEX('EMBI+'!$B:$B,MATCH(Base!$K375+3,'EMBI+'!$A:$A,0)))/100</f>
        <v>2.2000000000000002</v>
      </c>
      <c r="AB375" s="9">
        <v>105.88802</v>
      </c>
      <c r="AC375" s="9">
        <v>81.052109999999999</v>
      </c>
      <c r="AD375" s="9"/>
      <c r="AE375" s="9"/>
      <c r="AF375" s="2"/>
      <c r="AG375" s="2"/>
    </row>
    <row r="376" spans="1:33" x14ac:dyDescent="0.35">
      <c r="A376">
        <f t="shared" si="87"/>
        <v>374</v>
      </c>
      <c r="B376">
        <f>IF(G376="Bonds",COUNTIF($G$3:G376,"Bonds"),0)</f>
        <v>0</v>
      </c>
      <c r="C376" t="str">
        <f t="shared" si="91"/>
        <v>Oi4098342809</v>
      </c>
      <c r="D376">
        <f t="shared" si="92"/>
        <v>28</v>
      </c>
      <c r="E376" s="9" t="s">
        <v>453</v>
      </c>
      <c r="F376" s="9" t="s">
        <v>454</v>
      </c>
      <c r="G376" s="9" t="s">
        <v>29</v>
      </c>
      <c r="H376">
        <f t="shared" si="82"/>
        <v>0</v>
      </c>
      <c r="I376" s="9" t="s">
        <v>458</v>
      </c>
      <c r="J376" s="1">
        <f t="shared" si="83"/>
        <v>4</v>
      </c>
      <c r="K376" s="2">
        <v>40983</v>
      </c>
      <c r="L376" s="2">
        <v>42809</v>
      </c>
      <c r="M376" s="10">
        <f t="shared" si="84"/>
        <v>5.0027397260273974</v>
      </c>
      <c r="N376" s="11">
        <f t="shared" si="85"/>
        <v>1</v>
      </c>
      <c r="O376" s="9" t="s">
        <v>47</v>
      </c>
      <c r="P376" t="str">
        <f t="shared" si="88"/>
        <v>0</v>
      </c>
      <c r="Q376" s="12">
        <v>40000</v>
      </c>
      <c r="R376" s="9">
        <v>10000</v>
      </c>
      <c r="S376" s="1" t="str">
        <f>IF($V376="USD",INDEX('Dólar Spot'!$B:$B,MATCH(Base!$K376,'Dólar Spot'!$A:$A,0)),"")</f>
        <v/>
      </c>
      <c r="T376" s="11">
        <f t="shared" si="94"/>
        <v>400000000</v>
      </c>
      <c r="U376" s="13">
        <f t="shared" si="86"/>
        <v>4</v>
      </c>
      <c r="V376" s="9" t="s">
        <v>44</v>
      </c>
      <c r="W376" s="9" t="s">
        <v>34</v>
      </c>
      <c r="X376">
        <f t="shared" si="89"/>
        <v>1</v>
      </c>
      <c r="Y376" s="1" t="str" cm="1">
        <f t="array" ref="Y376">INDEX(Ratings!$B$2:$M$42,_xlfn.XMATCH(Base!F376,Ratings!$A$2:$A$42),_xlfn.XMATCH(YEAR(Base!K376),Ratings!$B$1:$M$1))</f>
        <v>BBB</v>
      </c>
      <c r="Z376">
        <f t="shared" si="90"/>
        <v>1</v>
      </c>
      <c r="AA376">
        <f>IFERROR(IFERROR(IFERROR(INDEX('EMBI+'!$B:$B,MATCH(Base!$K376,'EMBI+'!$A:$A,0)),INDEX('EMBI+'!$B:$B,MATCH(Base!$K376+1,'EMBI+'!$A:$A,0))),INDEX('EMBI+'!$B:$B,MATCH(Base!$K376+2,'EMBI+'!$A:$A,0))),INDEX('EMBI+'!$B:$B,MATCH(Base!$K376+3,'EMBI+'!$A:$A,0)))/100</f>
        <v>1.69</v>
      </c>
      <c r="AB376" s="9">
        <v>151.14044999999999</v>
      </c>
      <c r="AC376" s="9">
        <v>328.16631999999998</v>
      </c>
      <c r="AD376" s="9"/>
      <c r="AE376" s="9"/>
      <c r="AF376" s="2"/>
      <c r="AG376" s="2"/>
    </row>
    <row r="377" spans="1:33" x14ac:dyDescent="0.35">
      <c r="A377">
        <f t="shared" si="87"/>
        <v>375</v>
      </c>
      <c r="B377">
        <f>IF(G377="Bonds",COUNTIF($G$3:G377,"Bonds"),0)</f>
        <v>0</v>
      </c>
      <c r="C377" t="str">
        <f t="shared" si="91"/>
        <v>Oi4098343905</v>
      </c>
      <c r="D377">
        <f t="shared" si="92"/>
        <v>28</v>
      </c>
      <c r="E377" s="9" t="s">
        <v>453</v>
      </c>
      <c r="F377" s="9" t="s">
        <v>454</v>
      </c>
      <c r="G377" s="9" t="s">
        <v>29</v>
      </c>
      <c r="H377">
        <f t="shared" si="82"/>
        <v>0</v>
      </c>
      <c r="I377" s="9" t="s">
        <v>459</v>
      </c>
      <c r="J377" s="1">
        <f t="shared" si="83"/>
        <v>5</v>
      </c>
      <c r="K377" s="2">
        <v>40983</v>
      </c>
      <c r="L377" s="2">
        <v>43905</v>
      </c>
      <c r="M377" s="10">
        <f t="shared" si="84"/>
        <v>8.0054794520547947</v>
      </c>
      <c r="N377" s="11">
        <f t="shared" si="85"/>
        <v>1</v>
      </c>
      <c r="O377" s="9" t="s">
        <v>47</v>
      </c>
      <c r="P377" t="str">
        <f t="shared" si="88"/>
        <v>0</v>
      </c>
      <c r="Q377" s="12">
        <v>160000</v>
      </c>
      <c r="R377" s="9">
        <v>10000</v>
      </c>
      <c r="S377" s="1" t="str">
        <f>IF($V377="USD",INDEX('Dólar Spot'!$B:$B,MATCH(Base!$K377,'Dólar Spot'!$A:$A,0)),"")</f>
        <v/>
      </c>
      <c r="T377" s="11">
        <f t="shared" si="94"/>
        <v>1600000000</v>
      </c>
      <c r="U377" s="13">
        <f t="shared" si="86"/>
        <v>16</v>
      </c>
      <c r="V377" s="9" t="s">
        <v>32</v>
      </c>
      <c r="W377" s="9" t="s">
        <v>34</v>
      </c>
      <c r="X377">
        <f t="shared" si="89"/>
        <v>1</v>
      </c>
      <c r="Y377" s="1" t="str" cm="1">
        <f t="array" ref="Y377">INDEX(Ratings!$B$2:$M$42,_xlfn.XMATCH(Base!F377,Ratings!$A$2:$A$42),_xlfn.XMATCH(YEAR(Base!K377),Ratings!$B$1:$M$1))</f>
        <v>BBB</v>
      </c>
      <c r="Z377">
        <f t="shared" si="90"/>
        <v>1</v>
      </c>
      <c r="AA377">
        <f>IFERROR(IFERROR(IFERROR(INDEX('EMBI+'!$B:$B,MATCH(Base!$K377,'EMBI+'!$A:$A,0)),INDEX('EMBI+'!$B:$B,MATCH(Base!$K377+1,'EMBI+'!$A:$A,0))),INDEX('EMBI+'!$B:$B,MATCH(Base!$K377+2,'EMBI+'!$A:$A,0))),INDEX('EMBI+'!$B:$B,MATCH(Base!$K377+3,'EMBI+'!$A:$A,0)))/100</f>
        <v>1.69</v>
      </c>
      <c r="AB377" s="9">
        <v>151.14044999999999</v>
      </c>
      <c r="AC377" s="9">
        <v>328.16631999999998</v>
      </c>
      <c r="AD377" s="9"/>
      <c r="AE377" s="9"/>
      <c r="AF377" s="2"/>
      <c r="AG377" s="2"/>
    </row>
    <row r="378" spans="1:33" x14ac:dyDescent="0.35">
      <c r="A378">
        <f t="shared" si="87"/>
        <v>376</v>
      </c>
      <c r="B378">
        <f>IF(G378="Bonds",COUNTIF($G$3:G378,"Bonds"),0)</f>
        <v>0</v>
      </c>
      <c r="C378" t="str">
        <f t="shared" si="91"/>
        <v>Oi4313649365</v>
      </c>
      <c r="D378">
        <f t="shared" si="92"/>
        <v>28</v>
      </c>
      <c r="E378" s="9" t="s">
        <v>453</v>
      </c>
      <c r="F378" s="9" t="s">
        <v>454</v>
      </c>
      <c r="G378" s="9" t="s">
        <v>29</v>
      </c>
      <c r="H378">
        <f t="shared" si="82"/>
        <v>0</v>
      </c>
      <c r="I378" s="9" t="s">
        <v>460</v>
      </c>
      <c r="J378" s="1">
        <f t="shared" si="83"/>
        <v>6</v>
      </c>
      <c r="K378" s="2">
        <v>43136</v>
      </c>
      <c r="L378" s="2">
        <v>49365</v>
      </c>
      <c r="M378" s="10">
        <f t="shared" si="84"/>
        <v>17.065753424657533</v>
      </c>
      <c r="N378" s="11">
        <f t="shared" si="85"/>
        <v>1</v>
      </c>
      <c r="O378" s="9" t="s">
        <v>47</v>
      </c>
      <c r="P378" t="str">
        <f t="shared" si="88"/>
        <v>0</v>
      </c>
      <c r="Q378" s="12">
        <v>4168602</v>
      </c>
      <c r="R378" s="9">
        <v>1000</v>
      </c>
      <c r="S378" s="1" t="str">
        <f>IF($V378="USD",INDEX('Dólar Spot'!$B:$B,MATCH(Base!$K378,'Dólar Spot'!$A:$A,0)),"")</f>
        <v/>
      </c>
      <c r="T378" s="11">
        <f t="shared" si="94"/>
        <v>4168602000</v>
      </c>
      <c r="U378" s="13">
        <f t="shared" si="86"/>
        <v>41.686019999999999</v>
      </c>
      <c r="V378" s="9" t="s">
        <v>44</v>
      </c>
      <c r="W378" s="9" t="s">
        <v>34</v>
      </c>
      <c r="X378">
        <f t="shared" si="89"/>
        <v>1</v>
      </c>
      <c r="Y378" s="1" t="str" cm="1">
        <f t="array" ref="Y378">INDEX(Ratings!$B$2:$M$42,_xlfn.XMATCH(Base!F378,Ratings!$A$2:$A$42),_xlfn.XMATCH(YEAR(Base!K378),Ratings!$B$1:$M$1))</f>
        <v>D</v>
      </c>
      <c r="Z378">
        <f t="shared" si="90"/>
        <v>0</v>
      </c>
      <c r="AA378">
        <f>IFERROR(IFERROR(IFERROR(INDEX('EMBI+'!$B:$B,MATCH(Base!$K378,'EMBI+'!$A:$A,0)),INDEX('EMBI+'!$B:$B,MATCH(Base!$K378+1,'EMBI+'!$A:$A,0))),INDEX('EMBI+'!$B:$B,MATCH(Base!$K378+2,'EMBI+'!$A:$A,0))),INDEX('EMBI+'!$B:$B,MATCH(Base!$K378+3,'EMBI+'!$A:$A,0)))/100</f>
        <v>2.4300000000000002</v>
      </c>
      <c r="AB378" s="9">
        <v>286.33274</v>
      </c>
      <c r="AC378" s="9">
        <v>135.34119999999999</v>
      </c>
      <c r="AD378" s="9"/>
      <c r="AE378" s="9"/>
      <c r="AF378" s="2"/>
      <c r="AG378" s="2"/>
    </row>
    <row r="379" spans="1:33" x14ac:dyDescent="0.35">
      <c r="A379">
        <f t="shared" si="87"/>
        <v>377</v>
      </c>
      <c r="B379">
        <f>IF(G379="Bonds",COUNTIF($G$3:G379,"Bonds"),0)</f>
        <v>103</v>
      </c>
      <c r="C379" t="str">
        <f t="shared" si="91"/>
        <v>Oi4094910/02/2022</v>
      </c>
      <c r="D379">
        <f t="shared" si="92"/>
        <v>28</v>
      </c>
      <c r="E379" s="9" t="s">
        <v>461</v>
      </c>
      <c r="F379" s="9" t="s">
        <v>454</v>
      </c>
      <c r="G379" s="9" t="s">
        <v>37</v>
      </c>
      <c r="H379">
        <f t="shared" si="82"/>
        <v>1</v>
      </c>
      <c r="I379" s="9"/>
      <c r="J379" s="1">
        <f t="shared" si="83"/>
        <v>7</v>
      </c>
      <c r="K379" s="2">
        <v>40949</v>
      </c>
      <c r="L379" s="2" t="s">
        <v>398</v>
      </c>
      <c r="M379" s="10">
        <f t="shared" si="84"/>
        <v>10.008219178082191</v>
      </c>
      <c r="N379" s="11">
        <f t="shared" si="85"/>
        <v>1</v>
      </c>
      <c r="O379" s="9" t="s">
        <v>39</v>
      </c>
      <c r="P379" t="str">
        <f t="shared" si="88"/>
        <v>0</v>
      </c>
      <c r="Q379" s="9"/>
      <c r="R379" s="9"/>
      <c r="S379" s="1">
        <f>IF($V379="USD",INDEX('Dólar Spot'!$B:$B,MATCH(Base!$K379,'Dólar Spot'!$A:$A,0)),"")</f>
        <v>1.7254</v>
      </c>
      <c r="T379" s="12">
        <v>1100000000</v>
      </c>
      <c r="U379" s="13">
        <f t="shared" si="86"/>
        <v>18.979399999999998</v>
      </c>
      <c r="V379" s="9" t="s">
        <v>40</v>
      </c>
      <c r="W379" s="9" t="s">
        <v>35</v>
      </c>
      <c r="X379">
        <f t="shared" si="89"/>
        <v>0</v>
      </c>
      <c r="Y379" s="1" t="str" cm="1">
        <f t="array" ref="Y379">INDEX(Ratings!$B$2:$M$42,_xlfn.XMATCH(Base!F379,Ratings!$A$2:$A$42),_xlfn.XMATCH(YEAR(Base!K379),Ratings!$B$1:$M$1))</f>
        <v>BBB</v>
      </c>
      <c r="Z379">
        <f t="shared" si="90"/>
        <v>1</v>
      </c>
      <c r="AA379">
        <f>IFERROR(IFERROR(IFERROR(INDEX('EMBI+'!$B:$B,MATCH(Base!$K379,'EMBI+'!$A:$A,0)),INDEX('EMBI+'!$B:$B,MATCH(Base!$K379+1,'EMBI+'!$A:$A,0))),INDEX('EMBI+'!$B:$B,MATCH(Base!$K379+2,'EMBI+'!$A:$A,0))),INDEX('EMBI+'!$B:$B,MATCH(Base!$K379+3,'EMBI+'!$A:$A,0)))/100</f>
        <v>2.0099999999999998</v>
      </c>
      <c r="AB379" s="9">
        <v>105.88802</v>
      </c>
      <c r="AC379" s="9">
        <v>81.052109999999999</v>
      </c>
      <c r="AD379" s="9"/>
      <c r="AE379" s="9"/>
      <c r="AF379" s="2"/>
      <c r="AG379" s="2"/>
    </row>
    <row r="380" spans="1:33" x14ac:dyDescent="0.35">
      <c r="A380">
        <f t="shared" si="87"/>
        <v>378</v>
      </c>
      <c r="B380">
        <f>IF(G380="Bonds",COUNTIF($G$3:G380,"Bonds"),0)</f>
        <v>104</v>
      </c>
      <c r="C380" t="str">
        <f t="shared" si="91"/>
        <v>Oi4330827/07/2025</v>
      </c>
      <c r="D380">
        <f t="shared" si="92"/>
        <v>28</v>
      </c>
      <c r="E380" s="9" t="s">
        <v>462</v>
      </c>
      <c r="F380" s="9" t="s">
        <v>454</v>
      </c>
      <c r="G380" s="9" t="s">
        <v>37</v>
      </c>
      <c r="H380">
        <f t="shared" si="82"/>
        <v>1</v>
      </c>
      <c r="I380" s="9"/>
      <c r="J380" s="1">
        <f t="shared" si="83"/>
        <v>8</v>
      </c>
      <c r="K380" s="2">
        <v>43308</v>
      </c>
      <c r="L380" s="2" t="s">
        <v>463</v>
      </c>
      <c r="M380" s="10">
        <f t="shared" si="84"/>
        <v>7.0054794520547947</v>
      </c>
      <c r="N380" s="11">
        <f t="shared" si="85"/>
        <v>1</v>
      </c>
      <c r="O380" s="9" t="s">
        <v>39</v>
      </c>
      <c r="P380" t="str">
        <f t="shared" si="88"/>
        <v>0</v>
      </c>
      <c r="Q380" s="9"/>
      <c r="R380" s="9"/>
      <c r="S380" s="1">
        <f>IF($V380="USD",INDEX('Dólar Spot'!$B:$B,MATCH(Base!$K380,'Dólar Spot'!$A:$A,0)),"")</f>
        <v>3.7158000000000002</v>
      </c>
      <c r="T380" s="12">
        <v>1655600000</v>
      </c>
      <c r="U380" s="13">
        <f t="shared" si="86"/>
        <v>61.518784799999999</v>
      </c>
      <c r="V380" s="9" t="s">
        <v>40</v>
      </c>
      <c r="W380" s="9" t="s">
        <v>35</v>
      </c>
      <c r="X380">
        <f t="shared" si="89"/>
        <v>0</v>
      </c>
      <c r="Y380" s="1" t="str" cm="1">
        <f t="array" ref="Y380">INDEX(Ratings!$B$2:$M$42,_xlfn.XMATCH(Base!F380,Ratings!$A$2:$A$42),_xlfn.XMATCH(YEAR(Base!K380),Ratings!$B$1:$M$1))</f>
        <v>D</v>
      </c>
      <c r="Z380">
        <f t="shared" si="90"/>
        <v>0</v>
      </c>
      <c r="AA380">
        <f>IFERROR(IFERROR(IFERROR(INDEX('EMBI+'!$B:$B,MATCH(Base!$K380,'EMBI+'!$A:$A,0)),INDEX('EMBI+'!$B:$B,MATCH(Base!$K380+1,'EMBI+'!$A:$A,0))),INDEX('EMBI+'!$B:$B,MATCH(Base!$K380+2,'EMBI+'!$A:$A,0))),INDEX('EMBI+'!$B:$B,MATCH(Base!$K380+3,'EMBI+'!$A:$A,0)))/100</f>
        <v>2.64</v>
      </c>
      <c r="AB380" s="9">
        <v>273.45544999999998</v>
      </c>
      <c r="AC380" s="9">
        <v>152.20457999999999</v>
      </c>
      <c r="AD380" s="9"/>
      <c r="AE380" s="9"/>
      <c r="AF380" s="2"/>
      <c r="AG380" s="2"/>
    </row>
    <row r="381" spans="1:33" x14ac:dyDescent="0.35">
      <c r="A381">
        <f t="shared" si="87"/>
        <v>379</v>
      </c>
      <c r="B381">
        <f>IF(G381="Bonds",COUNTIF($G$3:G381,"Bonds"),0)</f>
        <v>0</v>
      </c>
      <c r="C381" t="str">
        <f t="shared" si="91"/>
        <v>Petrobras4177943971</v>
      </c>
      <c r="D381">
        <f t="shared" si="92"/>
        <v>29</v>
      </c>
      <c r="E381" s="9" t="s">
        <v>464</v>
      </c>
      <c r="F381" s="9" t="s">
        <v>465</v>
      </c>
      <c r="G381" s="9" t="s">
        <v>29</v>
      </c>
      <c r="H381">
        <f t="shared" si="82"/>
        <v>0</v>
      </c>
      <c r="I381" s="9" t="s">
        <v>466</v>
      </c>
      <c r="J381" s="1">
        <f t="shared" si="83"/>
        <v>1</v>
      </c>
      <c r="K381" s="2">
        <v>41779</v>
      </c>
      <c r="L381" s="2">
        <v>43971</v>
      </c>
      <c r="M381" s="10">
        <f t="shared" si="84"/>
        <v>6.0054794520547947</v>
      </c>
      <c r="N381" s="11">
        <f t="shared" si="85"/>
        <v>1</v>
      </c>
      <c r="O381" s="9" t="s">
        <v>47</v>
      </c>
      <c r="P381" t="str">
        <f t="shared" si="88"/>
        <v>0</v>
      </c>
      <c r="Q381" s="12">
        <v>20</v>
      </c>
      <c r="R381" s="9">
        <v>40000000</v>
      </c>
      <c r="S381" s="1" t="str">
        <f>IF($V381="USD",INDEX('Dólar Spot'!$B:$B,MATCH(Base!$K381,'Dólar Spot'!$A:$A,0)),"")</f>
        <v/>
      </c>
      <c r="T381" s="11">
        <f t="shared" ref="T381:T390" si="95">Q381*R381</f>
        <v>800000000</v>
      </c>
      <c r="U381" s="13">
        <f t="shared" si="86"/>
        <v>8</v>
      </c>
      <c r="V381" s="9" t="s">
        <v>44</v>
      </c>
      <c r="W381" s="9" t="s">
        <v>34</v>
      </c>
      <c r="X381">
        <f t="shared" si="89"/>
        <v>1</v>
      </c>
      <c r="Y381" s="1" t="str" cm="1">
        <f t="array" ref="Y381">INDEX(Ratings!$B$2:$M$42,_xlfn.XMATCH(Base!F381,Ratings!$A$2:$A$42),_xlfn.XMATCH(YEAR(Base!K381),Ratings!$B$1:$M$1))</f>
        <v>BBB</v>
      </c>
      <c r="Z381">
        <f t="shared" si="90"/>
        <v>1</v>
      </c>
      <c r="AA381">
        <f>IFERROR(IFERROR(IFERROR(INDEX('EMBI+'!$B:$B,MATCH(Base!$K381,'EMBI+'!$A:$A,0)),INDEX('EMBI+'!$B:$B,MATCH(Base!$K381+1,'EMBI+'!$A:$A,0))),INDEX('EMBI+'!$B:$B,MATCH(Base!$K381+2,'EMBI+'!$A:$A,0))),INDEX('EMBI+'!$B:$B,MATCH(Base!$K381+3,'EMBI+'!$A:$A,0)))/100</f>
        <v>2.16</v>
      </c>
      <c r="AB381" s="9">
        <v>3607</v>
      </c>
      <c r="AC381" s="9">
        <v>3077.12</v>
      </c>
      <c r="AD381" s="9"/>
      <c r="AE381" s="9"/>
      <c r="AF381" s="2"/>
      <c r="AG381" s="2"/>
    </row>
    <row r="382" spans="1:33" x14ac:dyDescent="0.35">
      <c r="A382">
        <f t="shared" si="87"/>
        <v>380</v>
      </c>
      <c r="B382">
        <f>IF(G382="Bonds",COUNTIF($G$3:G382,"Bonds"),0)</f>
        <v>0</v>
      </c>
      <c r="C382" t="str">
        <f t="shared" si="91"/>
        <v>Petrobras4296244788</v>
      </c>
      <c r="D382">
        <f t="shared" si="92"/>
        <v>29</v>
      </c>
      <c r="E382" s="9" t="s">
        <v>464</v>
      </c>
      <c r="F382" s="9" t="s">
        <v>465</v>
      </c>
      <c r="G382" s="9" t="s">
        <v>29</v>
      </c>
      <c r="H382">
        <f t="shared" si="82"/>
        <v>0</v>
      </c>
      <c r="I382" s="9" t="s">
        <v>467</v>
      </c>
      <c r="J382" s="1">
        <f t="shared" si="83"/>
        <v>2</v>
      </c>
      <c r="K382" s="2">
        <v>42962</v>
      </c>
      <c r="L382" s="2">
        <v>44788</v>
      </c>
      <c r="M382" s="10">
        <f t="shared" si="84"/>
        <v>5.0027397260273974</v>
      </c>
      <c r="N382" s="11">
        <f t="shared" si="85"/>
        <v>1</v>
      </c>
      <c r="O382" s="9" t="s">
        <v>47</v>
      </c>
      <c r="P382" t="str">
        <f t="shared" si="88"/>
        <v>0</v>
      </c>
      <c r="Q382" s="12">
        <v>301000</v>
      </c>
      <c r="R382" s="9">
        <v>1000</v>
      </c>
      <c r="S382" s="1" t="str">
        <f>IF($V382="USD",INDEX('Dólar Spot'!$B:$B,MATCH(Base!$K382,'Dólar Spot'!$A:$A,0)),"")</f>
        <v/>
      </c>
      <c r="T382" s="11">
        <f t="shared" si="95"/>
        <v>301000000</v>
      </c>
      <c r="U382" s="13">
        <f t="shared" si="86"/>
        <v>3.01</v>
      </c>
      <c r="V382" s="9" t="s">
        <v>32</v>
      </c>
      <c r="W382" s="9" t="s">
        <v>34</v>
      </c>
      <c r="X382">
        <f t="shared" si="89"/>
        <v>1</v>
      </c>
      <c r="Y382" s="1" t="str" cm="1">
        <f t="array" ref="Y382">INDEX(Ratings!$B$2:$M$42,_xlfn.XMATCH(Base!F382,Ratings!$A$2:$A$42),_xlfn.XMATCH(YEAR(Base!K382),Ratings!$B$1:$M$1))</f>
        <v>BB</v>
      </c>
      <c r="Z382">
        <f t="shared" si="90"/>
        <v>0</v>
      </c>
      <c r="AA382">
        <f>IFERROR(IFERROR(IFERROR(INDEX('EMBI+'!$B:$B,MATCH(Base!$K382,'EMBI+'!$A:$A,0)),INDEX('EMBI+'!$B:$B,MATCH(Base!$K382+1,'EMBI+'!$A:$A,0))),INDEX('EMBI+'!$B:$B,MATCH(Base!$K382+2,'EMBI+'!$A:$A,0))),INDEX('EMBI+'!$B:$B,MATCH(Base!$K382+3,'EMBI+'!$A:$A,0)))/100</f>
        <v>2.69</v>
      </c>
      <c r="AB382" s="9">
        <v>2586.35</v>
      </c>
      <c r="AC382" s="9">
        <v>3765.87</v>
      </c>
      <c r="AD382" s="9"/>
      <c r="AE382" s="9"/>
      <c r="AF382" s="2"/>
      <c r="AG382" s="2"/>
    </row>
    <row r="383" spans="1:33" x14ac:dyDescent="0.35">
      <c r="A383">
        <f t="shared" si="87"/>
        <v>381</v>
      </c>
      <c r="B383">
        <f>IF(G383="Bonds",COUNTIF($G$3:G383,"Bonds"),0)</f>
        <v>0</v>
      </c>
      <c r="C383" t="str">
        <f t="shared" si="91"/>
        <v>Petrobras4348046037</v>
      </c>
      <c r="D383">
        <f t="shared" si="92"/>
        <v>29</v>
      </c>
      <c r="E383" s="9" t="s">
        <v>464</v>
      </c>
      <c r="F383" s="9" t="s">
        <v>465</v>
      </c>
      <c r="G383" s="9" t="s">
        <v>29</v>
      </c>
      <c r="H383">
        <f t="shared" si="82"/>
        <v>0</v>
      </c>
      <c r="I383" s="9" t="s">
        <v>468</v>
      </c>
      <c r="J383" s="1">
        <f t="shared" si="83"/>
        <v>3</v>
      </c>
      <c r="K383" s="2">
        <v>43480</v>
      </c>
      <c r="L383" s="2">
        <v>46037</v>
      </c>
      <c r="M383" s="10">
        <f t="shared" si="84"/>
        <v>7.0054794520547947</v>
      </c>
      <c r="N383" s="11">
        <f t="shared" si="85"/>
        <v>1</v>
      </c>
      <c r="O383" s="9" t="s">
        <v>47</v>
      </c>
      <c r="P383" t="str">
        <f t="shared" si="88"/>
        <v>0</v>
      </c>
      <c r="Q383" s="12">
        <v>898397</v>
      </c>
      <c r="R383" s="9">
        <v>1000</v>
      </c>
      <c r="S383" s="1" t="str">
        <f>IF($V383="USD",INDEX('Dólar Spot'!$B:$B,MATCH(Base!$K383,'Dólar Spot'!$A:$A,0)),"")</f>
        <v/>
      </c>
      <c r="T383" s="11">
        <f t="shared" si="95"/>
        <v>898397000</v>
      </c>
      <c r="U383" s="13">
        <f t="shared" si="86"/>
        <v>8.9839699999999993</v>
      </c>
      <c r="V383" s="9" t="s">
        <v>32</v>
      </c>
      <c r="W383" s="9" t="s">
        <v>35</v>
      </c>
      <c r="X383">
        <f t="shared" si="89"/>
        <v>0</v>
      </c>
      <c r="Y383" s="1" t="str" cm="1">
        <f t="array" ref="Y383">INDEX(Ratings!$B$2:$M$42,_xlfn.XMATCH(Base!F383,Ratings!$A$2:$A$42),_xlfn.XMATCH(YEAR(Base!K383),Ratings!$B$1:$M$1))</f>
        <v>BB-</v>
      </c>
      <c r="Z383">
        <f t="shared" si="90"/>
        <v>0</v>
      </c>
      <c r="AA383">
        <f>IFERROR(IFERROR(IFERROR(INDEX('EMBI+'!$B:$B,MATCH(Base!$K383,'EMBI+'!$A:$A,0)),INDEX('EMBI+'!$B:$B,MATCH(Base!$K383+1,'EMBI+'!$A:$A,0))),INDEX('EMBI+'!$B:$B,MATCH(Base!$K383+2,'EMBI+'!$A:$A,0))),INDEX('EMBI+'!$B:$B,MATCH(Base!$K383+3,'EMBI+'!$A:$A,0)))/100</f>
        <v>2.5499999999999998</v>
      </c>
      <c r="AB383" s="9">
        <v>2772.25</v>
      </c>
      <c r="AC383" s="9">
        <v>3268.76</v>
      </c>
      <c r="AD383" s="9"/>
      <c r="AE383" s="9"/>
      <c r="AF383" s="2"/>
      <c r="AG383" s="2"/>
    </row>
    <row r="384" spans="1:33" x14ac:dyDescent="0.35">
      <c r="A384">
        <f t="shared" si="87"/>
        <v>382</v>
      </c>
      <c r="B384">
        <f>IF(G384="Bonds",COUNTIF($G$3:G384,"Bonds"),0)</f>
        <v>0</v>
      </c>
      <c r="C384" t="str">
        <f t="shared" si="91"/>
        <v>Petrobras4369247376</v>
      </c>
      <c r="D384">
        <f t="shared" si="92"/>
        <v>29</v>
      </c>
      <c r="E384" s="9" t="s">
        <v>464</v>
      </c>
      <c r="F384" s="9" t="s">
        <v>465</v>
      </c>
      <c r="G384" s="9" t="s">
        <v>29</v>
      </c>
      <c r="H384">
        <f t="shared" si="82"/>
        <v>0</v>
      </c>
      <c r="I384" s="9" t="s">
        <v>469</v>
      </c>
      <c r="J384" s="1">
        <f t="shared" si="83"/>
        <v>4</v>
      </c>
      <c r="K384" s="2">
        <v>43692</v>
      </c>
      <c r="L384" s="2">
        <v>47376</v>
      </c>
      <c r="M384" s="10">
        <f t="shared" si="84"/>
        <v>10.093150684931507</v>
      </c>
      <c r="N384" s="11">
        <f t="shared" si="85"/>
        <v>1</v>
      </c>
      <c r="O384" s="9" t="s">
        <v>47</v>
      </c>
      <c r="P384" t="str">
        <f t="shared" si="88"/>
        <v>0</v>
      </c>
      <c r="Q384" s="12">
        <v>1529339</v>
      </c>
      <c r="R384" s="9">
        <v>1000</v>
      </c>
      <c r="S384" s="1" t="str">
        <f>IF($V384="USD",INDEX('Dólar Spot'!$B:$B,MATCH(Base!$K384,'Dólar Spot'!$A:$A,0)),"")</f>
        <v/>
      </c>
      <c r="T384" s="11">
        <f t="shared" si="95"/>
        <v>1529339000</v>
      </c>
      <c r="U384" s="13">
        <f t="shared" si="86"/>
        <v>15.29339</v>
      </c>
      <c r="V384" s="9" t="s">
        <v>32</v>
      </c>
      <c r="W384" s="9" t="s">
        <v>35</v>
      </c>
      <c r="X384">
        <f t="shared" si="89"/>
        <v>0</v>
      </c>
      <c r="Y384" s="1" t="str" cm="1">
        <f t="array" ref="Y384">INDEX(Ratings!$B$2:$M$42,_xlfn.XMATCH(Base!F384,Ratings!$A$2:$A$42),_xlfn.XMATCH(YEAR(Base!K384),Ratings!$B$1:$M$1))</f>
        <v>BB-</v>
      </c>
      <c r="Z384">
        <f t="shared" si="90"/>
        <v>0</v>
      </c>
      <c r="AA384">
        <f>IFERROR(IFERROR(IFERROR(INDEX('EMBI+'!$B:$B,MATCH(Base!$K384,'EMBI+'!$A:$A,0)),INDEX('EMBI+'!$B:$B,MATCH(Base!$K384+1,'EMBI+'!$A:$A,0))),INDEX('EMBI+'!$B:$B,MATCH(Base!$K384+2,'EMBI+'!$A:$A,0))),INDEX('EMBI+'!$B:$B,MATCH(Base!$K384+3,'EMBI+'!$A:$A,0)))/100</f>
        <v>2.5099999999999998</v>
      </c>
      <c r="AB384" s="9">
        <v>3036.19</v>
      </c>
      <c r="AC384" s="9">
        <v>3871.62</v>
      </c>
      <c r="AD384" s="9"/>
      <c r="AE384" s="9"/>
      <c r="AF384" s="2"/>
      <c r="AG384" s="2"/>
    </row>
    <row r="385" spans="1:33" x14ac:dyDescent="0.35">
      <c r="A385">
        <f t="shared" si="87"/>
        <v>383</v>
      </c>
      <c r="B385">
        <f>IF(G385="Bonds",COUNTIF($G$3:G385,"Bonds"),0)</f>
        <v>0</v>
      </c>
      <c r="C385" t="str">
        <f t="shared" si="91"/>
        <v>Petrobras4296245519</v>
      </c>
      <c r="D385">
        <f t="shared" si="92"/>
        <v>29</v>
      </c>
      <c r="E385" s="9" t="s">
        <v>464</v>
      </c>
      <c r="F385" s="9" t="s">
        <v>465</v>
      </c>
      <c r="G385" s="9" t="s">
        <v>29</v>
      </c>
      <c r="H385">
        <f t="shared" si="82"/>
        <v>0</v>
      </c>
      <c r="I385" s="9" t="s">
        <v>470</v>
      </c>
      <c r="J385" s="1">
        <f t="shared" si="83"/>
        <v>5</v>
      </c>
      <c r="K385" s="2">
        <v>42962</v>
      </c>
      <c r="L385" s="2">
        <v>45519</v>
      </c>
      <c r="M385" s="10">
        <f t="shared" si="84"/>
        <v>7.0054794520547947</v>
      </c>
      <c r="N385" s="11">
        <f t="shared" si="85"/>
        <v>1</v>
      </c>
      <c r="O385" s="9" t="s">
        <v>47</v>
      </c>
      <c r="P385" t="str">
        <f t="shared" si="88"/>
        <v>0</v>
      </c>
      <c r="Q385" s="12">
        <v>1089892</v>
      </c>
      <c r="R385" s="9">
        <v>1000</v>
      </c>
      <c r="S385" s="1" t="str">
        <f>IF($V385="USD",INDEX('Dólar Spot'!$B:$B,MATCH(Base!$K385,'Dólar Spot'!$A:$A,0)),"")</f>
        <v/>
      </c>
      <c r="T385" s="11">
        <f t="shared" si="95"/>
        <v>1089892000</v>
      </c>
      <c r="U385" s="13">
        <f t="shared" si="86"/>
        <v>10.89892</v>
      </c>
      <c r="V385" s="9" t="s">
        <v>32</v>
      </c>
      <c r="W385" s="9" t="s">
        <v>34</v>
      </c>
      <c r="X385">
        <f t="shared" si="89"/>
        <v>1</v>
      </c>
      <c r="Y385" s="1" t="str" cm="1">
        <f t="array" ref="Y385">INDEX(Ratings!$B$2:$M$42,_xlfn.XMATCH(Base!F385,Ratings!$A$2:$A$42),_xlfn.XMATCH(YEAR(Base!K385),Ratings!$B$1:$M$1))</f>
        <v>BB</v>
      </c>
      <c r="Z385">
        <f t="shared" si="90"/>
        <v>0</v>
      </c>
      <c r="AA385">
        <f>IFERROR(IFERROR(IFERROR(INDEX('EMBI+'!$B:$B,MATCH(Base!$K385,'EMBI+'!$A:$A,0)),INDEX('EMBI+'!$B:$B,MATCH(Base!$K385+1,'EMBI+'!$A:$A,0))),INDEX('EMBI+'!$B:$B,MATCH(Base!$K385+2,'EMBI+'!$A:$A,0))),INDEX('EMBI+'!$B:$B,MATCH(Base!$K385+3,'EMBI+'!$A:$A,0)))/100</f>
        <v>2.69</v>
      </c>
      <c r="AB385" s="9">
        <v>2586.35</v>
      </c>
      <c r="AC385" s="9">
        <v>3765.87</v>
      </c>
      <c r="AD385" s="9"/>
      <c r="AE385" s="9"/>
      <c r="AF385" s="2"/>
      <c r="AG385" s="2"/>
    </row>
    <row r="386" spans="1:33" x14ac:dyDescent="0.35">
      <c r="A386">
        <f t="shared" si="87"/>
        <v>384</v>
      </c>
      <c r="B386">
        <f>IF(G386="Bonds",COUNTIF($G$3:G386,"Bonds"),0)</f>
        <v>0</v>
      </c>
      <c r="C386" t="str">
        <f t="shared" si="91"/>
        <v>Petrobras4348047133</v>
      </c>
      <c r="D386">
        <f t="shared" si="92"/>
        <v>29</v>
      </c>
      <c r="E386" s="9" t="s">
        <v>464</v>
      </c>
      <c r="F386" s="9" t="s">
        <v>465</v>
      </c>
      <c r="G386" s="9" t="s">
        <v>29</v>
      </c>
      <c r="H386">
        <f t="shared" si="82"/>
        <v>0</v>
      </c>
      <c r="I386" s="9" t="s">
        <v>471</v>
      </c>
      <c r="J386" s="1">
        <f t="shared" si="83"/>
        <v>6</v>
      </c>
      <c r="K386" s="2">
        <v>43480</v>
      </c>
      <c r="L386" s="2">
        <v>47133</v>
      </c>
      <c r="M386" s="10">
        <f t="shared" si="84"/>
        <v>10.008219178082191</v>
      </c>
      <c r="N386" s="11">
        <f t="shared" si="85"/>
        <v>1</v>
      </c>
      <c r="O386" s="9" t="s">
        <v>47</v>
      </c>
      <c r="P386" t="str">
        <f t="shared" si="88"/>
        <v>0</v>
      </c>
      <c r="Q386" s="12">
        <v>1694089</v>
      </c>
      <c r="R386" s="9">
        <v>1000</v>
      </c>
      <c r="S386" s="1" t="str">
        <f>IF($V386="USD",INDEX('Dólar Spot'!$B:$B,MATCH(Base!$K386,'Dólar Spot'!$A:$A,0)),"")</f>
        <v/>
      </c>
      <c r="T386" s="11">
        <f t="shared" si="95"/>
        <v>1694089000</v>
      </c>
      <c r="U386" s="13">
        <f t="shared" si="86"/>
        <v>16.94089</v>
      </c>
      <c r="V386" s="9" t="s">
        <v>32</v>
      </c>
      <c r="W386" s="9" t="s">
        <v>35</v>
      </c>
      <c r="X386">
        <f t="shared" si="89"/>
        <v>0</v>
      </c>
      <c r="Y386" s="1" t="str" cm="1">
        <f t="array" ref="Y386">INDEX(Ratings!$B$2:$M$42,_xlfn.XMATCH(Base!F386,Ratings!$A$2:$A$42),_xlfn.XMATCH(YEAR(Base!K386),Ratings!$B$1:$M$1))</f>
        <v>BB-</v>
      </c>
      <c r="Z386">
        <f t="shared" si="90"/>
        <v>0</v>
      </c>
      <c r="AA386">
        <f>IFERROR(IFERROR(IFERROR(INDEX('EMBI+'!$B:$B,MATCH(Base!$K386,'EMBI+'!$A:$A,0)),INDEX('EMBI+'!$B:$B,MATCH(Base!$K386+1,'EMBI+'!$A:$A,0))),INDEX('EMBI+'!$B:$B,MATCH(Base!$K386+2,'EMBI+'!$A:$A,0))),INDEX('EMBI+'!$B:$B,MATCH(Base!$K386+3,'EMBI+'!$A:$A,0)))/100</f>
        <v>2.5499999999999998</v>
      </c>
      <c r="AB386" s="9">
        <v>2772.25</v>
      </c>
      <c r="AC386" s="9">
        <v>3268.76</v>
      </c>
      <c r="AD386" s="9"/>
      <c r="AE386" s="9"/>
      <c r="AF386" s="2"/>
      <c r="AG386" s="2"/>
    </row>
    <row r="387" spans="1:33" x14ac:dyDescent="0.35">
      <c r="A387">
        <f t="shared" si="87"/>
        <v>385</v>
      </c>
      <c r="B387">
        <f>IF(G387="Bonds",COUNTIF($G$3:G387,"Bonds"),0)</f>
        <v>0</v>
      </c>
      <c r="C387" t="str">
        <f t="shared" si="91"/>
        <v>Petrobras4369249202</v>
      </c>
      <c r="D387">
        <f t="shared" si="92"/>
        <v>29</v>
      </c>
      <c r="E387" s="9" t="s">
        <v>464</v>
      </c>
      <c r="F387" s="9" t="s">
        <v>465</v>
      </c>
      <c r="G387" s="9" t="s">
        <v>29</v>
      </c>
      <c r="H387">
        <f t="shared" ref="H387:H450" si="96">IF(G387="Bonds",1,0)</f>
        <v>0</v>
      </c>
      <c r="I387" s="9" t="s">
        <v>472</v>
      </c>
      <c r="J387" s="1">
        <f t="shared" ref="J387:J450" si="97">IF(F387=F386,J386+1,1)</f>
        <v>7</v>
      </c>
      <c r="K387" s="2">
        <v>43692</v>
      </c>
      <c r="L387" s="2">
        <v>49202</v>
      </c>
      <c r="M387" s="10">
        <f t="shared" ref="M387:M450" si="98">(L387-K387)/365</f>
        <v>15.095890410958905</v>
      </c>
      <c r="N387" s="11">
        <f t="shared" ref="N387:N450" si="99">IF(M387&gt;5,1,0)</f>
        <v>1</v>
      </c>
      <c r="O387" s="9" t="s">
        <v>47</v>
      </c>
      <c r="P387" t="str">
        <f t="shared" si="88"/>
        <v>0</v>
      </c>
      <c r="Q387" s="12">
        <v>1478670</v>
      </c>
      <c r="R387" s="9">
        <v>1000</v>
      </c>
      <c r="S387" s="1" t="str">
        <f>IF($V387="USD",INDEX('Dólar Spot'!$B:$B,MATCH(Base!$K387,'Dólar Spot'!$A:$A,0)),"")</f>
        <v/>
      </c>
      <c r="T387" s="11">
        <f t="shared" si="95"/>
        <v>1478670000</v>
      </c>
      <c r="U387" s="13">
        <f t="shared" ref="U387:U450" si="100">IF(V387="USD",T387*S387/100000000,Q387*R387/100000000)</f>
        <v>14.7867</v>
      </c>
      <c r="V387" s="9" t="s">
        <v>32</v>
      </c>
      <c r="W387" s="9" t="s">
        <v>35</v>
      </c>
      <c r="X387">
        <f t="shared" si="89"/>
        <v>0</v>
      </c>
      <c r="Y387" s="1" t="str" cm="1">
        <f t="array" ref="Y387">INDEX(Ratings!$B$2:$M$42,_xlfn.XMATCH(Base!F387,Ratings!$A$2:$A$42),_xlfn.XMATCH(YEAR(Base!K387),Ratings!$B$1:$M$1))</f>
        <v>BB-</v>
      </c>
      <c r="Z387">
        <f t="shared" si="90"/>
        <v>0</v>
      </c>
      <c r="AA387">
        <f>IFERROR(IFERROR(IFERROR(INDEX('EMBI+'!$B:$B,MATCH(Base!$K387,'EMBI+'!$A:$A,0)),INDEX('EMBI+'!$B:$B,MATCH(Base!$K387+1,'EMBI+'!$A:$A,0))),INDEX('EMBI+'!$B:$B,MATCH(Base!$K387+2,'EMBI+'!$A:$A,0))),INDEX('EMBI+'!$B:$B,MATCH(Base!$K387+3,'EMBI+'!$A:$A,0)))/100</f>
        <v>2.5099999999999998</v>
      </c>
      <c r="AB387" s="9">
        <v>3036.19</v>
      </c>
      <c r="AC387" s="9">
        <v>3871.62</v>
      </c>
      <c r="AD387" s="9"/>
      <c r="AE387" s="9"/>
      <c r="AF387" s="2"/>
      <c r="AG387" s="2"/>
    </row>
    <row r="388" spans="1:33" x14ac:dyDescent="0.35">
      <c r="A388">
        <f t="shared" ref="A388:A451" si="101">+A387+1</f>
        <v>386</v>
      </c>
      <c r="B388">
        <f>IF(G388="Bonds",COUNTIF($G$3:G388,"Bonds"),0)</f>
        <v>0</v>
      </c>
      <c r="C388" t="str">
        <f t="shared" si="91"/>
        <v>Petrobras4296244788</v>
      </c>
      <c r="D388">
        <f t="shared" si="92"/>
        <v>29</v>
      </c>
      <c r="E388" s="9" t="s">
        <v>464</v>
      </c>
      <c r="F388" s="9" t="s">
        <v>465</v>
      </c>
      <c r="G388" s="9" t="s">
        <v>29</v>
      </c>
      <c r="H388">
        <f t="shared" si="96"/>
        <v>0</v>
      </c>
      <c r="I388" s="9" t="s">
        <v>473</v>
      </c>
      <c r="J388" s="1">
        <f t="shared" si="97"/>
        <v>8</v>
      </c>
      <c r="K388" s="2">
        <v>42962</v>
      </c>
      <c r="L388" s="2">
        <v>44788</v>
      </c>
      <c r="M388" s="10">
        <f t="shared" si="98"/>
        <v>5.0027397260273974</v>
      </c>
      <c r="N388" s="11">
        <f t="shared" si="99"/>
        <v>1</v>
      </c>
      <c r="O388" s="9" t="s">
        <v>47</v>
      </c>
      <c r="P388" t="str">
        <f t="shared" ref="P388:P451" si="102">IF(OR(O388="Real",O388="Flutuante",O388="SR SECURED"),"1","0")</f>
        <v>0</v>
      </c>
      <c r="Q388" s="12">
        <v>3346237</v>
      </c>
      <c r="R388" s="9">
        <v>1000</v>
      </c>
      <c r="S388" s="1" t="str">
        <f>IF($V388="USD",INDEX('Dólar Spot'!$B:$B,MATCH(Base!$K388,'Dólar Spot'!$A:$A,0)),"")</f>
        <v/>
      </c>
      <c r="T388" s="11">
        <f t="shared" si="95"/>
        <v>3346237000</v>
      </c>
      <c r="U388" s="13">
        <f t="shared" si="100"/>
        <v>33.46237</v>
      </c>
      <c r="V388" s="9" t="s">
        <v>44</v>
      </c>
      <c r="W388" s="9" t="s">
        <v>34</v>
      </c>
      <c r="X388">
        <f t="shared" ref="X388:X451" si="103">IF(OR(W388="N",W388="AT MATURITY"),0,1)</f>
        <v>1</v>
      </c>
      <c r="Y388" s="1" t="str" cm="1">
        <f t="array" ref="Y388">INDEX(Ratings!$B$2:$M$42,_xlfn.XMATCH(Base!F388,Ratings!$A$2:$A$42),_xlfn.XMATCH(YEAR(Base!K388),Ratings!$B$1:$M$1))</f>
        <v>BB</v>
      </c>
      <c r="Z388">
        <f t="shared" ref="Z388:Z451" si="104">IF(AND(Y388&lt;&gt;"BBB-",Y388&lt;&gt;"BBB",Y388&lt;&gt;"BBB+"),0,1)</f>
        <v>0</v>
      </c>
      <c r="AA388">
        <f>IFERROR(IFERROR(IFERROR(INDEX('EMBI+'!$B:$B,MATCH(Base!$K388,'EMBI+'!$A:$A,0)),INDEX('EMBI+'!$B:$B,MATCH(Base!$K388+1,'EMBI+'!$A:$A,0))),INDEX('EMBI+'!$B:$B,MATCH(Base!$K388+2,'EMBI+'!$A:$A,0))),INDEX('EMBI+'!$B:$B,MATCH(Base!$K388+3,'EMBI+'!$A:$A,0)))/100</f>
        <v>2.69</v>
      </c>
      <c r="AB388" s="9">
        <v>2586.35</v>
      </c>
      <c r="AC388" s="9">
        <v>3765.87</v>
      </c>
      <c r="AD388" s="9"/>
      <c r="AE388" s="9"/>
      <c r="AF388" s="2"/>
      <c r="AG388" s="2"/>
    </row>
    <row r="389" spans="1:33" x14ac:dyDescent="0.35">
      <c r="A389">
        <f t="shared" si="101"/>
        <v>387</v>
      </c>
      <c r="B389">
        <f>IF(G389="Bonds",COUNTIF($G$3:G389,"Bonds"),0)</f>
        <v>0</v>
      </c>
      <c r="C389" t="str">
        <f t="shared" ref="C389:C452" si="105">F389&amp;K389&amp;L389</f>
        <v>Petrobras4348046037</v>
      </c>
      <c r="D389">
        <f t="shared" ref="D389:D452" si="106">IF(F389&lt;&gt;F388,D388+1,D388)</f>
        <v>29</v>
      </c>
      <c r="E389" s="9" t="s">
        <v>464</v>
      </c>
      <c r="F389" s="9" t="s">
        <v>465</v>
      </c>
      <c r="G389" s="9" t="s">
        <v>29</v>
      </c>
      <c r="H389">
        <f t="shared" si="96"/>
        <v>0</v>
      </c>
      <c r="I389" s="9" t="s">
        <v>474</v>
      </c>
      <c r="J389" s="1">
        <f t="shared" si="97"/>
        <v>9</v>
      </c>
      <c r="K389" s="2">
        <v>43480</v>
      </c>
      <c r="L389" s="2">
        <v>46037</v>
      </c>
      <c r="M389" s="10">
        <f t="shared" si="98"/>
        <v>7.0054794520547947</v>
      </c>
      <c r="N389" s="11">
        <f t="shared" si="99"/>
        <v>1</v>
      </c>
      <c r="O389" s="9" t="s">
        <v>47</v>
      </c>
      <c r="P389" t="str">
        <f t="shared" si="102"/>
        <v>0</v>
      </c>
      <c r="Q389" s="12">
        <v>1007514</v>
      </c>
      <c r="R389" s="9">
        <v>1000</v>
      </c>
      <c r="S389" s="1" t="str">
        <f>IF($V389="USD",INDEX('Dólar Spot'!$B:$B,MATCH(Base!$K389,'Dólar Spot'!$A:$A,0)),"")</f>
        <v/>
      </c>
      <c r="T389" s="11">
        <f t="shared" si="95"/>
        <v>1007514000</v>
      </c>
      <c r="U389" s="13">
        <f t="shared" si="100"/>
        <v>10.075139999999999</v>
      </c>
      <c r="V389" s="9" t="s">
        <v>44</v>
      </c>
      <c r="W389" s="9" t="s">
        <v>34</v>
      </c>
      <c r="X389">
        <f t="shared" si="103"/>
        <v>1</v>
      </c>
      <c r="Y389" s="1" t="str" cm="1">
        <f t="array" ref="Y389">INDEX(Ratings!$B$2:$M$42,_xlfn.XMATCH(Base!F389,Ratings!$A$2:$A$42),_xlfn.XMATCH(YEAR(Base!K389),Ratings!$B$1:$M$1))</f>
        <v>BB-</v>
      </c>
      <c r="Z389">
        <f t="shared" si="104"/>
        <v>0</v>
      </c>
      <c r="AA389">
        <f>IFERROR(IFERROR(IFERROR(INDEX('EMBI+'!$B:$B,MATCH(Base!$K389,'EMBI+'!$A:$A,0)),INDEX('EMBI+'!$B:$B,MATCH(Base!$K389+1,'EMBI+'!$A:$A,0))),INDEX('EMBI+'!$B:$B,MATCH(Base!$K389+2,'EMBI+'!$A:$A,0))),INDEX('EMBI+'!$B:$B,MATCH(Base!$K389+3,'EMBI+'!$A:$A,0)))/100</f>
        <v>2.5499999999999998</v>
      </c>
      <c r="AB389" s="9">
        <v>2772.25</v>
      </c>
      <c r="AC389" s="9">
        <v>3268.76</v>
      </c>
      <c r="AD389" s="9"/>
      <c r="AE389" s="9"/>
      <c r="AF389" s="2"/>
      <c r="AG389" s="2"/>
    </row>
    <row r="390" spans="1:33" x14ac:dyDescent="0.35">
      <c r="A390">
        <f t="shared" si="101"/>
        <v>388</v>
      </c>
      <c r="B390">
        <f>IF(G390="Bonds",COUNTIF($G$3:G390,"Bonds"),0)</f>
        <v>0</v>
      </c>
      <c r="C390" t="str">
        <f t="shared" si="105"/>
        <v>Petrobras4296245519</v>
      </c>
      <c r="D390">
        <f t="shared" si="106"/>
        <v>29</v>
      </c>
      <c r="E390" s="9" t="s">
        <v>464</v>
      </c>
      <c r="F390" s="9" t="s">
        <v>465</v>
      </c>
      <c r="G390" s="9" t="s">
        <v>29</v>
      </c>
      <c r="H390">
        <f t="shared" si="96"/>
        <v>0</v>
      </c>
      <c r="I390" s="9" t="s">
        <v>475</v>
      </c>
      <c r="J390" s="1">
        <f t="shared" si="97"/>
        <v>10</v>
      </c>
      <c r="K390" s="2">
        <v>42962</v>
      </c>
      <c r="L390" s="2">
        <v>45519</v>
      </c>
      <c r="M390" s="10">
        <f t="shared" si="98"/>
        <v>7.0054794520547947</v>
      </c>
      <c r="N390" s="11">
        <f t="shared" si="99"/>
        <v>1</v>
      </c>
      <c r="O390" s="9" t="s">
        <v>47</v>
      </c>
      <c r="P390" t="str">
        <f t="shared" si="102"/>
        <v>0</v>
      </c>
      <c r="Q390" s="12">
        <v>251690</v>
      </c>
      <c r="R390" s="9">
        <v>1000</v>
      </c>
      <c r="S390" s="1" t="str">
        <f>IF($V390="USD",INDEX('Dólar Spot'!$B:$B,MATCH(Base!$K390,'Dólar Spot'!$A:$A,0)),"")</f>
        <v/>
      </c>
      <c r="T390" s="11">
        <f t="shared" si="95"/>
        <v>251690000</v>
      </c>
      <c r="U390" s="13">
        <f t="shared" si="100"/>
        <v>2.5169000000000001</v>
      </c>
      <c r="V390" s="9" t="s">
        <v>32</v>
      </c>
      <c r="W390" s="9" t="s">
        <v>34</v>
      </c>
      <c r="X390">
        <f t="shared" si="103"/>
        <v>1</v>
      </c>
      <c r="Y390" s="1" t="str" cm="1">
        <f t="array" ref="Y390">INDEX(Ratings!$B$2:$M$42,_xlfn.XMATCH(Base!F390,Ratings!$A$2:$A$42),_xlfn.XMATCH(YEAR(Base!K390),Ratings!$B$1:$M$1))</f>
        <v>BB</v>
      </c>
      <c r="Z390">
        <f t="shared" si="104"/>
        <v>0</v>
      </c>
      <c r="AA390">
        <f>IFERROR(IFERROR(IFERROR(INDEX('EMBI+'!$B:$B,MATCH(Base!$K390,'EMBI+'!$A:$A,0)),INDEX('EMBI+'!$B:$B,MATCH(Base!$K390+1,'EMBI+'!$A:$A,0))),INDEX('EMBI+'!$B:$B,MATCH(Base!$K390+2,'EMBI+'!$A:$A,0))),INDEX('EMBI+'!$B:$B,MATCH(Base!$K390+3,'EMBI+'!$A:$A,0)))/100</f>
        <v>2.69</v>
      </c>
      <c r="AB390" s="9">
        <v>2586.35</v>
      </c>
      <c r="AC390" s="9">
        <v>3765.87</v>
      </c>
      <c r="AD390" s="9"/>
      <c r="AE390" s="9"/>
      <c r="AF390" s="2"/>
      <c r="AG390" s="2"/>
    </row>
    <row r="391" spans="1:33" x14ac:dyDescent="0.35">
      <c r="A391">
        <f t="shared" si="101"/>
        <v>389</v>
      </c>
      <c r="B391">
        <f>IF(G391="Bonds",COUNTIF($G$3:G391,"Bonds"),0)</f>
        <v>105</v>
      </c>
      <c r="C391" t="str">
        <f t="shared" si="105"/>
        <v>Petrobras4398503/01/2031</v>
      </c>
      <c r="D391">
        <f t="shared" si="106"/>
        <v>29</v>
      </c>
      <c r="E391" s="9" t="s">
        <v>476</v>
      </c>
      <c r="F391" s="9" t="s">
        <v>465</v>
      </c>
      <c r="G391" s="9" t="s">
        <v>37</v>
      </c>
      <c r="H391">
        <f t="shared" si="96"/>
        <v>1</v>
      </c>
      <c r="I391" s="9"/>
      <c r="J391" s="1">
        <f t="shared" si="97"/>
        <v>11</v>
      </c>
      <c r="K391" s="2">
        <v>43985</v>
      </c>
      <c r="L391" s="2" t="s">
        <v>477</v>
      </c>
      <c r="M391" s="10">
        <f t="shared" si="98"/>
        <v>10.591780821917808</v>
      </c>
      <c r="N391" s="11">
        <f t="shared" si="99"/>
        <v>1</v>
      </c>
      <c r="O391" s="9" t="s">
        <v>39</v>
      </c>
      <c r="P391" t="str">
        <f t="shared" si="102"/>
        <v>0</v>
      </c>
      <c r="Q391" s="9"/>
      <c r="R391" s="9"/>
      <c r="S391" s="1">
        <f>IF($V391="USD",INDEX('Dólar Spot'!$B:$B,MATCH(Base!$K391,'Dólar Spot'!$A:$A,0)),"")</f>
        <v>5.0510000000000002</v>
      </c>
      <c r="T391" s="12">
        <v>1500000000</v>
      </c>
      <c r="U391" s="13">
        <f t="shared" si="100"/>
        <v>75.765000000000001</v>
      </c>
      <c r="V391" s="9" t="s">
        <v>40</v>
      </c>
      <c r="W391" s="9" t="s">
        <v>34</v>
      </c>
      <c r="X391">
        <f t="shared" si="103"/>
        <v>1</v>
      </c>
      <c r="Y391" s="1" t="str" cm="1">
        <f t="array" ref="Y391">INDEX(Ratings!$B$2:$M$42,_xlfn.XMATCH(Base!F391,Ratings!$A$2:$A$42),_xlfn.XMATCH(YEAR(Base!K391),Ratings!$B$1:$M$1))</f>
        <v>BB-</v>
      </c>
      <c r="Z391">
        <f t="shared" si="104"/>
        <v>0</v>
      </c>
      <c r="AA391">
        <f>IFERROR(IFERROR(IFERROR(INDEX('EMBI+'!$B:$B,MATCH(Base!$K391,'EMBI+'!$A:$A,0)),INDEX('EMBI+'!$B:$B,MATCH(Base!$K391+1,'EMBI+'!$A:$A,0))),INDEX('EMBI+'!$B:$B,MATCH(Base!$K391+2,'EMBI+'!$A:$A,0))),INDEX('EMBI+'!$B:$B,MATCH(Base!$K391+3,'EMBI+'!$A:$A,0)))/100</f>
        <v>3.51</v>
      </c>
      <c r="AB391" s="9">
        <v>2427.66</v>
      </c>
      <c r="AC391" s="9">
        <v>4995.55</v>
      </c>
      <c r="AD391" s="9"/>
      <c r="AE391" s="9"/>
      <c r="AF391" s="2"/>
      <c r="AG391" s="2"/>
    </row>
    <row r="392" spans="1:33" x14ac:dyDescent="0.35">
      <c r="A392">
        <f t="shared" si="101"/>
        <v>390</v>
      </c>
      <c r="B392">
        <f>IF(G392="Bonds",COUNTIF($G$3:G392,"Bonds"),0)</f>
        <v>106</v>
      </c>
      <c r="C392" t="str">
        <f t="shared" si="105"/>
        <v>Petrobras4171517/03/2044</v>
      </c>
      <c r="D392">
        <f t="shared" si="106"/>
        <v>29</v>
      </c>
      <c r="E392" s="9" t="s">
        <v>476</v>
      </c>
      <c r="F392" s="9" t="s">
        <v>465</v>
      </c>
      <c r="G392" s="9" t="s">
        <v>37</v>
      </c>
      <c r="H392">
        <f t="shared" si="96"/>
        <v>1</v>
      </c>
      <c r="I392" s="9"/>
      <c r="J392" s="1">
        <f t="shared" si="97"/>
        <v>12</v>
      </c>
      <c r="K392" s="2">
        <v>41715</v>
      </c>
      <c r="L392" s="2" t="s">
        <v>478</v>
      </c>
      <c r="M392" s="10">
        <f t="shared" si="98"/>
        <v>30.021917808219179</v>
      </c>
      <c r="N392" s="11">
        <f t="shared" si="99"/>
        <v>1</v>
      </c>
      <c r="O392" s="9" t="s">
        <v>39</v>
      </c>
      <c r="P392" t="str">
        <f t="shared" si="102"/>
        <v>0</v>
      </c>
      <c r="Q392" s="9"/>
      <c r="R392" s="9"/>
      <c r="S392" s="1">
        <f>IF($V392="USD",INDEX('Dólar Spot'!$B:$B,MATCH(Base!$K392,'Dólar Spot'!$A:$A,0)),"")</f>
        <v>2.3513000000000002</v>
      </c>
      <c r="T392" s="12">
        <v>1000000000</v>
      </c>
      <c r="U392" s="13">
        <f t="shared" si="100"/>
        <v>23.513000000000002</v>
      </c>
      <c r="V392" s="9" t="s">
        <v>40</v>
      </c>
      <c r="W392" s="9" t="s">
        <v>35</v>
      </c>
      <c r="X392">
        <f t="shared" si="103"/>
        <v>0</v>
      </c>
      <c r="Y392" s="1" t="str" cm="1">
        <f t="array" ref="Y392">INDEX(Ratings!$B$2:$M$42,_xlfn.XMATCH(Base!F392,Ratings!$A$2:$A$42),_xlfn.XMATCH(YEAR(Base!K392),Ratings!$B$1:$M$1))</f>
        <v>BBB</v>
      </c>
      <c r="Z392">
        <f t="shared" si="104"/>
        <v>1</v>
      </c>
      <c r="AA392">
        <f>IFERROR(IFERROR(IFERROR(INDEX('EMBI+'!$B:$B,MATCH(Base!$K392,'EMBI+'!$A:$A,0)),INDEX('EMBI+'!$B:$B,MATCH(Base!$K392+1,'EMBI+'!$A:$A,0))),INDEX('EMBI+'!$B:$B,MATCH(Base!$K392+2,'EMBI+'!$A:$A,0))),INDEX('EMBI+'!$B:$B,MATCH(Base!$K392+3,'EMBI+'!$A:$A,0)))/100</f>
        <v>2.4</v>
      </c>
      <c r="AB392" s="9">
        <v>3544.9059200000002</v>
      </c>
      <c r="AC392" s="9">
        <v>3081.46801</v>
      </c>
      <c r="AD392" s="9"/>
      <c r="AE392" s="9"/>
      <c r="AF392" s="2"/>
      <c r="AG392" s="2"/>
    </row>
    <row r="393" spans="1:33" x14ac:dyDescent="0.35">
      <c r="A393">
        <f t="shared" si="101"/>
        <v>391</v>
      </c>
      <c r="B393">
        <f>IF(G393="Bonds",COUNTIF($G$3:G393,"Bonds"),0)</f>
        <v>107</v>
      </c>
      <c r="C393" t="str">
        <f t="shared" si="105"/>
        <v>Petrobras4435710/06/2051</v>
      </c>
      <c r="D393">
        <f t="shared" si="106"/>
        <v>29</v>
      </c>
      <c r="E393" s="9" t="s">
        <v>476</v>
      </c>
      <c r="F393" s="9" t="s">
        <v>465</v>
      </c>
      <c r="G393" s="9" t="s">
        <v>37</v>
      </c>
      <c r="H393">
        <f t="shared" si="96"/>
        <v>1</v>
      </c>
      <c r="I393" s="9"/>
      <c r="J393" s="1">
        <f t="shared" si="97"/>
        <v>13</v>
      </c>
      <c r="K393" s="2">
        <v>44357</v>
      </c>
      <c r="L393" s="2" t="s">
        <v>479</v>
      </c>
      <c r="M393" s="10">
        <f t="shared" si="98"/>
        <v>30.019178082191782</v>
      </c>
      <c r="N393" s="11">
        <f t="shared" si="99"/>
        <v>1</v>
      </c>
      <c r="O393" s="9" t="s">
        <v>39</v>
      </c>
      <c r="P393" t="str">
        <f t="shared" si="102"/>
        <v>0</v>
      </c>
      <c r="Q393" s="9"/>
      <c r="R393" s="9"/>
      <c r="S393" s="1">
        <f>IF($V393="USD",INDEX('Dólar Spot'!$B:$B,MATCH(Base!$K393,'Dólar Spot'!$A:$A,0)),"")</f>
        <v>5.0635000000000003</v>
      </c>
      <c r="T393" s="12">
        <v>1500000000</v>
      </c>
      <c r="U393" s="13">
        <f t="shared" si="100"/>
        <v>75.952500000000015</v>
      </c>
      <c r="V393" s="9" t="s">
        <v>40</v>
      </c>
      <c r="W393" s="9" t="s">
        <v>34</v>
      </c>
      <c r="X393">
        <f t="shared" si="103"/>
        <v>1</v>
      </c>
      <c r="Y393" s="1" t="str" cm="1">
        <f t="array" ref="Y393">INDEX(Ratings!$B$2:$M$42,_xlfn.XMATCH(Base!F393,Ratings!$A$2:$A$42),_xlfn.XMATCH(YEAR(Base!K393),Ratings!$B$1:$M$1))</f>
        <v>BB-</v>
      </c>
      <c r="Z393">
        <f t="shared" si="104"/>
        <v>0</v>
      </c>
      <c r="AA393">
        <f>IFERROR(IFERROR(IFERROR(INDEX('EMBI+'!$B:$B,MATCH(Base!$K393,'EMBI+'!$A:$A,0)),INDEX('EMBI+'!$B:$B,MATCH(Base!$K393+1,'EMBI+'!$A:$A,0))),INDEX('EMBI+'!$B:$B,MATCH(Base!$K393+2,'EMBI+'!$A:$A,0))),INDEX('EMBI+'!$B:$B,MATCH(Base!$K393+3,'EMBI+'!$A:$A,0)))/100</f>
        <v>2.66</v>
      </c>
      <c r="AB393" s="9">
        <v>3560.52</v>
      </c>
      <c r="AC393" s="9">
        <v>3185.69</v>
      </c>
      <c r="AD393" s="9"/>
      <c r="AE393" s="9"/>
      <c r="AF393" s="2"/>
      <c r="AG393" s="2"/>
    </row>
    <row r="394" spans="1:33" x14ac:dyDescent="0.35">
      <c r="A394">
        <f t="shared" si="101"/>
        <v>392</v>
      </c>
      <c r="B394">
        <f>IF(G394="Bonds",COUNTIF($G$3:G394,"Bonds"),0)</f>
        <v>108</v>
      </c>
      <c r="C394" t="str">
        <f t="shared" si="105"/>
        <v>Petrobras4275217/01/2027</v>
      </c>
      <c r="D394">
        <f t="shared" si="106"/>
        <v>29</v>
      </c>
      <c r="E394" s="9" t="s">
        <v>476</v>
      </c>
      <c r="F394" s="9" t="s">
        <v>465</v>
      </c>
      <c r="G394" s="9" t="s">
        <v>37</v>
      </c>
      <c r="H394">
        <f t="shared" si="96"/>
        <v>1</v>
      </c>
      <c r="I394" s="9"/>
      <c r="J394" s="1">
        <f t="shared" si="97"/>
        <v>14</v>
      </c>
      <c r="K394" s="2">
        <v>42752</v>
      </c>
      <c r="L394" s="2" t="s">
        <v>480</v>
      </c>
      <c r="M394" s="10">
        <f t="shared" si="98"/>
        <v>10.005479452054795</v>
      </c>
      <c r="N394" s="11">
        <f t="shared" si="99"/>
        <v>1</v>
      </c>
      <c r="O394" s="9" t="s">
        <v>39</v>
      </c>
      <c r="P394" t="str">
        <f t="shared" si="102"/>
        <v>0</v>
      </c>
      <c r="Q394" s="9"/>
      <c r="R394" s="9"/>
      <c r="S394" s="1">
        <f>IF($V394="USD",INDEX('Dólar Spot'!$B:$B,MATCH(Base!$K394,'Dólar Spot'!$A:$A,0)),"")</f>
        <v>3.2094</v>
      </c>
      <c r="T394" s="12">
        <v>2000000000</v>
      </c>
      <c r="U394" s="13">
        <f t="shared" si="100"/>
        <v>64.188000000000002</v>
      </c>
      <c r="V394" s="9" t="s">
        <v>40</v>
      </c>
      <c r="W394" s="9" t="s">
        <v>35</v>
      </c>
      <c r="X394">
        <f t="shared" si="103"/>
        <v>0</v>
      </c>
      <c r="Y394" s="1" t="str" cm="1">
        <f t="array" ref="Y394">INDEX(Ratings!$B$2:$M$42,_xlfn.XMATCH(Base!F394,Ratings!$A$2:$A$42),_xlfn.XMATCH(YEAR(Base!K394),Ratings!$B$1:$M$1))</f>
        <v>BB</v>
      </c>
      <c r="Z394">
        <f t="shared" si="104"/>
        <v>0</v>
      </c>
      <c r="AA394">
        <f>IFERROR(IFERROR(IFERROR(INDEX('EMBI+'!$B:$B,MATCH(Base!$K394,'EMBI+'!$A:$A,0)),INDEX('EMBI+'!$B:$B,MATCH(Base!$K394+1,'EMBI+'!$A:$A,0))),INDEX('EMBI+'!$B:$B,MATCH(Base!$K394+2,'EMBI+'!$A:$A,0))),INDEX('EMBI+'!$B:$B,MATCH(Base!$K394+3,'EMBI+'!$A:$A,0)))/100</f>
        <v>2.82</v>
      </c>
      <c r="AB394" s="9">
        <v>2502.3000000000002</v>
      </c>
      <c r="AC394" s="9">
        <v>3857.84</v>
      </c>
      <c r="AD394" s="9"/>
      <c r="AE394" s="9"/>
      <c r="AF394" s="2"/>
      <c r="AG394" s="2"/>
    </row>
    <row r="395" spans="1:33" x14ac:dyDescent="0.35">
      <c r="A395">
        <f t="shared" si="101"/>
        <v>393</v>
      </c>
      <c r="B395">
        <f>IF(G395="Bonds",COUNTIF($G$3:G395,"Bonds"),0)</f>
        <v>109</v>
      </c>
      <c r="C395" t="str">
        <f t="shared" si="105"/>
        <v>Petrobras4354319/03/2049</v>
      </c>
      <c r="D395">
        <f t="shared" si="106"/>
        <v>29</v>
      </c>
      <c r="E395" s="9" t="s">
        <v>476</v>
      </c>
      <c r="F395" s="9" t="s">
        <v>465</v>
      </c>
      <c r="G395" s="9" t="s">
        <v>37</v>
      </c>
      <c r="H395">
        <f t="shared" si="96"/>
        <v>1</v>
      </c>
      <c r="I395" s="9"/>
      <c r="J395" s="1">
        <f t="shared" si="97"/>
        <v>15</v>
      </c>
      <c r="K395" s="2">
        <v>43543</v>
      </c>
      <c r="L395" s="2" t="s">
        <v>481</v>
      </c>
      <c r="M395" s="10">
        <f t="shared" si="98"/>
        <v>30.021917808219179</v>
      </c>
      <c r="N395" s="11">
        <f t="shared" si="99"/>
        <v>1</v>
      </c>
      <c r="O395" s="9" t="s">
        <v>39</v>
      </c>
      <c r="P395" t="str">
        <f t="shared" si="102"/>
        <v>0</v>
      </c>
      <c r="Q395" s="9"/>
      <c r="R395" s="9"/>
      <c r="S395" s="1">
        <f>IF($V395="USD",INDEX('Dólar Spot'!$B:$B,MATCH(Base!$K395,'Dólar Spot'!$A:$A,0)),"")</f>
        <v>3.7755999999999998</v>
      </c>
      <c r="T395" s="12">
        <v>2250000000</v>
      </c>
      <c r="U395" s="13">
        <f t="shared" si="100"/>
        <v>84.950999999999993</v>
      </c>
      <c r="V395" s="9" t="s">
        <v>40</v>
      </c>
      <c r="W395" s="9" t="s">
        <v>35</v>
      </c>
      <c r="X395">
        <f t="shared" si="103"/>
        <v>0</v>
      </c>
      <c r="Y395" s="1" t="str" cm="1">
        <f t="array" ref="Y395">INDEX(Ratings!$B$2:$M$42,_xlfn.XMATCH(Base!F395,Ratings!$A$2:$A$42),_xlfn.XMATCH(YEAR(Base!K395),Ratings!$B$1:$M$1))</f>
        <v>BB-</v>
      </c>
      <c r="Z395">
        <f t="shared" si="104"/>
        <v>0</v>
      </c>
      <c r="AA395">
        <f>IFERROR(IFERROR(IFERROR(INDEX('EMBI+'!$B:$B,MATCH(Base!$K395,'EMBI+'!$A:$A,0)),INDEX('EMBI+'!$B:$B,MATCH(Base!$K395+1,'EMBI+'!$A:$A,0))),INDEX('EMBI+'!$B:$B,MATCH(Base!$K395+2,'EMBI+'!$A:$A,0))),INDEX('EMBI+'!$B:$B,MATCH(Base!$K395+3,'EMBI+'!$A:$A,0)))/100</f>
        <v>2.4</v>
      </c>
      <c r="AB395" s="9">
        <v>2826.59</v>
      </c>
      <c r="AC395" s="9">
        <v>4130.78</v>
      </c>
      <c r="AD395" s="9"/>
      <c r="AE395" s="9"/>
      <c r="AF395" s="2"/>
      <c r="AG395" s="2"/>
    </row>
    <row r="396" spans="1:33" x14ac:dyDescent="0.35">
      <c r="A396">
        <f t="shared" si="101"/>
        <v>394</v>
      </c>
      <c r="B396">
        <f>IF(G396="Bonds",COUNTIF($G$3:G396,"Bonds"),0)</f>
        <v>110</v>
      </c>
      <c r="C396" t="str">
        <f t="shared" si="105"/>
        <v>Petrobras4171517/03/2024</v>
      </c>
      <c r="D396">
        <f t="shared" si="106"/>
        <v>29</v>
      </c>
      <c r="E396" s="9" t="s">
        <v>476</v>
      </c>
      <c r="F396" s="9" t="s">
        <v>465</v>
      </c>
      <c r="G396" s="9" t="s">
        <v>37</v>
      </c>
      <c r="H396">
        <f t="shared" si="96"/>
        <v>1</v>
      </c>
      <c r="I396" s="9"/>
      <c r="J396" s="1">
        <f t="shared" si="97"/>
        <v>16</v>
      </c>
      <c r="K396" s="2">
        <v>41715</v>
      </c>
      <c r="L396" s="2" t="s">
        <v>482</v>
      </c>
      <c r="M396" s="10">
        <f t="shared" si="98"/>
        <v>10.008219178082191</v>
      </c>
      <c r="N396" s="11">
        <f t="shared" si="99"/>
        <v>1</v>
      </c>
      <c r="O396" s="9" t="s">
        <v>39</v>
      </c>
      <c r="P396" t="str">
        <f t="shared" si="102"/>
        <v>0</v>
      </c>
      <c r="Q396" s="9"/>
      <c r="R396" s="9"/>
      <c r="S396" s="1">
        <f>IF($V396="USD",INDEX('Dólar Spot'!$B:$B,MATCH(Base!$K396,'Dólar Spot'!$A:$A,0)),"")</f>
        <v>2.3513000000000002</v>
      </c>
      <c r="T396" s="12">
        <v>2500000000</v>
      </c>
      <c r="U396" s="13">
        <f t="shared" si="100"/>
        <v>58.782499999999999</v>
      </c>
      <c r="V396" s="9" t="s">
        <v>40</v>
      </c>
      <c r="W396" s="9" t="s">
        <v>35</v>
      </c>
      <c r="X396">
        <f t="shared" si="103"/>
        <v>0</v>
      </c>
      <c r="Y396" s="1" t="str" cm="1">
        <f t="array" ref="Y396">INDEX(Ratings!$B$2:$M$42,_xlfn.XMATCH(Base!F396,Ratings!$A$2:$A$42),_xlfn.XMATCH(YEAR(Base!K396),Ratings!$B$1:$M$1))</f>
        <v>BBB</v>
      </c>
      <c r="Z396">
        <f t="shared" si="104"/>
        <v>1</v>
      </c>
      <c r="AA396">
        <f>IFERROR(IFERROR(IFERROR(INDEX('EMBI+'!$B:$B,MATCH(Base!$K396,'EMBI+'!$A:$A,0)),INDEX('EMBI+'!$B:$B,MATCH(Base!$K396+1,'EMBI+'!$A:$A,0))),INDEX('EMBI+'!$B:$B,MATCH(Base!$K396+2,'EMBI+'!$A:$A,0))),INDEX('EMBI+'!$B:$B,MATCH(Base!$K396+3,'EMBI+'!$A:$A,0)))/100</f>
        <v>2.4</v>
      </c>
      <c r="AB396" s="9">
        <v>3544.9059200000002</v>
      </c>
      <c r="AC396" s="9">
        <v>3081.46801</v>
      </c>
      <c r="AD396" s="9"/>
      <c r="AE396" s="9"/>
      <c r="AF396" s="2"/>
      <c r="AG396" s="2"/>
    </row>
    <row r="397" spans="1:33" x14ac:dyDescent="0.35">
      <c r="A397">
        <f t="shared" si="101"/>
        <v>395</v>
      </c>
      <c r="B397">
        <f>IF(G397="Bonds",COUNTIF($G$3:G397,"Bonds"),0)</f>
        <v>111</v>
      </c>
      <c r="C397" t="str">
        <f t="shared" si="105"/>
        <v>Petrobras4313201/02/2029</v>
      </c>
      <c r="D397">
        <f t="shared" si="106"/>
        <v>29</v>
      </c>
      <c r="E397" s="9" t="s">
        <v>476</v>
      </c>
      <c r="F397" s="9" t="s">
        <v>465</v>
      </c>
      <c r="G397" s="9" t="s">
        <v>37</v>
      </c>
      <c r="H397">
        <f t="shared" si="96"/>
        <v>1</v>
      </c>
      <c r="I397" s="9"/>
      <c r="J397" s="1">
        <f t="shared" si="97"/>
        <v>17</v>
      </c>
      <c r="K397" s="2">
        <v>43132</v>
      </c>
      <c r="L397" s="2" t="s">
        <v>483</v>
      </c>
      <c r="M397" s="10">
        <f t="shared" si="98"/>
        <v>11.008219178082191</v>
      </c>
      <c r="N397" s="11">
        <f t="shared" si="99"/>
        <v>1</v>
      </c>
      <c r="O397" s="9" t="s">
        <v>39</v>
      </c>
      <c r="P397" t="str">
        <f t="shared" si="102"/>
        <v>0</v>
      </c>
      <c r="Q397" s="9"/>
      <c r="R397" s="9"/>
      <c r="S397" s="1">
        <f>IF($V397="USD",INDEX('Dólar Spot'!$B:$B,MATCH(Base!$K397,'Dólar Spot'!$A:$A,0)),"")</f>
        <v>3.1724000000000001</v>
      </c>
      <c r="T397" s="12">
        <v>2000000000</v>
      </c>
      <c r="U397" s="13">
        <f t="shared" si="100"/>
        <v>63.448</v>
      </c>
      <c r="V397" s="9" t="s">
        <v>40</v>
      </c>
      <c r="W397" s="9" t="s">
        <v>35</v>
      </c>
      <c r="X397">
        <f t="shared" si="103"/>
        <v>0</v>
      </c>
      <c r="Y397" s="1" t="str" cm="1">
        <f t="array" ref="Y397">INDEX(Ratings!$B$2:$M$42,_xlfn.XMATCH(Base!F397,Ratings!$A$2:$A$42),_xlfn.XMATCH(YEAR(Base!K397),Ratings!$B$1:$M$1))</f>
        <v>BB-</v>
      </c>
      <c r="Z397">
        <f t="shared" si="104"/>
        <v>0</v>
      </c>
      <c r="AA397">
        <f>IFERROR(IFERROR(IFERROR(INDEX('EMBI+'!$B:$B,MATCH(Base!$K397,'EMBI+'!$A:$A,0)),INDEX('EMBI+'!$B:$B,MATCH(Base!$K397+1,'EMBI+'!$A:$A,0))),INDEX('EMBI+'!$B:$B,MATCH(Base!$K397+2,'EMBI+'!$A:$A,0))),INDEX('EMBI+'!$B:$B,MATCH(Base!$K397+3,'EMBI+'!$A:$A,0)))/100</f>
        <v>2.27</v>
      </c>
      <c r="AB397" s="9">
        <v>2639.85</v>
      </c>
      <c r="AC397" s="9">
        <v>3614.83</v>
      </c>
      <c r="AD397" s="9"/>
      <c r="AE397" s="9"/>
      <c r="AF397" s="2"/>
      <c r="AG397" s="2"/>
    </row>
    <row r="398" spans="1:33" x14ac:dyDescent="0.35">
      <c r="A398">
        <f t="shared" si="101"/>
        <v>396</v>
      </c>
      <c r="B398">
        <f>IF(G398="Bonds",COUNTIF($G$3:G398,"Bonds"),0)</f>
        <v>112</v>
      </c>
      <c r="C398" t="str">
        <f t="shared" si="105"/>
        <v>Petrobras4057027/01/2041</v>
      </c>
      <c r="D398">
        <f t="shared" si="106"/>
        <v>29</v>
      </c>
      <c r="E398" s="9" t="s">
        <v>476</v>
      </c>
      <c r="F398" s="9" t="s">
        <v>465</v>
      </c>
      <c r="G398" s="9" t="s">
        <v>37</v>
      </c>
      <c r="H398">
        <f t="shared" si="96"/>
        <v>1</v>
      </c>
      <c r="I398" s="9"/>
      <c r="J398" s="1">
        <f t="shared" si="97"/>
        <v>18</v>
      </c>
      <c r="K398" s="2">
        <v>40570</v>
      </c>
      <c r="L398" s="2" t="s">
        <v>484</v>
      </c>
      <c r="M398" s="10">
        <f t="shared" si="98"/>
        <v>30.021917808219179</v>
      </c>
      <c r="N398" s="11">
        <f t="shared" si="99"/>
        <v>1</v>
      </c>
      <c r="O398" s="9" t="s">
        <v>39</v>
      </c>
      <c r="P398" t="str">
        <f t="shared" si="102"/>
        <v>0</v>
      </c>
      <c r="Q398" s="9"/>
      <c r="R398" s="9"/>
      <c r="S398" s="1">
        <f>IF($V398="USD",INDEX('Dólar Spot'!$B:$B,MATCH(Base!$K398,'Dólar Spot'!$A:$A,0)),"")</f>
        <v>1.6712</v>
      </c>
      <c r="T398" s="12">
        <v>1000000000</v>
      </c>
      <c r="U398" s="13">
        <f t="shared" si="100"/>
        <v>16.712</v>
      </c>
      <c r="V398" s="9" t="s">
        <v>40</v>
      </c>
      <c r="W398" s="9" t="s">
        <v>35</v>
      </c>
      <c r="X398">
        <f t="shared" si="103"/>
        <v>0</v>
      </c>
      <c r="Y398" s="1" t="str" cm="1">
        <f t="array" ref="Y398">INDEX(Ratings!$B$2:$M$42,_xlfn.XMATCH(Base!F398,Ratings!$A$2:$A$42),_xlfn.XMATCH(YEAR(Base!K398),Ratings!$B$1:$M$1))</f>
        <v>BBB</v>
      </c>
      <c r="Z398">
        <f t="shared" si="104"/>
        <v>1</v>
      </c>
      <c r="AA398">
        <f>IFERROR(IFERROR(IFERROR(INDEX('EMBI+'!$B:$B,MATCH(Base!$K398,'EMBI+'!$A:$A,0)),INDEX('EMBI+'!$B:$B,MATCH(Base!$K398+1,'EMBI+'!$A:$A,0))),INDEX('EMBI+'!$B:$B,MATCH(Base!$K398+2,'EMBI+'!$A:$A,0))),INDEX('EMBI+'!$B:$B,MATCH(Base!$K398+3,'EMBI+'!$A:$A,0)))/100</f>
        <v>1.74</v>
      </c>
      <c r="AB398" s="9">
        <v>3067.65182</v>
      </c>
      <c r="AC398" s="9">
        <v>1179.1531199999999</v>
      </c>
      <c r="AD398" s="9"/>
      <c r="AE398" s="9"/>
      <c r="AF398" s="2"/>
      <c r="AG398" s="2"/>
    </row>
    <row r="399" spans="1:33" x14ac:dyDescent="0.35">
      <c r="A399">
        <f t="shared" si="101"/>
        <v>397</v>
      </c>
      <c r="B399">
        <f>IF(G399="Bonds",COUNTIF($G$3:G399,"Bonds"),0)</f>
        <v>113</v>
      </c>
      <c r="C399" t="str">
        <f t="shared" si="105"/>
        <v>Petrobras4251323/05/2026</v>
      </c>
      <c r="D399">
        <f t="shared" si="106"/>
        <v>29</v>
      </c>
      <c r="E399" s="9" t="s">
        <v>476</v>
      </c>
      <c r="F399" s="9" t="s">
        <v>465</v>
      </c>
      <c r="G399" s="9" t="s">
        <v>37</v>
      </c>
      <c r="H399">
        <f t="shared" si="96"/>
        <v>1</v>
      </c>
      <c r="I399" s="9"/>
      <c r="J399" s="1">
        <f t="shared" si="97"/>
        <v>19</v>
      </c>
      <c r="K399" s="2">
        <v>42513</v>
      </c>
      <c r="L399" s="2" t="s">
        <v>485</v>
      </c>
      <c r="M399" s="10">
        <f t="shared" si="98"/>
        <v>10.005479452054795</v>
      </c>
      <c r="N399" s="11">
        <f t="shared" si="99"/>
        <v>1</v>
      </c>
      <c r="O399" s="9" t="s">
        <v>39</v>
      </c>
      <c r="P399" t="str">
        <f t="shared" si="102"/>
        <v>0</v>
      </c>
      <c r="Q399" s="9"/>
      <c r="R399" s="9"/>
      <c r="S399" s="1">
        <f>IF($V399="USD",INDEX('Dólar Spot'!$B:$B,MATCH(Base!$K399,'Dólar Spot'!$A:$A,0)),"")</f>
        <v>3.5653999999999999</v>
      </c>
      <c r="T399" s="12">
        <v>1750000000</v>
      </c>
      <c r="U399" s="13">
        <f t="shared" si="100"/>
        <v>62.394500000000001</v>
      </c>
      <c r="V399" s="9" t="s">
        <v>40</v>
      </c>
      <c r="W399" s="9" t="s">
        <v>35</v>
      </c>
      <c r="X399">
        <f t="shared" si="103"/>
        <v>0</v>
      </c>
      <c r="Y399" s="1" t="str" cm="1">
        <f t="array" ref="Y399">INDEX(Ratings!$B$2:$M$42,_xlfn.XMATCH(Base!F399,Ratings!$A$2:$A$42),_xlfn.XMATCH(YEAR(Base!K399),Ratings!$B$1:$M$1))</f>
        <v>BB</v>
      </c>
      <c r="Z399">
        <f t="shared" si="104"/>
        <v>0</v>
      </c>
      <c r="AA399">
        <f>IFERROR(IFERROR(IFERROR(INDEX('EMBI+'!$B:$B,MATCH(Base!$K399,'EMBI+'!$A:$A,0)),INDEX('EMBI+'!$B:$B,MATCH(Base!$K399+1,'EMBI+'!$A:$A,0))),INDEX('EMBI+'!$B:$B,MATCH(Base!$K399+2,'EMBI+'!$A:$A,0))),INDEX('EMBI+'!$B:$B,MATCH(Base!$K399+3,'EMBI+'!$A:$A,0)))/100</f>
        <v>3.97</v>
      </c>
      <c r="AB399" s="9">
        <v>2713.95</v>
      </c>
      <c r="AC399" s="9">
        <v>3977.6</v>
      </c>
      <c r="AD399" s="9"/>
      <c r="AE399" s="9"/>
      <c r="AF399" s="2"/>
      <c r="AG399" s="2"/>
    </row>
    <row r="400" spans="1:33" x14ac:dyDescent="0.35">
      <c r="A400">
        <f t="shared" si="101"/>
        <v>398</v>
      </c>
      <c r="B400">
        <f>IF(G400="Bonds",COUNTIF($G$3:G400,"Bonds"),0)</f>
        <v>114</v>
      </c>
      <c r="C400" t="str">
        <f t="shared" si="105"/>
        <v>Petrobras4398503/06/2050</v>
      </c>
      <c r="D400">
        <f t="shared" si="106"/>
        <v>29</v>
      </c>
      <c r="E400" s="9" t="s">
        <v>476</v>
      </c>
      <c r="F400" s="9" t="s">
        <v>465</v>
      </c>
      <c r="G400" s="9" t="s">
        <v>37</v>
      </c>
      <c r="H400">
        <f t="shared" si="96"/>
        <v>1</v>
      </c>
      <c r="I400" s="9"/>
      <c r="J400" s="1">
        <f t="shared" si="97"/>
        <v>20</v>
      </c>
      <c r="K400" s="2">
        <v>43985</v>
      </c>
      <c r="L400" s="2" t="s">
        <v>486</v>
      </c>
      <c r="M400" s="10">
        <f t="shared" si="98"/>
        <v>30.019178082191782</v>
      </c>
      <c r="N400" s="11">
        <f t="shared" si="99"/>
        <v>1</v>
      </c>
      <c r="O400" s="9" t="s">
        <v>39</v>
      </c>
      <c r="P400" t="str">
        <f t="shared" si="102"/>
        <v>0</v>
      </c>
      <c r="Q400" s="9"/>
      <c r="R400" s="9"/>
      <c r="S400" s="1">
        <f>IF($V400="USD",INDEX('Dólar Spot'!$B:$B,MATCH(Base!$K400,'Dólar Spot'!$A:$A,0)),"")</f>
        <v>5.0510000000000002</v>
      </c>
      <c r="T400" s="12">
        <v>1750000000</v>
      </c>
      <c r="U400" s="13">
        <f t="shared" si="100"/>
        <v>88.392499999999998</v>
      </c>
      <c r="V400" s="9" t="s">
        <v>40</v>
      </c>
      <c r="W400" s="9" t="s">
        <v>34</v>
      </c>
      <c r="X400">
        <f t="shared" si="103"/>
        <v>1</v>
      </c>
      <c r="Y400" s="1" t="str" cm="1">
        <f t="array" ref="Y400">INDEX(Ratings!$B$2:$M$42,_xlfn.XMATCH(Base!F400,Ratings!$A$2:$A$42),_xlfn.XMATCH(YEAR(Base!K400),Ratings!$B$1:$M$1))</f>
        <v>BB-</v>
      </c>
      <c r="Z400">
        <f t="shared" si="104"/>
        <v>0</v>
      </c>
      <c r="AA400">
        <f>IFERROR(IFERROR(IFERROR(INDEX('EMBI+'!$B:$B,MATCH(Base!$K400,'EMBI+'!$A:$A,0)),INDEX('EMBI+'!$B:$B,MATCH(Base!$K400+1,'EMBI+'!$A:$A,0))),INDEX('EMBI+'!$B:$B,MATCH(Base!$K400+2,'EMBI+'!$A:$A,0))),INDEX('EMBI+'!$B:$B,MATCH(Base!$K400+3,'EMBI+'!$A:$A,0)))/100</f>
        <v>3.51</v>
      </c>
      <c r="AB400" s="9">
        <v>2427.66</v>
      </c>
      <c r="AC400" s="9">
        <v>4995.55</v>
      </c>
      <c r="AD400" s="9"/>
      <c r="AE400" s="9"/>
      <c r="AF400" s="2"/>
      <c r="AG400" s="2"/>
    </row>
    <row r="401" spans="1:33" x14ac:dyDescent="0.35">
      <c r="A401">
        <f t="shared" si="101"/>
        <v>399</v>
      </c>
      <c r="B401">
        <f>IF(G401="Bonds",COUNTIF($G$3:G401,"Bonds"),0)</f>
        <v>115</v>
      </c>
      <c r="C401" t="str">
        <f t="shared" si="105"/>
        <v>Petrobras4141420/05/2043</v>
      </c>
      <c r="D401">
        <f t="shared" si="106"/>
        <v>29</v>
      </c>
      <c r="E401" s="9" t="s">
        <v>476</v>
      </c>
      <c r="F401" s="9" t="s">
        <v>465</v>
      </c>
      <c r="G401" s="9" t="s">
        <v>37</v>
      </c>
      <c r="H401">
        <f t="shared" si="96"/>
        <v>1</v>
      </c>
      <c r="I401" s="9"/>
      <c r="J401" s="1">
        <f t="shared" si="97"/>
        <v>21</v>
      </c>
      <c r="K401" s="2">
        <v>41414</v>
      </c>
      <c r="L401" s="2" t="s">
        <v>487</v>
      </c>
      <c r="M401" s="10">
        <f t="shared" si="98"/>
        <v>30.019178082191782</v>
      </c>
      <c r="N401" s="11">
        <f t="shared" si="99"/>
        <v>1</v>
      </c>
      <c r="O401" s="9" t="s">
        <v>39</v>
      </c>
      <c r="P401" t="str">
        <f t="shared" si="102"/>
        <v>0</v>
      </c>
      <c r="Q401" s="9"/>
      <c r="R401" s="9"/>
      <c r="S401" s="1">
        <f>IF($V401="USD",INDEX('Dólar Spot'!$B:$B,MATCH(Base!$K401,'Dólar Spot'!$A:$A,0)),"")</f>
        <v>2.0327999999999999</v>
      </c>
      <c r="T401" s="12">
        <v>1750000000</v>
      </c>
      <c r="U401" s="13">
        <f t="shared" si="100"/>
        <v>35.573999999999998</v>
      </c>
      <c r="V401" s="9" t="s">
        <v>40</v>
      </c>
      <c r="W401" s="9" t="s">
        <v>35</v>
      </c>
      <c r="X401">
        <f t="shared" si="103"/>
        <v>0</v>
      </c>
      <c r="Y401" s="1" t="str" cm="1">
        <f t="array" ref="Y401">INDEX(Ratings!$B$2:$M$42,_xlfn.XMATCH(Base!F401,Ratings!$A$2:$A$42),_xlfn.XMATCH(YEAR(Base!K401),Ratings!$B$1:$M$1))</f>
        <v>BBB</v>
      </c>
      <c r="Z401">
        <f t="shared" si="104"/>
        <v>1</v>
      </c>
      <c r="AA401">
        <f>IFERROR(IFERROR(IFERROR(INDEX('EMBI+'!$B:$B,MATCH(Base!$K401,'EMBI+'!$A:$A,0)),INDEX('EMBI+'!$B:$B,MATCH(Base!$K401+1,'EMBI+'!$A:$A,0))),INDEX('EMBI+'!$B:$B,MATCH(Base!$K401+2,'EMBI+'!$A:$A,0))),INDEX('EMBI+'!$B:$B,MATCH(Base!$K401+3,'EMBI+'!$A:$A,0)))/100</f>
        <v>1.76</v>
      </c>
      <c r="AB401" s="9">
        <v>3382.6511700000001</v>
      </c>
      <c r="AC401" s="9">
        <v>2490.4058599999998</v>
      </c>
      <c r="AD401" s="9"/>
      <c r="AE401" s="9"/>
      <c r="AF401" s="2"/>
      <c r="AG401" s="2"/>
    </row>
    <row r="402" spans="1:33" x14ac:dyDescent="0.35">
      <c r="A402">
        <f t="shared" si="101"/>
        <v>400</v>
      </c>
      <c r="B402">
        <f>IF(G402="Bonds",COUNTIF($G$3:G402,"Bonds"),0)</f>
        <v>116</v>
      </c>
      <c r="C402" t="str">
        <f t="shared" si="105"/>
        <v>Petrobras4300527/01/2028</v>
      </c>
      <c r="D402">
        <f t="shared" si="106"/>
        <v>29</v>
      </c>
      <c r="E402" s="9" t="s">
        <v>476</v>
      </c>
      <c r="F402" s="9" t="s">
        <v>465</v>
      </c>
      <c r="G402" s="9" t="s">
        <v>37</v>
      </c>
      <c r="H402">
        <f t="shared" si="96"/>
        <v>1</v>
      </c>
      <c r="I402" s="9"/>
      <c r="J402" s="1">
        <f t="shared" si="97"/>
        <v>22</v>
      </c>
      <c r="K402" s="2">
        <v>43005</v>
      </c>
      <c r="L402" s="2" t="s">
        <v>488</v>
      </c>
      <c r="M402" s="10">
        <f t="shared" si="98"/>
        <v>10.33972602739726</v>
      </c>
      <c r="N402" s="11">
        <f t="shared" si="99"/>
        <v>1</v>
      </c>
      <c r="O402" s="9" t="s">
        <v>39</v>
      </c>
      <c r="P402" t="str">
        <f t="shared" si="102"/>
        <v>0</v>
      </c>
      <c r="Q402" s="9"/>
      <c r="R402" s="9"/>
      <c r="S402" s="1">
        <f>IF($V402="USD",INDEX('Dólar Spot'!$B:$B,MATCH(Base!$K402,'Dólar Spot'!$A:$A,0)),"")</f>
        <v>3.1926000000000001</v>
      </c>
      <c r="T402" s="12">
        <v>5836134000</v>
      </c>
      <c r="U402" s="13">
        <f t="shared" si="100"/>
        <v>186.32441408400001</v>
      </c>
      <c r="V402" s="9" t="s">
        <v>40</v>
      </c>
      <c r="W402" s="9" t="s">
        <v>35</v>
      </c>
      <c r="X402">
        <f t="shared" si="103"/>
        <v>0</v>
      </c>
      <c r="Y402" s="1" t="str" cm="1">
        <f t="array" ref="Y402">INDEX(Ratings!$B$2:$M$42,_xlfn.XMATCH(Base!F402,Ratings!$A$2:$A$42),_xlfn.XMATCH(YEAR(Base!K402),Ratings!$B$1:$M$1))</f>
        <v>BB</v>
      </c>
      <c r="Z402">
        <f t="shared" si="104"/>
        <v>0</v>
      </c>
      <c r="AA402">
        <f>IFERROR(IFERROR(IFERROR(INDEX('EMBI+'!$B:$B,MATCH(Base!$K402,'EMBI+'!$A:$A,0)),INDEX('EMBI+'!$B:$B,MATCH(Base!$K402+1,'EMBI+'!$A:$A,0))),INDEX('EMBI+'!$B:$B,MATCH(Base!$K402+2,'EMBI+'!$A:$A,0))),INDEX('EMBI+'!$B:$B,MATCH(Base!$K402+3,'EMBI+'!$A:$A,0)))/100</f>
        <v>2.56</v>
      </c>
      <c r="AB402" s="9">
        <v>2617.64</v>
      </c>
      <c r="AC402" s="9">
        <v>3594.12</v>
      </c>
      <c r="AD402" s="9"/>
      <c r="AE402" s="9"/>
      <c r="AF402" s="2"/>
      <c r="AG402" s="2"/>
    </row>
    <row r="403" spans="1:33" x14ac:dyDescent="0.35">
      <c r="A403">
        <f t="shared" si="101"/>
        <v>401</v>
      </c>
      <c r="B403">
        <f>IF(G403="Bonds",COUNTIF($G$3:G403,"Bonds"),0)</f>
        <v>117</v>
      </c>
      <c r="C403" t="str">
        <f t="shared" si="105"/>
        <v>Petrobras4372615/01/2030</v>
      </c>
      <c r="D403">
        <f t="shared" si="106"/>
        <v>29</v>
      </c>
      <c r="E403" s="9" t="s">
        <v>476</v>
      </c>
      <c r="F403" s="9" t="s">
        <v>465</v>
      </c>
      <c r="G403" s="9" t="s">
        <v>37</v>
      </c>
      <c r="H403">
        <f t="shared" si="96"/>
        <v>1</v>
      </c>
      <c r="I403" s="9"/>
      <c r="J403" s="1">
        <f t="shared" si="97"/>
        <v>23</v>
      </c>
      <c r="K403" s="2">
        <v>43726</v>
      </c>
      <c r="L403" s="2" t="s">
        <v>489</v>
      </c>
      <c r="M403" s="10">
        <f t="shared" si="98"/>
        <v>10.334246575342465</v>
      </c>
      <c r="N403" s="11">
        <f t="shared" si="99"/>
        <v>1</v>
      </c>
      <c r="O403" s="9" t="s">
        <v>39</v>
      </c>
      <c r="P403" t="str">
        <f t="shared" si="102"/>
        <v>0</v>
      </c>
      <c r="Q403" s="9"/>
      <c r="R403" s="9"/>
      <c r="S403" s="1">
        <f>IF($V403="USD",INDEX('Dólar Spot'!$B:$B,MATCH(Base!$K403,'Dólar Spot'!$A:$A,0)),"")</f>
        <v>4.0965999999999996</v>
      </c>
      <c r="T403" s="12">
        <v>4115281000</v>
      </c>
      <c r="U403" s="13">
        <f t="shared" si="100"/>
        <v>168.58660144599997</v>
      </c>
      <c r="V403" s="9" t="s">
        <v>40</v>
      </c>
      <c r="W403" s="9" t="s">
        <v>35</v>
      </c>
      <c r="X403">
        <f t="shared" si="103"/>
        <v>0</v>
      </c>
      <c r="Y403" s="1" t="str" cm="1">
        <f t="array" ref="Y403">INDEX(Ratings!$B$2:$M$42,_xlfn.XMATCH(Base!F403,Ratings!$A$2:$A$42),_xlfn.XMATCH(YEAR(Base!K403),Ratings!$B$1:$M$1))</f>
        <v>BB-</v>
      </c>
      <c r="Z403">
        <f t="shared" si="104"/>
        <v>0</v>
      </c>
      <c r="AA403">
        <f>IFERROR(IFERROR(IFERROR(INDEX('EMBI+'!$B:$B,MATCH(Base!$K403,'EMBI+'!$A:$A,0)),INDEX('EMBI+'!$B:$B,MATCH(Base!$K403+1,'EMBI+'!$A:$A,0))),INDEX('EMBI+'!$B:$B,MATCH(Base!$K403+2,'EMBI+'!$A:$A,0))),INDEX('EMBI+'!$B:$B,MATCH(Base!$K403+3,'EMBI+'!$A:$A,0)))/100</f>
        <v>2.25</v>
      </c>
      <c r="AB403" s="9">
        <v>3062.52</v>
      </c>
      <c r="AC403" s="9">
        <v>3743.81</v>
      </c>
      <c r="AD403" s="9"/>
      <c r="AE403" s="9"/>
      <c r="AF403" s="2"/>
      <c r="AG403" s="2"/>
    </row>
    <row r="404" spans="1:33" x14ac:dyDescent="0.35">
      <c r="A404">
        <f t="shared" si="101"/>
        <v>402</v>
      </c>
      <c r="B404">
        <f>IF(G404="Bonds",COUNTIF($G$3:G404,"Bonds"),0)</f>
        <v>118</v>
      </c>
      <c r="C404" t="str">
        <f t="shared" si="105"/>
        <v>Petrobras4300527/01/2025</v>
      </c>
      <c r="D404">
        <f t="shared" si="106"/>
        <v>29</v>
      </c>
      <c r="E404" s="9" t="s">
        <v>476</v>
      </c>
      <c r="F404" s="9" t="s">
        <v>465</v>
      </c>
      <c r="G404" s="9" t="s">
        <v>37</v>
      </c>
      <c r="H404">
        <f t="shared" si="96"/>
        <v>1</v>
      </c>
      <c r="I404" s="9"/>
      <c r="J404" s="1">
        <f t="shared" si="97"/>
        <v>24</v>
      </c>
      <c r="K404" s="2">
        <v>43005</v>
      </c>
      <c r="L404" s="2" t="s">
        <v>490</v>
      </c>
      <c r="M404" s="10">
        <f t="shared" si="98"/>
        <v>7.3397260273972602</v>
      </c>
      <c r="N404" s="11">
        <f t="shared" si="99"/>
        <v>1</v>
      </c>
      <c r="O404" s="9" t="s">
        <v>39</v>
      </c>
      <c r="P404" t="str">
        <f t="shared" si="102"/>
        <v>0</v>
      </c>
      <c r="Q404" s="9"/>
      <c r="R404" s="9"/>
      <c r="S404" s="1">
        <f>IF($V404="USD",INDEX('Dólar Spot'!$B:$B,MATCH(Base!$K404,'Dólar Spot'!$A:$A,0)),"")</f>
        <v>3.1926000000000001</v>
      </c>
      <c r="T404" s="12">
        <v>3759866000</v>
      </c>
      <c r="U404" s="13">
        <f t="shared" si="100"/>
        <v>120.037481916</v>
      </c>
      <c r="V404" s="9" t="s">
        <v>40</v>
      </c>
      <c r="W404" s="9" t="s">
        <v>35</v>
      </c>
      <c r="X404">
        <f t="shared" si="103"/>
        <v>0</v>
      </c>
      <c r="Y404" s="1" t="str" cm="1">
        <f t="array" ref="Y404">INDEX(Ratings!$B$2:$M$42,_xlfn.XMATCH(Base!F404,Ratings!$A$2:$A$42),_xlfn.XMATCH(YEAR(Base!K404),Ratings!$B$1:$M$1))</f>
        <v>BB</v>
      </c>
      <c r="Z404">
        <f t="shared" si="104"/>
        <v>0</v>
      </c>
      <c r="AA404">
        <f>IFERROR(IFERROR(IFERROR(INDEX('EMBI+'!$B:$B,MATCH(Base!$K404,'EMBI+'!$A:$A,0)),INDEX('EMBI+'!$B:$B,MATCH(Base!$K404+1,'EMBI+'!$A:$A,0))),INDEX('EMBI+'!$B:$B,MATCH(Base!$K404+2,'EMBI+'!$A:$A,0))),INDEX('EMBI+'!$B:$B,MATCH(Base!$K404+3,'EMBI+'!$A:$A,0)))/100</f>
        <v>2.56</v>
      </c>
      <c r="AB404" s="9">
        <v>2617.64</v>
      </c>
      <c r="AC404" s="9">
        <v>3594.12</v>
      </c>
      <c r="AD404" s="9"/>
      <c r="AE404" s="9"/>
      <c r="AF404" s="2"/>
      <c r="AG404" s="2"/>
    </row>
    <row r="405" spans="1:33" x14ac:dyDescent="0.35">
      <c r="A405">
        <f t="shared" si="101"/>
        <v>403</v>
      </c>
      <c r="B405">
        <f>IF(G405="Bonds",COUNTIF($G$3:G405,"Bonds"),0)</f>
        <v>119</v>
      </c>
      <c r="C405" t="str">
        <f t="shared" si="105"/>
        <v>Petrobras4141420/05/2023</v>
      </c>
      <c r="D405">
        <f t="shared" si="106"/>
        <v>29</v>
      </c>
      <c r="E405" s="9" t="s">
        <v>476</v>
      </c>
      <c r="F405" s="9" t="s">
        <v>465</v>
      </c>
      <c r="G405" s="9" t="s">
        <v>37</v>
      </c>
      <c r="H405">
        <f t="shared" si="96"/>
        <v>1</v>
      </c>
      <c r="I405" s="9"/>
      <c r="J405" s="1">
        <f t="shared" si="97"/>
        <v>25</v>
      </c>
      <c r="K405" s="2">
        <v>41414</v>
      </c>
      <c r="L405" s="2" t="s">
        <v>491</v>
      </c>
      <c r="M405" s="10">
        <f t="shared" si="98"/>
        <v>10.005479452054795</v>
      </c>
      <c r="N405" s="11">
        <f t="shared" si="99"/>
        <v>1</v>
      </c>
      <c r="O405" s="9" t="s">
        <v>39</v>
      </c>
      <c r="P405" t="str">
        <f t="shared" si="102"/>
        <v>0</v>
      </c>
      <c r="Q405" s="9"/>
      <c r="R405" s="9"/>
      <c r="S405" s="1">
        <f>IF($V405="USD",INDEX('Dólar Spot'!$B:$B,MATCH(Base!$K405,'Dólar Spot'!$A:$A,0)),"")</f>
        <v>2.0327999999999999</v>
      </c>
      <c r="T405" s="12">
        <v>3500000000</v>
      </c>
      <c r="U405" s="13">
        <f t="shared" si="100"/>
        <v>71.147999999999996</v>
      </c>
      <c r="V405" s="9" t="s">
        <v>40</v>
      </c>
      <c r="W405" s="9" t="s">
        <v>34</v>
      </c>
      <c r="X405">
        <f t="shared" si="103"/>
        <v>1</v>
      </c>
      <c r="Y405" s="1" t="str" cm="1">
        <f t="array" ref="Y405">INDEX(Ratings!$B$2:$M$42,_xlfn.XMATCH(Base!F405,Ratings!$A$2:$A$42),_xlfn.XMATCH(YEAR(Base!K405),Ratings!$B$1:$M$1))</f>
        <v>BBB</v>
      </c>
      <c r="Z405">
        <f t="shared" si="104"/>
        <v>1</v>
      </c>
      <c r="AA405">
        <f>IFERROR(IFERROR(IFERROR(INDEX('EMBI+'!$B:$B,MATCH(Base!$K405,'EMBI+'!$A:$A,0)),INDEX('EMBI+'!$B:$B,MATCH(Base!$K405+1,'EMBI+'!$A:$A,0))),INDEX('EMBI+'!$B:$B,MATCH(Base!$K405+2,'EMBI+'!$A:$A,0))),INDEX('EMBI+'!$B:$B,MATCH(Base!$K405+3,'EMBI+'!$A:$A,0)))/100</f>
        <v>1.76</v>
      </c>
      <c r="AB405" s="9">
        <v>3382.6511700000001</v>
      </c>
      <c r="AC405" s="9">
        <v>2490.4058599999998</v>
      </c>
      <c r="AD405" s="9"/>
      <c r="AE405" s="9"/>
      <c r="AF405" s="2"/>
      <c r="AG405" s="2"/>
    </row>
    <row r="406" spans="1:33" x14ac:dyDescent="0.35">
      <c r="A406">
        <f t="shared" si="101"/>
        <v>404</v>
      </c>
      <c r="B406">
        <f>IF(G406="Bonds",COUNTIF($G$3:G406,"Bonds"),0)</f>
        <v>120</v>
      </c>
      <c r="C406" t="str">
        <f t="shared" si="105"/>
        <v>Petrobras4057027/01/2021</v>
      </c>
      <c r="D406">
        <f t="shared" si="106"/>
        <v>29</v>
      </c>
      <c r="E406" s="9" t="s">
        <v>476</v>
      </c>
      <c r="F406" s="9" t="s">
        <v>465</v>
      </c>
      <c r="G406" s="9" t="s">
        <v>37</v>
      </c>
      <c r="H406">
        <f t="shared" si="96"/>
        <v>1</v>
      </c>
      <c r="I406" s="9"/>
      <c r="J406" s="1">
        <f t="shared" si="97"/>
        <v>26</v>
      </c>
      <c r="K406" s="2">
        <v>40570</v>
      </c>
      <c r="L406" s="2" t="s">
        <v>492</v>
      </c>
      <c r="M406" s="10">
        <f t="shared" si="98"/>
        <v>10.008219178082191</v>
      </c>
      <c r="N406" s="11">
        <f t="shared" si="99"/>
        <v>1</v>
      </c>
      <c r="O406" s="9" t="s">
        <v>39</v>
      </c>
      <c r="P406" t="str">
        <f t="shared" si="102"/>
        <v>0</v>
      </c>
      <c r="Q406" s="9"/>
      <c r="R406" s="9"/>
      <c r="S406" s="1">
        <f>IF($V406="USD",INDEX('Dólar Spot'!$B:$B,MATCH(Base!$K406,'Dólar Spot'!$A:$A,0)),"")</f>
        <v>1.6712</v>
      </c>
      <c r="T406" s="12">
        <v>2500000000</v>
      </c>
      <c r="U406" s="13">
        <f t="shared" si="100"/>
        <v>41.78</v>
      </c>
      <c r="V406" s="9" t="s">
        <v>40</v>
      </c>
      <c r="W406" s="9" t="s">
        <v>34</v>
      </c>
      <c r="X406">
        <f t="shared" si="103"/>
        <v>1</v>
      </c>
      <c r="Y406" s="1" t="str" cm="1">
        <f t="array" ref="Y406">INDEX(Ratings!$B$2:$M$42,_xlfn.XMATCH(Base!F406,Ratings!$A$2:$A$42),_xlfn.XMATCH(YEAR(Base!K406),Ratings!$B$1:$M$1))</f>
        <v>BBB</v>
      </c>
      <c r="Z406">
        <f t="shared" si="104"/>
        <v>1</v>
      </c>
      <c r="AA406">
        <f>IFERROR(IFERROR(IFERROR(INDEX('EMBI+'!$B:$B,MATCH(Base!$K406,'EMBI+'!$A:$A,0)),INDEX('EMBI+'!$B:$B,MATCH(Base!$K406+1,'EMBI+'!$A:$A,0))),INDEX('EMBI+'!$B:$B,MATCH(Base!$K406+2,'EMBI+'!$A:$A,0))),INDEX('EMBI+'!$B:$B,MATCH(Base!$K406+3,'EMBI+'!$A:$A,0)))/100</f>
        <v>1.74</v>
      </c>
      <c r="AB406" s="9">
        <v>3067.65182</v>
      </c>
      <c r="AC406" s="9">
        <v>1179.1531199999999</v>
      </c>
      <c r="AD406" s="9"/>
      <c r="AE406" s="9"/>
      <c r="AF406" s="2"/>
      <c r="AG406" s="2"/>
    </row>
    <row r="407" spans="1:33" x14ac:dyDescent="0.35">
      <c r="A407">
        <f t="shared" si="101"/>
        <v>405</v>
      </c>
      <c r="B407">
        <f>IF(G407="Bonds",COUNTIF($G$3:G407,"Bonds"),0)</f>
        <v>121</v>
      </c>
      <c r="C407" t="str">
        <f t="shared" si="105"/>
        <v>Petrobras4275217/01/2022</v>
      </c>
      <c r="D407">
        <f t="shared" si="106"/>
        <v>29</v>
      </c>
      <c r="E407" s="9" t="s">
        <v>476</v>
      </c>
      <c r="F407" s="9" t="s">
        <v>465</v>
      </c>
      <c r="G407" s="9" t="s">
        <v>37</v>
      </c>
      <c r="H407">
        <f t="shared" si="96"/>
        <v>1</v>
      </c>
      <c r="I407" s="9"/>
      <c r="J407" s="1">
        <f t="shared" si="97"/>
        <v>27</v>
      </c>
      <c r="K407" s="2">
        <v>42752</v>
      </c>
      <c r="L407" s="2" t="s">
        <v>493</v>
      </c>
      <c r="M407" s="10">
        <f t="shared" si="98"/>
        <v>5.0027397260273974</v>
      </c>
      <c r="N407" s="11">
        <f t="shared" si="99"/>
        <v>1</v>
      </c>
      <c r="O407" s="9" t="s">
        <v>39</v>
      </c>
      <c r="P407" t="str">
        <f t="shared" si="102"/>
        <v>0</v>
      </c>
      <c r="Q407" s="9"/>
      <c r="R407" s="9"/>
      <c r="S407" s="1">
        <f>IF($V407="USD",INDEX('Dólar Spot'!$B:$B,MATCH(Base!$K407,'Dólar Spot'!$A:$A,0)),"")</f>
        <v>3.2094</v>
      </c>
      <c r="T407" s="12">
        <v>2000000000</v>
      </c>
      <c r="U407" s="13">
        <f t="shared" si="100"/>
        <v>64.188000000000002</v>
      </c>
      <c r="V407" s="9" t="s">
        <v>40</v>
      </c>
      <c r="W407" s="9" t="s">
        <v>34</v>
      </c>
      <c r="X407">
        <f t="shared" si="103"/>
        <v>1</v>
      </c>
      <c r="Y407" s="1" t="str" cm="1">
        <f t="array" ref="Y407">INDEX(Ratings!$B$2:$M$42,_xlfn.XMATCH(Base!F407,Ratings!$A$2:$A$42),_xlfn.XMATCH(YEAR(Base!K407),Ratings!$B$1:$M$1))</f>
        <v>BB</v>
      </c>
      <c r="Z407">
        <f t="shared" si="104"/>
        <v>0</v>
      </c>
      <c r="AA407">
        <f>IFERROR(IFERROR(IFERROR(INDEX('EMBI+'!$B:$B,MATCH(Base!$K407,'EMBI+'!$A:$A,0)),INDEX('EMBI+'!$B:$B,MATCH(Base!$K407+1,'EMBI+'!$A:$A,0))),INDEX('EMBI+'!$B:$B,MATCH(Base!$K407+2,'EMBI+'!$A:$A,0))),INDEX('EMBI+'!$B:$B,MATCH(Base!$K407+3,'EMBI+'!$A:$A,0)))/100</f>
        <v>2.82</v>
      </c>
      <c r="AB407" s="9">
        <v>2502.3000000000002</v>
      </c>
      <c r="AC407" s="9">
        <v>3857.84</v>
      </c>
      <c r="AD407" s="9"/>
      <c r="AE407" s="9"/>
      <c r="AF407" s="2"/>
      <c r="AG407" s="2"/>
    </row>
    <row r="408" spans="1:33" x14ac:dyDescent="0.35">
      <c r="A408">
        <f t="shared" si="101"/>
        <v>406</v>
      </c>
      <c r="B408">
        <f>IF(G408="Bonds",COUNTIF($G$3:G408,"Bonds"),0)</f>
        <v>122</v>
      </c>
      <c r="C408" t="str">
        <f t="shared" si="105"/>
        <v>Petrobras4251323/05/2021</v>
      </c>
      <c r="D408">
        <f t="shared" si="106"/>
        <v>29</v>
      </c>
      <c r="E408" s="9" t="s">
        <v>476</v>
      </c>
      <c r="F408" s="9" t="s">
        <v>465</v>
      </c>
      <c r="G408" s="9" t="s">
        <v>37</v>
      </c>
      <c r="H408">
        <f t="shared" si="96"/>
        <v>1</v>
      </c>
      <c r="I408" s="9"/>
      <c r="J408" s="1">
        <f t="shared" si="97"/>
        <v>28</v>
      </c>
      <c r="K408" s="2">
        <v>42513</v>
      </c>
      <c r="L408" s="2" t="s">
        <v>494</v>
      </c>
      <c r="M408" s="10">
        <f t="shared" si="98"/>
        <v>5.0027397260273974</v>
      </c>
      <c r="N408" s="11">
        <f t="shared" si="99"/>
        <v>1</v>
      </c>
      <c r="O408" s="9" t="s">
        <v>39</v>
      </c>
      <c r="P408" t="str">
        <f t="shared" si="102"/>
        <v>0</v>
      </c>
      <c r="Q408" s="9"/>
      <c r="R408" s="9"/>
      <c r="S408" s="1">
        <f>IF($V408="USD",INDEX('Dólar Spot'!$B:$B,MATCH(Base!$K408,'Dólar Spot'!$A:$A,0)),"")</f>
        <v>3.5653999999999999</v>
      </c>
      <c r="T408" s="12">
        <v>5000000000</v>
      </c>
      <c r="U408" s="13">
        <f t="shared" si="100"/>
        <v>178.27</v>
      </c>
      <c r="V408" s="9" t="s">
        <v>40</v>
      </c>
      <c r="W408" s="9" t="s">
        <v>34</v>
      </c>
      <c r="X408">
        <f t="shared" si="103"/>
        <v>1</v>
      </c>
      <c r="Y408" s="1" t="str" cm="1">
        <f t="array" ref="Y408">INDEX(Ratings!$B$2:$M$42,_xlfn.XMATCH(Base!F408,Ratings!$A$2:$A$42),_xlfn.XMATCH(YEAR(Base!K408),Ratings!$B$1:$M$1))</f>
        <v>BB</v>
      </c>
      <c r="Z408">
        <f t="shared" si="104"/>
        <v>0</v>
      </c>
      <c r="AA408">
        <f>IFERROR(IFERROR(IFERROR(INDEX('EMBI+'!$B:$B,MATCH(Base!$K408,'EMBI+'!$A:$A,0)),INDEX('EMBI+'!$B:$B,MATCH(Base!$K408+1,'EMBI+'!$A:$A,0))),INDEX('EMBI+'!$B:$B,MATCH(Base!$K408+2,'EMBI+'!$A:$A,0))),INDEX('EMBI+'!$B:$B,MATCH(Base!$K408+3,'EMBI+'!$A:$A,0)))/100</f>
        <v>3.97</v>
      </c>
      <c r="AB408" s="9">
        <v>2713.95</v>
      </c>
      <c r="AC408" s="9">
        <v>3977.6</v>
      </c>
      <c r="AD408" s="9"/>
      <c r="AE408" s="9"/>
      <c r="AF408" s="2"/>
      <c r="AG408" s="2"/>
    </row>
    <row r="409" spans="1:33" x14ac:dyDescent="0.35">
      <c r="A409">
        <f t="shared" si="101"/>
        <v>407</v>
      </c>
      <c r="B409">
        <f>IF(G409="Bonds",COUNTIF($G$3:G409,"Bonds"),0)</f>
        <v>123</v>
      </c>
      <c r="C409" t="str">
        <f t="shared" si="105"/>
        <v>Petrobras4094506/02/2017</v>
      </c>
      <c r="D409">
        <f t="shared" si="106"/>
        <v>29</v>
      </c>
      <c r="E409" s="9" t="s">
        <v>476</v>
      </c>
      <c r="F409" s="9" t="s">
        <v>465</v>
      </c>
      <c r="G409" s="9" t="s">
        <v>37</v>
      </c>
      <c r="H409">
        <f t="shared" si="96"/>
        <v>1</v>
      </c>
      <c r="I409" s="9"/>
      <c r="J409" s="1">
        <f t="shared" si="97"/>
        <v>29</v>
      </c>
      <c r="K409" s="2">
        <v>40945</v>
      </c>
      <c r="L409" s="2" t="s">
        <v>495</v>
      </c>
      <c r="M409" s="10">
        <f t="shared" si="98"/>
        <v>5.0054794520547947</v>
      </c>
      <c r="N409" s="11">
        <f t="shared" si="99"/>
        <v>1</v>
      </c>
      <c r="O409" s="9" t="s">
        <v>39</v>
      </c>
      <c r="P409" t="str">
        <f t="shared" si="102"/>
        <v>0</v>
      </c>
      <c r="Q409" s="9"/>
      <c r="R409" s="9"/>
      <c r="S409" s="1">
        <f>IF($V409="USD",INDEX('Dólar Spot'!$B:$B,MATCH(Base!$K409,'Dólar Spot'!$A:$A,0)),"")</f>
        <v>1.7242999999999999</v>
      </c>
      <c r="T409" s="12">
        <v>1750000000</v>
      </c>
      <c r="U409" s="13">
        <f t="shared" si="100"/>
        <v>30.175249999999998</v>
      </c>
      <c r="V409" s="9" t="s">
        <v>40</v>
      </c>
      <c r="W409" s="9" t="s">
        <v>35</v>
      </c>
      <c r="X409">
        <f t="shared" si="103"/>
        <v>0</v>
      </c>
      <c r="Y409" s="1" t="str" cm="1">
        <f t="array" ref="Y409">INDEX(Ratings!$B$2:$M$42,_xlfn.XMATCH(Base!F409,Ratings!$A$2:$A$42),_xlfn.XMATCH(YEAR(Base!K409),Ratings!$B$1:$M$1))</f>
        <v>BBB</v>
      </c>
      <c r="Z409">
        <f t="shared" si="104"/>
        <v>1</v>
      </c>
      <c r="AA409">
        <f>IFERROR(IFERROR(IFERROR(INDEX('EMBI+'!$B:$B,MATCH(Base!$K409,'EMBI+'!$A:$A,0)),INDEX('EMBI+'!$B:$B,MATCH(Base!$K409+1,'EMBI+'!$A:$A,0))),INDEX('EMBI+'!$B:$B,MATCH(Base!$K409+2,'EMBI+'!$A:$A,0))),INDEX('EMBI+'!$B:$B,MATCH(Base!$K409+3,'EMBI+'!$A:$A,0)))/100</f>
        <v>2.1</v>
      </c>
      <c r="AB409" s="9">
        <v>3298.3888099999999</v>
      </c>
      <c r="AC409" s="9">
        <v>1555.5469399999999</v>
      </c>
      <c r="AD409" s="9"/>
      <c r="AE409" s="9"/>
      <c r="AF409" s="2"/>
      <c r="AG409" s="2"/>
    </row>
    <row r="410" spans="1:33" x14ac:dyDescent="0.35">
      <c r="A410">
        <f t="shared" si="101"/>
        <v>408</v>
      </c>
      <c r="B410">
        <f>IF(G410="Bonds",COUNTIF($G$3:G410,"Bonds"),0)</f>
        <v>124</v>
      </c>
      <c r="C410" t="str">
        <f t="shared" si="105"/>
        <v>Petrobras4171517/03/2017</v>
      </c>
      <c r="D410">
        <f t="shared" si="106"/>
        <v>29</v>
      </c>
      <c r="E410" s="9" t="s">
        <v>476</v>
      </c>
      <c r="F410" s="9" t="s">
        <v>465</v>
      </c>
      <c r="G410" s="9" t="s">
        <v>37</v>
      </c>
      <c r="H410">
        <f t="shared" si="96"/>
        <v>1</v>
      </c>
      <c r="I410" s="9"/>
      <c r="J410" s="1">
        <f t="shared" si="97"/>
        <v>30</v>
      </c>
      <c r="K410" s="2">
        <v>41715</v>
      </c>
      <c r="L410" s="2" t="s">
        <v>496</v>
      </c>
      <c r="M410" s="10">
        <f t="shared" si="98"/>
        <v>3.0027397260273974</v>
      </c>
      <c r="N410" s="11">
        <f t="shared" si="99"/>
        <v>0</v>
      </c>
      <c r="O410" s="9" t="s">
        <v>39</v>
      </c>
      <c r="P410" t="str">
        <f t="shared" si="102"/>
        <v>0</v>
      </c>
      <c r="Q410" s="9"/>
      <c r="R410" s="9"/>
      <c r="S410" s="1">
        <f>IF($V410="USD",INDEX('Dólar Spot'!$B:$B,MATCH(Base!$K410,'Dólar Spot'!$A:$A,0)),"")</f>
        <v>2.3513000000000002</v>
      </c>
      <c r="T410" s="12">
        <v>1600000000</v>
      </c>
      <c r="U410" s="13">
        <f t="shared" si="100"/>
        <v>37.620800000000003</v>
      </c>
      <c r="V410" s="9" t="s">
        <v>40</v>
      </c>
      <c r="W410" s="9" t="s">
        <v>35</v>
      </c>
      <c r="X410">
        <f t="shared" si="103"/>
        <v>0</v>
      </c>
      <c r="Y410" s="1" t="str" cm="1">
        <f t="array" ref="Y410">INDEX(Ratings!$B$2:$M$42,_xlfn.XMATCH(Base!F410,Ratings!$A$2:$A$42),_xlfn.XMATCH(YEAR(Base!K410),Ratings!$B$1:$M$1))</f>
        <v>BBB</v>
      </c>
      <c r="Z410">
        <f t="shared" si="104"/>
        <v>1</v>
      </c>
      <c r="AA410">
        <f>IFERROR(IFERROR(IFERROR(INDEX('EMBI+'!$B:$B,MATCH(Base!$K410,'EMBI+'!$A:$A,0)),INDEX('EMBI+'!$B:$B,MATCH(Base!$K410+1,'EMBI+'!$A:$A,0))),INDEX('EMBI+'!$B:$B,MATCH(Base!$K410+2,'EMBI+'!$A:$A,0))),INDEX('EMBI+'!$B:$B,MATCH(Base!$K410+3,'EMBI+'!$A:$A,0)))/100</f>
        <v>2.4</v>
      </c>
      <c r="AB410" s="9">
        <v>3544.9059200000002</v>
      </c>
      <c r="AC410" s="9">
        <v>3081.46801</v>
      </c>
      <c r="AD410" s="9"/>
      <c r="AE410" s="9"/>
      <c r="AF410" s="2"/>
      <c r="AG410" s="2"/>
    </row>
    <row r="411" spans="1:33" x14ac:dyDescent="0.35">
      <c r="A411">
        <f t="shared" si="101"/>
        <v>409</v>
      </c>
      <c r="B411">
        <f>IF(G411="Bonds",COUNTIF($G$3:G411,"Bonds"),0)</f>
        <v>125</v>
      </c>
      <c r="C411" t="str">
        <f t="shared" si="105"/>
        <v>Petrobras4057027/01/2016</v>
      </c>
      <c r="D411">
        <f t="shared" si="106"/>
        <v>29</v>
      </c>
      <c r="E411" s="9" t="s">
        <v>476</v>
      </c>
      <c r="F411" s="9" t="s">
        <v>465</v>
      </c>
      <c r="G411" s="9" t="s">
        <v>37</v>
      </c>
      <c r="H411">
        <f t="shared" si="96"/>
        <v>1</v>
      </c>
      <c r="I411" s="9"/>
      <c r="J411" s="1">
        <f t="shared" si="97"/>
        <v>31</v>
      </c>
      <c r="K411" s="2">
        <v>40570</v>
      </c>
      <c r="L411" s="2" t="s">
        <v>497</v>
      </c>
      <c r="M411" s="10">
        <f t="shared" si="98"/>
        <v>5.0027397260273974</v>
      </c>
      <c r="N411" s="11">
        <f t="shared" si="99"/>
        <v>1</v>
      </c>
      <c r="O411" s="9" t="s">
        <v>39</v>
      </c>
      <c r="P411" t="str">
        <f t="shared" si="102"/>
        <v>0</v>
      </c>
      <c r="Q411" s="9"/>
      <c r="R411" s="9"/>
      <c r="S411" s="1">
        <f>IF($V411="USD",INDEX('Dólar Spot'!$B:$B,MATCH(Base!$K411,'Dólar Spot'!$A:$A,0)),"")</f>
        <v>1.6712</v>
      </c>
      <c r="T411" s="12">
        <v>2500000000</v>
      </c>
      <c r="U411" s="13">
        <f t="shared" si="100"/>
        <v>41.78</v>
      </c>
      <c r="V411" s="9" t="s">
        <v>40</v>
      </c>
      <c r="W411" s="9" t="s">
        <v>35</v>
      </c>
      <c r="X411">
        <f t="shared" si="103"/>
        <v>0</v>
      </c>
      <c r="Y411" s="1" t="str" cm="1">
        <f t="array" ref="Y411">INDEX(Ratings!$B$2:$M$42,_xlfn.XMATCH(Base!F411,Ratings!$A$2:$A$42),_xlfn.XMATCH(YEAR(Base!K411),Ratings!$B$1:$M$1))</f>
        <v>BBB</v>
      </c>
      <c r="Z411">
        <f t="shared" si="104"/>
        <v>1</v>
      </c>
      <c r="AA411">
        <f>IFERROR(IFERROR(IFERROR(INDEX('EMBI+'!$B:$B,MATCH(Base!$K411,'EMBI+'!$A:$A,0)),INDEX('EMBI+'!$B:$B,MATCH(Base!$K411+1,'EMBI+'!$A:$A,0))),INDEX('EMBI+'!$B:$B,MATCH(Base!$K411+2,'EMBI+'!$A:$A,0))),INDEX('EMBI+'!$B:$B,MATCH(Base!$K411+3,'EMBI+'!$A:$A,0)))/100</f>
        <v>1.74</v>
      </c>
      <c r="AB411" s="9">
        <v>3067.65182</v>
      </c>
      <c r="AC411" s="9">
        <v>1179.1531199999999</v>
      </c>
      <c r="AD411" s="9"/>
      <c r="AE411" s="9"/>
      <c r="AF411" s="2"/>
      <c r="AG411" s="2"/>
    </row>
    <row r="412" spans="1:33" x14ac:dyDescent="0.35">
      <c r="A412">
        <f t="shared" si="101"/>
        <v>410</v>
      </c>
      <c r="B412">
        <f>IF(G412="Bonds",COUNTIF($G$3:G412,"Bonds"),0)</f>
        <v>126</v>
      </c>
      <c r="C412" t="str">
        <f t="shared" si="105"/>
        <v>Petrobras4094506/02/2015</v>
      </c>
      <c r="D412">
        <f t="shared" si="106"/>
        <v>29</v>
      </c>
      <c r="E412" s="9" t="s">
        <v>476</v>
      </c>
      <c r="F412" s="9" t="s">
        <v>465</v>
      </c>
      <c r="G412" s="9" t="s">
        <v>37</v>
      </c>
      <c r="H412">
        <f t="shared" si="96"/>
        <v>1</v>
      </c>
      <c r="I412" s="9"/>
      <c r="J412" s="1">
        <f t="shared" si="97"/>
        <v>32</v>
      </c>
      <c r="K412" s="2">
        <v>40945</v>
      </c>
      <c r="L412" s="2" t="s">
        <v>498</v>
      </c>
      <c r="M412" s="10">
        <f t="shared" si="98"/>
        <v>3.0027397260273974</v>
      </c>
      <c r="N412" s="11">
        <f t="shared" si="99"/>
        <v>0</v>
      </c>
      <c r="O412" s="9" t="s">
        <v>39</v>
      </c>
      <c r="P412" t="str">
        <f t="shared" si="102"/>
        <v>0</v>
      </c>
      <c r="Q412" s="9"/>
      <c r="R412" s="9"/>
      <c r="S412" s="1">
        <f>IF($V412="USD",INDEX('Dólar Spot'!$B:$B,MATCH(Base!$K412,'Dólar Spot'!$A:$A,0)),"")</f>
        <v>1.7242999999999999</v>
      </c>
      <c r="T412" s="12">
        <v>1250000000</v>
      </c>
      <c r="U412" s="13">
        <f t="shared" si="100"/>
        <v>21.553750000000001</v>
      </c>
      <c r="V412" s="9" t="s">
        <v>40</v>
      </c>
      <c r="W412" s="9" t="s">
        <v>35</v>
      </c>
      <c r="X412">
        <f t="shared" si="103"/>
        <v>0</v>
      </c>
      <c r="Y412" s="1" t="str" cm="1">
        <f t="array" ref="Y412">INDEX(Ratings!$B$2:$M$42,_xlfn.XMATCH(Base!F412,Ratings!$A$2:$A$42),_xlfn.XMATCH(YEAR(Base!K412),Ratings!$B$1:$M$1))</f>
        <v>BBB</v>
      </c>
      <c r="Z412">
        <f t="shared" si="104"/>
        <v>1</v>
      </c>
      <c r="AA412">
        <f>IFERROR(IFERROR(IFERROR(INDEX('EMBI+'!$B:$B,MATCH(Base!$K412,'EMBI+'!$A:$A,0)),INDEX('EMBI+'!$B:$B,MATCH(Base!$K412+1,'EMBI+'!$A:$A,0))),INDEX('EMBI+'!$B:$B,MATCH(Base!$K412+2,'EMBI+'!$A:$A,0))),INDEX('EMBI+'!$B:$B,MATCH(Base!$K412+3,'EMBI+'!$A:$A,0)))/100</f>
        <v>2.1</v>
      </c>
      <c r="AB412" s="9">
        <v>3298.3888099999999</v>
      </c>
      <c r="AC412" s="9">
        <v>1555.5469399999999</v>
      </c>
      <c r="AD412" s="9"/>
      <c r="AE412" s="9"/>
      <c r="AF412" s="2"/>
      <c r="AG412" s="2"/>
    </row>
    <row r="413" spans="1:33" x14ac:dyDescent="0.35">
      <c r="A413">
        <f t="shared" si="101"/>
        <v>411</v>
      </c>
      <c r="B413">
        <f>IF(G413="Bonds",COUNTIF($G$3:G413,"Bonds"),0)</f>
        <v>127</v>
      </c>
      <c r="C413" t="str">
        <f t="shared" si="105"/>
        <v>Petrobras4171517/03/2020</v>
      </c>
      <c r="D413">
        <f t="shared" si="106"/>
        <v>29</v>
      </c>
      <c r="E413" s="9" t="s">
        <v>476</v>
      </c>
      <c r="F413" s="9" t="s">
        <v>465</v>
      </c>
      <c r="G413" s="9" t="s">
        <v>37</v>
      </c>
      <c r="H413">
        <f t="shared" si="96"/>
        <v>1</v>
      </c>
      <c r="I413" s="9"/>
      <c r="J413" s="1">
        <f t="shared" si="97"/>
        <v>33</v>
      </c>
      <c r="K413" s="2">
        <v>41715</v>
      </c>
      <c r="L413" s="2" t="s">
        <v>499</v>
      </c>
      <c r="M413" s="10">
        <f t="shared" si="98"/>
        <v>6.0054794520547947</v>
      </c>
      <c r="N413" s="11">
        <f t="shared" si="99"/>
        <v>1</v>
      </c>
      <c r="O413" s="9" t="s">
        <v>39</v>
      </c>
      <c r="P413" t="str">
        <f t="shared" si="102"/>
        <v>0</v>
      </c>
      <c r="Q413" s="9"/>
      <c r="R413" s="9"/>
      <c r="S413" s="1">
        <f>IF($V413="USD",INDEX('Dólar Spot'!$B:$B,MATCH(Base!$K413,'Dólar Spot'!$A:$A,0)),"")</f>
        <v>2.3513000000000002</v>
      </c>
      <c r="T413" s="12">
        <v>1500000000</v>
      </c>
      <c r="U413" s="13">
        <f t="shared" si="100"/>
        <v>35.269500000000008</v>
      </c>
      <c r="V413" s="9" t="s">
        <v>40</v>
      </c>
      <c r="W413" s="9" t="s">
        <v>35</v>
      </c>
      <c r="X413">
        <f t="shared" si="103"/>
        <v>0</v>
      </c>
      <c r="Y413" s="1" t="str" cm="1">
        <f t="array" ref="Y413">INDEX(Ratings!$B$2:$M$42,_xlfn.XMATCH(Base!F413,Ratings!$A$2:$A$42),_xlfn.XMATCH(YEAR(Base!K413),Ratings!$B$1:$M$1))</f>
        <v>BBB</v>
      </c>
      <c r="Z413">
        <f t="shared" si="104"/>
        <v>1</v>
      </c>
      <c r="AA413">
        <f>IFERROR(IFERROR(IFERROR(INDEX('EMBI+'!$B:$B,MATCH(Base!$K413,'EMBI+'!$A:$A,0)),INDEX('EMBI+'!$B:$B,MATCH(Base!$K413+1,'EMBI+'!$A:$A,0))),INDEX('EMBI+'!$B:$B,MATCH(Base!$K413+2,'EMBI+'!$A:$A,0))),INDEX('EMBI+'!$B:$B,MATCH(Base!$K413+3,'EMBI+'!$A:$A,0)))/100</f>
        <v>2.4</v>
      </c>
      <c r="AB413" s="9">
        <v>3544.9059200000002</v>
      </c>
      <c r="AC413" s="9">
        <v>3081.46801</v>
      </c>
      <c r="AD413" s="9"/>
      <c r="AE413" s="9"/>
      <c r="AF413" s="2"/>
      <c r="AG413" s="2"/>
    </row>
    <row r="414" spans="1:33" x14ac:dyDescent="0.35">
      <c r="A414">
        <f t="shared" si="101"/>
        <v>412</v>
      </c>
      <c r="B414">
        <f>IF(G414="Bonds",COUNTIF($G$3:G414,"Bonds"),0)</f>
        <v>0</v>
      </c>
      <c r="C414" t="str">
        <f t="shared" si="105"/>
        <v>Queiroz Galvão4194346572</v>
      </c>
      <c r="D414">
        <f t="shared" si="106"/>
        <v>30</v>
      </c>
      <c r="E414" s="9" t="s">
        <v>500</v>
      </c>
      <c r="F414" s="9" t="s">
        <v>501</v>
      </c>
      <c r="G414" s="9" t="s">
        <v>29</v>
      </c>
      <c r="H414">
        <f t="shared" si="96"/>
        <v>0</v>
      </c>
      <c r="I414" s="9" t="s">
        <v>502</v>
      </c>
      <c r="J414" s="1">
        <f t="shared" si="97"/>
        <v>1</v>
      </c>
      <c r="K414" s="2">
        <v>41943</v>
      </c>
      <c r="L414" s="2">
        <v>46572</v>
      </c>
      <c r="M414" s="10">
        <f t="shared" si="98"/>
        <v>12.682191780821919</v>
      </c>
      <c r="N414" s="11">
        <f t="shared" si="99"/>
        <v>1</v>
      </c>
      <c r="O414" s="9" t="s">
        <v>31</v>
      </c>
      <c r="P414" t="str">
        <f t="shared" si="102"/>
        <v>1</v>
      </c>
      <c r="Q414" s="12">
        <v>200</v>
      </c>
      <c r="R414" s="9">
        <v>1000000</v>
      </c>
      <c r="S414" s="1" t="str">
        <f>IF($V414="USD",INDEX('Dólar Spot'!$B:$B,MATCH(Base!$K414,'Dólar Spot'!$A:$A,0)),"")</f>
        <v/>
      </c>
      <c r="T414" s="11">
        <f t="shared" ref="T414:T423" si="107">Q414*R414</f>
        <v>200000000</v>
      </c>
      <c r="U414" s="13">
        <f t="shared" si="100"/>
        <v>2</v>
      </c>
      <c r="V414" s="9" t="s">
        <v>44</v>
      </c>
      <c r="W414" s="9" t="s">
        <v>34</v>
      </c>
      <c r="X414">
        <f t="shared" si="103"/>
        <v>1</v>
      </c>
      <c r="Y414" s="1" t="str" cm="1">
        <f t="array" ref="Y414">INDEX(Ratings!$B$2:$M$42,_xlfn.XMATCH(Base!F414,Ratings!$A$2:$A$42),_xlfn.XMATCH(YEAR(Base!K414),Ratings!$B$1:$M$1))</f>
        <v>NR</v>
      </c>
      <c r="Z414">
        <f t="shared" si="104"/>
        <v>0</v>
      </c>
      <c r="AA414">
        <f>IFERROR(IFERROR(IFERROR(INDEX('EMBI+'!$B:$B,MATCH(Base!$K414,'EMBI+'!$A:$A,0)),INDEX('EMBI+'!$B:$B,MATCH(Base!$K414+1,'EMBI+'!$A:$A,0))),INDEX('EMBI+'!$B:$B,MATCH(Base!$K414+2,'EMBI+'!$A:$A,0))),INDEX('EMBI+'!$B:$B,MATCH(Base!$K414+3,'EMBI+'!$A:$A,0)))/100</f>
        <v>2.33</v>
      </c>
      <c r="AB414" s="9">
        <v>12.424989999999999</v>
      </c>
      <c r="AC414" s="9">
        <f>1.61888+6.0838</f>
        <v>7.70268</v>
      </c>
      <c r="AD414" s="9"/>
      <c r="AE414" s="9"/>
      <c r="AF414" s="2"/>
      <c r="AG414" s="2"/>
    </row>
    <row r="415" spans="1:33" x14ac:dyDescent="0.35">
      <c r="A415">
        <f t="shared" si="101"/>
        <v>413</v>
      </c>
      <c r="B415">
        <f>IF(G415="Bonds",COUNTIF($G$3:G415,"Bonds"),0)</f>
        <v>0</v>
      </c>
      <c r="C415" t="str">
        <f t="shared" si="105"/>
        <v>Queiroz Galvão4196443060</v>
      </c>
      <c r="D415">
        <f t="shared" si="106"/>
        <v>30</v>
      </c>
      <c r="E415" s="9" t="s">
        <v>503</v>
      </c>
      <c r="F415" s="9" t="s">
        <v>501</v>
      </c>
      <c r="G415" s="9" t="s">
        <v>29</v>
      </c>
      <c r="H415">
        <f t="shared" si="96"/>
        <v>0</v>
      </c>
      <c r="I415" s="9" t="s">
        <v>504</v>
      </c>
      <c r="J415" s="1">
        <f t="shared" si="97"/>
        <v>2</v>
      </c>
      <c r="K415" s="2">
        <v>41964</v>
      </c>
      <c r="L415" s="2">
        <v>43060</v>
      </c>
      <c r="M415" s="10">
        <f t="shared" si="98"/>
        <v>3.0027397260273974</v>
      </c>
      <c r="N415" s="11">
        <f t="shared" si="99"/>
        <v>0</v>
      </c>
      <c r="O415" s="9" t="s">
        <v>47</v>
      </c>
      <c r="P415" t="str">
        <f t="shared" si="102"/>
        <v>0</v>
      </c>
      <c r="Q415" s="12">
        <v>310000</v>
      </c>
      <c r="R415" s="9">
        <v>1000</v>
      </c>
      <c r="S415" s="1" t="str">
        <f>IF($V415="USD",INDEX('Dólar Spot'!$B:$B,MATCH(Base!$K415,'Dólar Spot'!$A:$A,0)),"")</f>
        <v/>
      </c>
      <c r="T415" s="11">
        <f t="shared" si="107"/>
        <v>310000000</v>
      </c>
      <c r="U415" s="13">
        <f t="shared" si="100"/>
        <v>3.1</v>
      </c>
      <c r="V415" s="9" t="s">
        <v>44</v>
      </c>
      <c r="W415" s="9" t="s">
        <v>34</v>
      </c>
      <c r="X415">
        <f t="shared" si="103"/>
        <v>1</v>
      </c>
      <c r="Y415" s="1" t="str" cm="1">
        <f t="array" ref="Y415">INDEX(Ratings!$B$2:$M$42,_xlfn.XMATCH(Base!F415,Ratings!$A$2:$A$42),_xlfn.XMATCH(YEAR(Base!K415),Ratings!$B$1:$M$1))</f>
        <v>NR</v>
      </c>
      <c r="Z415">
        <f t="shared" si="104"/>
        <v>0</v>
      </c>
      <c r="AA415">
        <f>IFERROR(IFERROR(IFERROR(INDEX('EMBI+'!$B:$B,MATCH(Base!$K415,'EMBI+'!$A:$A,0)),INDEX('EMBI+'!$B:$B,MATCH(Base!$K415+1,'EMBI+'!$A:$A,0))),INDEX('EMBI+'!$B:$B,MATCH(Base!$K415+2,'EMBI+'!$A:$A,0))),INDEX('EMBI+'!$B:$B,MATCH(Base!$K415+3,'EMBI+'!$A:$A,0)))/100</f>
        <v>2.37</v>
      </c>
      <c r="AB415" s="9">
        <v>12.424989999999999</v>
      </c>
      <c r="AC415" s="9">
        <f t="shared" ref="AC415:AC419" si="108">1.61888+6.0838</f>
        <v>7.70268</v>
      </c>
      <c r="AD415" s="9"/>
      <c r="AE415" s="9"/>
      <c r="AF415" s="2"/>
      <c r="AG415" s="2"/>
    </row>
    <row r="416" spans="1:33" x14ac:dyDescent="0.35">
      <c r="A416">
        <f t="shared" si="101"/>
        <v>414</v>
      </c>
      <c r="B416">
        <f>IF(G416="Bonds",COUNTIF($G$3:G416,"Bonds"),0)</f>
        <v>0</v>
      </c>
      <c r="C416" t="str">
        <f t="shared" si="105"/>
        <v>Queiroz Galvão4164645110</v>
      </c>
      <c r="D416">
        <f t="shared" si="106"/>
        <v>30</v>
      </c>
      <c r="E416" s="9" t="s">
        <v>505</v>
      </c>
      <c r="F416" s="9" t="s">
        <v>501</v>
      </c>
      <c r="G416" s="9" t="s">
        <v>29</v>
      </c>
      <c r="H416">
        <f t="shared" si="96"/>
        <v>0</v>
      </c>
      <c r="I416" s="9" t="s">
        <v>506</v>
      </c>
      <c r="J416" s="1">
        <f t="shared" si="97"/>
        <v>3</v>
      </c>
      <c r="K416" s="2">
        <v>41646</v>
      </c>
      <c r="L416" s="2">
        <v>45110</v>
      </c>
      <c r="M416" s="10">
        <f t="shared" si="98"/>
        <v>9.4904109589041088</v>
      </c>
      <c r="N416" s="11">
        <f t="shared" si="99"/>
        <v>1</v>
      </c>
      <c r="O416" s="9" t="s">
        <v>31</v>
      </c>
      <c r="P416" t="str">
        <f t="shared" si="102"/>
        <v>1</v>
      </c>
      <c r="Q416" s="12">
        <v>9550</v>
      </c>
      <c r="R416" s="9">
        <v>10000</v>
      </c>
      <c r="S416" s="1" t="str">
        <f>IF($V416="USD",INDEX('Dólar Spot'!$B:$B,MATCH(Base!$K416,'Dólar Spot'!$A:$A,0)),"")</f>
        <v/>
      </c>
      <c r="T416" s="11">
        <f t="shared" si="107"/>
        <v>95500000</v>
      </c>
      <c r="U416" s="13">
        <f t="shared" si="100"/>
        <v>0.95499999999999996</v>
      </c>
      <c r="V416" s="9" t="s">
        <v>44</v>
      </c>
      <c r="W416" s="9" t="s">
        <v>34</v>
      </c>
      <c r="X416">
        <f t="shared" si="103"/>
        <v>1</v>
      </c>
      <c r="Y416" s="1" t="str" cm="1">
        <f t="array" ref="Y416">INDEX(Ratings!$B$2:$M$42,_xlfn.XMATCH(Base!F416,Ratings!$A$2:$A$42),_xlfn.XMATCH(YEAR(Base!K416),Ratings!$B$1:$M$1))</f>
        <v>NR</v>
      </c>
      <c r="Z416">
        <f t="shared" si="104"/>
        <v>0</v>
      </c>
      <c r="AA416">
        <f>IFERROR(IFERROR(IFERROR(INDEX('EMBI+'!$B:$B,MATCH(Base!$K416,'EMBI+'!$A:$A,0)),INDEX('EMBI+'!$B:$B,MATCH(Base!$K416+1,'EMBI+'!$A:$A,0))),INDEX('EMBI+'!$B:$B,MATCH(Base!$K416+2,'EMBI+'!$A:$A,0))),INDEX('EMBI+'!$B:$B,MATCH(Base!$K416+3,'EMBI+'!$A:$A,0)))/100</f>
        <v>2.4500000000000002</v>
      </c>
      <c r="AB416" s="9">
        <v>12.424989999999999</v>
      </c>
      <c r="AC416" s="9">
        <f t="shared" si="108"/>
        <v>7.70268</v>
      </c>
      <c r="AD416" s="9"/>
      <c r="AE416" s="9"/>
      <c r="AF416" s="2"/>
      <c r="AG416" s="2"/>
    </row>
    <row r="417" spans="1:33" x14ac:dyDescent="0.35">
      <c r="A417">
        <f t="shared" si="101"/>
        <v>415</v>
      </c>
      <c r="B417">
        <f>IF(G417="Bonds",COUNTIF($G$3:G417,"Bonds"),0)</f>
        <v>0</v>
      </c>
      <c r="C417" t="str">
        <f t="shared" si="105"/>
        <v>Queiroz Galvão4178943069</v>
      </c>
      <c r="D417">
        <f t="shared" si="106"/>
        <v>30</v>
      </c>
      <c r="E417" s="9" t="s">
        <v>505</v>
      </c>
      <c r="F417" s="9" t="s">
        <v>501</v>
      </c>
      <c r="G417" s="9" t="s">
        <v>29</v>
      </c>
      <c r="H417">
        <f t="shared" si="96"/>
        <v>0</v>
      </c>
      <c r="I417" s="9" t="s">
        <v>507</v>
      </c>
      <c r="J417" s="1">
        <f t="shared" si="97"/>
        <v>4</v>
      </c>
      <c r="K417" s="2">
        <v>41789</v>
      </c>
      <c r="L417" s="2">
        <v>43069</v>
      </c>
      <c r="M417" s="10">
        <f t="shared" si="98"/>
        <v>3.506849315068493</v>
      </c>
      <c r="N417" s="11">
        <f t="shared" si="99"/>
        <v>0</v>
      </c>
      <c r="O417" s="9" t="s">
        <v>47</v>
      </c>
      <c r="P417" t="str">
        <f t="shared" si="102"/>
        <v>0</v>
      </c>
      <c r="Q417" s="12">
        <v>10000</v>
      </c>
      <c r="R417" s="9">
        <v>10000</v>
      </c>
      <c r="S417" s="1" t="str">
        <f>IF($V417="USD",INDEX('Dólar Spot'!$B:$B,MATCH(Base!$K417,'Dólar Spot'!$A:$A,0)),"")</f>
        <v/>
      </c>
      <c r="T417" s="11">
        <f t="shared" si="107"/>
        <v>100000000</v>
      </c>
      <c r="U417" s="13">
        <f t="shared" si="100"/>
        <v>1</v>
      </c>
      <c r="V417" s="9" t="s">
        <v>44</v>
      </c>
      <c r="W417" s="9" t="s">
        <v>34</v>
      </c>
      <c r="X417">
        <f t="shared" si="103"/>
        <v>1</v>
      </c>
      <c r="Y417" s="1" t="str" cm="1">
        <f t="array" ref="Y417">INDEX(Ratings!$B$2:$M$42,_xlfn.XMATCH(Base!F417,Ratings!$A$2:$A$42),_xlfn.XMATCH(YEAR(Base!K417),Ratings!$B$1:$M$1))</f>
        <v>NR</v>
      </c>
      <c r="Z417">
        <f t="shared" si="104"/>
        <v>0</v>
      </c>
      <c r="AA417">
        <f>IFERROR(IFERROR(IFERROR(INDEX('EMBI+'!$B:$B,MATCH(Base!$K417,'EMBI+'!$A:$A,0)),INDEX('EMBI+'!$B:$B,MATCH(Base!$K417+1,'EMBI+'!$A:$A,0))),INDEX('EMBI+'!$B:$B,MATCH(Base!$K417+2,'EMBI+'!$A:$A,0))),INDEX('EMBI+'!$B:$B,MATCH(Base!$K417+3,'EMBI+'!$A:$A,0)))/100</f>
        <v>2.08</v>
      </c>
      <c r="AB417" s="9">
        <v>12.424989999999999</v>
      </c>
      <c r="AC417" s="9">
        <f t="shared" si="108"/>
        <v>7.70268</v>
      </c>
      <c r="AD417" s="9"/>
      <c r="AE417" s="9"/>
      <c r="AF417" s="2"/>
      <c r="AG417" s="2"/>
    </row>
    <row r="418" spans="1:33" x14ac:dyDescent="0.35">
      <c r="A418">
        <f t="shared" si="101"/>
        <v>416</v>
      </c>
      <c r="B418">
        <f>IF(G418="Bonds",COUNTIF($G$3:G418,"Bonds"),0)</f>
        <v>0</v>
      </c>
      <c r="C418" t="str">
        <f t="shared" si="105"/>
        <v>Queiroz Galvão4109545110</v>
      </c>
      <c r="D418">
        <f t="shared" si="106"/>
        <v>30</v>
      </c>
      <c r="E418" s="9" t="s">
        <v>505</v>
      </c>
      <c r="F418" s="9" t="s">
        <v>501</v>
      </c>
      <c r="G418" s="9" t="s">
        <v>29</v>
      </c>
      <c r="H418">
        <f t="shared" si="96"/>
        <v>0</v>
      </c>
      <c r="I418" s="9" t="s">
        <v>508</v>
      </c>
      <c r="J418" s="1">
        <f t="shared" si="97"/>
        <v>5</v>
      </c>
      <c r="K418" s="2">
        <v>41095</v>
      </c>
      <c r="L418" s="2">
        <v>45110</v>
      </c>
      <c r="M418" s="10">
        <f t="shared" si="98"/>
        <v>11</v>
      </c>
      <c r="N418" s="11">
        <f t="shared" si="99"/>
        <v>1</v>
      </c>
      <c r="O418" s="9" t="s">
        <v>31</v>
      </c>
      <c r="P418" t="str">
        <f t="shared" si="102"/>
        <v>1</v>
      </c>
      <c r="Q418" s="12">
        <v>170</v>
      </c>
      <c r="R418" s="9">
        <v>1000000</v>
      </c>
      <c r="S418" s="1" t="str">
        <f>IF($V418="USD",INDEX('Dólar Spot'!$B:$B,MATCH(Base!$K418,'Dólar Spot'!$A:$A,0)),"")</f>
        <v/>
      </c>
      <c r="T418" s="11">
        <f t="shared" si="107"/>
        <v>170000000</v>
      </c>
      <c r="U418" s="13">
        <f t="shared" si="100"/>
        <v>1.7</v>
      </c>
      <c r="V418" s="9" t="s">
        <v>44</v>
      </c>
      <c r="W418" s="9" t="s">
        <v>34</v>
      </c>
      <c r="X418">
        <f t="shared" si="103"/>
        <v>1</v>
      </c>
      <c r="Y418" s="1" t="str" cm="1">
        <f t="array" ref="Y418">INDEX(Ratings!$B$2:$M$42,_xlfn.XMATCH(Base!F418,Ratings!$A$2:$A$42),_xlfn.XMATCH(YEAR(Base!K418),Ratings!$B$1:$M$1))</f>
        <v>NR</v>
      </c>
      <c r="Z418">
        <f t="shared" si="104"/>
        <v>0</v>
      </c>
      <c r="AA418">
        <f>IFERROR(IFERROR(IFERROR(INDEX('EMBI+'!$B:$B,MATCH(Base!$K418,'EMBI+'!$A:$A,0)),INDEX('EMBI+'!$B:$B,MATCH(Base!$K418+1,'EMBI+'!$A:$A,0))),INDEX('EMBI+'!$B:$B,MATCH(Base!$K418+2,'EMBI+'!$A:$A,0))),INDEX('EMBI+'!$B:$B,MATCH(Base!$K418+3,'EMBI+'!$A:$A,0)))/100</f>
        <v>2.0499999999999998</v>
      </c>
      <c r="AB418" s="9">
        <v>12.424989999999999</v>
      </c>
      <c r="AC418" s="9">
        <f t="shared" si="108"/>
        <v>7.70268</v>
      </c>
      <c r="AD418" s="9"/>
      <c r="AE418" s="9"/>
      <c r="AF418" s="2"/>
      <c r="AG418" s="2"/>
    </row>
    <row r="419" spans="1:33" x14ac:dyDescent="0.35">
      <c r="A419">
        <f t="shared" si="101"/>
        <v>417</v>
      </c>
      <c r="B419">
        <f>IF(G419="Bonds",COUNTIF($G$3:G419,"Bonds"),0)</f>
        <v>0</v>
      </c>
      <c r="C419" t="str">
        <f t="shared" si="105"/>
        <v>Queiroz Galvão4164643472</v>
      </c>
      <c r="D419">
        <f t="shared" si="106"/>
        <v>30</v>
      </c>
      <c r="E419" s="9" t="s">
        <v>505</v>
      </c>
      <c r="F419" s="9" t="s">
        <v>501</v>
      </c>
      <c r="G419" s="9" t="s">
        <v>29</v>
      </c>
      <c r="H419">
        <f t="shared" si="96"/>
        <v>0</v>
      </c>
      <c r="I419" s="9" t="s">
        <v>509</v>
      </c>
      <c r="J419" s="1">
        <f t="shared" si="97"/>
        <v>6</v>
      </c>
      <c r="K419" s="2">
        <v>41646</v>
      </c>
      <c r="L419" s="2">
        <v>43472</v>
      </c>
      <c r="M419" s="10">
        <f t="shared" si="98"/>
        <v>5.0027397260273974</v>
      </c>
      <c r="N419" s="11">
        <f t="shared" si="99"/>
        <v>1</v>
      </c>
      <c r="O419" s="9" t="s">
        <v>31</v>
      </c>
      <c r="P419" t="str">
        <f t="shared" si="102"/>
        <v>1</v>
      </c>
      <c r="Q419" s="12">
        <v>10000</v>
      </c>
      <c r="R419" s="9">
        <v>10000</v>
      </c>
      <c r="S419" s="1" t="str">
        <f>IF($V419="USD",INDEX('Dólar Spot'!$B:$B,MATCH(Base!$K419,'Dólar Spot'!$A:$A,0)),"")</f>
        <v/>
      </c>
      <c r="T419" s="11">
        <f t="shared" si="107"/>
        <v>100000000</v>
      </c>
      <c r="U419" s="13">
        <f t="shared" si="100"/>
        <v>1</v>
      </c>
      <c r="V419" s="9" t="s">
        <v>44</v>
      </c>
      <c r="W419" s="9" t="s">
        <v>34</v>
      </c>
      <c r="X419">
        <f t="shared" si="103"/>
        <v>1</v>
      </c>
      <c r="Y419" s="1" t="str" cm="1">
        <f t="array" ref="Y419">INDEX(Ratings!$B$2:$M$42,_xlfn.XMATCH(Base!F419,Ratings!$A$2:$A$42),_xlfn.XMATCH(YEAR(Base!K419),Ratings!$B$1:$M$1))</f>
        <v>NR</v>
      </c>
      <c r="Z419">
        <f t="shared" si="104"/>
        <v>0</v>
      </c>
      <c r="AA419">
        <f>IFERROR(IFERROR(IFERROR(INDEX('EMBI+'!$B:$B,MATCH(Base!$K419,'EMBI+'!$A:$A,0)),INDEX('EMBI+'!$B:$B,MATCH(Base!$K419+1,'EMBI+'!$A:$A,0))),INDEX('EMBI+'!$B:$B,MATCH(Base!$K419+2,'EMBI+'!$A:$A,0))),INDEX('EMBI+'!$B:$B,MATCH(Base!$K419+3,'EMBI+'!$A:$A,0)))/100</f>
        <v>2.4500000000000002</v>
      </c>
      <c r="AB419" s="9">
        <v>12.424989999999999</v>
      </c>
      <c r="AC419" s="9">
        <f t="shared" si="108"/>
        <v>7.70268</v>
      </c>
      <c r="AD419" s="9"/>
      <c r="AE419" s="9"/>
      <c r="AF419" s="2"/>
      <c r="AG419" s="2"/>
    </row>
    <row r="420" spans="1:33" x14ac:dyDescent="0.35">
      <c r="A420">
        <f t="shared" si="101"/>
        <v>418</v>
      </c>
      <c r="B420">
        <f>IF(G420="Bonds",COUNTIF($G$3:G420,"Bonds"),0)</f>
        <v>0</v>
      </c>
      <c r="C420" t="str">
        <f t="shared" si="105"/>
        <v>Queiroz Galvão4364946572</v>
      </c>
      <c r="D420">
        <f t="shared" si="106"/>
        <v>30</v>
      </c>
      <c r="E420" s="9" t="s">
        <v>510</v>
      </c>
      <c r="F420" s="9" t="s">
        <v>501</v>
      </c>
      <c r="G420" s="9" t="s">
        <v>29</v>
      </c>
      <c r="H420">
        <f t="shared" si="96"/>
        <v>0</v>
      </c>
      <c r="I420" s="9" t="s">
        <v>511</v>
      </c>
      <c r="J420" s="1">
        <f t="shared" si="97"/>
        <v>7</v>
      </c>
      <c r="K420" s="2">
        <v>43649</v>
      </c>
      <c r="L420" s="2">
        <v>46572</v>
      </c>
      <c r="M420" s="10">
        <f t="shared" si="98"/>
        <v>8.0082191780821912</v>
      </c>
      <c r="N420" s="11">
        <f t="shared" si="99"/>
        <v>1</v>
      </c>
      <c r="O420" s="9" t="s">
        <v>47</v>
      </c>
      <c r="P420" t="str">
        <f t="shared" si="102"/>
        <v>0</v>
      </c>
      <c r="Q420" s="12">
        <v>1600000000</v>
      </c>
      <c r="R420" s="9">
        <v>1</v>
      </c>
      <c r="S420" s="1" t="str">
        <f>IF($V420="USD",INDEX('Dólar Spot'!$B:$B,MATCH(Base!$K420,'Dólar Spot'!$A:$A,0)),"")</f>
        <v/>
      </c>
      <c r="T420" s="11">
        <f t="shared" si="107"/>
        <v>1600000000</v>
      </c>
      <c r="U420" s="13">
        <f t="shared" si="100"/>
        <v>16</v>
      </c>
      <c r="V420" s="9" t="s">
        <v>44</v>
      </c>
      <c r="W420" s="9" t="s">
        <v>34</v>
      </c>
      <c r="X420">
        <f t="shared" si="103"/>
        <v>1</v>
      </c>
      <c r="Y420" s="1" t="str" cm="1">
        <f t="array" ref="Y420">INDEX(Ratings!$B$2:$M$42,_xlfn.XMATCH(Base!F420,Ratings!$A$2:$A$42),_xlfn.XMATCH(YEAR(Base!K420),Ratings!$B$1:$M$1))</f>
        <v>NR</v>
      </c>
      <c r="Z420">
        <f t="shared" si="104"/>
        <v>0</v>
      </c>
      <c r="AA420">
        <f>IFERROR(IFERROR(IFERROR(INDEX('EMBI+'!$B:$B,MATCH(Base!$K420,'EMBI+'!$A:$A,0)),INDEX('EMBI+'!$B:$B,MATCH(Base!$K420+1,'EMBI+'!$A:$A,0))),INDEX('EMBI+'!$B:$B,MATCH(Base!$K420+2,'EMBI+'!$A:$A,0))),INDEX('EMBI+'!$B:$B,MATCH(Base!$K420+3,'EMBI+'!$A:$A,0)))/100</f>
        <v>2.38</v>
      </c>
      <c r="AB420" s="9">
        <v>28.146139999999999</v>
      </c>
      <c r="AC420" s="9">
        <f>11.53315+59.52456</f>
        <v>71.05771</v>
      </c>
      <c r="AD420" s="9"/>
      <c r="AE420" s="9"/>
      <c r="AF420" s="2"/>
      <c r="AG420" s="2"/>
    </row>
    <row r="421" spans="1:33" x14ac:dyDescent="0.35">
      <c r="A421">
        <f t="shared" si="101"/>
        <v>419</v>
      </c>
      <c r="B421">
        <f>IF(G421="Bonds",COUNTIF($G$3:G421,"Bonds"),0)</f>
        <v>0</v>
      </c>
      <c r="C421" t="str">
        <f t="shared" si="105"/>
        <v>Queiroz Galvão4364946572</v>
      </c>
      <c r="D421">
        <f t="shared" si="106"/>
        <v>30</v>
      </c>
      <c r="E421" s="9" t="s">
        <v>510</v>
      </c>
      <c r="F421" s="9" t="s">
        <v>501</v>
      </c>
      <c r="G421" s="9" t="s">
        <v>29</v>
      </c>
      <c r="H421">
        <f t="shared" si="96"/>
        <v>0</v>
      </c>
      <c r="I421" s="9" t="s">
        <v>512</v>
      </c>
      <c r="J421" s="1">
        <f t="shared" si="97"/>
        <v>8</v>
      </c>
      <c r="K421" s="2">
        <v>43649</v>
      </c>
      <c r="L421" s="2">
        <v>46572</v>
      </c>
      <c r="M421" s="10">
        <f t="shared" si="98"/>
        <v>8.0082191780821912</v>
      </c>
      <c r="N421" s="11">
        <f t="shared" si="99"/>
        <v>1</v>
      </c>
      <c r="O421" s="9" t="s">
        <v>47</v>
      </c>
      <c r="P421" t="str">
        <f t="shared" si="102"/>
        <v>0</v>
      </c>
      <c r="Q421" s="12">
        <v>450000000</v>
      </c>
      <c r="R421" s="9">
        <v>1</v>
      </c>
      <c r="S421" s="1" t="str">
        <f>IF($V421="USD",INDEX('Dólar Spot'!$B:$B,MATCH(Base!$K421,'Dólar Spot'!$A:$A,0)),"")</f>
        <v/>
      </c>
      <c r="T421" s="11">
        <f t="shared" si="107"/>
        <v>450000000</v>
      </c>
      <c r="U421" s="13">
        <f t="shared" si="100"/>
        <v>4.5</v>
      </c>
      <c r="V421" s="9" t="s">
        <v>44</v>
      </c>
      <c r="W421" s="9" t="s">
        <v>34</v>
      </c>
      <c r="X421">
        <f t="shared" si="103"/>
        <v>1</v>
      </c>
      <c r="Y421" s="1" t="str" cm="1">
        <f t="array" ref="Y421">INDEX(Ratings!$B$2:$M$42,_xlfn.XMATCH(Base!F421,Ratings!$A$2:$A$42),_xlfn.XMATCH(YEAR(Base!K421),Ratings!$B$1:$M$1))</f>
        <v>NR</v>
      </c>
      <c r="Z421">
        <f t="shared" si="104"/>
        <v>0</v>
      </c>
      <c r="AA421">
        <f>IFERROR(IFERROR(IFERROR(INDEX('EMBI+'!$B:$B,MATCH(Base!$K421,'EMBI+'!$A:$A,0)),INDEX('EMBI+'!$B:$B,MATCH(Base!$K421+1,'EMBI+'!$A:$A,0))),INDEX('EMBI+'!$B:$B,MATCH(Base!$K421+2,'EMBI+'!$A:$A,0))),INDEX('EMBI+'!$B:$B,MATCH(Base!$K421+3,'EMBI+'!$A:$A,0)))/100</f>
        <v>2.38</v>
      </c>
      <c r="AB421" s="9">
        <v>28.146139999999999</v>
      </c>
      <c r="AC421" s="9">
        <f>11.53315+59.52456</f>
        <v>71.05771</v>
      </c>
      <c r="AD421" s="9"/>
      <c r="AE421" s="9"/>
      <c r="AF421" s="2"/>
      <c r="AG421" s="2"/>
    </row>
    <row r="422" spans="1:33" x14ac:dyDescent="0.35">
      <c r="A422">
        <f t="shared" si="101"/>
        <v>420</v>
      </c>
      <c r="B422">
        <f>IF(G422="Bonds",COUNTIF($G$3:G422,"Bonds"),0)</f>
        <v>0</v>
      </c>
      <c r="C422" t="str">
        <f t="shared" si="105"/>
        <v>Queiroz Galvão4324543335</v>
      </c>
      <c r="D422">
        <f t="shared" si="106"/>
        <v>30</v>
      </c>
      <c r="E422" s="9" t="s">
        <v>510</v>
      </c>
      <c r="F422" s="9" t="s">
        <v>501</v>
      </c>
      <c r="G422" s="9" t="s">
        <v>29</v>
      </c>
      <c r="H422">
        <f t="shared" si="96"/>
        <v>0</v>
      </c>
      <c r="I422" s="9" t="s">
        <v>513</v>
      </c>
      <c r="J422" s="1">
        <f t="shared" si="97"/>
        <v>9</v>
      </c>
      <c r="K422" s="2">
        <v>43245</v>
      </c>
      <c r="L422" s="2">
        <v>43335</v>
      </c>
      <c r="M422" s="10">
        <f t="shared" si="98"/>
        <v>0.24657534246575341</v>
      </c>
      <c r="N422" s="11">
        <f t="shared" si="99"/>
        <v>0</v>
      </c>
      <c r="O422" s="9" t="s">
        <v>47</v>
      </c>
      <c r="P422" t="str">
        <f t="shared" si="102"/>
        <v>0</v>
      </c>
      <c r="Q422" s="12">
        <v>11000</v>
      </c>
      <c r="R422" s="9">
        <v>7724.4218570000003</v>
      </c>
      <c r="S422" s="1" t="str">
        <f>IF($V422="USD",INDEX('Dólar Spot'!$B:$B,MATCH(Base!$K422,'Dólar Spot'!$A:$A,0)),"")</f>
        <v/>
      </c>
      <c r="T422" s="11">
        <f t="shared" si="107"/>
        <v>84968640.427000001</v>
      </c>
      <c r="U422" s="13">
        <f t="shared" si="100"/>
        <v>0.84968640426999997</v>
      </c>
      <c r="V422" s="9" t="s">
        <v>44</v>
      </c>
      <c r="W422" s="9" t="s">
        <v>34</v>
      </c>
      <c r="X422">
        <f t="shared" si="103"/>
        <v>1</v>
      </c>
      <c r="Y422" s="1" t="str" cm="1">
        <f t="array" ref="Y422">INDEX(Ratings!$B$2:$M$42,_xlfn.XMATCH(Base!F422,Ratings!$A$2:$A$42),_xlfn.XMATCH(YEAR(Base!K422),Ratings!$B$1:$M$1))</f>
        <v>NR</v>
      </c>
      <c r="Z422">
        <f t="shared" si="104"/>
        <v>0</v>
      </c>
      <c r="AA422">
        <f>IFERROR(IFERROR(IFERROR(INDEX('EMBI+'!$B:$B,MATCH(Base!$K422,'EMBI+'!$A:$A,0)),INDEX('EMBI+'!$B:$B,MATCH(Base!$K422+1,'EMBI+'!$A:$A,0))),INDEX('EMBI+'!$B:$B,MATCH(Base!$K422+2,'EMBI+'!$A:$A,0))),INDEX('EMBI+'!$B:$B,MATCH(Base!$K422+3,'EMBI+'!$A:$A,0)))/100</f>
        <v>2.71</v>
      </c>
      <c r="AB422" s="9">
        <v>12.424989999999999</v>
      </c>
      <c r="AC422" s="9">
        <f t="shared" ref="AC422:AC424" si="109">1.61888+6.0838</f>
        <v>7.70268</v>
      </c>
      <c r="AD422" s="9"/>
      <c r="AE422" s="9"/>
      <c r="AF422" s="2"/>
      <c r="AG422" s="2"/>
    </row>
    <row r="423" spans="1:33" x14ac:dyDescent="0.35">
      <c r="A423">
        <f t="shared" si="101"/>
        <v>421</v>
      </c>
      <c r="B423">
        <f>IF(G423="Bonds",COUNTIF($G$3:G423,"Bonds"),0)</f>
        <v>0</v>
      </c>
      <c r="C423" t="str">
        <f t="shared" si="105"/>
        <v>Queiroz Galvão4364946572</v>
      </c>
      <c r="D423">
        <f t="shared" si="106"/>
        <v>30</v>
      </c>
      <c r="E423" s="9" t="s">
        <v>510</v>
      </c>
      <c r="F423" s="9" t="s">
        <v>501</v>
      </c>
      <c r="G423" s="9" t="s">
        <v>29</v>
      </c>
      <c r="H423">
        <f t="shared" si="96"/>
        <v>0</v>
      </c>
      <c r="I423" s="9" t="s">
        <v>514</v>
      </c>
      <c r="J423" s="1">
        <f t="shared" si="97"/>
        <v>10</v>
      </c>
      <c r="K423" s="2">
        <v>43649</v>
      </c>
      <c r="L423" s="2">
        <v>46572</v>
      </c>
      <c r="M423" s="10">
        <f t="shared" si="98"/>
        <v>8.0082191780821912</v>
      </c>
      <c r="N423" s="11">
        <f t="shared" si="99"/>
        <v>1</v>
      </c>
      <c r="O423" s="9" t="s">
        <v>47</v>
      </c>
      <c r="P423" t="str">
        <f t="shared" si="102"/>
        <v>0</v>
      </c>
      <c r="Q423" s="12">
        <v>50000000</v>
      </c>
      <c r="R423" s="9">
        <v>1</v>
      </c>
      <c r="S423" s="1" t="str">
        <f>IF($V423="USD",INDEX('Dólar Spot'!$B:$B,MATCH(Base!$K423,'Dólar Spot'!$A:$A,0)),"")</f>
        <v/>
      </c>
      <c r="T423" s="11">
        <f t="shared" si="107"/>
        <v>50000000</v>
      </c>
      <c r="U423" s="13">
        <f t="shared" si="100"/>
        <v>0.5</v>
      </c>
      <c r="V423" s="9" t="s">
        <v>44</v>
      </c>
      <c r="W423" s="9" t="s">
        <v>34</v>
      </c>
      <c r="X423">
        <f t="shared" si="103"/>
        <v>1</v>
      </c>
      <c r="Y423" s="1" t="str" cm="1">
        <f t="array" ref="Y423">INDEX(Ratings!$B$2:$M$42,_xlfn.XMATCH(Base!F423,Ratings!$A$2:$A$42),_xlfn.XMATCH(YEAR(Base!K423),Ratings!$B$1:$M$1))</f>
        <v>NR</v>
      </c>
      <c r="Z423">
        <f t="shared" si="104"/>
        <v>0</v>
      </c>
      <c r="AA423">
        <f>IFERROR(IFERROR(IFERROR(INDEX('EMBI+'!$B:$B,MATCH(Base!$K423,'EMBI+'!$A:$A,0)),INDEX('EMBI+'!$B:$B,MATCH(Base!$K423+1,'EMBI+'!$A:$A,0))),INDEX('EMBI+'!$B:$B,MATCH(Base!$K423+2,'EMBI+'!$A:$A,0))),INDEX('EMBI+'!$B:$B,MATCH(Base!$K423+3,'EMBI+'!$A:$A,0)))/100</f>
        <v>2.38</v>
      </c>
      <c r="AB423" s="9">
        <v>28.146139999999999</v>
      </c>
      <c r="AC423" s="9">
        <f>11.53315+59.52456</f>
        <v>71.05771</v>
      </c>
      <c r="AD423" s="9"/>
      <c r="AE423" s="9"/>
      <c r="AF423" s="2"/>
      <c r="AG423" s="2"/>
    </row>
    <row r="424" spans="1:33" x14ac:dyDescent="0.35">
      <c r="A424">
        <f t="shared" si="101"/>
        <v>422</v>
      </c>
      <c r="B424">
        <f>IF(G424="Bonds",COUNTIF($G$3:G424,"Bonds"),0)</f>
        <v>128</v>
      </c>
      <c r="C424" t="str">
        <f t="shared" si="105"/>
        <v>Queiroz Galvão4075130/07/2018</v>
      </c>
      <c r="D424">
        <f t="shared" si="106"/>
        <v>30</v>
      </c>
      <c r="E424" s="9" t="s">
        <v>515</v>
      </c>
      <c r="F424" s="9" t="s">
        <v>501</v>
      </c>
      <c r="G424" s="9" t="s">
        <v>37</v>
      </c>
      <c r="H424">
        <f t="shared" si="96"/>
        <v>1</v>
      </c>
      <c r="I424" s="9"/>
      <c r="J424" s="1">
        <f t="shared" si="97"/>
        <v>11</v>
      </c>
      <c r="K424" s="2">
        <v>40751</v>
      </c>
      <c r="L424" s="2" t="s">
        <v>516</v>
      </c>
      <c r="M424" s="10">
        <f t="shared" si="98"/>
        <v>7.0136986301369859</v>
      </c>
      <c r="N424" s="11">
        <f t="shared" si="99"/>
        <v>1</v>
      </c>
      <c r="O424" s="9" t="s">
        <v>98</v>
      </c>
      <c r="P424" t="str">
        <f t="shared" si="102"/>
        <v>1</v>
      </c>
      <c r="Q424" s="9"/>
      <c r="R424" s="9"/>
      <c r="S424" s="1">
        <f>IF($V424="USD",INDEX('Dólar Spot'!$B:$B,MATCH(Base!$K424,'Dólar Spot'!$A:$A,0)),"")</f>
        <v>1.5630999999999999</v>
      </c>
      <c r="T424" s="12">
        <v>700000000</v>
      </c>
      <c r="U424" s="13">
        <f t="shared" si="100"/>
        <v>10.941700000000001</v>
      </c>
      <c r="V424" s="9" t="s">
        <v>40</v>
      </c>
      <c r="W424" s="9" t="s">
        <v>34</v>
      </c>
      <c r="X424">
        <f t="shared" si="103"/>
        <v>1</v>
      </c>
      <c r="Y424" s="1" t="str" cm="1">
        <f t="array" ref="Y424">INDEX(Ratings!$B$2:$M$42,_xlfn.XMATCH(Base!F424,Ratings!$A$2:$A$42),_xlfn.XMATCH(YEAR(Base!K424),Ratings!$B$1:$M$1))</f>
        <v>NR</v>
      </c>
      <c r="Z424">
        <f t="shared" si="104"/>
        <v>0</v>
      </c>
      <c r="AA424">
        <f>IFERROR(IFERROR(IFERROR(INDEX('EMBI+'!$B:$B,MATCH(Base!$K424,'EMBI+'!$A:$A,0)),INDEX('EMBI+'!$B:$B,MATCH(Base!$K424+1,'EMBI+'!$A:$A,0))),INDEX('EMBI+'!$B:$B,MATCH(Base!$K424+2,'EMBI+'!$A:$A,0))),INDEX('EMBI+'!$B:$B,MATCH(Base!$K424+3,'EMBI+'!$A:$A,0)))/100</f>
        <v>1.56</v>
      </c>
      <c r="AB424" s="9">
        <v>12.424989999999999</v>
      </c>
      <c r="AC424" s="9">
        <f t="shared" si="109"/>
        <v>7.70268</v>
      </c>
      <c r="AD424" s="9"/>
      <c r="AE424" s="9"/>
      <c r="AF424" s="2"/>
      <c r="AG424" s="2"/>
    </row>
    <row r="425" spans="1:33" x14ac:dyDescent="0.35">
      <c r="A425">
        <f t="shared" si="101"/>
        <v>423</v>
      </c>
      <c r="B425">
        <f>IF(G425="Bonds",COUNTIF($G$3:G425,"Bonds"),0)</f>
        <v>0</v>
      </c>
      <c r="C425" t="str">
        <f t="shared" si="105"/>
        <v>Raizen4156243388</v>
      </c>
      <c r="D425">
        <f t="shared" si="106"/>
        <v>31</v>
      </c>
      <c r="E425" s="9" t="s">
        <v>517</v>
      </c>
      <c r="F425" s="9" t="s">
        <v>518</v>
      </c>
      <c r="G425" s="9" t="s">
        <v>29</v>
      </c>
      <c r="H425">
        <f t="shared" si="96"/>
        <v>0</v>
      </c>
      <c r="I425" s="9" t="s">
        <v>519</v>
      </c>
      <c r="J425" s="1">
        <f t="shared" si="97"/>
        <v>1</v>
      </c>
      <c r="K425" s="2">
        <v>41562</v>
      </c>
      <c r="L425" s="2">
        <v>43388</v>
      </c>
      <c r="M425" s="10">
        <f t="shared" si="98"/>
        <v>5.0027397260273974</v>
      </c>
      <c r="N425" s="11">
        <f t="shared" si="99"/>
        <v>1</v>
      </c>
      <c r="O425" s="9" t="s">
        <v>47</v>
      </c>
      <c r="P425" t="str">
        <f t="shared" si="102"/>
        <v>0</v>
      </c>
      <c r="Q425" s="12">
        <v>105975</v>
      </c>
      <c r="R425" s="9">
        <v>1000</v>
      </c>
      <c r="S425" s="1" t="str">
        <f>IF($V425="USD",INDEX('Dólar Spot'!$B:$B,MATCH(Base!$K425,'Dólar Spot'!$A:$A,0)),"")</f>
        <v/>
      </c>
      <c r="T425" s="11">
        <f>Q425*R425</f>
        <v>105975000</v>
      </c>
      <c r="U425" s="13">
        <f t="shared" si="100"/>
        <v>1.05975</v>
      </c>
      <c r="V425" s="9" t="s">
        <v>44</v>
      </c>
      <c r="W425" s="9" t="s">
        <v>34</v>
      </c>
      <c r="X425">
        <f t="shared" si="103"/>
        <v>1</v>
      </c>
      <c r="Y425" s="1" t="str" cm="1">
        <f t="array" ref="Y425">INDEX(Ratings!$B$2:$M$42,_xlfn.XMATCH(Base!F425,Ratings!$A$2:$A$42),_xlfn.XMATCH(YEAR(Base!K425),Ratings!$B$1:$M$1))</f>
        <v>BBB</v>
      </c>
      <c r="Z425">
        <f t="shared" si="104"/>
        <v>1</v>
      </c>
      <c r="AA425">
        <f>IFERROR(IFERROR(IFERROR(INDEX('EMBI+'!$B:$B,MATCH(Base!$K425,'EMBI+'!$A:$A,0)),INDEX('EMBI+'!$B:$B,MATCH(Base!$K425+1,'EMBI+'!$A:$A,0))),INDEX('EMBI+'!$B:$B,MATCH(Base!$K425+2,'EMBI+'!$A:$A,0))),INDEX('EMBI+'!$B:$B,MATCH(Base!$K425+3,'EMBI+'!$A:$A,0)))/100</f>
        <v>2.0699999999999998</v>
      </c>
      <c r="AB425" s="9">
        <v>109.28422999999999</v>
      </c>
      <c r="AC425" s="9">
        <f>10.99308+55.83725</f>
        <v>66.830330000000004</v>
      </c>
      <c r="AD425" s="9"/>
      <c r="AE425" s="9"/>
      <c r="AF425" s="2"/>
      <c r="AG425" s="2"/>
    </row>
    <row r="426" spans="1:33" x14ac:dyDescent="0.35">
      <c r="A426">
        <f t="shared" si="101"/>
        <v>424</v>
      </c>
      <c r="B426">
        <f>IF(G426="Bonds",COUNTIF($G$3:G426,"Bonds"),0)</f>
        <v>0</v>
      </c>
      <c r="C426" t="str">
        <f t="shared" si="105"/>
        <v>Raizen4378447437</v>
      </c>
      <c r="D426">
        <f t="shared" si="106"/>
        <v>31</v>
      </c>
      <c r="E426" s="9" t="s">
        <v>517</v>
      </c>
      <c r="F426" s="9" t="s">
        <v>518</v>
      </c>
      <c r="G426" s="9" t="s">
        <v>29</v>
      </c>
      <c r="H426">
        <f t="shared" si="96"/>
        <v>0</v>
      </c>
      <c r="I426" s="9" t="s">
        <v>520</v>
      </c>
      <c r="J426" s="1">
        <f t="shared" si="97"/>
        <v>2</v>
      </c>
      <c r="K426" s="2">
        <v>43784</v>
      </c>
      <c r="L426" s="2">
        <v>47437</v>
      </c>
      <c r="M426" s="10">
        <f t="shared" si="98"/>
        <v>10.008219178082191</v>
      </c>
      <c r="N426" s="11">
        <f t="shared" si="99"/>
        <v>1</v>
      </c>
      <c r="O426" s="9" t="s">
        <v>47</v>
      </c>
      <c r="P426" t="str">
        <f t="shared" si="102"/>
        <v>0</v>
      </c>
      <c r="Q426" s="12">
        <v>900000</v>
      </c>
      <c r="R426" s="9">
        <v>1000</v>
      </c>
      <c r="S426" s="1" t="str">
        <f>IF($V426="USD",INDEX('Dólar Spot'!$B:$B,MATCH(Base!$K426,'Dólar Spot'!$A:$A,0)),"")</f>
        <v/>
      </c>
      <c r="T426" s="11">
        <f>Q426*R426</f>
        <v>900000000</v>
      </c>
      <c r="U426" s="13">
        <f t="shared" si="100"/>
        <v>9</v>
      </c>
      <c r="V426" s="9" t="s">
        <v>32</v>
      </c>
      <c r="W426" s="9" t="s">
        <v>35</v>
      </c>
      <c r="X426">
        <f t="shared" si="103"/>
        <v>0</v>
      </c>
      <c r="Y426" s="1" t="str" cm="1">
        <f t="array" ref="Y426">INDEX(Ratings!$B$2:$M$42,_xlfn.XMATCH(Base!F426,Ratings!$A$2:$A$42),_xlfn.XMATCH(YEAR(Base!K426),Ratings!$B$1:$M$1))</f>
        <v>BBB</v>
      </c>
      <c r="Z426">
        <f t="shared" si="104"/>
        <v>1</v>
      </c>
      <c r="AA426">
        <f>IFERROR(IFERROR(IFERROR(INDEX('EMBI+'!$B:$B,MATCH(Base!$K426,'EMBI+'!$A:$A,0)),INDEX('EMBI+'!$B:$B,MATCH(Base!$K426+1,'EMBI+'!$A:$A,0))),INDEX('EMBI+'!$B:$B,MATCH(Base!$K426+2,'EMBI+'!$A:$A,0))),INDEX('EMBI+'!$B:$B,MATCH(Base!$K426+3,'EMBI+'!$A:$A,0)))/100</f>
        <v>2.38</v>
      </c>
      <c r="AB426" s="9">
        <v>107.38385</v>
      </c>
      <c r="AC426" s="9">
        <f>50.58289+172.59574</f>
        <v>223.17863</v>
      </c>
      <c r="AD426" s="9"/>
      <c r="AE426" s="9"/>
      <c r="AF426" s="2"/>
      <c r="AG426" s="2"/>
    </row>
    <row r="427" spans="1:33" x14ac:dyDescent="0.35">
      <c r="A427">
        <f t="shared" si="101"/>
        <v>425</v>
      </c>
      <c r="B427">
        <f>IF(G427="Bonds",COUNTIF($G$3:G427,"Bonds"),0)</f>
        <v>0</v>
      </c>
      <c r="C427" t="str">
        <f t="shared" si="105"/>
        <v>Raizen4399747649</v>
      </c>
      <c r="D427">
        <f t="shared" si="106"/>
        <v>31</v>
      </c>
      <c r="E427" s="9" t="s">
        <v>517</v>
      </c>
      <c r="F427" s="9" t="s">
        <v>518</v>
      </c>
      <c r="G427" s="9" t="s">
        <v>29</v>
      </c>
      <c r="H427">
        <f t="shared" si="96"/>
        <v>0</v>
      </c>
      <c r="I427" s="9" t="s">
        <v>521</v>
      </c>
      <c r="J427" s="1">
        <f t="shared" si="97"/>
        <v>3</v>
      </c>
      <c r="K427" s="2">
        <v>43997</v>
      </c>
      <c r="L427" s="2">
        <v>47649</v>
      </c>
      <c r="M427" s="10">
        <f t="shared" si="98"/>
        <v>10.005479452054795</v>
      </c>
      <c r="N427" s="11">
        <f t="shared" si="99"/>
        <v>1</v>
      </c>
      <c r="O427" s="9" t="s">
        <v>47</v>
      </c>
      <c r="P427" t="str">
        <f t="shared" si="102"/>
        <v>0</v>
      </c>
      <c r="Q427" s="12">
        <v>169518</v>
      </c>
      <c r="R427" s="9">
        <v>1000</v>
      </c>
      <c r="S427" s="1" t="str">
        <f>IF($V427="USD",INDEX('Dólar Spot'!$B:$B,MATCH(Base!$K427,'Dólar Spot'!$A:$A,0)),"")</f>
        <v/>
      </c>
      <c r="T427" s="11">
        <f>Q427*R427</f>
        <v>169518000</v>
      </c>
      <c r="U427" s="13">
        <f t="shared" si="100"/>
        <v>1.6951799999999999</v>
      </c>
      <c r="V427" s="9" t="s">
        <v>32</v>
      </c>
      <c r="W427" s="9" t="s">
        <v>35</v>
      </c>
      <c r="X427">
        <f t="shared" si="103"/>
        <v>0</v>
      </c>
      <c r="Y427" s="1" t="str" cm="1">
        <f t="array" ref="Y427">INDEX(Ratings!$B$2:$M$42,_xlfn.XMATCH(Base!F427,Ratings!$A$2:$A$42),_xlfn.XMATCH(YEAR(Base!K427),Ratings!$B$1:$M$1))</f>
        <v>BBB</v>
      </c>
      <c r="Z427">
        <f t="shared" si="104"/>
        <v>1</v>
      </c>
      <c r="AA427">
        <f>IFERROR(IFERROR(IFERROR(INDEX('EMBI+'!$B:$B,MATCH(Base!$K427,'EMBI+'!$A:$A,0)),INDEX('EMBI+'!$B:$B,MATCH(Base!$K427+1,'EMBI+'!$A:$A,0))),INDEX('EMBI+'!$B:$B,MATCH(Base!$K427+2,'EMBI+'!$A:$A,0))),INDEX('EMBI+'!$B:$B,MATCH(Base!$K427+3,'EMBI+'!$A:$A,0)))/100</f>
        <v>3.87</v>
      </c>
      <c r="AB427" s="9">
        <v>109.31604</v>
      </c>
      <c r="AC427" s="9">
        <f>63.52894+214.95074</f>
        <v>278.47967999999997</v>
      </c>
      <c r="AD427" s="9"/>
      <c r="AE427" s="9"/>
      <c r="AF427" s="2"/>
      <c r="AG427" s="2"/>
    </row>
    <row r="428" spans="1:33" x14ac:dyDescent="0.35">
      <c r="A428">
        <f t="shared" si="101"/>
        <v>426</v>
      </c>
      <c r="B428">
        <f>IF(G428="Bonds",COUNTIF($G$3:G428,"Bonds"),0)</f>
        <v>0</v>
      </c>
      <c r="C428" t="str">
        <f t="shared" si="105"/>
        <v>Raizen4156243388</v>
      </c>
      <c r="D428">
        <f t="shared" si="106"/>
        <v>31</v>
      </c>
      <c r="E428" s="9" t="s">
        <v>517</v>
      </c>
      <c r="F428" s="9" t="s">
        <v>518</v>
      </c>
      <c r="G428" s="9" t="s">
        <v>29</v>
      </c>
      <c r="H428">
        <f t="shared" si="96"/>
        <v>0</v>
      </c>
      <c r="I428" s="9" t="s">
        <v>522</v>
      </c>
      <c r="J428" s="1">
        <f t="shared" si="97"/>
        <v>4</v>
      </c>
      <c r="K428" s="2">
        <v>41562</v>
      </c>
      <c r="L428" s="2">
        <v>43388</v>
      </c>
      <c r="M428" s="10">
        <f t="shared" si="98"/>
        <v>5.0027397260273974</v>
      </c>
      <c r="N428" s="11">
        <f t="shared" si="99"/>
        <v>1</v>
      </c>
      <c r="O428" s="9" t="s">
        <v>47</v>
      </c>
      <c r="P428" t="str">
        <f t="shared" si="102"/>
        <v>0</v>
      </c>
      <c r="Q428" s="12">
        <v>340000</v>
      </c>
      <c r="R428" s="9">
        <v>1000</v>
      </c>
      <c r="S428" s="1" t="str">
        <f>IF($V428="USD",INDEX('Dólar Spot'!$B:$B,MATCH(Base!$K428,'Dólar Spot'!$A:$A,0)),"")</f>
        <v/>
      </c>
      <c r="T428" s="11">
        <f>Q428*R428</f>
        <v>340000000</v>
      </c>
      <c r="U428" s="13">
        <f t="shared" si="100"/>
        <v>3.4</v>
      </c>
      <c r="V428" s="9" t="s">
        <v>44</v>
      </c>
      <c r="W428" s="9" t="s">
        <v>34</v>
      </c>
      <c r="X428">
        <f t="shared" si="103"/>
        <v>1</v>
      </c>
      <c r="Y428" s="1" t="str" cm="1">
        <f t="array" ref="Y428">INDEX(Ratings!$B$2:$M$42,_xlfn.XMATCH(Base!F428,Ratings!$A$2:$A$42),_xlfn.XMATCH(YEAR(Base!K428),Ratings!$B$1:$M$1))</f>
        <v>BBB</v>
      </c>
      <c r="Z428">
        <f t="shared" si="104"/>
        <v>1</v>
      </c>
      <c r="AA428">
        <f>IFERROR(IFERROR(IFERROR(INDEX('EMBI+'!$B:$B,MATCH(Base!$K428,'EMBI+'!$A:$A,0)),INDEX('EMBI+'!$B:$B,MATCH(Base!$K428+1,'EMBI+'!$A:$A,0))),INDEX('EMBI+'!$B:$B,MATCH(Base!$K428+2,'EMBI+'!$A:$A,0))),INDEX('EMBI+'!$B:$B,MATCH(Base!$K428+3,'EMBI+'!$A:$A,0)))/100</f>
        <v>2.0699999999999998</v>
      </c>
      <c r="AB428" s="9">
        <v>109.28422999999999</v>
      </c>
      <c r="AC428" s="9">
        <f t="shared" ref="AC428:AC429" si="110">10.99308+55.83725</f>
        <v>66.830330000000004</v>
      </c>
      <c r="AD428" s="9"/>
      <c r="AE428" s="9"/>
      <c r="AF428" s="2"/>
      <c r="AG428" s="2"/>
    </row>
    <row r="429" spans="1:33" x14ac:dyDescent="0.35">
      <c r="A429">
        <f t="shared" si="101"/>
        <v>427</v>
      </c>
      <c r="B429">
        <f>IF(G429="Bonds",COUNTIF($G$3:G429,"Bonds"),0)</f>
        <v>0</v>
      </c>
      <c r="C429" t="str">
        <f t="shared" si="105"/>
        <v>Raizen4156244119</v>
      </c>
      <c r="D429">
        <f t="shared" si="106"/>
        <v>31</v>
      </c>
      <c r="E429" s="9" t="s">
        <v>517</v>
      </c>
      <c r="F429" s="9" t="s">
        <v>518</v>
      </c>
      <c r="G429" s="9" t="s">
        <v>29</v>
      </c>
      <c r="H429">
        <f t="shared" si="96"/>
        <v>0</v>
      </c>
      <c r="I429" s="9" t="s">
        <v>523</v>
      </c>
      <c r="J429" s="1">
        <f t="shared" si="97"/>
        <v>5</v>
      </c>
      <c r="K429" s="2">
        <v>41562</v>
      </c>
      <c r="L429" s="2">
        <v>44119</v>
      </c>
      <c r="M429" s="10">
        <f t="shared" si="98"/>
        <v>7.0054794520547947</v>
      </c>
      <c r="N429" s="11">
        <f t="shared" si="99"/>
        <v>1</v>
      </c>
      <c r="O429" s="9" t="s">
        <v>47</v>
      </c>
      <c r="P429" t="str">
        <f t="shared" si="102"/>
        <v>0</v>
      </c>
      <c r="Q429" s="12">
        <v>304025</v>
      </c>
      <c r="R429" s="9">
        <v>1000</v>
      </c>
      <c r="S429" s="1" t="str">
        <f>IF($V429="USD",INDEX('Dólar Spot'!$B:$B,MATCH(Base!$K429,'Dólar Spot'!$A:$A,0)),"")</f>
        <v/>
      </c>
      <c r="T429" s="11">
        <f>Q429*R429</f>
        <v>304025000</v>
      </c>
      <c r="U429" s="13">
        <f t="shared" si="100"/>
        <v>3.0402499999999999</v>
      </c>
      <c r="V429" s="9" t="s">
        <v>32</v>
      </c>
      <c r="W429" s="9" t="s">
        <v>35</v>
      </c>
      <c r="X429">
        <f t="shared" si="103"/>
        <v>0</v>
      </c>
      <c r="Y429" s="1" t="str" cm="1">
        <f t="array" ref="Y429">INDEX(Ratings!$B$2:$M$42,_xlfn.XMATCH(Base!F429,Ratings!$A$2:$A$42),_xlfn.XMATCH(YEAR(Base!K429),Ratings!$B$1:$M$1))</f>
        <v>BBB</v>
      </c>
      <c r="Z429">
        <f t="shared" si="104"/>
        <v>1</v>
      </c>
      <c r="AA429">
        <f>IFERROR(IFERROR(IFERROR(INDEX('EMBI+'!$B:$B,MATCH(Base!$K429,'EMBI+'!$A:$A,0)),INDEX('EMBI+'!$B:$B,MATCH(Base!$K429+1,'EMBI+'!$A:$A,0))),INDEX('EMBI+'!$B:$B,MATCH(Base!$K429+2,'EMBI+'!$A:$A,0))),INDEX('EMBI+'!$B:$B,MATCH(Base!$K429+3,'EMBI+'!$A:$A,0)))/100</f>
        <v>2.0699999999999998</v>
      </c>
      <c r="AB429" s="9">
        <v>109.28422999999999</v>
      </c>
      <c r="AC429" s="9">
        <f t="shared" si="110"/>
        <v>66.830330000000004</v>
      </c>
      <c r="AD429" s="9"/>
      <c r="AE429" s="9"/>
      <c r="AF429" s="2"/>
      <c r="AG429" s="2"/>
    </row>
    <row r="430" spans="1:33" x14ac:dyDescent="0.35">
      <c r="A430">
        <f t="shared" si="101"/>
        <v>428</v>
      </c>
      <c r="B430">
        <f>IF(G430="Bonds",COUNTIF($G$3:G430,"Bonds"),0)</f>
        <v>0</v>
      </c>
      <c r="C430" t="str">
        <f t="shared" si="105"/>
        <v>Raizen4463547192</v>
      </c>
      <c r="D430">
        <f t="shared" si="106"/>
        <v>31</v>
      </c>
      <c r="E430" s="9" t="s">
        <v>517</v>
      </c>
      <c r="F430" s="9" t="s">
        <v>518</v>
      </c>
      <c r="G430" s="9" t="s">
        <v>29</v>
      </c>
      <c r="H430">
        <f t="shared" si="96"/>
        <v>0</v>
      </c>
      <c r="I430" s="9"/>
      <c r="J430" s="1">
        <f t="shared" si="97"/>
        <v>6</v>
      </c>
      <c r="K430" s="2">
        <v>44635</v>
      </c>
      <c r="L430" s="2">
        <v>47192</v>
      </c>
      <c r="M430" s="10">
        <f t="shared" si="98"/>
        <v>7.0054794520547947</v>
      </c>
      <c r="N430" s="11">
        <f t="shared" si="99"/>
        <v>1</v>
      </c>
      <c r="O430" s="9" t="s">
        <v>47</v>
      </c>
      <c r="P430" t="str">
        <f t="shared" si="102"/>
        <v>0</v>
      </c>
      <c r="Q430" s="12">
        <v>768094</v>
      </c>
      <c r="R430" s="9">
        <v>1000</v>
      </c>
      <c r="S430" s="1" t="str">
        <f>IF($V430="USD",INDEX('Dólar Spot'!$B:$B,MATCH(Base!$K430,'Dólar Spot'!$A:$A,0)),"")</f>
        <v/>
      </c>
      <c r="T430" s="11">
        <f t="shared" ref="T430:T431" si="111">Q430*R430</f>
        <v>768094000</v>
      </c>
      <c r="U430" s="13">
        <f t="shared" si="100"/>
        <v>7.6809399999999997</v>
      </c>
      <c r="V430" s="9" t="s">
        <v>32</v>
      </c>
      <c r="W430" s="9" t="s">
        <v>35</v>
      </c>
      <c r="X430">
        <f t="shared" si="103"/>
        <v>0</v>
      </c>
      <c r="Y430" s="1" t="str" cm="1">
        <f t="array" ref="Y430">INDEX(Ratings!$B$2:$M$42,_xlfn.XMATCH(Base!F430,Ratings!$A$2:$A$42),_xlfn.XMATCH(YEAR(Base!K430),Ratings!$B$1:$M$1))</f>
        <v>BBB</v>
      </c>
      <c r="Z430">
        <f t="shared" si="104"/>
        <v>1</v>
      </c>
      <c r="AA430">
        <f>IFERROR(IFERROR(IFERROR(INDEX('EMBI+'!$B:$B,MATCH(Base!$K430,'EMBI+'!$A:$A,0)),INDEX('EMBI+'!$B:$B,MATCH(Base!$K430+1,'EMBI+'!$A:$A,0))),INDEX('EMBI+'!$B:$B,MATCH(Base!$K430+2,'EMBI+'!$A:$A,0))),INDEX('EMBI+'!$B:$B,MATCH(Base!$K430+3,'EMBI+'!$A:$A,0)))/100</f>
        <v>3.31</v>
      </c>
      <c r="AB430" s="9">
        <v>216.48412999999999</v>
      </c>
      <c r="AC430" s="9">
        <v>326.99579999999997</v>
      </c>
      <c r="AD430" s="9"/>
      <c r="AE430" s="9"/>
      <c r="AF430" s="2"/>
      <c r="AG430" s="2"/>
    </row>
    <row r="431" spans="1:33" x14ac:dyDescent="0.35">
      <c r="A431">
        <f t="shared" si="101"/>
        <v>429</v>
      </c>
      <c r="B431">
        <f>IF(G431="Bonds",COUNTIF($G$3:G431,"Bonds"),0)</f>
        <v>0</v>
      </c>
      <c r="C431" t="str">
        <f t="shared" si="105"/>
        <v>Raizen4463548288</v>
      </c>
      <c r="D431">
        <f t="shared" si="106"/>
        <v>31</v>
      </c>
      <c r="E431" s="9" t="s">
        <v>517</v>
      </c>
      <c r="F431" s="9" t="s">
        <v>518</v>
      </c>
      <c r="G431" s="9" t="s">
        <v>29</v>
      </c>
      <c r="H431">
        <f t="shared" si="96"/>
        <v>0</v>
      </c>
      <c r="I431" s="9"/>
      <c r="J431" s="1">
        <f t="shared" si="97"/>
        <v>7</v>
      </c>
      <c r="K431" s="2">
        <v>44635</v>
      </c>
      <c r="L431" s="2">
        <v>48288</v>
      </c>
      <c r="M431" s="10">
        <f t="shared" si="98"/>
        <v>10.008219178082191</v>
      </c>
      <c r="N431" s="11">
        <f t="shared" si="99"/>
        <v>1</v>
      </c>
      <c r="O431" s="9" t="s">
        <v>47</v>
      </c>
      <c r="P431" t="str">
        <f t="shared" si="102"/>
        <v>0</v>
      </c>
      <c r="Q431" s="12">
        <v>428591</v>
      </c>
      <c r="R431" s="9">
        <v>1000</v>
      </c>
      <c r="S431" s="1" t="str">
        <f>IF($V431="USD",INDEX('Dólar Spot'!$B:$B,MATCH(Base!$K431,'Dólar Spot'!$A:$A,0)),"")</f>
        <v/>
      </c>
      <c r="T431" s="11">
        <f t="shared" si="111"/>
        <v>428591000</v>
      </c>
      <c r="U431" s="13">
        <f t="shared" si="100"/>
        <v>4.2859100000000003</v>
      </c>
      <c r="V431" s="9" t="s">
        <v>32</v>
      </c>
      <c r="W431" s="9" t="s">
        <v>35</v>
      </c>
      <c r="X431">
        <f t="shared" si="103"/>
        <v>0</v>
      </c>
      <c r="Y431" s="1" t="str" cm="1">
        <f t="array" ref="Y431">INDEX(Ratings!$B$2:$M$42,_xlfn.XMATCH(Base!F431,Ratings!$A$2:$A$42),_xlfn.XMATCH(YEAR(Base!K431),Ratings!$B$1:$M$1))</f>
        <v>BBB</v>
      </c>
      <c r="Z431">
        <f t="shared" si="104"/>
        <v>1</v>
      </c>
      <c r="AA431">
        <f>IFERROR(IFERROR(IFERROR(INDEX('EMBI+'!$B:$B,MATCH(Base!$K431,'EMBI+'!$A:$A,0)),INDEX('EMBI+'!$B:$B,MATCH(Base!$K431+1,'EMBI+'!$A:$A,0))),INDEX('EMBI+'!$B:$B,MATCH(Base!$K431+2,'EMBI+'!$A:$A,0))),INDEX('EMBI+'!$B:$B,MATCH(Base!$K431+3,'EMBI+'!$A:$A,0)))/100</f>
        <v>3.31</v>
      </c>
      <c r="AB431" s="9">
        <v>216.48412999999999</v>
      </c>
      <c r="AC431" s="9">
        <v>326.99579999999997</v>
      </c>
      <c r="AD431" s="9"/>
      <c r="AE431" s="9"/>
      <c r="AF431" s="2"/>
      <c r="AG431" s="2"/>
    </row>
    <row r="432" spans="1:33" x14ac:dyDescent="0.35">
      <c r="A432">
        <f t="shared" si="101"/>
        <v>430</v>
      </c>
      <c r="B432">
        <f>IF(G432="Bonds",COUNTIF($G$3:G432,"Bonds"),0)</f>
        <v>129</v>
      </c>
      <c r="C432" t="str">
        <f t="shared" si="105"/>
        <v>Raizen4275520/01/2027</v>
      </c>
      <c r="D432">
        <f t="shared" si="106"/>
        <v>31</v>
      </c>
      <c r="E432" s="9" t="s">
        <v>524</v>
      </c>
      <c r="F432" s="9" t="s">
        <v>518</v>
      </c>
      <c r="G432" s="9" t="s">
        <v>37</v>
      </c>
      <c r="H432">
        <f t="shared" si="96"/>
        <v>1</v>
      </c>
      <c r="I432" s="9"/>
      <c r="J432" s="1">
        <f t="shared" si="97"/>
        <v>8</v>
      </c>
      <c r="K432" s="2">
        <v>42755</v>
      </c>
      <c r="L432" s="2" t="s">
        <v>189</v>
      </c>
      <c r="M432" s="10">
        <f t="shared" si="98"/>
        <v>10.005479452054795</v>
      </c>
      <c r="N432" s="11">
        <f t="shared" si="99"/>
        <v>1</v>
      </c>
      <c r="O432" s="9" t="s">
        <v>39</v>
      </c>
      <c r="P432" t="str">
        <f t="shared" si="102"/>
        <v>0</v>
      </c>
      <c r="Q432" s="9"/>
      <c r="R432" s="9"/>
      <c r="S432" s="1">
        <f>IF($V432="USD",INDEX('Dólar Spot'!$B:$B,MATCH(Base!$K432,'Dólar Spot'!$A:$A,0)),"")</f>
        <v>3.1911999999999998</v>
      </c>
      <c r="T432" s="12">
        <v>500000000</v>
      </c>
      <c r="U432" s="13">
        <f t="shared" si="100"/>
        <v>15.956</v>
      </c>
      <c r="V432" s="9" t="s">
        <v>40</v>
      </c>
      <c r="W432" s="9" t="s">
        <v>35</v>
      </c>
      <c r="X432">
        <f t="shared" si="103"/>
        <v>0</v>
      </c>
      <c r="Y432" s="1" t="str" cm="1">
        <f t="array" ref="Y432">INDEX(Ratings!$B$2:$M$42,_xlfn.XMATCH(Base!F432,Ratings!$A$2:$A$42),_xlfn.XMATCH(YEAR(Base!K432),Ratings!$B$1:$M$1))</f>
        <v>BBB</v>
      </c>
      <c r="Z432">
        <f t="shared" si="104"/>
        <v>1</v>
      </c>
      <c r="AA432">
        <f>IFERROR(IFERROR(IFERROR(INDEX('EMBI+'!$B:$B,MATCH(Base!$K432,'EMBI+'!$A:$A,0)),INDEX('EMBI+'!$B:$B,MATCH(Base!$K432+1,'EMBI+'!$A:$A,0))),INDEX('EMBI+'!$B:$B,MATCH(Base!$K432+2,'EMBI+'!$A:$A,0))),INDEX('EMBI+'!$B:$B,MATCH(Base!$K432+3,'EMBI+'!$A:$A,0)))/100</f>
        <v>2.94</v>
      </c>
      <c r="AB432" s="9">
        <v>111.52077</v>
      </c>
      <c r="AC432" s="9">
        <f>16.39509+112.13217</f>
        <v>128.52726000000001</v>
      </c>
      <c r="AD432" s="9"/>
      <c r="AE432" s="9"/>
      <c r="AF432" s="2"/>
      <c r="AG432" s="2"/>
    </row>
    <row r="433" spans="1:33" x14ac:dyDescent="0.35">
      <c r="A433">
        <f t="shared" si="101"/>
        <v>431</v>
      </c>
      <c r="B433">
        <f>IF(G433="Bonds",COUNTIF($G$3:G433,"Bonds"),0)</f>
        <v>130</v>
      </c>
      <c r="C433" t="str">
        <f t="shared" si="105"/>
        <v>Raizen4401920/01/2027</v>
      </c>
      <c r="D433">
        <f t="shared" si="106"/>
        <v>31</v>
      </c>
      <c r="E433" s="9" t="s">
        <v>524</v>
      </c>
      <c r="F433" s="9" t="s">
        <v>518</v>
      </c>
      <c r="G433" s="9" t="s">
        <v>37</v>
      </c>
      <c r="H433">
        <f t="shared" si="96"/>
        <v>1</v>
      </c>
      <c r="I433" s="9"/>
      <c r="J433" s="1">
        <f t="shared" si="97"/>
        <v>9</v>
      </c>
      <c r="K433" s="2">
        <v>44019</v>
      </c>
      <c r="L433" s="2" t="s">
        <v>189</v>
      </c>
      <c r="M433" s="10">
        <f t="shared" si="98"/>
        <v>6.5424657534246577</v>
      </c>
      <c r="N433" s="11">
        <f t="shared" si="99"/>
        <v>1</v>
      </c>
      <c r="O433" s="9" t="s">
        <v>39</v>
      </c>
      <c r="P433" t="str">
        <f t="shared" si="102"/>
        <v>0</v>
      </c>
      <c r="Q433" s="9"/>
      <c r="R433" s="9"/>
      <c r="S433" s="1">
        <f>IF($V433="USD",INDEX('Dólar Spot'!$B:$B,MATCH(Base!$K433,'Dólar Spot'!$A:$A,0)),"")</f>
        <v>5.3311999999999999</v>
      </c>
      <c r="T433" s="12">
        <v>225000000</v>
      </c>
      <c r="U433" s="13">
        <f t="shared" si="100"/>
        <v>11.995200000000001</v>
      </c>
      <c r="V433" s="9" t="s">
        <v>40</v>
      </c>
      <c r="W433" s="9" t="s">
        <v>35</v>
      </c>
      <c r="X433">
        <f t="shared" si="103"/>
        <v>0</v>
      </c>
      <c r="Y433" s="1" t="str" cm="1">
        <f t="array" ref="Y433">INDEX(Ratings!$B$2:$M$42,_xlfn.XMATCH(Base!F433,Ratings!$A$2:$A$42),_xlfn.XMATCH(YEAR(Base!K433),Ratings!$B$1:$M$1))</f>
        <v>BBB</v>
      </c>
      <c r="Z433">
        <f t="shared" si="104"/>
        <v>1</v>
      </c>
      <c r="AA433">
        <f>IFERROR(IFERROR(IFERROR(INDEX('EMBI+'!$B:$B,MATCH(Base!$K433,'EMBI+'!$A:$A,0)),INDEX('EMBI+'!$B:$B,MATCH(Base!$K433+1,'EMBI+'!$A:$A,0))),INDEX('EMBI+'!$B:$B,MATCH(Base!$K433+2,'EMBI+'!$A:$A,0))),INDEX('EMBI+'!$B:$B,MATCH(Base!$K433+3,'EMBI+'!$A:$A,0)))/100</f>
        <v>3.75</v>
      </c>
      <c r="AB433" s="9">
        <v>109.31604</v>
      </c>
      <c r="AC433" s="9">
        <f>63.52894+214.95074</f>
        <v>278.47967999999997</v>
      </c>
      <c r="AD433" s="9"/>
      <c r="AE433" s="9"/>
      <c r="AF433" s="2"/>
      <c r="AG433" s="2"/>
    </row>
    <row r="434" spans="1:33" x14ac:dyDescent="0.35">
      <c r="A434">
        <f t="shared" si="101"/>
        <v>432</v>
      </c>
      <c r="B434">
        <f>IF(G434="Bonds",COUNTIF($G$3:G434,"Bonds"),0)</f>
        <v>0</v>
      </c>
      <c r="C434" t="str">
        <f t="shared" si="105"/>
        <v>Rede D'or4065343941</v>
      </c>
      <c r="D434">
        <f t="shared" si="106"/>
        <v>32</v>
      </c>
      <c r="E434" s="9" t="s">
        <v>525</v>
      </c>
      <c r="F434" s="9" t="s">
        <v>526</v>
      </c>
      <c r="G434" s="9" t="s">
        <v>29</v>
      </c>
      <c r="H434">
        <f t="shared" si="96"/>
        <v>0</v>
      </c>
      <c r="I434" s="9" t="s">
        <v>527</v>
      </c>
      <c r="J434" s="1">
        <f t="shared" si="97"/>
        <v>1</v>
      </c>
      <c r="K434" s="2">
        <v>40653</v>
      </c>
      <c r="L434" s="2">
        <v>43941</v>
      </c>
      <c r="M434" s="10">
        <f t="shared" si="98"/>
        <v>9.0082191780821912</v>
      </c>
      <c r="N434" s="11">
        <f t="shared" si="99"/>
        <v>1</v>
      </c>
      <c r="O434" s="9" t="s">
        <v>31</v>
      </c>
      <c r="P434" t="str">
        <f t="shared" si="102"/>
        <v>1</v>
      </c>
      <c r="Q434" s="12">
        <v>100</v>
      </c>
      <c r="R434" s="9">
        <v>10000000</v>
      </c>
      <c r="S434" s="1" t="str">
        <f>IF($V434="USD",INDEX('Dólar Spot'!$B:$B,MATCH(Base!$K434,'Dólar Spot'!$A:$A,0)),"")</f>
        <v/>
      </c>
      <c r="T434" s="11">
        <f t="shared" ref="T434:T457" si="112">Q434*R434</f>
        <v>1000000000</v>
      </c>
      <c r="U434" s="13">
        <f t="shared" si="100"/>
        <v>10</v>
      </c>
      <c r="V434" s="9" t="s">
        <v>44</v>
      </c>
      <c r="W434" s="9" t="s">
        <v>34</v>
      </c>
      <c r="X434">
        <f t="shared" si="103"/>
        <v>1</v>
      </c>
      <c r="Y434" s="1" t="str" cm="1">
        <f t="array" ref="Y434">INDEX(Ratings!$B$2:$M$42,_xlfn.XMATCH(Base!F434,Ratings!$A$2:$A$42),_xlfn.XMATCH(YEAR(Base!K434),Ratings!$B$1:$M$1))</f>
        <v>NR</v>
      </c>
      <c r="Z434">
        <f t="shared" si="104"/>
        <v>0</v>
      </c>
      <c r="AA434">
        <f>IFERROR(IFERROR(IFERROR(INDEX('EMBI+'!$B:$B,MATCH(Base!$K434,'EMBI+'!$A:$A,0)),INDEX('EMBI+'!$B:$B,MATCH(Base!$K434+1,'EMBI+'!$A:$A,0))),INDEX('EMBI+'!$B:$B,MATCH(Base!$K434+2,'EMBI+'!$A:$A,0))),INDEX('EMBI+'!$B:$B,MATCH(Base!$K434+3,'EMBI+'!$A:$A,0)))/100</f>
        <v>1.76</v>
      </c>
      <c r="AB434" s="9">
        <v>8.9305599999999998</v>
      </c>
      <c r="AC434" s="9">
        <f>1.54411+2.34843</f>
        <v>3.8925400000000003</v>
      </c>
      <c r="AD434" s="9"/>
      <c r="AE434" s="9"/>
      <c r="AF434" s="2"/>
      <c r="AG434" s="2"/>
    </row>
    <row r="435" spans="1:33" x14ac:dyDescent="0.35">
      <c r="A435">
        <f t="shared" si="101"/>
        <v>433</v>
      </c>
      <c r="B435">
        <f>IF(G435="Bonds",COUNTIF($G$3:G435,"Bonds"),0)</f>
        <v>0</v>
      </c>
      <c r="C435" t="str">
        <f t="shared" si="105"/>
        <v>Rede D'or4084442750</v>
      </c>
      <c r="D435">
        <f t="shared" si="106"/>
        <v>32</v>
      </c>
      <c r="E435" s="9" t="s">
        <v>525</v>
      </c>
      <c r="F435" s="9" t="s">
        <v>526</v>
      </c>
      <c r="G435" s="9" t="s">
        <v>29</v>
      </c>
      <c r="H435">
        <f t="shared" si="96"/>
        <v>0</v>
      </c>
      <c r="I435" s="9" t="s">
        <v>528</v>
      </c>
      <c r="J435" s="1">
        <f t="shared" si="97"/>
        <v>2</v>
      </c>
      <c r="K435" s="2">
        <v>40844</v>
      </c>
      <c r="L435" s="2">
        <v>42750</v>
      </c>
      <c r="M435" s="10">
        <f t="shared" si="98"/>
        <v>5.2219178082191782</v>
      </c>
      <c r="N435" s="11">
        <f t="shared" si="99"/>
        <v>1</v>
      </c>
      <c r="O435" s="9" t="s">
        <v>47</v>
      </c>
      <c r="P435" t="str">
        <f t="shared" si="102"/>
        <v>0</v>
      </c>
      <c r="Q435" s="12">
        <v>100</v>
      </c>
      <c r="R435" s="9">
        <v>1000000</v>
      </c>
      <c r="S435" s="1" t="str">
        <f>IF($V435="USD",INDEX('Dólar Spot'!$B:$B,MATCH(Base!$K435,'Dólar Spot'!$A:$A,0)),"")</f>
        <v/>
      </c>
      <c r="T435" s="11">
        <f t="shared" si="112"/>
        <v>100000000</v>
      </c>
      <c r="U435" s="13">
        <f t="shared" si="100"/>
        <v>1</v>
      </c>
      <c r="V435" s="9" t="s">
        <v>44</v>
      </c>
      <c r="W435" s="9" t="s">
        <v>34</v>
      </c>
      <c r="X435">
        <f t="shared" si="103"/>
        <v>1</v>
      </c>
      <c r="Y435" s="1" t="str" cm="1">
        <f t="array" ref="Y435">INDEX(Ratings!$B$2:$M$42,_xlfn.XMATCH(Base!F435,Ratings!$A$2:$A$42),_xlfn.XMATCH(YEAR(Base!K435),Ratings!$B$1:$M$1))</f>
        <v>NR</v>
      </c>
      <c r="Z435">
        <f t="shared" si="104"/>
        <v>0</v>
      </c>
      <c r="AA435">
        <f>IFERROR(IFERROR(IFERROR(INDEX('EMBI+'!$B:$B,MATCH(Base!$K435,'EMBI+'!$A:$A,0)),INDEX('EMBI+'!$B:$B,MATCH(Base!$K435+1,'EMBI+'!$A:$A,0))),INDEX('EMBI+'!$B:$B,MATCH(Base!$K435+2,'EMBI+'!$A:$A,0))),INDEX('EMBI+'!$B:$B,MATCH(Base!$K435+3,'EMBI+'!$A:$A,0)))/100</f>
        <v>2.12</v>
      </c>
      <c r="AB435" s="9">
        <v>9.6398200000000003</v>
      </c>
      <c r="AC435" s="9">
        <f>0.09717+1.53881+0.24601+18.39861</f>
        <v>20.2806</v>
      </c>
      <c r="AD435" s="9"/>
      <c r="AE435" s="9"/>
      <c r="AF435" s="2"/>
      <c r="AG435" s="2"/>
    </row>
    <row r="436" spans="1:33" x14ac:dyDescent="0.35">
      <c r="A436">
        <f t="shared" si="101"/>
        <v>434</v>
      </c>
      <c r="B436">
        <f>IF(G436="Bonds",COUNTIF($G$3:G436,"Bonds"),0)</f>
        <v>0</v>
      </c>
      <c r="C436" t="str">
        <f t="shared" si="105"/>
        <v>Rede D'or4161843444</v>
      </c>
      <c r="D436">
        <f t="shared" si="106"/>
        <v>32</v>
      </c>
      <c r="E436" s="9" t="s">
        <v>525</v>
      </c>
      <c r="F436" s="9" t="s">
        <v>526</v>
      </c>
      <c r="G436" s="9" t="s">
        <v>29</v>
      </c>
      <c r="H436">
        <f t="shared" si="96"/>
        <v>0</v>
      </c>
      <c r="I436" s="9" t="s">
        <v>529</v>
      </c>
      <c r="J436" s="1">
        <f t="shared" si="97"/>
        <v>3</v>
      </c>
      <c r="K436" s="2">
        <v>41618</v>
      </c>
      <c r="L436" s="2">
        <v>43444</v>
      </c>
      <c r="M436" s="10">
        <f t="shared" si="98"/>
        <v>5.0027397260273974</v>
      </c>
      <c r="N436" s="11">
        <f t="shared" si="99"/>
        <v>1</v>
      </c>
      <c r="O436" s="9" t="s">
        <v>47</v>
      </c>
      <c r="P436" t="str">
        <f t="shared" si="102"/>
        <v>0</v>
      </c>
      <c r="Q436" s="12">
        <v>20000</v>
      </c>
      <c r="R436" s="9">
        <v>10000</v>
      </c>
      <c r="S436" s="1" t="str">
        <f>IF($V436="USD",INDEX('Dólar Spot'!$B:$B,MATCH(Base!$K436,'Dólar Spot'!$A:$A,0)),"")</f>
        <v/>
      </c>
      <c r="T436" s="11">
        <f t="shared" si="112"/>
        <v>200000000</v>
      </c>
      <c r="U436" s="13">
        <f t="shared" si="100"/>
        <v>2</v>
      </c>
      <c r="V436" s="9" t="s">
        <v>44</v>
      </c>
      <c r="W436" s="9" t="s">
        <v>35</v>
      </c>
      <c r="X436">
        <f t="shared" si="103"/>
        <v>0</v>
      </c>
      <c r="Y436" s="1" t="str" cm="1">
        <f t="array" ref="Y436">INDEX(Ratings!$B$2:$M$42,_xlfn.XMATCH(Base!F436,Ratings!$A$2:$A$42),_xlfn.XMATCH(YEAR(Base!K436),Ratings!$B$1:$M$1))</f>
        <v>NR</v>
      </c>
      <c r="Z436">
        <f t="shared" si="104"/>
        <v>0</v>
      </c>
      <c r="AA436">
        <f>IFERROR(IFERROR(IFERROR(INDEX('EMBI+'!$B:$B,MATCH(Base!$K436,'EMBI+'!$A:$A,0)),INDEX('EMBI+'!$B:$B,MATCH(Base!$K436+1,'EMBI+'!$A:$A,0))),INDEX('EMBI+'!$B:$B,MATCH(Base!$K436+2,'EMBI+'!$A:$A,0))),INDEX('EMBI+'!$B:$B,MATCH(Base!$K436+3,'EMBI+'!$A:$A,0)))/100</f>
        <v>2.4700000000000002</v>
      </c>
      <c r="AB436" s="9">
        <v>11.568490000000001</v>
      </c>
      <c r="AC436" s="9">
        <f>0.28645+0.55386+0.88323+28.17073</f>
        <v>29.894269999999999</v>
      </c>
      <c r="AD436" s="9"/>
      <c r="AE436" s="9"/>
      <c r="AF436" s="2"/>
      <c r="AG436" s="2"/>
    </row>
    <row r="437" spans="1:33" x14ac:dyDescent="0.35">
      <c r="A437">
        <f t="shared" si="101"/>
        <v>435</v>
      </c>
      <c r="B437">
        <f>IF(G437="Bonds",COUNTIF($G$3:G437,"Bonds"),0)</f>
        <v>0</v>
      </c>
      <c r="C437" t="str">
        <f t="shared" si="105"/>
        <v>Rede D'or4198843814</v>
      </c>
      <c r="D437">
        <f t="shared" si="106"/>
        <v>32</v>
      </c>
      <c r="E437" s="9" t="s">
        <v>525</v>
      </c>
      <c r="F437" s="9" t="s">
        <v>526</v>
      </c>
      <c r="G437" s="9" t="s">
        <v>29</v>
      </c>
      <c r="H437">
        <f t="shared" si="96"/>
        <v>0</v>
      </c>
      <c r="I437" s="9" t="s">
        <v>530</v>
      </c>
      <c r="J437" s="1">
        <f t="shared" si="97"/>
        <v>4</v>
      </c>
      <c r="K437" s="2">
        <v>41988</v>
      </c>
      <c r="L437" s="2">
        <v>43814</v>
      </c>
      <c r="M437" s="10">
        <f t="shared" si="98"/>
        <v>5.0027397260273974</v>
      </c>
      <c r="N437" s="11">
        <f t="shared" si="99"/>
        <v>1</v>
      </c>
      <c r="O437" s="9" t="s">
        <v>47</v>
      </c>
      <c r="P437" t="str">
        <f t="shared" si="102"/>
        <v>0</v>
      </c>
      <c r="Q437" s="12">
        <v>20000</v>
      </c>
      <c r="R437" s="9">
        <v>10000</v>
      </c>
      <c r="S437" s="1" t="str">
        <f>IF($V437="USD",INDEX('Dólar Spot'!$B:$B,MATCH(Base!$K437,'Dólar Spot'!$A:$A,0)),"")</f>
        <v/>
      </c>
      <c r="T437" s="11">
        <f t="shared" si="112"/>
        <v>200000000</v>
      </c>
      <c r="U437" s="13">
        <f t="shared" si="100"/>
        <v>2</v>
      </c>
      <c r="V437" s="9" t="s">
        <v>44</v>
      </c>
      <c r="W437" s="9" t="s">
        <v>34</v>
      </c>
      <c r="X437">
        <f t="shared" si="103"/>
        <v>1</v>
      </c>
      <c r="Y437" s="1" t="str" cm="1">
        <f t="array" ref="Y437">INDEX(Ratings!$B$2:$M$42,_xlfn.XMATCH(Base!F437,Ratings!$A$2:$A$42),_xlfn.XMATCH(YEAR(Base!K437),Ratings!$B$1:$M$1))</f>
        <v>NR</v>
      </c>
      <c r="Z437">
        <f t="shared" si="104"/>
        <v>0</v>
      </c>
      <c r="AA437">
        <f>IFERROR(IFERROR(IFERROR(INDEX('EMBI+'!$B:$B,MATCH(Base!$K437,'EMBI+'!$A:$A,0)),INDEX('EMBI+'!$B:$B,MATCH(Base!$K437+1,'EMBI+'!$A:$A,0))),INDEX('EMBI+'!$B:$B,MATCH(Base!$K437+2,'EMBI+'!$A:$A,0))),INDEX('EMBI+'!$B:$B,MATCH(Base!$K437+3,'EMBI+'!$A:$A,0)))/100</f>
        <v>3.12</v>
      </c>
      <c r="AB437" s="9">
        <v>14.7027</v>
      </c>
      <c r="AC437" s="9">
        <f>0.23665+0.57703+0.80514+30.13495</f>
        <v>31.753769999999999</v>
      </c>
      <c r="AD437" s="9"/>
      <c r="AE437" s="9"/>
      <c r="AF437" s="2"/>
      <c r="AG437" s="2"/>
    </row>
    <row r="438" spans="1:33" x14ac:dyDescent="0.35">
      <c r="A438">
        <f t="shared" si="101"/>
        <v>436</v>
      </c>
      <c r="B438">
        <f>IF(G438="Bonds",COUNTIF($G$3:G438,"Bonds"),0)</f>
        <v>0</v>
      </c>
      <c r="C438" t="str">
        <f t="shared" si="105"/>
        <v>Rede D'or4256343658</v>
      </c>
      <c r="D438">
        <f t="shared" si="106"/>
        <v>32</v>
      </c>
      <c r="E438" s="9" t="s">
        <v>525</v>
      </c>
      <c r="F438" s="9" t="s">
        <v>526</v>
      </c>
      <c r="G438" s="9" t="s">
        <v>29</v>
      </c>
      <c r="H438">
        <f t="shared" si="96"/>
        <v>0</v>
      </c>
      <c r="I438" s="9" t="s">
        <v>531</v>
      </c>
      <c r="J438" s="1">
        <f t="shared" si="97"/>
        <v>5</v>
      </c>
      <c r="K438" s="2">
        <v>42563</v>
      </c>
      <c r="L438" s="2">
        <v>43658</v>
      </c>
      <c r="M438" s="10">
        <f t="shared" si="98"/>
        <v>3</v>
      </c>
      <c r="N438" s="11">
        <f t="shared" si="99"/>
        <v>0</v>
      </c>
      <c r="O438" s="9" t="s">
        <v>31</v>
      </c>
      <c r="P438" t="str">
        <f t="shared" si="102"/>
        <v>1</v>
      </c>
      <c r="Q438" s="12">
        <v>600000</v>
      </c>
      <c r="R438" s="9">
        <v>1000</v>
      </c>
      <c r="S438" s="1" t="str">
        <f>IF($V438="USD",INDEX('Dólar Spot'!$B:$B,MATCH(Base!$K438,'Dólar Spot'!$A:$A,0)),"")</f>
        <v/>
      </c>
      <c r="T438" s="11">
        <f t="shared" si="112"/>
        <v>600000000</v>
      </c>
      <c r="U438" s="13">
        <f t="shared" si="100"/>
        <v>6</v>
      </c>
      <c r="V438" s="9" t="s">
        <v>44</v>
      </c>
      <c r="W438" s="9" t="s">
        <v>34</v>
      </c>
      <c r="X438">
        <f t="shared" si="103"/>
        <v>1</v>
      </c>
      <c r="Y438" s="1" t="str" cm="1">
        <f t="array" ref="Y438">INDEX(Ratings!$B$2:$M$42,_xlfn.XMATCH(Base!F438,Ratings!$A$2:$A$42),_xlfn.XMATCH(YEAR(Base!K438),Ratings!$B$1:$M$1))</f>
        <v>BB+</v>
      </c>
      <c r="Z438">
        <f t="shared" si="104"/>
        <v>0</v>
      </c>
      <c r="AA438">
        <f>IFERROR(IFERROR(IFERROR(INDEX('EMBI+'!$B:$B,MATCH(Base!$K438,'EMBI+'!$A:$A,0)),INDEX('EMBI+'!$B:$B,MATCH(Base!$K438+1,'EMBI+'!$A:$A,0))),INDEX('EMBI+'!$B:$B,MATCH(Base!$K438+2,'EMBI+'!$A:$A,0))),INDEX('EMBI+'!$B:$B,MATCH(Base!$K438+3,'EMBI+'!$A:$A,0)))/100</f>
        <v>3.31</v>
      </c>
      <c r="AB438" s="9">
        <v>41.541319999999999</v>
      </c>
      <c r="AC438" s="9">
        <f>0.36145+7.06107+12.03179+21.58764</f>
        <v>41.04195</v>
      </c>
      <c r="AD438" s="9"/>
      <c r="AE438" s="9"/>
      <c r="AF438" s="2"/>
      <c r="AG438" s="2"/>
    </row>
    <row r="439" spans="1:33" x14ac:dyDescent="0.35">
      <c r="A439">
        <f t="shared" si="101"/>
        <v>437</v>
      </c>
      <c r="B439">
        <f>IF(G439="Bonds",COUNTIF($G$3:G439,"Bonds"),0)</f>
        <v>0</v>
      </c>
      <c r="C439" t="str">
        <f t="shared" si="105"/>
        <v>Rede D'or4257244398</v>
      </c>
      <c r="D439">
        <f t="shared" si="106"/>
        <v>32</v>
      </c>
      <c r="E439" s="9" t="s">
        <v>525</v>
      </c>
      <c r="F439" s="9" t="s">
        <v>526</v>
      </c>
      <c r="G439" s="9" t="s">
        <v>29</v>
      </c>
      <c r="H439">
        <f t="shared" si="96"/>
        <v>0</v>
      </c>
      <c r="I439" s="9" t="s">
        <v>532</v>
      </c>
      <c r="J439" s="1">
        <f t="shared" si="97"/>
        <v>6</v>
      </c>
      <c r="K439" s="2">
        <v>42572</v>
      </c>
      <c r="L439" s="2">
        <v>44398</v>
      </c>
      <c r="M439" s="10">
        <f t="shared" si="98"/>
        <v>5.0027397260273974</v>
      </c>
      <c r="N439" s="11">
        <f t="shared" si="99"/>
        <v>1</v>
      </c>
      <c r="O439" s="9" t="s">
        <v>47</v>
      </c>
      <c r="P439" t="str">
        <f t="shared" si="102"/>
        <v>0</v>
      </c>
      <c r="Q439" s="12">
        <v>15000</v>
      </c>
      <c r="R439" s="9">
        <v>10000</v>
      </c>
      <c r="S439" s="1" t="str">
        <f>IF($V439="USD",INDEX('Dólar Spot'!$B:$B,MATCH(Base!$K439,'Dólar Spot'!$A:$A,0)),"")</f>
        <v/>
      </c>
      <c r="T439" s="11">
        <f t="shared" si="112"/>
        <v>150000000</v>
      </c>
      <c r="U439" s="13">
        <f t="shared" si="100"/>
        <v>1.5</v>
      </c>
      <c r="V439" s="9" t="s">
        <v>44</v>
      </c>
      <c r="W439" s="9" t="s">
        <v>34</v>
      </c>
      <c r="X439">
        <f t="shared" si="103"/>
        <v>1</v>
      </c>
      <c r="Y439" s="1" t="str" cm="1">
        <f t="array" ref="Y439">INDEX(Ratings!$B$2:$M$42,_xlfn.XMATCH(Base!F439,Ratings!$A$2:$A$42),_xlfn.XMATCH(YEAR(Base!K439),Ratings!$B$1:$M$1))</f>
        <v>BB+</v>
      </c>
      <c r="Z439">
        <f t="shared" si="104"/>
        <v>0</v>
      </c>
      <c r="AA439">
        <f>IFERROR(IFERROR(IFERROR(INDEX('EMBI+'!$B:$B,MATCH(Base!$K439,'EMBI+'!$A:$A,0)),INDEX('EMBI+'!$B:$B,MATCH(Base!$K439+1,'EMBI+'!$A:$A,0))),INDEX('EMBI+'!$B:$B,MATCH(Base!$K439+2,'EMBI+'!$A:$A,0))),INDEX('EMBI+'!$B:$B,MATCH(Base!$K439+3,'EMBI+'!$A:$A,0)))/100</f>
        <v>3.37</v>
      </c>
      <c r="AB439" s="9">
        <v>41.541319999999999</v>
      </c>
      <c r="AC439" s="9">
        <f>0.36145+7.06107+12.03179+21.58764</f>
        <v>41.04195</v>
      </c>
      <c r="AD439" s="9"/>
      <c r="AE439" s="9"/>
      <c r="AF439" s="2"/>
      <c r="AG439" s="2"/>
    </row>
    <row r="440" spans="1:33" x14ac:dyDescent="0.35">
      <c r="A440">
        <f t="shared" si="101"/>
        <v>438</v>
      </c>
      <c r="B440">
        <f>IF(G440="Bonds",COUNTIF($G$3:G440,"Bonds"),0)</f>
        <v>0</v>
      </c>
      <c r="C440" t="str">
        <f t="shared" si="105"/>
        <v>Rede D'or4295444050</v>
      </c>
      <c r="D440">
        <f t="shared" si="106"/>
        <v>32</v>
      </c>
      <c r="E440" s="9" t="s">
        <v>525</v>
      </c>
      <c r="F440" s="9" t="s">
        <v>526</v>
      </c>
      <c r="G440" s="9" t="s">
        <v>29</v>
      </c>
      <c r="H440">
        <f t="shared" si="96"/>
        <v>0</v>
      </c>
      <c r="I440" s="9" t="s">
        <v>533</v>
      </c>
      <c r="J440" s="1">
        <f t="shared" si="97"/>
        <v>7</v>
      </c>
      <c r="K440" s="2">
        <v>42954</v>
      </c>
      <c r="L440" s="2">
        <v>44050</v>
      </c>
      <c r="M440" s="10">
        <f t="shared" si="98"/>
        <v>3.0027397260273974</v>
      </c>
      <c r="N440" s="11">
        <f t="shared" si="99"/>
        <v>0</v>
      </c>
      <c r="O440" s="9" t="s">
        <v>47</v>
      </c>
      <c r="P440" t="str">
        <f t="shared" si="102"/>
        <v>0</v>
      </c>
      <c r="Q440" s="12">
        <v>80000</v>
      </c>
      <c r="R440" s="9">
        <v>10000</v>
      </c>
      <c r="S440" s="1" t="str">
        <f>IF($V440="USD",INDEX('Dólar Spot'!$B:$B,MATCH(Base!$K440,'Dólar Spot'!$A:$A,0)),"")</f>
        <v/>
      </c>
      <c r="T440" s="11">
        <f t="shared" si="112"/>
        <v>800000000</v>
      </c>
      <c r="U440" s="13">
        <f t="shared" si="100"/>
        <v>8</v>
      </c>
      <c r="V440" s="9" t="s">
        <v>44</v>
      </c>
      <c r="W440" s="9" t="s">
        <v>34</v>
      </c>
      <c r="X440">
        <f t="shared" si="103"/>
        <v>1</v>
      </c>
      <c r="Y440" s="1" t="str" cm="1">
        <f t="array" ref="Y440">INDEX(Ratings!$B$2:$M$42,_xlfn.XMATCH(Base!F440,Ratings!$A$2:$A$42),_xlfn.XMATCH(YEAR(Base!K440),Ratings!$B$1:$M$1))</f>
        <v>BB+</v>
      </c>
      <c r="Z440">
        <f t="shared" si="104"/>
        <v>0</v>
      </c>
      <c r="AA440">
        <f>IFERROR(IFERROR(IFERROR(INDEX('EMBI+'!$B:$B,MATCH(Base!$K440,'EMBI+'!$A:$A,0)),INDEX('EMBI+'!$B:$B,MATCH(Base!$K440+1,'EMBI+'!$A:$A,0))),INDEX('EMBI+'!$B:$B,MATCH(Base!$K440+2,'EMBI+'!$A:$A,0))),INDEX('EMBI+'!$B:$B,MATCH(Base!$K440+3,'EMBI+'!$A:$A,0)))/100</f>
        <v>2.63</v>
      </c>
      <c r="AB440" s="9">
        <v>42.497450000000001</v>
      </c>
      <c r="AC440" s="9">
        <f>1.72176+7.82772+12.82858+28.07527</f>
        <v>50.453330000000001</v>
      </c>
      <c r="AD440" s="9"/>
      <c r="AE440" s="9"/>
      <c r="AF440" s="2"/>
      <c r="AG440" s="2"/>
    </row>
    <row r="441" spans="1:33" x14ac:dyDescent="0.35">
      <c r="A441">
        <f t="shared" si="101"/>
        <v>439</v>
      </c>
      <c r="B441">
        <f>IF(G441="Bonds",COUNTIF($G$3:G441,"Bonds"),0)</f>
        <v>0</v>
      </c>
      <c r="C441" t="str">
        <f t="shared" si="105"/>
        <v>Rede D'or4256344024</v>
      </c>
      <c r="D441">
        <f t="shared" si="106"/>
        <v>32</v>
      </c>
      <c r="E441" s="9" t="s">
        <v>525</v>
      </c>
      <c r="F441" s="9" t="s">
        <v>526</v>
      </c>
      <c r="G441" s="9" t="s">
        <v>29</v>
      </c>
      <c r="H441">
        <f t="shared" si="96"/>
        <v>0</v>
      </c>
      <c r="I441" s="9" t="s">
        <v>534</v>
      </c>
      <c r="J441" s="1">
        <f t="shared" si="97"/>
        <v>8</v>
      </c>
      <c r="K441" s="2">
        <v>42563</v>
      </c>
      <c r="L441" s="2">
        <v>44024</v>
      </c>
      <c r="M441" s="10">
        <f t="shared" si="98"/>
        <v>4.0027397260273974</v>
      </c>
      <c r="N441" s="11">
        <f t="shared" si="99"/>
        <v>0</v>
      </c>
      <c r="O441" s="9" t="s">
        <v>31</v>
      </c>
      <c r="P441" t="str">
        <f t="shared" si="102"/>
        <v>1</v>
      </c>
      <c r="Q441" s="12">
        <v>300000</v>
      </c>
      <c r="R441" s="9">
        <v>1000</v>
      </c>
      <c r="S441" s="1" t="str">
        <f>IF($V441="USD",INDEX('Dólar Spot'!$B:$B,MATCH(Base!$K441,'Dólar Spot'!$A:$A,0)),"")</f>
        <v/>
      </c>
      <c r="T441" s="11">
        <f t="shared" si="112"/>
        <v>300000000</v>
      </c>
      <c r="U441" s="13">
        <f t="shared" si="100"/>
        <v>3</v>
      </c>
      <c r="V441" s="9" t="s">
        <v>44</v>
      </c>
      <c r="W441" s="9" t="s">
        <v>34</v>
      </c>
      <c r="X441">
        <f t="shared" si="103"/>
        <v>1</v>
      </c>
      <c r="Y441" s="1" t="str" cm="1">
        <f t="array" ref="Y441">INDEX(Ratings!$B$2:$M$42,_xlfn.XMATCH(Base!F441,Ratings!$A$2:$A$42),_xlfn.XMATCH(YEAR(Base!K441),Ratings!$B$1:$M$1))</f>
        <v>BB+</v>
      </c>
      <c r="Z441">
        <f t="shared" si="104"/>
        <v>0</v>
      </c>
      <c r="AA441">
        <f>IFERROR(IFERROR(IFERROR(INDEX('EMBI+'!$B:$B,MATCH(Base!$K441,'EMBI+'!$A:$A,0)),INDEX('EMBI+'!$B:$B,MATCH(Base!$K441+1,'EMBI+'!$A:$A,0))),INDEX('EMBI+'!$B:$B,MATCH(Base!$K441+2,'EMBI+'!$A:$A,0))),INDEX('EMBI+'!$B:$B,MATCH(Base!$K441+3,'EMBI+'!$A:$A,0)))/100</f>
        <v>3.31</v>
      </c>
      <c r="AB441" s="9">
        <v>41.541319999999999</v>
      </c>
      <c r="AC441" s="9">
        <f>0.36145+7.06107+12.03179+21.58764</f>
        <v>41.04195</v>
      </c>
      <c r="AD441" s="9"/>
      <c r="AE441" s="9"/>
      <c r="AF441" s="2"/>
      <c r="AG441" s="2"/>
    </row>
    <row r="442" spans="1:33" x14ac:dyDescent="0.35">
      <c r="A442">
        <f t="shared" si="101"/>
        <v>440</v>
      </c>
      <c r="B442">
        <f>IF(G442="Bonds",COUNTIF($G$3:G442,"Bonds"),0)</f>
        <v>0</v>
      </c>
      <c r="C442" t="str">
        <f t="shared" si="105"/>
        <v>Rede D'or4295445511</v>
      </c>
      <c r="D442">
        <f t="shared" si="106"/>
        <v>32</v>
      </c>
      <c r="E442" s="9" t="s">
        <v>525</v>
      </c>
      <c r="F442" s="9" t="s">
        <v>526</v>
      </c>
      <c r="G442" s="9" t="s">
        <v>29</v>
      </c>
      <c r="H442">
        <f t="shared" si="96"/>
        <v>0</v>
      </c>
      <c r="I442" s="9" t="s">
        <v>535</v>
      </c>
      <c r="J442" s="1">
        <f t="shared" si="97"/>
        <v>9</v>
      </c>
      <c r="K442" s="2">
        <v>42954</v>
      </c>
      <c r="L442" s="2">
        <v>45511</v>
      </c>
      <c r="M442" s="10">
        <f t="shared" si="98"/>
        <v>7.0054794520547947</v>
      </c>
      <c r="N442" s="11">
        <f t="shared" si="99"/>
        <v>1</v>
      </c>
      <c r="O442" s="9" t="s">
        <v>47</v>
      </c>
      <c r="P442" t="str">
        <f t="shared" si="102"/>
        <v>0</v>
      </c>
      <c r="Q442" s="12">
        <v>60000</v>
      </c>
      <c r="R442" s="9">
        <v>10000</v>
      </c>
      <c r="S442" s="1" t="str">
        <f>IF($V442="USD",INDEX('Dólar Spot'!$B:$B,MATCH(Base!$K442,'Dólar Spot'!$A:$A,0)),"")</f>
        <v/>
      </c>
      <c r="T442" s="11">
        <f t="shared" si="112"/>
        <v>600000000</v>
      </c>
      <c r="U442" s="13">
        <f t="shared" si="100"/>
        <v>6</v>
      </c>
      <c r="V442" s="9" t="s">
        <v>44</v>
      </c>
      <c r="W442" s="9" t="s">
        <v>34</v>
      </c>
      <c r="X442">
        <f t="shared" si="103"/>
        <v>1</v>
      </c>
      <c r="Y442" s="1" t="str" cm="1">
        <f t="array" ref="Y442">INDEX(Ratings!$B$2:$M$42,_xlfn.XMATCH(Base!F442,Ratings!$A$2:$A$42),_xlfn.XMATCH(YEAR(Base!K442),Ratings!$B$1:$M$1))</f>
        <v>BB+</v>
      </c>
      <c r="Z442">
        <f t="shared" si="104"/>
        <v>0</v>
      </c>
      <c r="AA442">
        <f>IFERROR(IFERROR(IFERROR(INDEX('EMBI+'!$B:$B,MATCH(Base!$K442,'EMBI+'!$A:$A,0)),INDEX('EMBI+'!$B:$B,MATCH(Base!$K442+1,'EMBI+'!$A:$A,0))),INDEX('EMBI+'!$B:$B,MATCH(Base!$K442+2,'EMBI+'!$A:$A,0))),INDEX('EMBI+'!$B:$B,MATCH(Base!$K442+3,'EMBI+'!$A:$A,0)))/100</f>
        <v>2.63</v>
      </c>
      <c r="AB442" s="9">
        <v>42.497450000000001</v>
      </c>
      <c r="AC442" s="9">
        <f>1.72176+7.82772+12.82858+28.07527</f>
        <v>50.453330000000001</v>
      </c>
      <c r="AD442" s="9"/>
      <c r="AE442" s="9"/>
      <c r="AF442" s="2"/>
      <c r="AG442" s="2"/>
    </row>
    <row r="443" spans="1:33" x14ac:dyDescent="0.35">
      <c r="A443">
        <f t="shared" si="101"/>
        <v>441</v>
      </c>
      <c r="B443">
        <f>IF(G443="Bonds",COUNTIF($G$3:G443,"Bonds"),0)</f>
        <v>0</v>
      </c>
      <c r="C443" t="str">
        <f t="shared" si="105"/>
        <v>Rede D'or4256344389</v>
      </c>
      <c r="D443">
        <f t="shared" si="106"/>
        <v>32</v>
      </c>
      <c r="E443" s="9" t="s">
        <v>525</v>
      </c>
      <c r="F443" s="9" t="s">
        <v>526</v>
      </c>
      <c r="G443" s="9" t="s">
        <v>29</v>
      </c>
      <c r="H443">
        <f t="shared" si="96"/>
        <v>0</v>
      </c>
      <c r="I443" s="9" t="s">
        <v>536</v>
      </c>
      <c r="J443" s="1">
        <f t="shared" si="97"/>
        <v>10</v>
      </c>
      <c r="K443" s="2">
        <v>42563</v>
      </c>
      <c r="L443" s="2">
        <v>44389</v>
      </c>
      <c r="M443" s="10">
        <f t="shared" si="98"/>
        <v>5.0027397260273974</v>
      </c>
      <c r="N443" s="11">
        <f t="shared" si="99"/>
        <v>1</v>
      </c>
      <c r="O443" s="9" t="s">
        <v>31</v>
      </c>
      <c r="P443" t="str">
        <f t="shared" si="102"/>
        <v>1</v>
      </c>
      <c r="Q443" s="12">
        <v>300000</v>
      </c>
      <c r="R443" s="9">
        <v>1000</v>
      </c>
      <c r="S443" s="1" t="str">
        <f>IF($V443="USD",INDEX('Dólar Spot'!$B:$B,MATCH(Base!$K443,'Dólar Spot'!$A:$A,0)),"")</f>
        <v/>
      </c>
      <c r="T443" s="11">
        <f t="shared" si="112"/>
        <v>300000000</v>
      </c>
      <c r="U443" s="13">
        <f t="shared" si="100"/>
        <v>3</v>
      </c>
      <c r="V443" s="9" t="s">
        <v>44</v>
      </c>
      <c r="W443" s="9" t="s">
        <v>34</v>
      </c>
      <c r="X443">
        <f t="shared" si="103"/>
        <v>1</v>
      </c>
      <c r="Y443" s="1" t="str" cm="1">
        <f t="array" ref="Y443">INDEX(Ratings!$B$2:$M$42,_xlfn.XMATCH(Base!F443,Ratings!$A$2:$A$42),_xlfn.XMATCH(YEAR(Base!K443),Ratings!$B$1:$M$1))</f>
        <v>BB+</v>
      </c>
      <c r="Z443">
        <f t="shared" si="104"/>
        <v>0</v>
      </c>
      <c r="AA443">
        <f>IFERROR(IFERROR(IFERROR(INDEX('EMBI+'!$B:$B,MATCH(Base!$K443,'EMBI+'!$A:$A,0)),INDEX('EMBI+'!$B:$B,MATCH(Base!$K443+1,'EMBI+'!$A:$A,0))),INDEX('EMBI+'!$B:$B,MATCH(Base!$K443+2,'EMBI+'!$A:$A,0))),INDEX('EMBI+'!$B:$B,MATCH(Base!$K443+3,'EMBI+'!$A:$A,0)))/100</f>
        <v>3.31</v>
      </c>
      <c r="AB443" s="9">
        <v>41.541319999999999</v>
      </c>
      <c r="AC443" s="9">
        <f>0.36145+7.06107+12.03179+21.58764</f>
        <v>41.04195</v>
      </c>
      <c r="AD443" s="9"/>
      <c r="AE443" s="9"/>
      <c r="AF443" s="2"/>
      <c r="AG443" s="2"/>
    </row>
    <row r="444" spans="1:33" x14ac:dyDescent="0.35">
      <c r="A444">
        <f t="shared" si="101"/>
        <v>442</v>
      </c>
      <c r="B444">
        <f>IF(G444="Bonds",COUNTIF($G$3:G444,"Bonds"),0)</f>
        <v>0</v>
      </c>
      <c r="C444" t="str">
        <f t="shared" si="105"/>
        <v>Rede D'or4335345545</v>
      </c>
      <c r="D444">
        <f t="shared" si="106"/>
        <v>32</v>
      </c>
      <c r="E444" s="9" t="s">
        <v>525</v>
      </c>
      <c r="F444" s="9" t="s">
        <v>526</v>
      </c>
      <c r="G444" s="9" t="s">
        <v>29</v>
      </c>
      <c r="H444">
        <f t="shared" si="96"/>
        <v>0</v>
      </c>
      <c r="I444" s="9" t="s">
        <v>537</v>
      </c>
      <c r="J444" s="1">
        <f t="shared" si="97"/>
        <v>11</v>
      </c>
      <c r="K444" s="2">
        <v>43353</v>
      </c>
      <c r="L444" s="2">
        <v>45545</v>
      </c>
      <c r="M444" s="10">
        <f t="shared" si="98"/>
        <v>6.0054794520547947</v>
      </c>
      <c r="N444" s="11">
        <f t="shared" si="99"/>
        <v>1</v>
      </c>
      <c r="O444" s="9" t="s">
        <v>47</v>
      </c>
      <c r="P444" t="str">
        <f t="shared" si="102"/>
        <v>0</v>
      </c>
      <c r="Q444" s="12">
        <v>1400000000</v>
      </c>
      <c r="R444" s="9">
        <v>1</v>
      </c>
      <c r="S444" s="1" t="str">
        <f>IF($V444="USD",INDEX('Dólar Spot'!$B:$B,MATCH(Base!$K444,'Dólar Spot'!$A:$A,0)),"")</f>
        <v/>
      </c>
      <c r="T444" s="11">
        <f t="shared" si="112"/>
        <v>1400000000</v>
      </c>
      <c r="U444" s="13">
        <f t="shared" si="100"/>
        <v>14</v>
      </c>
      <c r="V444" s="9" t="s">
        <v>44</v>
      </c>
      <c r="W444" s="9" t="s">
        <v>34</v>
      </c>
      <c r="X444">
        <f t="shared" si="103"/>
        <v>1</v>
      </c>
      <c r="Y444" s="1" t="str" cm="1">
        <f t="array" ref="Y444">INDEX(Ratings!$B$2:$M$42,_xlfn.XMATCH(Base!F444,Ratings!$A$2:$A$42),_xlfn.XMATCH(YEAR(Base!K444),Ratings!$B$1:$M$1))</f>
        <v>BB</v>
      </c>
      <c r="Z444">
        <f t="shared" si="104"/>
        <v>0</v>
      </c>
      <c r="AA444">
        <f>IFERROR(IFERROR(IFERROR(INDEX('EMBI+'!$B:$B,MATCH(Base!$K444,'EMBI+'!$A:$A,0)),INDEX('EMBI+'!$B:$B,MATCH(Base!$K444+1,'EMBI+'!$A:$A,0))),INDEX('EMBI+'!$B:$B,MATCH(Base!$K444+2,'EMBI+'!$A:$A,0))),INDEX('EMBI+'!$B:$B,MATCH(Base!$K444+3,'EMBI+'!$A:$A,0)))/100</f>
        <v>3.29</v>
      </c>
      <c r="AB444" s="9">
        <v>53.752270000000003</v>
      </c>
      <c r="AC444" s="9">
        <f>5.37413+236.82168</f>
        <v>242.19580999999999</v>
      </c>
      <c r="AD444" s="9"/>
      <c r="AE444" s="9"/>
      <c r="AF444" s="2"/>
      <c r="AG444" s="2"/>
    </row>
    <row r="445" spans="1:33" x14ac:dyDescent="0.35">
      <c r="A445">
        <f t="shared" si="101"/>
        <v>443</v>
      </c>
      <c r="B445">
        <f>IF(G445="Bonds",COUNTIF($G$3:G445,"Bonds"),0)</f>
        <v>0</v>
      </c>
      <c r="C445" t="str">
        <f t="shared" si="105"/>
        <v>Rede D'or4339746319</v>
      </c>
      <c r="D445">
        <f t="shared" si="106"/>
        <v>32</v>
      </c>
      <c r="E445" s="9" t="s">
        <v>525</v>
      </c>
      <c r="F445" s="9" t="s">
        <v>526</v>
      </c>
      <c r="G445" s="9" t="s">
        <v>29</v>
      </c>
      <c r="H445">
        <f t="shared" si="96"/>
        <v>0</v>
      </c>
      <c r="I445" s="9" t="s">
        <v>538</v>
      </c>
      <c r="J445" s="1">
        <f t="shared" si="97"/>
        <v>12</v>
      </c>
      <c r="K445" s="2">
        <v>43397</v>
      </c>
      <c r="L445" s="2">
        <v>46319</v>
      </c>
      <c r="M445" s="10">
        <f t="shared" si="98"/>
        <v>8.0054794520547947</v>
      </c>
      <c r="N445" s="11">
        <f t="shared" si="99"/>
        <v>1</v>
      </c>
      <c r="O445" s="9" t="s">
        <v>31</v>
      </c>
      <c r="P445" t="str">
        <f t="shared" si="102"/>
        <v>1</v>
      </c>
      <c r="Q445" s="12">
        <v>500000</v>
      </c>
      <c r="R445" s="9">
        <v>1000</v>
      </c>
      <c r="S445" s="1" t="str">
        <f>IF($V445="USD",INDEX('Dólar Spot'!$B:$B,MATCH(Base!$K445,'Dólar Spot'!$A:$A,0)),"")</f>
        <v/>
      </c>
      <c r="T445" s="11">
        <f t="shared" si="112"/>
        <v>500000000</v>
      </c>
      <c r="U445" s="13">
        <f t="shared" si="100"/>
        <v>5</v>
      </c>
      <c r="V445" s="9" t="s">
        <v>44</v>
      </c>
      <c r="W445" s="9" t="s">
        <v>34</v>
      </c>
      <c r="X445">
        <f t="shared" si="103"/>
        <v>1</v>
      </c>
      <c r="Y445" s="1" t="str" cm="1">
        <f t="array" ref="Y445">INDEX(Ratings!$B$2:$M$42,_xlfn.XMATCH(Base!F445,Ratings!$A$2:$A$42),_xlfn.XMATCH(YEAR(Base!K445),Ratings!$B$1:$M$1))</f>
        <v>BB</v>
      </c>
      <c r="Z445">
        <f t="shared" si="104"/>
        <v>0</v>
      </c>
      <c r="AA445">
        <f>IFERROR(IFERROR(IFERROR(INDEX('EMBI+'!$B:$B,MATCH(Base!$K445,'EMBI+'!$A:$A,0)),INDEX('EMBI+'!$B:$B,MATCH(Base!$K445+1,'EMBI+'!$A:$A,0))),INDEX('EMBI+'!$B:$B,MATCH(Base!$K445+2,'EMBI+'!$A:$A,0))),INDEX('EMBI+'!$B:$B,MATCH(Base!$K445+3,'EMBI+'!$A:$A,0)))/100</f>
        <v>2.69</v>
      </c>
      <c r="AB445" s="9">
        <v>53.752270000000003</v>
      </c>
      <c r="AC445" s="9">
        <f>5.37413+236.82168</f>
        <v>242.19580999999999</v>
      </c>
      <c r="AD445" s="9"/>
      <c r="AE445" s="9"/>
      <c r="AF445" s="2"/>
      <c r="AG445" s="2"/>
    </row>
    <row r="446" spans="1:33" x14ac:dyDescent="0.35">
      <c r="A446">
        <f t="shared" si="101"/>
        <v>444</v>
      </c>
      <c r="B446">
        <f>IF(G446="Bonds",COUNTIF($G$3:G446,"Bonds"),0)</f>
        <v>0</v>
      </c>
      <c r="C446" t="str">
        <f t="shared" si="105"/>
        <v>Rede D'or4088943444</v>
      </c>
      <c r="D446">
        <f t="shared" si="106"/>
        <v>32</v>
      </c>
      <c r="E446" s="9" t="s">
        <v>525</v>
      </c>
      <c r="F446" s="9" t="s">
        <v>526</v>
      </c>
      <c r="G446" s="9" t="s">
        <v>29</v>
      </c>
      <c r="H446">
        <f t="shared" si="96"/>
        <v>0</v>
      </c>
      <c r="I446" s="9" t="s">
        <v>539</v>
      </c>
      <c r="J446" s="1">
        <f t="shared" si="97"/>
        <v>13</v>
      </c>
      <c r="K446" s="2">
        <v>40889</v>
      </c>
      <c r="L446" s="2">
        <v>43444</v>
      </c>
      <c r="M446" s="10">
        <f t="shared" si="98"/>
        <v>7</v>
      </c>
      <c r="N446" s="11">
        <f t="shared" si="99"/>
        <v>1</v>
      </c>
      <c r="O446" s="9" t="s">
        <v>31</v>
      </c>
      <c r="P446" t="str">
        <f t="shared" si="102"/>
        <v>1</v>
      </c>
      <c r="Q446" s="12">
        <v>100</v>
      </c>
      <c r="R446" s="9">
        <v>1000000</v>
      </c>
      <c r="S446" s="1" t="str">
        <f>IF($V446="USD",INDEX('Dólar Spot'!$B:$B,MATCH(Base!$K446,'Dólar Spot'!$A:$A,0)),"")</f>
        <v/>
      </c>
      <c r="T446" s="11">
        <f t="shared" si="112"/>
        <v>100000000</v>
      </c>
      <c r="U446" s="13">
        <f t="shared" si="100"/>
        <v>1</v>
      </c>
      <c r="V446" s="9" t="s">
        <v>44</v>
      </c>
      <c r="W446" s="9" t="s">
        <v>34</v>
      </c>
      <c r="X446">
        <f t="shared" si="103"/>
        <v>1</v>
      </c>
      <c r="Y446" s="1" t="str" cm="1">
        <f t="array" ref="Y446">INDEX(Ratings!$B$2:$M$42,_xlfn.XMATCH(Base!F446,Ratings!$A$2:$A$42),_xlfn.XMATCH(YEAR(Base!K446),Ratings!$B$1:$M$1))</f>
        <v>NR</v>
      </c>
      <c r="Z446">
        <f t="shared" si="104"/>
        <v>0</v>
      </c>
      <c r="AA446">
        <f>IFERROR(IFERROR(IFERROR(INDEX('EMBI+'!$B:$B,MATCH(Base!$K446,'EMBI+'!$A:$A,0)),INDEX('EMBI+'!$B:$B,MATCH(Base!$K446+1,'EMBI+'!$A:$A,0))),INDEX('EMBI+'!$B:$B,MATCH(Base!$K446+2,'EMBI+'!$A:$A,0))),INDEX('EMBI+'!$B:$B,MATCH(Base!$K446+3,'EMBI+'!$A:$A,0)))/100</f>
        <v>2.11</v>
      </c>
      <c r="AB446" s="9">
        <v>9.6398200000000003</v>
      </c>
      <c r="AC446" s="9">
        <f t="shared" ref="AC446:AC447" si="113">0.09717+1.53881+0.24601+18.39861</f>
        <v>20.2806</v>
      </c>
      <c r="AD446" s="9"/>
      <c r="AE446" s="9"/>
      <c r="AF446" s="2"/>
      <c r="AG446" s="2"/>
    </row>
    <row r="447" spans="1:33" x14ac:dyDescent="0.35">
      <c r="A447">
        <f t="shared" si="101"/>
        <v>445</v>
      </c>
      <c r="B447">
        <f>IF(G447="Bonds",COUNTIF($G$3:G447,"Bonds"),0)</f>
        <v>0</v>
      </c>
      <c r="C447" t="str">
        <f t="shared" si="105"/>
        <v>Rede D'or4088744175</v>
      </c>
      <c r="D447">
        <f t="shared" si="106"/>
        <v>32</v>
      </c>
      <c r="E447" s="9" t="s">
        <v>525</v>
      </c>
      <c r="F447" s="9" t="s">
        <v>526</v>
      </c>
      <c r="G447" s="9" t="s">
        <v>29</v>
      </c>
      <c r="H447">
        <f t="shared" si="96"/>
        <v>0</v>
      </c>
      <c r="I447" s="9" t="s">
        <v>540</v>
      </c>
      <c r="J447" s="1">
        <f t="shared" si="97"/>
        <v>14</v>
      </c>
      <c r="K447" s="2">
        <v>40887</v>
      </c>
      <c r="L447" s="2">
        <v>44175</v>
      </c>
      <c r="M447" s="10">
        <f t="shared" si="98"/>
        <v>9.0082191780821912</v>
      </c>
      <c r="N447" s="11">
        <f t="shared" si="99"/>
        <v>1</v>
      </c>
      <c r="O447" s="9" t="s">
        <v>61</v>
      </c>
      <c r="P447" t="str">
        <f t="shared" si="102"/>
        <v>1</v>
      </c>
      <c r="Q447" s="12">
        <v>65000</v>
      </c>
      <c r="R447" s="9">
        <v>10000</v>
      </c>
      <c r="S447" s="1" t="str">
        <f>IF($V447="USD",INDEX('Dólar Spot'!$B:$B,MATCH(Base!$K447,'Dólar Spot'!$A:$A,0)),"")</f>
        <v/>
      </c>
      <c r="T447" s="11">
        <f t="shared" si="112"/>
        <v>650000000</v>
      </c>
      <c r="U447" s="13">
        <f t="shared" si="100"/>
        <v>6.5</v>
      </c>
      <c r="V447" s="9" t="s">
        <v>44</v>
      </c>
      <c r="W447" s="9" t="s">
        <v>34</v>
      </c>
      <c r="X447">
        <f t="shared" si="103"/>
        <v>1</v>
      </c>
      <c r="Y447" s="1" t="str" cm="1">
        <f t="array" ref="Y447">INDEX(Ratings!$B$2:$M$42,_xlfn.XMATCH(Base!F447,Ratings!$A$2:$A$42),_xlfn.XMATCH(YEAR(Base!K447),Ratings!$B$1:$M$1))</f>
        <v>NR</v>
      </c>
      <c r="Z447">
        <f t="shared" si="104"/>
        <v>0</v>
      </c>
      <c r="AA447">
        <f>IFERROR(IFERROR(IFERROR(INDEX('EMBI+'!$B:$B,MATCH(Base!$K447,'EMBI+'!$A:$A,0)),INDEX('EMBI+'!$B:$B,MATCH(Base!$K447+1,'EMBI+'!$A:$A,0))),INDEX('EMBI+'!$B:$B,MATCH(Base!$K447+2,'EMBI+'!$A:$A,0))),INDEX('EMBI+'!$B:$B,MATCH(Base!$K447+3,'EMBI+'!$A:$A,0)))/100</f>
        <v>2.11</v>
      </c>
      <c r="AB447" s="9">
        <v>9.6398200000000003</v>
      </c>
      <c r="AC447" s="9">
        <f t="shared" si="113"/>
        <v>20.2806</v>
      </c>
      <c r="AD447" s="9"/>
      <c r="AE447" s="9"/>
      <c r="AF447" s="2"/>
      <c r="AG447" s="2"/>
    </row>
    <row r="448" spans="1:33" x14ac:dyDescent="0.35">
      <c r="A448">
        <f t="shared" si="101"/>
        <v>446</v>
      </c>
      <c r="B448">
        <f>IF(G448="Bonds",COUNTIF($G$3:G448,"Bonds"),0)</f>
        <v>0</v>
      </c>
      <c r="C448" t="str">
        <f t="shared" si="105"/>
        <v>Rede D'or4113144418</v>
      </c>
      <c r="D448">
        <f t="shared" si="106"/>
        <v>32</v>
      </c>
      <c r="E448" s="9" t="s">
        <v>525</v>
      </c>
      <c r="F448" s="9" t="s">
        <v>526</v>
      </c>
      <c r="G448" s="9" t="s">
        <v>29</v>
      </c>
      <c r="H448">
        <f t="shared" si="96"/>
        <v>0</v>
      </c>
      <c r="I448" s="9" t="s">
        <v>541</v>
      </c>
      <c r="J448" s="1">
        <f t="shared" si="97"/>
        <v>15</v>
      </c>
      <c r="K448" s="2">
        <v>41131</v>
      </c>
      <c r="L448" s="2">
        <v>44418</v>
      </c>
      <c r="M448" s="10">
        <f t="shared" si="98"/>
        <v>9.0054794520547947</v>
      </c>
      <c r="N448" s="11">
        <f t="shared" si="99"/>
        <v>1</v>
      </c>
      <c r="O448" s="9" t="s">
        <v>31</v>
      </c>
      <c r="P448" t="str">
        <f t="shared" si="102"/>
        <v>1</v>
      </c>
      <c r="Q448" s="12">
        <v>80000</v>
      </c>
      <c r="R448" s="9">
        <v>10000</v>
      </c>
      <c r="S448" s="1" t="str">
        <f>IF($V448="USD",INDEX('Dólar Spot'!$B:$B,MATCH(Base!$K448,'Dólar Spot'!$A:$A,0)),"")</f>
        <v/>
      </c>
      <c r="T448" s="11">
        <f t="shared" si="112"/>
        <v>800000000</v>
      </c>
      <c r="U448" s="13">
        <f t="shared" si="100"/>
        <v>8</v>
      </c>
      <c r="V448" s="9" t="s">
        <v>44</v>
      </c>
      <c r="W448" s="9" t="s">
        <v>34</v>
      </c>
      <c r="X448">
        <f t="shared" si="103"/>
        <v>1</v>
      </c>
      <c r="Y448" s="1" t="str" cm="1">
        <f t="array" ref="Y448">INDEX(Ratings!$B$2:$M$42,_xlfn.XMATCH(Base!F448,Ratings!$A$2:$A$42),_xlfn.XMATCH(YEAR(Base!K448),Ratings!$B$1:$M$1))</f>
        <v>NR</v>
      </c>
      <c r="Z448">
        <f t="shared" si="104"/>
        <v>0</v>
      </c>
      <c r="AA448">
        <f>IFERROR(IFERROR(IFERROR(INDEX('EMBI+'!$B:$B,MATCH(Base!$K448,'EMBI+'!$A:$A,0)),INDEX('EMBI+'!$B:$B,MATCH(Base!$K448+1,'EMBI+'!$A:$A,0))),INDEX('EMBI+'!$B:$B,MATCH(Base!$K448+2,'EMBI+'!$A:$A,0))),INDEX('EMBI+'!$B:$B,MATCH(Base!$K448+3,'EMBI+'!$A:$A,0)))/100</f>
        <v>1.69</v>
      </c>
      <c r="AB448" s="9">
        <v>8.9312900000000006</v>
      </c>
      <c r="AC448" s="9">
        <f>0.57031+1.99683+0.99345+26.66095</f>
        <v>30.221540000000001</v>
      </c>
      <c r="AD448" s="9"/>
      <c r="AE448" s="9"/>
      <c r="AF448" s="2"/>
      <c r="AG448" s="2"/>
    </row>
    <row r="449" spans="1:33" x14ac:dyDescent="0.35">
      <c r="A449">
        <f t="shared" si="101"/>
        <v>447</v>
      </c>
      <c r="B449">
        <f>IF(G449="Bonds",COUNTIF($G$3:G449,"Bonds"),0)</f>
        <v>0</v>
      </c>
      <c r="C449" t="str">
        <f t="shared" si="105"/>
        <v>Rede D'or4363646376</v>
      </c>
      <c r="D449">
        <f t="shared" si="106"/>
        <v>32</v>
      </c>
      <c r="E449" s="9" t="s">
        <v>525</v>
      </c>
      <c r="F449" s="9" t="s">
        <v>526</v>
      </c>
      <c r="G449" s="9" t="s">
        <v>29</v>
      </c>
      <c r="H449">
        <f t="shared" si="96"/>
        <v>0</v>
      </c>
      <c r="I449" s="9" t="s">
        <v>542</v>
      </c>
      <c r="J449" s="1">
        <f t="shared" si="97"/>
        <v>16</v>
      </c>
      <c r="K449" s="2">
        <v>43636</v>
      </c>
      <c r="L449" s="2">
        <v>46376</v>
      </c>
      <c r="M449" s="10">
        <f t="shared" si="98"/>
        <v>7.506849315068493</v>
      </c>
      <c r="N449" s="11">
        <f t="shared" si="99"/>
        <v>1</v>
      </c>
      <c r="O449" s="9" t="s">
        <v>47</v>
      </c>
      <c r="P449" t="str">
        <f t="shared" si="102"/>
        <v>0</v>
      </c>
      <c r="Q449" s="12">
        <v>2500000</v>
      </c>
      <c r="R449" s="9">
        <v>1000</v>
      </c>
      <c r="S449" s="1" t="str">
        <f>IF($V449="USD",INDEX('Dólar Spot'!$B:$B,MATCH(Base!$K449,'Dólar Spot'!$A:$A,0)),"")</f>
        <v/>
      </c>
      <c r="T449" s="11">
        <f t="shared" si="112"/>
        <v>2500000000</v>
      </c>
      <c r="U449" s="13">
        <f t="shared" si="100"/>
        <v>25</v>
      </c>
      <c r="V449" s="9" t="s">
        <v>44</v>
      </c>
      <c r="W449" s="9" t="s">
        <v>34</v>
      </c>
      <c r="X449">
        <f t="shared" si="103"/>
        <v>1</v>
      </c>
      <c r="Y449" s="1" t="str" cm="1">
        <f t="array" ref="Y449">INDEX(Ratings!$B$2:$M$42,_xlfn.XMATCH(Base!F449,Ratings!$A$2:$A$42),_xlfn.XMATCH(YEAR(Base!K449),Ratings!$B$1:$M$1))</f>
        <v>BB</v>
      </c>
      <c r="Z449">
        <f t="shared" si="104"/>
        <v>0</v>
      </c>
      <c r="AA449">
        <f>IFERROR(IFERROR(IFERROR(INDEX('EMBI+'!$B:$B,MATCH(Base!$K449,'EMBI+'!$A:$A,0)),INDEX('EMBI+'!$B:$B,MATCH(Base!$K449+1,'EMBI+'!$A:$A,0))),INDEX('EMBI+'!$B:$B,MATCH(Base!$K449+2,'EMBI+'!$A:$A,0))),INDEX('EMBI+'!$B:$B,MATCH(Base!$K449+3,'EMBI+'!$A:$A,0)))/100</f>
        <v>2.37</v>
      </c>
      <c r="AB449" s="9">
        <v>50.18459</v>
      </c>
      <c r="AC449" s="9">
        <f>7.06477+124.75531</f>
        <v>131.82007999999999</v>
      </c>
      <c r="AD449" s="9"/>
      <c r="AE449" s="9"/>
      <c r="AF449" s="2"/>
      <c r="AG449" s="2"/>
    </row>
    <row r="450" spans="1:33" x14ac:dyDescent="0.35">
      <c r="A450">
        <f t="shared" si="101"/>
        <v>448</v>
      </c>
      <c r="B450">
        <f>IF(G450="Bonds",COUNTIF($G$3:G450,"Bonds"),0)</f>
        <v>0</v>
      </c>
      <c r="C450" t="str">
        <f t="shared" si="105"/>
        <v>Rede D'or4399948080</v>
      </c>
      <c r="D450">
        <f t="shared" si="106"/>
        <v>32</v>
      </c>
      <c r="E450" s="9" t="s">
        <v>525</v>
      </c>
      <c r="F450" s="9" t="s">
        <v>526</v>
      </c>
      <c r="G450" s="9" t="s">
        <v>29</v>
      </c>
      <c r="H450">
        <f t="shared" si="96"/>
        <v>0</v>
      </c>
      <c r="I450" s="9" t="s">
        <v>543</v>
      </c>
      <c r="J450" s="1">
        <f t="shared" si="97"/>
        <v>17</v>
      </c>
      <c r="K450" s="2">
        <v>43999</v>
      </c>
      <c r="L450" s="2">
        <v>48080</v>
      </c>
      <c r="M450" s="10">
        <f t="shared" si="98"/>
        <v>11.180821917808219</v>
      </c>
      <c r="N450" s="11">
        <f t="shared" si="99"/>
        <v>1</v>
      </c>
      <c r="O450" s="9" t="s">
        <v>47</v>
      </c>
      <c r="P450" t="str">
        <f t="shared" si="102"/>
        <v>0</v>
      </c>
      <c r="Q450" s="12">
        <v>2500000</v>
      </c>
      <c r="R450" s="9">
        <v>1000</v>
      </c>
      <c r="S450" s="1" t="str">
        <f>IF($V450="USD",INDEX('Dólar Spot'!$B:$B,MATCH(Base!$K450,'Dólar Spot'!$A:$A,0)),"")</f>
        <v/>
      </c>
      <c r="T450" s="11">
        <f t="shared" si="112"/>
        <v>2500000000</v>
      </c>
      <c r="U450" s="13">
        <f t="shared" si="100"/>
        <v>25</v>
      </c>
      <c r="V450" s="9" t="s">
        <v>44</v>
      </c>
      <c r="W450" s="9" t="s">
        <v>34</v>
      </c>
      <c r="X450">
        <f t="shared" si="103"/>
        <v>1</v>
      </c>
      <c r="Y450" s="1" t="str" cm="1">
        <f t="array" ref="Y450">INDEX(Ratings!$B$2:$M$42,_xlfn.XMATCH(Base!F450,Ratings!$A$2:$A$42),_xlfn.XMATCH(YEAR(Base!K450),Ratings!$B$1:$M$1))</f>
        <v>BB</v>
      </c>
      <c r="Z450">
        <f t="shared" si="104"/>
        <v>0</v>
      </c>
      <c r="AA450">
        <f>IFERROR(IFERROR(IFERROR(INDEX('EMBI+'!$B:$B,MATCH(Base!$K450,'EMBI+'!$A:$A,0)),INDEX('EMBI+'!$B:$B,MATCH(Base!$K450+1,'EMBI+'!$A:$A,0))),INDEX('EMBI+'!$B:$B,MATCH(Base!$K450+2,'EMBI+'!$A:$A,0))),INDEX('EMBI+'!$B:$B,MATCH(Base!$K450+3,'EMBI+'!$A:$A,0)))/100</f>
        <v>3.74</v>
      </c>
      <c r="AB450" s="9">
        <v>48.913829999999997</v>
      </c>
      <c r="AC450" s="9">
        <v>242.40905000000001</v>
      </c>
      <c r="AD450" s="9"/>
      <c r="AE450" s="9"/>
      <c r="AF450" s="2"/>
      <c r="AG450" s="2"/>
    </row>
    <row r="451" spans="1:33" x14ac:dyDescent="0.35">
      <c r="A451">
        <f t="shared" si="101"/>
        <v>449</v>
      </c>
      <c r="B451">
        <f>IF(G451="Bonds",COUNTIF($G$3:G451,"Bonds"),0)</f>
        <v>0</v>
      </c>
      <c r="C451" t="str">
        <f t="shared" si="105"/>
        <v>Rede D'or4363647289</v>
      </c>
      <c r="D451">
        <f t="shared" si="106"/>
        <v>32</v>
      </c>
      <c r="E451" s="9" t="s">
        <v>525</v>
      </c>
      <c r="F451" s="9" t="s">
        <v>526</v>
      </c>
      <c r="G451" s="9" t="s">
        <v>29</v>
      </c>
      <c r="H451">
        <f t="shared" ref="H451:H514" si="114">IF(G451="Bonds",1,0)</f>
        <v>0</v>
      </c>
      <c r="I451" s="9" t="s">
        <v>544</v>
      </c>
      <c r="J451" s="1">
        <f t="shared" ref="J451:J514" si="115">IF(F451=F450,J450+1,1)</f>
        <v>18</v>
      </c>
      <c r="K451" s="2">
        <v>43636</v>
      </c>
      <c r="L451" s="2">
        <v>47289</v>
      </c>
      <c r="M451" s="10">
        <f t="shared" ref="M451:M514" si="116">(L451-K451)/365</f>
        <v>10.008219178082191</v>
      </c>
      <c r="N451" s="11">
        <f t="shared" ref="N451:N514" si="117">IF(M451&gt;5,1,0)</f>
        <v>1</v>
      </c>
      <c r="O451" s="9" t="s">
        <v>47</v>
      </c>
      <c r="P451" t="str">
        <f t="shared" si="102"/>
        <v>0</v>
      </c>
      <c r="Q451" s="12">
        <v>1000000</v>
      </c>
      <c r="R451" s="9">
        <v>1000</v>
      </c>
      <c r="S451" s="1" t="str">
        <f>IF($V451="USD",INDEX('Dólar Spot'!$B:$B,MATCH(Base!$K451,'Dólar Spot'!$A:$A,0)),"")</f>
        <v/>
      </c>
      <c r="T451" s="11">
        <f t="shared" si="112"/>
        <v>1000000000</v>
      </c>
      <c r="U451" s="13">
        <f t="shared" ref="U451:U514" si="118">IF(V451="USD",T451*S451/100000000,Q451*R451/100000000)</f>
        <v>10</v>
      </c>
      <c r="V451" s="9" t="s">
        <v>44</v>
      </c>
      <c r="W451" s="9" t="s">
        <v>34</v>
      </c>
      <c r="X451">
        <f t="shared" si="103"/>
        <v>1</v>
      </c>
      <c r="Y451" s="1" t="str" cm="1">
        <f t="array" ref="Y451">INDEX(Ratings!$B$2:$M$42,_xlfn.XMATCH(Base!F451,Ratings!$A$2:$A$42),_xlfn.XMATCH(YEAR(Base!K451),Ratings!$B$1:$M$1))</f>
        <v>BB</v>
      </c>
      <c r="Z451">
        <f t="shared" si="104"/>
        <v>0</v>
      </c>
      <c r="AA451">
        <f>IFERROR(IFERROR(IFERROR(INDEX('EMBI+'!$B:$B,MATCH(Base!$K451,'EMBI+'!$A:$A,0)),INDEX('EMBI+'!$B:$B,MATCH(Base!$K451+1,'EMBI+'!$A:$A,0))),INDEX('EMBI+'!$B:$B,MATCH(Base!$K451+2,'EMBI+'!$A:$A,0))),INDEX('EMBI+'!$B:$B,MATCH(Base!$K451+3,'EMBI+'!$A:$A,0)))/100</f>
        <v>2.37</v>
      </c>
      <c r="AB451" s="9">
        <v>48.223469999999999</v>
      </c>
      <c r="AC451" s="9">
        <v>131.82007999999999</v>
      </c>
      <c r="AD451" s="9"/>
      <c r="AE451" s="9"/>
      <c r="AF451" s="2"/>
      <c r="AG451" s="2"/>
    </row>
    <row r="452" spans="1:33" x14ac:dyDescent="0.35">
      <c r="A452">
        <f t="shared" ref="A452:A515" si="119">+A451+1</f>
        <v>450</v>
      </c>
      <c r="B452">
        <f>IF(G452="Bonds",COUNTIF($G$3:G452,"Bonds"),0)</f>
        <v>0</v>
      </c>
      <c r="C452" t="str">
        <f t="shared" si="105"/>
        <v>Rede D'or4399948080</v>
      </c>
      <c r="D452">
        <f t="shared" si="106"/>
        <v>32</v>
      </c>
      <c r="E452" s="9" t="s">
        <v>525</v>
      </c>
      <c r="F452" s="9" t="s">
        <v>526</v>
      </c>
      <c r="G452" s="9" t="s">
        <v>29</v>
      </c>
      <c r="H452">
        <f t="shared" si="114"/>
        <v>0</v>
      </c>
      <c r="I452" s="9" t="s">
        <v>545</v>
      </c>
      <c r="J452" s="1">
        <f t="shared" si="115"/>
        <v>19</v>
      </c>
      <c r="K452" s="2">
        <v>43999</v>
      </c>
      <c r="L452" s="2">
        <v>48080</v>
      </c>
      <c r="M452" s="10">
        <f t="shared" si="116"/>
        <v>11.180821917808219</v>
      </c>
      <c r="N452" s="11">
        <f t="shared" si="117"/>
        <v>1</v>
      </c>
      <c r="O452" s="9" t="s">
        <v>47</v>
      </c>
      <c r="P452" t="str">
        <f t="shared" ref="P452:P515" si="120">IF(OR(O452="Real",O452="Flutuante",O452="SR SECURED"),"1","0")</f>
        <v>0</v>
      </c>
      <c r="Q452" s="12">
        <v>1500000</v>
      </c>
      <c r="R452" s="9">
        <v>1000</v>
      </c>
      <c r="S452" s="1" t="str">
        <f>IF($V452="USD",INDEX('Dólar Spot'!$B:$B,MATCH(Base!$K452,'Dólar Spot'!$A:$A,0)),"")</f>
        <v/>
      </c>
      <c r="T452" s="11">
        <f t="shared" si="112"/>
        <v>1500000000</v>
      </c>
      <c r="U452" s="13">
        <f t="shared" si="118"/>
        <v>15</v>
      </c>
      <c r="V452" s="9" t="s">
        <v>44</v>
      </c>
      <c r="W452" s="9" t="s">
        <v>34</v>
      </c>
      <c r="X452">
        <f t="shared" ref="X452:X515" si="121">IF(OR(W452="N",W452="AT MATURITY"),0,1)</f>
        <v>1</v>
      </c>
      <c r="Y452" s="1" t="str" cm="1">
        <f t="array" ref="Y452">INDEX(Ratings!$B$2:$M$42,_xlfn.XMATCH(Base!F452,Ratings!$A$2:$A$42),_xlfn.XMATCH(YEAR(Base!K452),Ratings!$B$1:$M$1))</f>
        <v>BB</v>
      </c>
      <c r="Z452">
        <f t="shared" ref="Z452:Z515" si="122">IF(AND(Y452&lt;&gt;"BBB-",Y452&lt;&gt;"BBB",Y452&lt;&gt;"BBB+"),0,1)</f>
        <v>0</v>
      </c>
      <c r="AA452">
        <f>IFERROR(IFERROR(IFERROR(INDEX('EMBI+'!$B:$B,MATCH(Base!$K452,'EMBI+'!$A:$A,0)),INDEX('EMBI+'!$B:$B,MATCH(Base!$K452+1,'EMBI+'!$A:$A,0))),INDEX('EMBI+'!$B:$B,MATCH(Base!$K452+2,'EMBI+'!$A:$A,0))),INDEX('EMBI+'!$B:$B,MATCH(Base!$K452+3,'EMBI+'!$A:$A,0)))/100</f>
        <v>3.74</v>
      </c>
      <c r="AB452" s="9">
        <v>51.278590000000001</v>
      </c>
      <c r="AC452" s="9">
        <f>8.58031+233.82874</f>
        <v>242.40905000000001</v>
      </c>
      <c r="AD452" s="9"/>
      <c r="AE452" s="9"/>
      <c r="AF452" s="2"/>
      <c r="AG452" s="2"/>
    </row>
    <row r="453" spans="1:33" x14ac:dyDescent="0.35">
      <c r="A453">
        <f t="shared" si="119"/>
        <v>451</v>
      </c>
      <c r="B453">
        <f>IF(G453="Bonds",COUNTIF($G$3:G453,"Bonds"),0)</f>
        <v>0</v>
      </c>
      <c r="C453" t="str">
        <f t="shared" ref="C453:C516" si="123">F453&amp;K453&amp;L453</f>
        <v>Rede D'or4469646888</v>
      </c>
      <c r="D453">
        <f t="shared" ref="D453:D516" si="124">IF(F453&lt;&gt;F452,D452+1,D452)</f>
        <v>32</v>
      </c>
      <c r="E453" s="9" t="s">
        <v>525</v>
      </c>
      <c r="F453" s="9" t="s">
        <v>526</v>
      </c>
      <c r="G453" s="9" t="s">
        <v>29</v>
      </c>
      <c r="H453">
        <f t="shared" si="114"/>
        <v>0</v>
      </c>
      <c r="I453" s="9"/>
      <c r="J453" s="1">
        <f t="shared" si="115"/>
        <v>20</v>
      </c>
      <c r="K453" s="2">
        <v>44696</v>
      </c>
      <c r="L453" s="2">
        <v>46888</v>
      </c>
      <c r="M453" s="10">
        <f t="shared" si="116"/>
        <v>6.0054794520547947</v>
      </c>
      <c r="N453" s="11">
        <f t="shared" si="117"/>
        <v>1</v>
      </c>
      <c r="O453" s="9" t="s">
        <v>47</v>
      </c>
      <c r="P453" t="str">
        <f t="shared" si="120"/>
        <v>0</v>
      </c>
      <c r="Q453" s="12">
        <v>900000</v>
      </c>
      <c r="R453" s="9">
        <v>1000</v>
      </c>
      <c r="S453" s="1" t="str">
        <f>IF($V453="USD",INDEX('Dólar Spot'!$B:$B,MATCH(Base!$K453,'Dólar Spot'!$A:$A,0)),"")</f>
        <v/>
      </c>
      <c r="T453" s="11">
        <f t="shared" si="112"/>
        <v>900000000</v>
      </c>
      <c r="U453" s="13">
        <f t="shared" si="118"/>
        <v>9</v>
      </c>
      <c r="V453" s="9" t="s">
        <v>44</v>
      </c>
      <c r="W453" s="9" t="s">
        <v>34</v>
      </c>
      <c r="X453">
        <f t="shared" si="121"/>
        <v>1</v>
      </c>
      <c r="Y453" s="1" t="str" cm="1">
        <f t="array" ref="Y453">INDEX(Ratings!$B$2:$M$42,_xlfn.XMATCH(Base!F453,Ratings!$A$2:$A$42),_xlfn.XMATCH(YEAR(Base!K453),Ratings!$B$1:$M$1))</f>
        <v>BB</v>
      </c>
      <c r="Z453">
        <f t="shared" si="122"/>
        <v>0</v>
      </c>
      <c r="AA453">
        <f>IFERROR(IFERROR(IFERROR(INDEX('EMBI+'!$B:$B,MATCH(Base!$K453,'EMBI+'!$A:$A,0)),INDEX('EMBI+'!$B:$B,MATCH(Base!$K453+1,'EMBI+'!$A:$A,0))),INDEX('EMBI+'!$B:$B,MATCH(Base!$K453+2,'EMBI+'!$A:$A,0))),INDEX('EMBI+'!$B:$B,MATCH(Base!$K453+3,'EMBI+'!$A:$A,0)))/100</f>
        <v>3.19</v>
      </c>
      <c r="AB453" s="9">
        <v>135.85303999999999</v>
      </c>
      <c r="AC453" s="9">
        <v>257.65505999999999</v>
      </c>
      <c r="AD453" s="9"/>
      <c r="AE453" s="9"/>
      <c r="AF453" s="2"/>
      <c r="AG453" s="2"/>
    </row>
    <row r="454" spans="1:33" x14ac:dyDescent="0.35">
      <c r="A454">
        <f t="shared" si="119"/>
        <v>452</v>
      </c>
      <c r="B454">
        <f>IF(G454="Bonds",COUNTIF($G$3:G454,"Bonds"),0)</f>
        <v>0</v>
      </c>
      <c r="C454" t="str">
        <f t="shared" si="123"/>
        <v>Rede D'or4484948502</v>
      </c>
      <c r="D454">
        <f t="shared" si="124"/>
        <v>32</v>
      </c>
      <c r="E454" s="9" t="s">
        <v>525</v>
      </c>
      <c r="F454" s="9" t="s">
        <v>526</v>
      </c>
      <c r="G454" s="9" t="s">
        <v>29</v>
      </c>
      <c r="H454">
        <f t="shared" si="114"/>
        <v>0</v>
      </c>
      <c r="I454" s="9"/>
      <c r="J454" s="1">
        <f t="shared" si="115"/>
        <v>21</v>
      </c>
      <c r="K454" s="2">
        <v>44849</v>
      </c>
      <c r="L454" s="2">
        <v>48502</v>
      </c>
      <c r="M454" s="10">
        <f t="shared" si="116"/>
        <v>10.008219178082191</v>
      </c>
      <c r="N454" s="11">
        <f t="shared" si="117"/>
        <v>1</v>
      </c>
      <c r="O454" s="9" t="s">
        <v>47</v>
      </c>
      <c r="P454" t="str">
        <f t="shared" si="120"/>
        <v>0</v>
      </c>
      <c r="Q454" s="12">
        <v>450000</v>
      </c>
      <c r="R454" s="9">
        <v>1000</v>
      </c>
      <c r="S454" s="1" t="str">
        <f>IF($V454="USD",INDEX('Dólar Spot'!$B:$B,MATCH(Base!$K454,'Dólar Spot'!$A:$A,0)),"")</f>
        <v/>
      </c>
      <c r="T454" s="11">
        <f t="shared" si="112"/>
        <v>450000000</v>
      </c>
      <c r="U454" s="13">
        <f t="shared" si="118"/>
        <v>4.5</v>
      </c>
      <c r="V454" s="9" t="s">
        <v>44</v>
      </c>
      <c r="W454" s="9" t="s">
        <v>34</v>
      </c>
      <c r="X454">
        <f t="shared" si="121"/>
        <v>1</v>
      </c>
      <c r="Y454" s="1" t="str" cm="1">
        <f t="array" ref="Y454">INDEX(Ratings!$B$2:$M$42,_xlfn.XMATCH(Base!F454,Ratings!$A$2:$A$42),_xlfn.XMATCH(YEAR(Base!K454),Ratings!$B$1:$M$1))</f>
        <v>BB</v>
      </c>
      <c r="Z454">
        <f t="shared" si="122"/>
        <v>0</v>
      </c>
      <c r="AA454">
        <f>IFERROR(IFERROR(IFERROR(INDEX('EMBI+'!$B:$B,MATCH(Base!$K454,'EMBI+'!$A:$A,0)),INDEX('EMBI+'!$B:$B,MATCH(Base!$K454+1,'EMBI+'!$A:$A,0))),INDEX('EMBI+'!$B:$B,MATCH(Base!$K454+2,'EMBI+'!$A:$A,0))),INDEX('EMBI+'!$B:$B,MATCH(Base!$K454+3,'EMBI+'!$A:$A,0)))/100</f>
        <v>2.83</v>
      </c>
      <c r="AB454" s="9">
        <v>136.28540000000001</v>
      </c>
      <c r="AC454" s="9">
        <v>292.51805999999999</v>
      </c>
      <c r="AD454" s="9"/>
      <c r="AE454" s="9"/>
      <c r="AF454" s="2"/>
      <c r="AG454" s="2"/>
    </row>
    <row r="455" spans="1:33" x14ac:dyDescent="0.35">
      <c r="A455">
        <f t="shared" si="119"/>
        <v>453</v>
      </c>
      <c r="B455">
        <f>IF(G455="Bonds",COUNTIF($G$3:G455,"Bonds"),0)</f>
        <v>0</v>
      </c>
      <c r="C455" t="str">
        <f t="shared" si="123"/>
        <v>Rede D'or4469648349</v>
      </c>
      <c r="D455">
        <f t="shared" si="124"/>
        <v>32</v>
      </c>
      <c r="E455" s="9" t="s">
        <v>525</v>
      </c>
      <c r="F455" s="9" t="s">
        <v>526</v>
      </c>
      <c r="G455" s="9" t="s">
        <v>29</v>
      </c>
      <c r="H455">
        <f t="shared" si="114"/>
        <v>0</v>
      </c>
      <c r="I455" s="9"/>
      <c r="J455" s="1">
        <f t="shared" si="115"/>
        <v>22</v>
      </c>
      <c r="K455" s="2">
        <v>44696</v>
      </c>
      <c r="L455" s="2">
        <v>48349</v>
      </c>
      <c r="M455" s="10">
        <f t="shared" si="116"/>
        <v>10.008219178082191</v>
      </c>
      <c r="N455" s="11">
        <f t="shared" si="117"/>
        <v>1</v>
      </c>
      <c r="O455" s="9" t="s">
        <v>47</v>
      </c>
      <c r="P455" t="str">
        <f t="shared" si="120"/>
        <v>0</v>
      </c>
      <c r="Q455" s="12">
        <v>850000</v>
      </c>
      <c r="R455" s="9">
        <v>1000</v>
      </c>
      <c r="S455" s="1" t="str">
        <f>IF($V455="USD",INDEX('Dólar Spot'!$B:$B,MATCH(Base!$K455,'Dólar Spot'!$A:$A,0)),"")</f>
        <v/>
      </c>
      <c r="T455" s="11">
        <f t="shared" si="112"/>
        <v>850000000</v>
      </c>
      <c r="U455" s="13">
        <f t="shared" si="118"/>
        <v>8.5</v>
      </c>
      <c r="V455" s="9" t="s">
        <v>44</v>
      </c>
      <c r="W455" s="9" t="s">
        <v>34</v>
      </c>
      <c r="X455">
        <f t="shared" si="121"/>
        <v>1</v>
      </c>
      <c r="Y455" s="1" t="str" cm="1">
        <f t="array" ref="Y455">INDEX(Ratings!$B$2:$M$42,_xlfn.XMATCH(Base!F455,Ratings!$A$2:$A$42),_xlfn.XMATCH(YEAR(Base!K455),Ratings!$B$1:$M$1))</f>
        <v>BB</v>
      </c>
      <c r="Z455">
        <f t="shared" si="122"/>
        <v>0</v>
      </c>
      <c r="AA455">
        <f>IFERROR(IFERROR(IFERROR(INDEX('EMBI+'!$B:$B,MATCH(Base!$K455,'EMBI+'!$A:$A,0)),INDEX('EMBI+'!$B:$B,MATCH(Base!$K455+1,'EMBI+'!$A:$A,0))),INDEX('EMBI+'!$B:$B,MATCH(Base!$K455+2,'EMBI+'!$A:$A,0))),INDEX('EMBI+'!$B:$B,MATCH(Base!$K455+3,'EMBI+'!$A:$A,0)))/100</f>
        <v>3.19</v>
      </c>
      <c r="AB455" s="9">
        <v>135.85303999999999</v>
      </c>
      <c r="AC455" s="9">
        <v>257.65505999999999</v>
      </c>
      <c r="AD455" s="9"/>
      <c r="AE455" s="9"/>
      <c r="AF455" s="2"/>
      <c r="AG455" s="2"/>
    </row>
    <row r="456" spans="1:33" x14ac:dyDescent="0.35">
      <c r="A456">
        <f t="shared" si="119"/>
        <v>454</v>
      </c>
      <c r="B456">
        <f>IF(G456="Bonds",COUNTIF($G$3:G456,"Bonds"),0)</f>
        <v>0</v>
      </c>
      <c r="C456" t="str">
        <f t="shared" si="123"/>
        <v>Rede D'or4484948502</v>
      </c>
      <c r="D456">
        <f t="shared" si="124"/>
        <v>32</v>
      </c>
      <c r="E456" s="9" t="s">
        <v>525</v>
      </c>
      <c r="F456" s="9" t="s">
        <v>526</v>
      </c>
      <c r="G456" s="9" t="s">
        <v>29</v>
      </c>
      <c r="H456">
        <f t="shared" si="114"/>
        <v>0</v>
      </c>
      <c r="I456" s="9"/>
      <c r="J456" s="1">
        <f t="shared" si="115"/>
        <v>23</v>
      </c>
      <c r="K456" s="2">
        <v>44849</v>
      </c>
      <c r="L456" s="2">
        <v>48502</v>
      </c>
      <c r="M456" s="10">
        <f t="shared" si="116"/>
        <v>10.008219178082191</v>
      </c>
      <c r="N456" s="11">
        <f t="shared" si="117"/>
        <v>1</v>
      </c>
      <c r="O456" s="9" t="s">
        <v>47</v>
      </c>
      <c r="P456" t="str">
        <f t="shared" si="120"/>
        <v>0</v>
      </c>
      <c r="Q456" s="12">
        <v>150000</v>
      </c>
      <c r="R456" s="9">
        <v>1000</v>
      </c>
      <c r="S456" s="1" t="str">
        <f>IF($V456="USD",INDEX('Dólar Spot'!$B:$B,MATCH(Base!$K456,'Dólar Spot'!$A:$A,0)),"")</f>
        <v/>
      </c>
      <c r="T456" s="11">
        <f t="shared" si="112"/>
        <v>150000000</v>
      </c>
      <c r="U456" s="13">
        <f t="shared" si="118"/>
        <v>1.5</v>
      </c>
      <c r="V456" s="9" t="s">
        <v>44</v>
      </c>
      <c r="W456" s="9" t="s">
        <v>34</v>
      </c>
      <c r="X456">
        <f t="shared" si="121"/>
        <v>1</v>
      </c>
      <c r="Y456" s="1" t="str" cm="1">
        <f t="array" ref="Y456">INDEX(Ratings!$B$2:$M$42,_xlfn.XMATCH(Base!F456,Ratings!$A$2:$A$42),_xlfn.XMATCH(YEAR(Base!K456),Ratings!$B$1:$M$1))</f>
        <v>BB</v>
      </c>
      <c r="Z456">
        <f t="shared" si="122"/>
        <v>0</v>
      </c>
      <c r="AA456">
        <f>IFERROR(IFERROR(IFERROR(INDEX('EMBI+'!$B:$B,MATCH(Base!$K456,'EMBI+'!$A:$A,0)),INDEX('EMBI+'!$B:$B,MATCH(Base!$K456+1,'EMBI+'!$A:$A,0))),INDEX('EMBI+'!$B:$B,MATCH(Base!$K456+2,'EMBI+'!$A:$A,0))),INDEX('EMBI+'!$B:$B,MATCH(Base!$K456+3,'EMBI+'!$A:$A,0)))/100</f>
        <v>2.83</v>
      </c>
      <c r="AB456" s="9">
        <v>136.28540000000001</v>
      </c>
      <c r="AC456" s="9">
        <v>292.51805999999999</v>
      </c>
      <c r="AD456" s="9"/>
      <c r="AE456" s="9"/>
      <c r="AF456" s="2"/>
      <c r="AG456" s="2"/>
    </row>
    <row r="457" spans="1:33" x14ac:dyDescent="0.35">
      <c r="A457">
        <f t="shared" si="119"/>
        <v>455</v>
      </c>
      <c r="B457">
        <f>IF(G457="Bonds",COUNTIF($G$3:G457,"Bonds"),0)</f>
        <v>0</v>
      </c>
      <c r="C457" t="str">
        <f t="shared" si="123"/>
        <v>Rede D'or4469648349</v>
      </c>
      <c r="D457">
        <f t="shared" si="124"/>
        <v>32</v>
      </c>
      <c r="E457" s="9" t="s">
        <v>525</v>
      </c>
      <c r="F457" s="9" t="s">
        <v>526</v>
      </c>
      <c r="G457" s="9" t="s">
        <v>29</v>
      </c>
      <c r="H457">
        <f t="shared" si="114"/>
        <v>0</v>
      </c>
      <c r="I457" s="9"/>
      <c r="J457" s="1">
        <f t="shared" si="115"/>
        <v>24</v>
      </c>
      <c r="K457" s="2">
        <v>44696</v>
      </c>
      <c r="L457" s="2">
        <v>48349</v>
      </c>
      <c r="M457" s="10">
        <f t="shared" si="116"/>
        <v>10.008219178082191</v>
      </c>
      <c r="N457" s="11">
        <f t="shared" si="117"/>
        <v>1</v>
      </c>
      <c r="O457" s="9" t="s">
        <v>47</v>
      </c>
      <c r="P457" t="str">
        <f t="shared" si="120"/>
        <v>0</v>
      </c>
      <c r="Q457" s="12">
        <v>625000</v>
      </c>
      <c r="R457" s="9">
        <v>1000</v>
      </c>
      <c r="S457" s="1" t="str">
        <f>IF($V457="USD",INDEX('Dólar Spot'!$B:$B,MATCH(Base!$K457,'Dólar Spot'!$A:$A,0)),"")</f>
        <v/>
      </c>
      <c r="T457" s="11">
        <f t="shared" si="112"/>
        <v>625000000</v>
      </c>
      <c r="U457" s="13">
        <f t="shared" si="118"/>
        <v>6.25</v>
      </c>
      <c r="V457" s="9" t="s">
        <v>44</v>
      </c>
      <c r="W457" s="9" t="s">
        <v>34</v>
      </c>
      <c r="X457">
        <f t="shared" si="121"/>
        <v>1</v>
      </c>
      <c r="Y457" s="1" t="str" cm="1">
        <f t="array" ref="Y457">INDEX(Ratings!$B$2:$M$42,_xlfn.XMATCH(Base!F457,Ratings!$A$2:$A$42),_xlfn.XMATCH(YEAR(Base!K457),Ratings!$B$1:$M$1))</f>
        <v>BB</v>
      </c>
      <c r="Z457">
        <f t="shared" si="122"/>
        <v>0</v>
      </c>
      <c r="AA457">
        <f>IFERROR(IFERROR(IFERROR(INDEX('EMBI+'!$B:$B,MATCH(Base!$K457,'EMBI+'!$A:$A,0)),INDEX('EMBI+'!$B:$B,MATCH(Base!$K457+1,'EMBI+'!$A:$A,0))),INDEX('EMBI+'!$B:$B,MATCH(Base!$K457+2,'EMBI+'!$A:$A,0))),INDEX('EMBI+'!$B:$B,MATCH(Base!$K457+3,'EMBI+'!$A:$A,0)))/100</f>
        <v>3.19</v>
      </c>
      <c r="AB457" s="9">
        <v>135.85303999999999</v>
      </c>
      <c r="AC457" s="9">
        <v>257.65505999999999</v>
      </c>
      <c r="AD457" s="9"/>
      <c r="AE457" s="9"/>
      <c r="AF457" s="2"/>
      <c r="AG457" s="2"/>
    </row>
    <row r="458" spans="1:33" x14ac:dyDescent="0.35">
      <c r="A458">
        <f t="shared" si="119"/>
        <v>456</v>
      </c>
      <c r="B458">
        <f>IF(G458="Bonds",COUNTIF($G$3:G458,"Bonds"),0)</f>
        <v>131</v>
      </c>
      <c r="C458" t="str">
        <f t="shared" si="123"/>
        <v>Rede D'or4385222/01/2030</v>
      </c>
      <c r="D458">
        <f t="shared" si="124"/>
        <v>32</v>
      </c>
      <c r="E458" s="9" t="s">
        <v>546</v>
      </c>
      <c r="F458" s="9" t="s">
        <v>526</v>
      </c>
      <c r="G458" s="9" t="s">
        <v>37</v>
      </c>
      <c r="H458">
        <f t="shared" si="114"/>
        <v>1</v>
      </c>
      <c r="I458" s="9"/>
      <c r="J458" s="1">
        <f t="shared" si="115"/>
        <v>25</v>
      </c>
      <c r="K458" s="2">
        <v>43852</v>
      </c>
      <c r="L458" s="2" t="s">
        <v>547</v>
      </c>
      <c r="M458" s="10">
        <f t="shared" si="116"/>
        <v>10.008219178082191</v>
      </c>
      <c r="N458" s="11">
        <f t="shared" si="117"/>
        <v>1</v>
      </c>
      <c r="O458" s="9" t="s">
        <v>39</v>
      </c>
      <c r="P458" t="str">
        <f t="shared" si="120"/>
        <v>0</v>
      </c>
      <c r="Q458" s="9"/>
      <c r="R458" s="9"/>
      <c r="S458" s="1">
        <f>IF($V458="USD",INDEX('Dólar Spot'!$B:$B,MATCH(Base!$K458,'Dólar Spot'!$A:$A,0)),"")</f>
        <v>4.1882999999999999</v>
      </c>
      <c r="T458" s="12">
        <v>850000000</v>
      </c>
      <c r="U458" s="13">
        <f t="shared" si="118"/>
        <v>35.600549999999998</v>
      </c>
      <c r="V458" s="9" t="s">
        <v>40</v>
      </c>
      <c r="W458" s="9" t="s">
        <v>34</v>
      </c>
      <c r="X458">
        <f t="shared" si="121"/>
        <v>1</v>
      </c>
      <c r="Y458" s="1" t="str" cm="1">
        <f t="array" ref="Y458">INDEX(Ratings!$B$2:$M$42,_xlfn.XMATCH(Base!F458,Ratings!$A$2:$A$42),_xlfn.XMATCH(YEAR(Base!K458),Ratings!$B$1:$M$1))</f>
        <v>BB</v>
      </c>
      <c r="Z458">
        <f t="shared" si="122"/>
        <v>0</v>
      </c>
      <c r="AA458">
        <f>IFERROR(IFERROR(IFERROR(INDEX('EMBI+'!$B:$B,MATCH(Base!$K458,'EMBI+'!$A:$A,0)),INDEX('EMBI+'!$B:$B,MATCH(Base!$K458+1,'EMBI+'!$A:$A,0))),INDEX('EMBI+'!$B:$B,MATCH(Base!$K458+2,'EMBI+'!$A:$A,0))),INDEX('EMBI+'!$B:$B,MATCH(Base!$K458+3,'EMBI+'!$A:$A,0)))/100</f>
        <v>2.16</v>
      </c>
      <c r="AB458" s="9">
        <v>52.101300000000002</v>
      </c>
      <c r="AC458" s="9">
        <v>154.06377000000001</v>
      </c>
      <c r="AD458" s="9"/>
      <c r="AE458" s="9"/>
      <c r="AF458" s="2"/>
      <c r="AG458" s="2"/>
    </row>
    <row r="459" spans="1:33" x14ac:dyDescent="0.35">
      <c r="A459">
        <f t="shared" si="119"/>
        <v>457</v>
      </c>
      <c r="B459">
        <f>IF(G459="Bonds",COUNTIF($G$3:G459,"Bonds"),0)</f>
        <v>132</v>
      </c>
      <c r="C459" t="str">
        <f t="shared" si="123"/>
        <v>Rede D'or4311717/01/2028</v>
      </c>
      <c r="D459">
        <f t="shared" si="124"/>
        <v>32</v>
      </c>
      <c r="E459" s="9" t="s">
        <v>546</v>
      </c>
      <c r="F459" s="9" t="s">
        <v>526</v>
      </c>
      <c r="G459" s="9" t="s">
        <v>37</v>
      </c>
      <c r="H459">
        <f t="shared" si="114"/>
        <v>1</v>
      </c>
      <c r="I459" s="9"/>
      <c r="J459" s="1">
        <f t="shared" si="115"/>
        <v>26</v>
      </c>
      <c r="K459" s="2">
        <v>43117</v>
      </c>
      <c r="L459" s="2" t="s">
        <v>548</v>
      </c>
      <c r="M459" s="10">
        <f t="shared" si="116"/>
        <v>10.005479452054795</v>
      </c>
      <c r="N459" s="11">
        <f t="shared" si="117"/>
        <v>1</v>
      </c>
      <c r="O459" s="9" t="s">
        <v>39</v>
      </c>
      <c r="P459" t="str">
        <f t="shared" si="120"/>
        <v>0</v>
      </c>
      <c r="Q459" s="9"/>
      <c r="R459" s="9"/>
      <c r="S459" s="1">
        <f>IF($V459="USD",INDEX('Dólar Spot'!$B:$B,MATCH(Base!$K459,'Dólar Spot'!$A:$A,0)),"")</f>
        <v>3.2317999999999998</v>
      </c>
      <c r="T459" s="12">
        <v>500000000</v>
      </c>
      <c r="U459" s="13">
        <f t="shared" si="118"/>
        <v>16.158999999999999</v>
      </c>
      <c r="V459" s="9" t="s">
        <v>40</v>
      </c>
      <c r="W459" s="9" t="s">
        <v>34</v>
      </c>
      <c r="X459">
        <f t="shared" si="121"/>
        <v>1</v>
      </c>
      <c r="Y459" s="1" t="str" cm="1">
        <f t="array" ref="Y459">INDEX(Ratings!$B$2:$M$42,_xlfn.XMATCH(Base!F459,Ratings!$A$2:$A$42),_xlfn.XMATCH(YEAR(Base!K459),Ratings!$B$1:$M$1))</f>
        <v>BB</v>
      </c>
      <c r="Z459">
        <f t="shared" si="122"/>
        <v>0</v>
      </c>
      <c r="AA459">
        <f>IFERROR(IFERROR(IFERROR(INDEX('EMBI+'!$B:$B,MATCH(Base!$K459,'EMBI+'!$A:$A,0)),INDEX('EMBI+'!$B:$B,MATCH(Base!$K459+1,'EMBI+'!$A:$A,0))),INDEX('EMBI+'!$B:$B,MATCH(Base!$K459+2,'EMBI+'!$A:$A,0))),INDEX('EMBI+'!$B:$B,MATCH(Base!$K459+3,'EMBI+'!$A:$A,0)))/100</f>
        <v>2.2799999999999998</v>
      </c>
      <c r="AB459" s="9">
        <v>44.811439999999997</v>
      </c>
      <c r="AC459" s="9">
        <f>4.91906+92.82709</f>
        <v>97.74615</v>
      </c>
      <c r="AD459" s="9"/>
      <c r="AE459" s="9"/>
      <c r="AF459" s="2"/>
      <c r="AG459" s="2"/>
    </row>
    <row r="460" spans="1:33" x14ac:dyDescent="0.35">
      <c r="A460">
        <f t="shared" si="119"/>
        <v>458</v>
      </c>
      <c r="B460">
        <f>IF(G460="Bonds",COUNTIF($G$3:G460,"Bonds"),0)</f>
        <v>133</v>
      </c>
      <c r="C460" t="str">
        <f t="shared" si="123"/>
        <v>Rede D'or4387422/01/2030</v>
      </c>
      <c r="D460">
        <f t="shared" si="124"/>
        <v>32</v>
      </c>
      <c r="E460" s="9" t="s">
        <v>546</v>
      </c>
      <c r="F460" s="9" t="s">
        <v>526</v>
      </c>
      <c r="G460" s="9" t="s">
        <v>37</v>
      </c>
      <c r="H460">
        <f t="shared" si="114"/>
        <v>1</v>
      </c>
      <c r="I460" s="9"/>
      <c r="J460" s="1">
        <f t="shared" si="115"/>
        <v>27</v>
      </c>
      <c r="K460" s="2">
        <v>43874</v>
      </c>
      <c r="L460" s="2" t="s">
        <v>547</v>
      </c>
      <c r="M460" s="10">
        <f t="shared" si="116"/>
        <v>9.9479452054794528</v>
      </c>
      <c r="N460" s="11">
        <f t="shared" si="117"/>
        <v>1</v>
      </c>
      <c r="O460" s="9" t="s">
        <v>39</v>
      </c>
      <c r="P460" t="str">
        <f t="shared" si="120"/>
        <v>0</v>
      </c>
      <c r="Q460" s="9"/>
      <c r="R460" s="9"/>
      <c r="S460" s="1">
        <f>IF($V460="USD",INDEX('Dólar Spot'!$B:$B,MATCH(Base!$K460,'Dólar Spot'!$A:$A,0)),"")</f>
        <v>4.3383000000000003</v>
      </c>
      <c r="T460" s="12">
        <v>350000000</v>
      </c>
      <c r="U460" s="13">
        <f t="shared" si="118"/>
        <v>15.184049999999999</v>
      </c>
      <c r="V460" s="9" t="s">
        <v>40</v>
      </c>
      <c r="W460" s="9" t="s">
        <v>34</v>
      </c>
      <c r="X460">
        <f t="shared" si="121"/>
        <v>1</v>
      </c>
      <c r="Y460" s="1" t="str" cm="1">
        <f t="array" ref="Y460">INDEX(Ratings!$B$2:$M$42,_xlfn.XMATCH(Base!F460,Ratings!$A$2:$A$42),_xlfn.XMATCH(YEAR(Base!K460),Ratings!$B$1:$M$1))</f>
        <v>BB</v>
      </c>
      <c r="Z460">
        <f t="shared" si="122"/>
        <v>0</v>
      </c>
      <c r="AA460">
        <f>IFERROR(IFERROR(IFERROR(INDEX('EMBI+'!$B:$B,MATCH(Base!$K460,'EMBI+'!$A:$A,0)),INDEX('EMBI+'!$B:$B,MATCH(Base!$K460+1,'EMBI+'!$A:$A,0))),INDEX('EMBI+'!$B:$B,MATCH(Base!$K460+2,'EMBI+'!$A:$A,0))),INDEX('EMBI+'!$B:$B,MATCH(Base!$K460+3,'EMBI+'!$A:$A,0)))/100</f>
        <v>2.0299999999999998</v>
      </c>
      <c r="AB460" s="9">
        <v>52.101300000000002</v>
      </c>
      <c r="AC460" s="9">
        <v>154.06377000000001</v>
      </c>
      <c r="AD460" s="9"/>
      <c r="AE460" s="9"/>
      <c r="AF460" s="2"/>
      <c r="AG460" s="2"/>
    </row>
    <row r="461" spans="1:33" x14ac:dyDescent="0.35">
      <c r="A461">
        <f t="shared" si="119"/>
        <v>459</v>
      </c>
      <c r="B461">
        <f>IF(G461="Bonds",COUNTIF($G$3:G461,"Bonds"),0)</f>
        <v>0</v>
      </c>
      <c r="C461" t="str">
        <f t="shared" si="123"/>
        <v>Rumo4118343009</v>
      </c>
      <c r="D461">
        <f t="shared" si="124"/>
        <v>33</v>
      </c>
      <c r="E461" s="9" t="s">
        <v>549</v>
      </c>
      <c r="F461" s="9" t="s">
        <v>550</v>
      </c>
      <c r="G461" s="9" t="s">
        <v>29</v>
      </c>
      <c r="H461">
        <f t="shared" si="114"/>
        <v>0</v>
      </c>
      <c r="I461" s="9" t="s">
        <v>551</v>
      </c>
      <c r="J461" s="1">
        <f t="shared" si="115"/>
        <v>1</v>
      </c>
      <c r="K461" s="2">
        <v>41183</v>
      </c>
      <c r="L461" s="2">
        <v>43009</v>
      </c>
      <c r="M461" s="10">
        <f t="shared" si="116"/>
        <v>5.0027397260273974</v>
      </c>
      <c r="N461" s="11">
        <f t="shared" si="117"/>
        <v>1</v>
      </c>
      <c r="O461" s="9" t="s">
        <v>47</v>
      </c>
      <c r="P461" t="str">
        <f t="shared" si="120"/>
        <v>0</v>
      </c>
      <c r="Q461" s="12">
        <v>75000</v>
      </c>
      <c r="R461" s="9">
        <v>10000</v>
      </c>
      <c r="S461" s="1" t="str">
        <f>IF($V461="USD",INDEX('Dólar Spot'!$B:$B,MATCH(Base!$K461,'Dólar Spot'!$A:$A,0)),"")</f>
        <v/>
      </c>
      <c r="T461" s="11">
        <f t="shared" ref="T461:T474" si="125">Q461*R461</f>
        <v>750000000</v>
      </c>
      <c r="U461" s="13">
        <f t="shared" si="118"/>
        <v>7.5</v>
      </c>
      <c r="V461" s="9" t="s">
        <v>44</v>
      </c>
      <c r="W461" s="9" t="s">
        <v>35</v>
      </c>
      <c r="X461">
        <f t="shared" si="121"/>
        <v>0</v>
      </c>
      <c r="Y461" s="1" t="str" cm="1">
        <f t="array" ref="Y461">INDEX(Ratings!$B$2:$M$42,_xlfn.XMATCH(Base!F461,Ratings!$A$2:$A$42),_xlfn.XMATCH(YEAR(Base!K461),Ratings!$B$1:$M$1))</f>
        <v>BB-</v>
      </c>
      <c r="Z461">
        <f t="shared" si="122"/>
        <v>0</v>
      </c>
      <c r="AA461">
        <f>IFERROR(IFERROR(IFERROR(INDEX('EMBI+'!$B:$B,MATCH(Base!$K461,'EMBI+'!$A:$A,0)),INDEX('EMBI+'!$B:$B,MATCH(Base!$K461+1,'EMBI+'!$A:$A,0))),INDEX('EMBI+'!$B:$B,MATCH(Base!$K461+2,'EMBI+'!$A:$A,0))),INDEX('EMBI+'!$B:$B,MATCH(Base!$K461+3,'EMBI+'!$A:$A,0)))/100</f>
        <v>1.62</v>
      </c>
      <c r="AB461" s="9">
        <v>42.856999999999999</v>
      </c>
      <c r="AC461" s="9">
        <v>55.18027</v>
      </c>
      <c r="AD461" s="9"/>
      <c r="AE461" s="9"/>
      <c r="AF461" s="2"/>
      <c r="AG461" s="2"/>
    </row>
    <row r="462" spans="1:33" x14ac:dyDescent="0.35">
      <c r="A462">
        <f t="shared" si="119"/>
        <v>460</v>
      </c>
      <c r="B462">
        <f>IF(G462="Bonds",COUNTIF($G$3:G462,"Bonds"),0)</f>
        <v>0</v>
      </c>
      <c r="C462" t="str">
        <f t="shared" si="123"/>
        <v>Rumo4064842475</v>
      </c>
      <c r="D462">
        <f t="shared" si="124"/>
        <v>33</v>
      </c>
      <c r="E462" s="9" t="s">
        <v>549</v>
      </c>
      <c r="F462" s="9" t="s">
        <v>550</v>
      </c>
      <c r="G462" s="9" t="s">
        <v>29</v>
      </c>
      <c r="H462">
        <f t="shared" si="114"/>
        <v>0</v>
      </c>
      <c r="I462" s="9" t="s">
        <v>552</v>
      </c>
      <c r="J462" s="1">
        <f t="shared" si="115"/>
        <v>2</v>
      </c>
      <c r="K462" s="2">
        <v>40648</v>
      </c>
      <c r="L462" s="2">
        <v>42475</v>
      </c>
      <c r="M462" s="10">
        <f t="shared" si="116"/>
        <v>5.0054794520547947</v>
      </c>
      <c r="N462" s="11">
        <f t="shared" si="117"/>
        <v>1</v>
      </c>
      <c r="O462" s="9" t="s">
        <v>47</v>
      </c>
      <c r="P462" t="str">
        <f t="shared" si="120"/>
        <v>0</v>
      </c>
      <c r="Q462" s="12">
        <v>53916</v>
      </c>
      <c r="R462" s="9">
        <v>10000</v>
      </c>
      <c r="S462" s="1" t="str">
        <f>IF($V462="USD",INDEX('Dólar Spot'!$B:$B,MATCH(Base!$K462,'Dólar Spot'!$A:$A,0)),"")</f>
        <v/>
      </c>
      <c r="T462" s="11">
        <f t="shared" si="125"/>
        <v>539160000</v>
      </c>
      <c r="U462" s="13">
        <f t="shared" si="118"/>
        <v>5.3916000000000004</v>
      </c>
      <c r="V462" s="9" t="s">
        <v>44</v>
      </c>
      <c r="W462" s="9" t="s">
        <v>34</v>
      </c>
      <c r="X462">
        <f t="shared" si="121"/>
        <v>1</v>
      </c>
      <c r="Y462" s="1" t="str" cm="1">
        <f t="array" ref="Y462">INDEX(Ratings!$B$2:$M$42,_xlfn.XMATCH(Base!F462,Ratings!$A$2:$A$42),_xlfn.XMATCH(YEAR(Base!K462),Ratings!$B$1:$M$1))</f>
        <v>BB-</v>
      </c>
      <c r="Z462">
        <f t="shared" si="122"/>
        <v>0</v>
      </c>
      <c r="AA462">
        <f>IFERROR(IFERROR(IFERROR(INDEX('EMBI+'!$B:$B,MATCH(Base!$K462,'EMBI+'!$A:$A,0)),INDEX('EMBI+'!$B:$B,MATCH(Base!$K462+1,'EMBI+'!$A:$A,0))),INDEX('EMBI+'!$B:$B,MATCH(Base!$K462+2,'EMBI+'!$A:$A,0))),INDEX('EMBI+'!$B:$B,MATCH(Base!$K462+3,'EMBI+'!$A:$A,0)))/100</f>
        <v>1.75</v>
      </c>
      <c r="AB462" s="9">
        <v>38.37227</v>
      </c>
      <c r="AC462" s="9">
        <v>46.949210000000001</v>
      </c>
      <c r="AD462" s="9"/>
      <c r="AE462" s="9"/>
      <c r="AF462" s="2"/>
      <c r="AG462" s="2"/>
    </row>
    <row r="463" spans="1:33" x14ac:dyDescent="0.35">
      <c r="A463">
        <f t="shared" si="119"/>
        <v>461</v>
      </c>
      <c r="B463">
        <f>IF(G463="Bonds",COUNTIF($G$3:G463,"Bonds"),0)</f>
        <v>0</v>
      </c>
      <c r="C463" t="str">
        <f t="shared" si="123"/>
        <v>Rumo4073942566</v>
      </c>
      <c r="D463">
        <f t="shared" si="124"/>
        <v>33</v>
      </c>
      <c r="E463" s="9" t="s">
        <v>549</v>
      </c>
      <c r="F463" s="9" t="s">
        <v>550</v>
      </c>
      <c r="G463" s="9" t="s">
        <v>29</v>
      </c>
      <c r="H463">
        <f t="shared" si="114"/>
        <v>0</v>
      </c>
      <c r="I463" s="9" t="s">
        <v>553</v>
      </c>
      <c r="J463" s="1">
        <f t="shared" si="115"/>
        <v>3</v>
      </c>
      <c r="K463" s="2">
        <v>40739</v>
      </c>
      <c r="L463" s="2">
        <v>42566</v>
      </c>
      <c r="M463" s="10">
        <f t="shared" si="116"/>
        <v>5.0054794520547947</v>
      </c>
      <c r="N463" s="11">
        <f t="shared" si="117"/>
        <v>1</v>
      </c>
      <c r="O463" s="9" t="s">
        <v>47</v>
      </c>
      <c r="P463" t="str">
        <f t="shared" si="120"/>
        <v>0</v>
      </c>
      <c r="Q463" s="12">
        <v>13376</v>
      </c>
      <c r="R463" s="9">
        <v>10741.24</v>
      </c>
      <c r="S463" s="1" t="str">
        <f>IF($V463="USD",INDEX('Dólar Spot'!$B:$B,MATCH(Base!$K463,'Dólar Spot'!$A:$A,0)),"")</f>
        <v/>
      </c>
      <c r="T463" s="11">
        <f t="shared" si="125"/>
        <v>143674826.24000001</v>
      </c>
      <c r="U463" s="13">
        <f t="shared" si="118"/>
        <v>1.4367482624000001</v>
      </c>
      <c r="V463" s="9" t="s">
        <v>44</v>
      </c>
      <c r="W463" s="9" t="s">
        <v>34</v>
      </c>
      <c r="X463">
        <f t="shared" si="121"/>
        <v>1</v>
      </c>
      <c r="Y463" s="1" t="str" cm="1">
        <f t="array" ref="Y463">INDEX(Ratings!$B$2:$M$42,_xlfn.XMATCH(Base!F463,Ratings!$A$2:$A$42),_xlfn.XMATCH(YEAR(Base!K463),Ratings!$B$1:$M$1))</f>
        <v>BB-</v>
      </c>
      <c r="Z463">
        <f t="shared" si="122"/>
        <v>0</v>
      </c>
      <c r="AA463">
        <f>IFERROR(IFERROR(IFERROR(INDEX('EMBI+'!$B:$B,MATCH(Base!$K463,'EMBI+'!$A:$A,0)),INDEX('EMBI+'!$B:$B,MATCH(Base!$K463+1,'EMBI+'!$A:$A,0))),INDEX('EMBI+'!$B:$B,MATCH(Base!$K463+2,'EMBI+'!$A:$A,0))),INDEX('EMBI+'!$B:$B,MATCH(Base!$K463+3,'EMBI+'!$A:$A,0)))/100</f>
        <v>1.73</v>
      </c>
      <c r="AB463" s="9">
        <v>40.586500000000001</v>
      </c>
      <c r="AC463" s="9">
        <v>55.904730000000001</v>
      </c>
      <c r="AD463" s="9"/>
      <c r="AE463" s="9"/>
      <c r="AF463" s="2"/>
      <c r="AG463" s="2"/>
    </row>
    <row r="464" spans="1:33" x14ac:dyDescent="0.35">
      <c r="A464">
        <f t="shared" si="119"/>
        <v>462</v>
      </c>
      <c r="B464">
        <f>IF(G464="Bonds",COUNTIF($G$3:G464,"Bonds"),0)</f>
        <v>0</v>
      </c>
      <c r="C464" t="str">
        <f t="shared" si="123"/>
        <v>Rumo4064843205</v>
      </c>
      <c r="D464">
        <f t="shared" si="124"/>
        <v>33</v>
      </c>
      <c r="E464" s="9" t="s">
        <v>549</v>
      </c>
      <c r="F464" s="9" t="s">
        <v>550</v>
      </c>
      <c r="G464" s="9" t="s">
        <v>29</v>
      </c>
      <c r="H464">
        <f t="shared" si="114"/>
        <v>0</v>
      </c>
      <c r="I464" s="9" t="s">
        <v>554</v>
      </c>
      <c r="J464" s="1">
        <f t="shared" si="115"/>
        <v>4</v>
      </c>
      <c r="K464" s="2">
        <v>40648</v>
      </c>
      <c r="L464" s="2">
        <v>43205</v>
      </c>
      <c r="M464" s="10">
        <f t="shared" si="116"/>
        <v>7.0054794520547947</v>
      </c>
      <c r="N464" s="11">
        <f t="shared" si="117"/>
        <v>1</v>
      </c>
      <c r="O464" s="9" t="s">
        <v>47</v>
      </c>
      <c r="P464" t="str">
        <f t="shared" si="120"/>
        <v>0</v>
      </c>
      <c r="Q464" s="12">
        <v>27084</v>
      </c>
      <c r="R464" s="9">
        <v>10000</v>
      </c>
      <c r="S464" s="1" t="str">
        <f>IF($V464="USD",INDEX('Dólar Spot'!$B:$B,MATCH(Base!$K464,'Dólar Spot'!$A:$A,0)),"")</f>
        <v/>
      </c>
      <c r="T464" s="11">
        <f t="shared" si="125"/>
        <v>270840000</v>
      </c>
      <c r="U464" s="13">
        <f t="shared" si="118"/>
        <v>2.7084000000000001</v>
      </c>
      <c r="V464" s="9" t="s">
        <v>32</v>
      </c>
      <c r="W464" s="9" t="s">
        <v>34</v>
      </c>
      <c r="X464">
        <f t="shared" si="121"/>
        <v>1</v>
      </c>
      <c r="Y464" s="1" t="str" cm="1">
        <f t="array" ref="Y464">INDEX(Ratings!$B$2:$M$42,_xlfn.XMATCH(Base!F464,Ratings!$A$2:$A$42),_xlfn.XMATCH(YEAR(Base!K464),Ratings!$B$1:$M$1))</f>
        <v>BB-</v>
      </c>
      <c r="Z464">
        <f t="shared" si="122"/>
        <v>0</v>
      </c>
      <c r="AA464">
        <f>IFERROR(IFERROR(IFERROR(INDEX('EMBI+'!$B:$B,MATCH(Base!$K464,'EMBI+'!$A:$A,0)),INDEX('EMBI+'!$B:$B,MATCH(Base!$K464+1,'EMBI+'!$A:$A,0))),INDEX('EMBI+'!$B:$B,MATCH(Base!$K464+2,'EMBI+'!$A:$A,0))),INDEX('EMBI+'!$B:$B,MATCH(Base!$K464+3,'EMBI+'!$A:$A,0)))/100</f>
        <v>1.75</v>
      </c>
      <c r="AB464" s="9">
        <v>38.37227</v>
      </c>
      <c r="AC464" s="9">
        <v>46.949210000000001</v>
      </c>
      <c r="AD464" s="9"/>
      <c r="AE464" s="9"/>
      <c r="AF464" s="2"/>
      <c r="AG464" s="2"/>
    </row>
    <row r="465" spans="1:33" x14ac:dyDescent="0.35">
      <c r="A465">
        <f t="shared" si="119"/>
        <v>463</v>
      </c>
      <c r="B465">
        <f>IF(G465="Bonds",COUNTIF($G$3:G465,"Bonds"),0)</f>
        <v>0</v>
      </c>
      <c r="C465" t="str">
        <f t="shared" si="123"/>
        <v>Rumo4073942566</v>
      </c>
      <c r="D465">
        <f t="shared" si="124"/>
        <v>33</v>
      </c>
      <c r="E465" s="9" t="s">
        <v>549</v>
      </c>
      <c r="F465" s="9" t="s">
        <v>550</v>
      </c>
      <c r="G465" s="9" t="s">
        <v>29</v>
      </c>
      <c r="H465">
        <f t="shared" si="114"/>
        <v>0</v>
      </c>
      <c r="I465" s="9" t="s">
        <v>555</v>
      </c>
      <c r="J465" s="1">
        <f t="shared" si="115"/>
        <v>5</v>
      </c>
      <c r="K465" s="2">
        <v>40739</v>
      </c>
      <c r="L465" s="2">
        <v>42566</v>
      </c>
      <c r="M465" s="10">
        <f t="shared" si="116"/>
        <v>5.0054794520547947</v>
      </c>
      <c r="N465" s="11">
        <f t="shared" si="117"/>
        <v>1</v>
      </c>
      <c r="O465" s="9" t="s">
        <v>47</v>
      </c>
      <c r="P465" t="str">
        <f t="shared" si="120"/>
        <v>0</v>
      </c>
      <c r="Q465" s="12">
        <v>28056</v>
      </c>
      <c r="R465" s="9">
        <v>7698.94</v>
      </c>
      <c r="S465" s="1" t="str">
        <f>IF($V465="USD",INDEX('Dólar Spot'!$B:$B,MATCH(Base!$K465,'Dólar Spot'!$A:$A,0)),"")</f>
        <v/>
      </c>
      <c r="T465" s="11">
        <f t="shared" si="125"/>
        <v>216001460.63999999</v>
      </c>
      <c r="U465" s="13">
        <f t="shared" si="118"/>
        <v>2.1600146063999999</v>
      </c>
      <c r="V465" s="9" t="s">
        <v>44</v>
      </c>
      <c r="W465" s="9" t="s">
        <v>34</v>
      </c>
      <c r="X465">
        <f t="shared" si="121"/>
        <v>1</v>
      </c>
      <c r="Y465" s="1" t="str" cm="1">
        <f t="array" ref="Y465">INDEX(Ratings!$B$2:$M$42,_xlfn.XMATCH(Base!F465,Ratings!$A$2:$A$42),_xlfn.XMATCH(YEAR(Base!K465),Ratings!$B$1:$M$1))</f>
        <v>BB-</v>
      </c>
      <c r="Z465">
        <f t="shared" si="122"/>
        <v>0</v>
      </c>
      <c r="AA465">
        <f>IFERROR(IFERROR(IFERROR(INDEX('EMBI+'!$B:$B,MATCH(Base!$K465,'EMBI+'!$A:$A,0)),INDEX('EMBI+'!$B:$B,MATCH(Base!$K465+1,'EMBI+'!$A:$A,0))),INDEX('EMBI+'!$B:$B,MATCH(Base!$K465+2,'EMBI+'!$A:$A,0))),INDEX('EMBI+'!$B:$B,MATCH(Base!$K465+3,'EMBI+'!$A:$A,0)))/100</f>
        <v>1.73</v>
      </c>
      <c r="AB465" s="9">
        <v>40.586500000000001</v>
      </c>
      <c r="AC465" s="9">
        <v>55.904730000000001</v>
      </c>
      <c r="AD465" s="9"/>
      <c r="AE465" s="9"/>
      <c r="AF465" s="2"/>
      <c r="AG465" s="2"/>
    </row>
    <row r="466" spans="1:33" x14ac:dyDescent="0.35">
      <c r="A466">
        <f t="shared" si="119"/>
        <v>464</v>
      </c>
      <c r="B466">
        <f>IF(G466="Bonds",COUNTIF($G$3:G466,"Bonds"),0)</f>
        <v>0</v>
      </c>
      <c r="C466" t="str">
        <f t="shared" si="123"/>
        <v>Rumo4211843214</v>
      </c>
      <c r="D466">
        <f t="shared" si="124"/>
        <v>33</v>
      </c>
      <c r="E466" s="9" t="s">
        <v>549</v>
      </c>
      <c r="F466" s="9" t="s">
        <v>550</v>
      </c>
      <c r="G466" s="9" t="s">
        <v>29</v>
      </c>
      <c r="H466">
        <f t="shared" si="114"/>
        <v>0</v>
      </c>
      <c r="I466" s="9" t="s">
        <v>556</v>
      </c>
      <c r="J466" s="1">
        <f t="shared" si="115"/>
        <v>6</v>
      </c>
      <c r="K466" s="2">
        <v>42118</v>
      </c>
      <c r="L466" s="2">
        <v>43214</v>
      </c>
      <c r="M466" s="10">
        <f t="shared" si="116"/>
        <v>3.0027397260273974</v>
      </c>
      <c r="N466" s="11">
        <f t="shared" si="117"/>
        <v>0</v>
      </c>
      <c r="O466" s="9" t="s">
        <v>47</v>
      </c>
      <c r="P466" t="str">
        <f t="shared" si="120"/>
        <v>0</v>
      </c>
      <c r="Q466" s="12">
        <v>140000</v>
      </c>
      <c r="R466" s="9">
        <v>10000</v>
      </c>
      <c r="S466" s="1" t="str">
        <f>IF($V466="USD",INDEX('Dólar Spot'!$B:$B,MATCH(Base!$K466,'Dólar Spot'!$A:$A,0)),"")</f>
        <v/>
      </c>
      <c r="T466" s="11">
        <f t="shared" si="125"/>
        <v>1400000000</v>
      </c>
      <c r="U466" s="13">
        <f t="shared" si="118"/>
        <v>14</v>
      </c>
      <c r="V466" s="9" t="s">
        <v>44</v>
      </c>
      <c r="W466" s="9" t="s">
        <v>34</v>
      </c>
      <c r="X466">
        <f t="shared" si="121"/>
        <v>1</v>
      </c>
      <c r="Y466" s="1" t="str" cm="1">
        <f t="array" ref="Y466">INDEX(Ratings!$B$2:$M$42,_xlfn.XMATCH(Base!F466,Ratings!$A$2:$A$42),_xlfn.XMATCH(YEAR(Base!K466),Ratings!$B$1:$M$1))</f>
        <v>BB-</v>
      </c>
      <c r="Z466">
        <f t="shared" si="122"/>
        <v>0</v>
      </c>
      <c r="AA466">
        <f>IFERROR(IFERROR(IFERROR(INDEX('EMBI+'!$B:$B,MATCH(Base!$K466,'EMBI+'!$A:$A,0)),INDEX('EMBI+'!$B:$B,MATCH(Base!$K466+1,'EMBI+'!$A:$A,0))),INDEX('EMBI+'!$B:$B,MATCH(Base!$K466+2,'EMBI+'!$A:$A,0))),INDEX('EMBI+'!$B:$B,MATCH(Base!$K466+3,'EMBI+'!$A:$A,0)))/100</f>
        <v>2.8</v>
      </c>
      <c r="AB466" s="9">
        <v>18.352219999999999</v>
      </c>
      <c r="AC466" s="9">
        <v>66.392229999999998</v>
      </c>
      <c r="AD466" s="9"/>
      <c r="AE466" s="9"/>
      <c r="AF466" s="2"/>
      <c r="AG466" s="2"/>
    </row>
    <row r="467" spans="1:33" x14ac:dyDescent="0.35">
      <c r="A467">
        <f t="shared" si="119"/>
        <v>465</v>
      </c>
      <c r="B467">
        <f>IF(G467="Bonds",COUNTIF($G$3:G467,"Bonds"),0)</f>
        <v>0</v>
      </c>
      <c r="C467" t="str">
        <f t="shared" si="123"/>
        <v>Rumo4351147164</v>
      </c>
      <c r="D467">
        <f t="shared" si="124"/>
        <v>33</v>
      </c>
      <c r="E467" s="9" t="s">
        <v>549</v>
      </c>
      <c r="F467" s="9" t="s">
        <v>550</v>
      </c>
      <c r="G467" s="9" t="s">
        <v>29</v>
      </c>
      <c r="H467">
        <f t="shared" si="114"/>
        <v>0</v>
      </c>
      <c r="I467" s="9" t="s">
        <v>557</v>
      </c>
      <c r="J467" s="1">
        <f t="shared" si="115"/>
        <v>7</v>
      </c>
      <c r="K467" s="2">
        <v>43511</v>
      </c>
      <c r="L467" s="2">
        <v>47164</v>
      </c>
      <c r="M467" s="10">
        <f t="shared" si="116"/>
        <v>10.008219178082191</v>
      </c>
      <c r="N467" s="11">
        <f t="shared" si="117"/>
        <v>1</v>
      </c>
      <c r="O467" s="9" t="s">
        <v>47</v>
      </c>
      <c r="P467" t="str">
        <f t="shared" si="120"/>
        <v>0</v>
      </c>
      <c r="Q467" s="12">
        <v>600000</v>
      </c>
      <c r="R467" s="9">
        <v>1000</v>
      </c>
      <c r="S467" s="1" t="str">
        <f>IF($V467="USD",INDEX('Dólar Spot'!$B:$B,MATCH(Base!$K467,'Dólar Spot'!$A:$A,0)),"")</f>
        <v/>
      </c>
      <c r="T467" s="11">
        <f t="shared" si="125"/>
        <v>600000000</v>
      </c>
      <c r="U467" s="13">
        <f t="shared" si="118"/>
        <v>6</v>
      </c>
      <c r="V467" s="9" t="s">
        <v>32</v>
      </c>
      <c r="W467" s="9" t="s">
        <v>35</v>
      </c>
      <c r="X467">
        <f t="shared" si="121"/>
        <v>0</v>
      </c>
      <c r="Y467" s="1" t="str" cm="1">
        <f t="array" ref="Y467">INDEX(Ratings!$B$2:$M$42,_xlfn.XMATCH(Base!F467,Ratings!$A$2:$A$42),_xlfn.XMATCH(YEAR(Base!K467),Ratings!$B$1:$M$1))</f>
        <v>BB</v>
      </c>
      <c r="Z467">
        <f t="shared" si="122"/>
        <v>0</v>
      </c>
      <c r="AA467">
        <f>IFERROR(IFERROR(IFERROR(INDEX('EMBI+'!$B:$B,MATCH(Base!$K467,'EMBI+'!$A:$A,0)),INDEX('EMBI+'!$B:$B,MATCH(Base!$K467+1,'EMBI+'!$A:$A,0))),INDEX('EMBI+'!$B:$B,MATCH(Base!$K467+2,'EMBI+'!$A:$A,0))),INDEX('EMBI+'!$B:$B,MATCH(Base!$K467+3,'EMBI+'!$A:$A,0)))/100</f>
        <v>2.41</v>
      </c>
      <c r="AB467" s="9">
        <v>80.281999999999996</v>
      </c>
      <c r="AC467" s="9">
        <v>105.94381</v>
      </c>
      <c r="AD467" s="9"/>
      <c r="AE467" s="9"/>
      <c r="AF467" s="2"/>
      <c r="AG467" s="2"/>
    </row>
    <row r="468" spans="1:33" x14ac:dyDescent="0.35">
      <c r="A468">
        <f t="shared" si="119"/>
        <v>466</v>
      </c>
      <c r="B468">
        <f>IF(G468="Bonds",COUNTIF($G$3:G468,"Bonds"),0)</f>
        <v>0</v>
      </c>
      <c r="C468" t="str">
        <f t="shared" si="123"/>
        <v>Rumo4375347406</v>
      </c>
      <c r="D468">
        <f t="shared" si="124"/>
        <v>33</v>
      </c>
      <c r="E468" s="9" t="s">
        <v>549</v>
      </c>
      <c r="F468" s="9" t="s">
        <v>550</v>
      </c>
      <c r="G468" s="9" t="s">
        <v>29</v>
      </c>
      <c r="H468">
        <f t="shared" si="114"/>
        <v>0</v>
      </c>
      <c r="I468" s="9" t="s">
        <v>558</v>
      </c>
      <c r="J468" s="1">
        <f t="shared" si="115"/>
        <v>8</v>
      </c>
      <c r="K468" s="2">
        <v>43753</v>
      </c>
      <c r="L468" s="2">
        <v>47406</v>
      </c>
      <c r="M468" s="10">
        <f t="shared" si="116"/>
        <v>10.008219178082191</v>
      </c>
      <c r="N468" s="11">
        <f t="shared" si="117"/>
        <v>1</v>
      </c>
      <c r="O468" s="9" t="s">
        <v>47</v>
      </c>
      <c r="P468" t="str">
        <f t="shared" si="120"/>
        <v>0</v>
      </c>
      <c r="Q468" s="12">
        <v>906856</v>
      </c>
      <c r="R468" s="9">
        <v>1000</v>
      </c>
      <c r="S468" s="1" t="str">
        <f>IF($V468="USD",INDEX('Dólar Spot'!$B:$B,MATCH(Base!$K468,'Dólar Spot'!$A:$A,0)),"")</f>
        <v/>
      </c>
      <c r="T468" s="11">
        <f t="shared" si="125"/>
        <v>906856000</v>
      </c>
      <c r="U468" s="13">
        <f t="shared" si="118"/>
        <v>9.0685599999999997</v>
      </c>
      <c r="V468" s="9" t="s">
        <v>32</v>
      </c>
      <c r="W468" s="9" t="s">
        <v>35</v>
      </c>
      <c r="X468">
        <f t="shared" si="121"/>
        <v>0</v>
      </c>
      <c r="Y468" s="1" t="str" cm="1">
        <f t="array" ref="Y468">INDEX(Ratings!$B$2:$M$42,_xlfn.XMATCH(Base!F468,Ratings!$A$2:$A$42),_xlfn.XMATCH(YEAR(Base!K468),Ratings!$B$1:$M$1))</f>
        <v>BB</v>
      </c>
      <c r="Z468">
        <f t="shared" si="122"/>
        <v>0</v>
      </c>
      <c r="AA468">
        <f>IFERROR(IFERROR(IFERROR(INDEX('EMBI+'!$B:$B,MATCH(Base!$K468,'EMBI+'!$A:$A,0)),INDEX('EMBI+'!$B:$B,MATCH(Base!$K468+1,'EMBI+'!$A:$A,0))),INDEX('EMBI+'!$B:$B,MATCH(Base!$K468+2,'EMBI+'!$A:$A,0))),INDEX('EMBI+'!$B:$B,MATCH(Base!$K468+3,'EMBI+'!$A:$A,0)))/100</f>
        <v>2.37</v>
      </c>
      <c r="AB468" s="9">
        <v>81.420469999999995</v>
      </c>
      <c r="AC468" s="9">
        <v>108.9935</v>
      </c>
      <c r="AD468" s="9"/>
      <c r="AE468" s="9"/>
      <c r="AF468" s="2"/>
      <c r="AG468" s="2"/>
    </row>
    <row r="469" spans="1:33" x14ac:dyDescent="0.35">
      <c r="A469">
        <f t="shared" si="119"/>
        <v>467</v>
      </c>
      <c r="B469">
        <f>IF(G469="Bonds",COUNTIF($G$3:G469,"Bonds"),0)</f>
        <v>0</v>
      </c>
      <c r="C469" t="str">
        <f t="shared" si="123"/>
        <v>Rumo4393647588</v>
      </c>
      <c r="D469">
        <f t="shared" si="124"/>
        <v>33</v>
      </c>
      <c r="E469" s="9" t="s">
        <v>549</v>
      </c>
      <c r="F469" s="9" t="s">
        <v>550</v>
      </c>
      <c r="G469" s="9" t="s">
        <v>29</v>
      </c>
      <c r="H469">
        <f t="shared" si="114"/>
        <v>0</v>
      </c>
      <c r="I469" s="9" t="s">
        <v>559</v>
      </c>
      <c r="J469" s="1">
        <f t="shared" si="115"/>
        <v>9</v>
      </c>
      <c r="K469" s="2">
        <v>43936</v>
      </c>
      <c r="L469" s="2">
        <v>47588</v>
      </c>
      <c r="M469" s="10">
        <f t="shared" si="116"/>
        <v>10.005479452054795</v>
      </c>
      <c r="N469" s="11">
        <f t="shared" si="117"/>
        <v>1</v>
      </c>
      <c r="O469" s="9" t="s">
        <v>47</v>
      </c>
      <c r="P469" t="str">
        <f t="shared" si="120"/>
        <v>0</v>
      </c>
      <c r="Q469" s="12">
        <v>800000</v>
      </c>
      <c r="R469" s="9">
        <v>1000</v>
      </c>
      <c r="S469" s="1" t="str">
        <f>IF($V469="USD",INDEX('Dólar Spot'!$B:$B,MATCH(Base!$K469,'Dólar Spot'!$A:$A,0)),"")</f>
        <v/>
      </c>
      <c r="T469" s="11">
        <f t="shared" si="125"/>
        <v>800000000</v>
      </c>
      <c r="U469" s="13">
        <f t="shared" si="118"/>
        <v>8</v>
      </c>
      <c r="V469" s="9" t="s">
        <v>32</v>
      </c>
      <c r="W469" s="9" t="s">
        <v>35</v>
      </c>
      <c r="X469">
        <f t="shared" si="121"/>
        <v>0</v>
      </c>
      <c r="Y469" s="1" t="str" cm="1">
        <f t="array" ref="Y469">INDEX(Ratings!$B$2:$M$42,_xlfn.XMATCH(Base!F469,Ratings!$A$2:$A$42),_xlfn.XMATCH(YEAR(Base!K469),Ratings!$B$1:$M$1))</f>
        <v>BB</v>
      </c>
      <c r="Z469">
        <f t="shared" si="122"/>
        <v>0</v>
      </c>
      <c r="AA469">
        <f>IFERROR(IFERROR(IFERROR(INDEX('EMBI+'!$B:$B,MATCH(Base!$K469,'EMBI+'!$A:$A,0)),INDEX('EMBI+'!$B:$B,MATCH(Base!$K469+1,'EMBI+'!$A:$A,0))),INDEX('EMBI+'!$B:$B,MATCH(Base!$K469+2,'EMBI+'!$A:$A,0))),INDEX('EMBI+'!$B:$B,MATCH(Base!$K469+3,'EMBI+'!$A:$A,0)))/100</f>
        <v>3.94</v>
      </c>
      <c r="AB469" s="9">
        <v>80.818229000000002</v>
      </c>
      <c r="AC469" s="9">
        <v>148.35856000000001</v>
      </c>
      <c r="AD469" s="9"/>
      <c r="AE469" s="9"/>
      <c r="AF469" s="2"/>
      <c r="AG469" s="2"/>
    </row>
    <row r="470" spans="1:33" x14ac:dyDescent="0.35">
      <c r="A470">
        <f t="shared" si="119"/>
        <v>468</v>
      </c>
      <c r="B470">
        <f>IF(G470="Bonds",COUNTIF($G$3:G470,"Bonds"),0)</f>
        <v>0</v>
      </c>
      <c r="C470" t="str">
        <f t="shared" si="123"/>
        <v>Rumo4418047832</v>
      </c>
      <c r="D470">
        <f t="shared" si="124"/>
        <v>33</v>
      </c>
      <c r="E470" s="9" t="s">
        <v>549</v>
      </c>
      <c r="F470" s="9" t="s">
        <v>550</v>
      </c>
      <c r="G470" s="9" t="s">
        <v>29</v>
      </c>
      <c r="H470">
        <f t="shared" si="114"/>
        <v>0</v>
      </c>
      <c r="I470" s="9" t="s">
        <v>560</v>
      </c>
      <c r="J470" s="1">
        <f t="shared" si="115"/>
        <v>10</v>
      </c>
      <c r="K470" s="2">
        <v>44180</v>
      </c>
      <c r="L470" s="2">
        <v>47832</v>
      </c>
      <c r="M470" s="10">
        <f t="shared" si="116"/>
        <v>10.005479452054795</v>
      </c>
      <c r="N470" s="11">
        <f t="shared" si="117"/>
        <v>1</v>
      </c>
      <c r="O470" s="9" t="s">
        <v>47</v>
      </c>
      <c r="P470" t="str">
        <f t="shared" si="120"/>
        <v>0</v>
      </c>
      <c r="Q470" s="12">
        <v>376523</v>
      </c>
      <c r="R470" s="9">
        <v>1000</v>
      </c>
      <c r="S470" s="1" t="str">
        <f>IF($V470="USD",INDEX('Dólar Spot'!$B:$B,MATCH(Base!$K470,'Dólar Spot'!$A:$A,0)),"")</f>
        <v/>
      </c>
      <c r="T470" s="11">
        <f t="shared" si="125"/>
        <v>376523000</v>
      </c>
      <c r="U470" s="13">
        <f t="shared" si="118"/>
        <v>3.7652299999999999</v>
      </c>
      <c r="V470" s="9" t="s">
        <v>32</v>
      </c>
      <c r="W470" s="9" t="s">
        <v>35</v>
      </c>
      <c r="X470">
        <f t="shared" si="121"/>
        <v>0</v>
      </c>
      <c r="Y470" s="1" t="str" cm="1">
        <f t="array" ref="Y470">INDEX(Ratings!$B$2:$M$42,_xlfn.XMATCH(Base!F470,Ratings!$A$2:$A$42),_xlfn.XMATCH(YEAR(Base!K470),Ratings!$B$1:$M$1))</f>
        <v>BB</v>
      </c>
      <c r="Z470">
        <f t="shared" si="122"/>
        <v>0</v>
      </c>
      <c r="AA470">
        <f>IFERROR(IFERROR(IFERROR(INDEX('EMBI+'!$B:$B,MATCH(Base!$K470,'EMBI+'!$A:$A,0)),INDEX('EMBI+'!$B:$B,MATCH(Base!$K470+1,'EMBI+'!$A:$A,0))),INDEX('EMBI+'!$B:$B,MATCH(Base!$K470+2,'EMBI+'!$A:$A,0))),INDEX('EMBI+'!$B:$B,MATCH(Base!$K470+3,'EMBI+'!$A:$A,0)))/100</f>
        <v>2.63</v>
      </c>
      <c r="AB470" s="9">
        <v>149.83606</v>
      </c>
      <c r="AC470" s="9">
        <v>199.12038000000001</v>
      </c>
      <c r="AD470" s="9"/>
      <c r="AE470" s="9"/>
      <c r="AF470" s="2"/>
      <c r="AG470" s="2"/>
    </row>
    <row r="471" spans="1:33" x14ac:dyDescent="0.35">
      <c r="A471">
        <f t="shared" si="119"/>
        <v>469</v>
      </c>
      <c r="B471">
        <f>IF(G471="Bonds",COUNTIF($G$3:G471,"Bonds"),0)</f>
        <v>0</v>
      </c>
      <c r="C471" t="str">
        <f t="shared" si="123"/>
        <v>Rumo4436248014</v>
      </c>
      <c r="D471">
        <f t="shared" si="124"/>
        <v>33</v>
      </c>
      <c r="E471" s="9" t="s">
        <v>549</v>
      </c>
      <c r="F471" s="9" t="s">
        <v>550</v>
      </c>
      <c r="G471" s="9" t="s">
        <v>29</v>
      </c>
      <c r="H471">
        <f t="shared" si="114"/>
        <v>0</v>
      </c>
      <c r="I471" s="9" t="s">
        <v>561</v>
      </c>
      <c r="J471" s="1">
        <f t="shared" si="115"/>
        <v>11</v>
      </c>
      <c r="K471" s="2">
        <v>44362</v>
      </c>
      <c r="L471" s="2">
        <v>48014</v>
      </c>
      <c r="M471" s="10">
        <f t="shared" si="116"/>
        <v>10.005479452054795</v>
      </c>
      <c r="N471" s="11">
        <f t="shared" si="117"/>
        <v>1</v>
      </c>
      <c r="O471" s="9" t="s">
        <v>47</v>
      </c>
      <c r="P471" t="str">
        <f t="shared" si="120"/>
        <v>0</v>
      </c>
      <c r="Q471" s="12">
        <v>784619</v>
      </c>
      <c r="R471" s="9">
        <v>1000</v>
      </c>
      <c r="S471" s="1" t="str">
        <f>IF($V471="USD",INDEX('Dólar Spot'!$B:$B,MATCH(Base!$K471,'Dólar Spot'!$A:$A,0)),"")</f>
        <v/>
      </c>
      <c r="T471" s="11">
        <f t="shared" si="125"/>
        <v>784619000</v>
      </c>
      <c r="U471" s="13">
        <f t="shared" si="118"/>
        <v>7.84619</v>
      </c>
      <c r="V471" s="9" t="s">
        <v>32</v>
      </c>
      <c r="W471" s="9" t="s">
        <v>35</v>
      </c>
      <c r="X471">
        <f t="shared" si="121"/>
        <v>0</v>
      </c>
      <c r="Y471" s="1" t="str" cm="1">
        <f t="array" ref="Y471">INDEX(Ratings!$B$2:$M$42,_xlfn.XMATCH(Base!F471,Ratings!$A$2:$A$42),_xlfn.XMATCH(YEAR(Base!K471),Ratings!$B$1:$M$1))</f>
        <v>BB</v>
      </c>
      <c r="Z471">
        <f t="shared" si="122"/>
        <v>0</v>
      </c>
      <c r="AA471">
        <f>IFERROR(IFERROR(IFERROR(INDEX('EMBI+'!$B:$B,MATCH(Base!$K471,'EMBI+'!$A:$A,0)),INDEX('EMBI+'!$B:$B,MATCH(Base!$K471+1,'EMBI+'!$A:$A,0))),INDEX('EMBI+'!$B:$B,MATCH(Base!$K471+2,'EMBI+'!$A:$A,0))),INDEX('EMBI+'!$B:$B,MATCH(Base!$K471+3,'EMBI+'!$A:$A,0)))/100</f>
        <v>2.66</v>
      </c>
      <c r="AB471" s="9">
        <v>154.49257</v>
      </c>
      <c r="AC471" s="9">
        <v>161.87565000000001</v>
      </c>
      <c r="AD471" s="9"/>
      <c r="AE471" s="9"/>
      <c r="AF471" s="2"/>
      <c r="AG471" s="2"/>
    </row>
    <row r="472" spans="1:33" x14ac:dyDescent="0.35">
      <c r="A472">
        <f t="shared" si="119"/>
        <v>470</v>
      </c>
      <c r="B472">
        <f>IF(G472="Bonds",COUNTIF($G$3:G472,"Bonds"),0)</f>
        <v>0</v>
      </c>
      <c r="C472" t="str">
        <f t="shared" si="123"/>
        <v>Rumo4375347406</v>
      </c>
      <c r="D472">
        <f t="shared" si="124"/>
        <v>33</v>
      </c>
      <c r="E472" s="9" t="s">
        <v>549</v>
      </c>
      <c r="F472" s="9" t="s">
        <v>550</v>
      </c>
      <c r="G472" s="9" t="s">
        <v>29</v>
      </c>
      <c r="H472">
        <f t="shared" si="114"/>
        <v>0</v>
      </c>
      <c r="I472" s="9" t="s">
        <v>562</v>
      </c>
      <c r="J472" s="1">
        <f t="shared" si="115"/>
        <v>12</v>
      </c>
      <c r="K472" s="2">
        <v>43753</v>
      </c>
      <c r="L472" s="2">
        <v>47406</v>
      </c>
      <c r="M472" s="10">
        <f t="shared" si="116"/>
        <v>10.008219178082191</v>
      </c>
      <c r="N472" s="11">
        <f t="shared" si="117"/>
        <v>1</v>
      </c>
      <c r="O472" s="9" t="s">
        <v>47</v>
      </c>
      <c r="P472" t="str">
        <f t="shared" si="120"/>
        <v>0</v>
      </c>
      <c r="Q472" s="12">
        <v>222280</v>
      </c>
      <c r="R472" s="9">
        <v>1000</v>
      </c>
      <c r="S472" s="1" t="str">
        <f>IF($V472="USD",INDEX('Dólar Spot'!$B:$B,MATCH(Base!$K472,'Dólar Spot'!$A:$A,0)),"")</f>
        <v/>
      </c>
      <c r="T472" s="11">
        <f t="shared" si="125"/>
        <v>222280000</v>
      </c>
      <c r="U472" s="13">
        <f t="shared" si="118"/>
        <v>2.2227999999999999</v>
      </c>
      <c r="V472" s="9" t="s">
        <v>32</v>
      </c>
      <c r="W472" s="9" t="s">
        <v>35</v>
      </c>
      <c r="X472">
        <f t="shared" si="121"/>
        <v>0</v>
      </c>
      <c r="Y472" s="1" t="str" cm="1">
        <f t="array" ref="Y472">INDEX(Ratings!$B$2:$M$42,_xlfn.XMATCH(Base!F472,Ratings!$A$2:$A$42),_xlfn.XMATCH(YEAR(Base!K472),Ratings!$B$1:$M$1))</f>
        <v>BB</v>
      </c>
      <c r="Z472">
        <f t="shared" si="122"/>
        <v>0</v>
      </c>
      <c r="AA472">
        <f>IFERROR(IFERROR(IFERROR(INDEX('EMBI+'!$B:$B,MATCH(Base!$K472,'EMBI+'!$A:$A,0)),INDEX('EMBI+'!$B:$B,MATCH(Base!$K472+1,'EMBI+'!$A:$A,0))),INDEX('EMBI+'!$B:$B,MATCH(Base!$K472+2,'EMBI+'!$A:$A,0))),INDEX('EMBI+'!$B:$B,MATCH(Base!$K472+3,'EMBI+'!$A:$A,0)))/100</f>
        <v>2.37</v>
      </c>
      <c r="AB472" s="9">
        <v>81.420469999999995</v>
      </c>
      <c r="AC472" s="9">
        <v>108.9935</v>
      </c>
      <c r="AD472" s="9"/>
      <c r="AE472" s="9"/>
      <c r="AF472" s="2"/>
      <c r="AG472" s="2"/>
    </row>
    <row r="473" spans="1:33" x14ac:dyDescent="0.35">
      <c r="A473">
        <f t="shared" si="119"/>
        <v>471</v>
      </c>
      <c r="B473">
        <f>IF(G473="Bonds",COUNTIF($G$3:G473,"Bonds"),0)</f>
        <v>0</v>
      </c>
      <c r="C473" t="str">
        <f t="shared" si="123"/>
        <v>Rumo4418049658</v>
      </c>
      <c r="D473">
        <f t="shared" si="124"/>
        <v>33</v>
      </c>
      <c r="E473" s="9" t="s">
        <v>549</v>
      </c>
      <c r="F473" s="9" t="s">
        <v>550</v>
      </c>
      <c r="G473" s="9" t="s">
        <v>29</v>
      </c>
      <c r="H473">
        <f t="shared" si="114"/>
        <v>0</v>
      </c>
      <c r="I473" s="9" t="s">
        <v>563</v>
      </c>
      <c r="J473" s="1">
        <f t="shared" si="115"/>
        <v>13</v>
      </c>
      <c r="K473" s="2">
        <v>44180</v>
      </c>
      <c r="L473" s="2">
        <v>49658</v>
      </c>
      <c r="M473" s="10">
        <f t="shared" si="116"/>
        <v>15.008219178082191</v>
      </c>
      <c r="N473" s="11">
        <f t="shared" si="117"/>
        <v>1</v>
      </c>
      <c r="O473" s="9" t="s">
        <v>47</v>
      </c>
      <c r="P473" t="str">
        <f t="shared" si="120"/>
        <v>0</v>
      </c>
      <c r="Q473" s="12">
        <v>823477</v>
      </c>
      <c r="R473" s="9">
        <v>1000</v>
      </c>
      <c r="S473" s="1" t="str">
        <f>IF($V473="USD",INDEX('Dólar Spot'!$B:$B,MATCH(Base!$K473,'Dólar Spot'!$A:$A,0)),"")</f>
        <v/>
      </c>
      <c r="T473" s="11">
        <f t="shared" si="125"/>
        <v>823477000</v>
      </c>
      <c r="U473" s="13">
        <f t="shared" si="118"/>
        <v>8.2347699999999993</v>
      </c>
      <c r="V473" s="9" t="s">
        <v>32</v>
      </c>
      <c r="W473" s="9" t="s">
        <v>35</v>
      </c>
      <c r="X473">
        <f t="shared" si="121"/>
        <v>0</v>
      </c>
      <c r="Y473" s="1" t="str" cm="1">
        <f t="array" ref="Y473">INDEX(Ratings!$B$2:$M$42,_xlfn.XMATCH(Base!F473,Ratings!$A$2:$A$42),_xlfn.XMATCH(YEAR(Base!K473),Ratings!$B$1:$M$1))</f>
        <v>BB</v>
      </c>
      <c r="Z473">
        <f t="shared" si="122"/>
        <v>0</v>
      </c>
      <c r="AA473">
        <f>IFERROR(IFERROR(IFERROR(INDEX('EMBI+'!$B:$B,MATCH(Base!$K473,'EMBI+'!$A:$A,0)),INDEX('EMBI+'!$B:$B,MATCH(Base!$K473+1,'EMBI+'!$A:$A,0))),INDEX('EMBI+'!$B:$B,MATCH(Base!$K473+2,'EMBI+'!$A:$A,0))),INDEX('EMBI+'!$B:$B,MATCH(Base!$K473+3,'EMBI+'!$A:$A,0)))/100</f>
        <v>2.63</v>
      </c>
      <c r="AB473" s="9">
        <v>149.83606</v>
      </c>
      <c r="AC473" s="9">
        <v>199.12038000000001</v>
      </c>
      <c r="AD473" s="9"/>
      <c r="AE473" s="9"/>
      <c r="AF473" s="2"/>
      <c r="AG473" s="2"/>
    </row>
    <row r="474" spans="1:33" x14ac:dyDescent="0.35">
      <c r="A474">
        <f t="shared" si="119"/>
        <v>472</v>
      </c>
      <c r="B474">
        <f>IF(G474="Bonds",COUNTIF($G$3:G474,"Bonds"),0)</f>
        <v>0</v>
      </c>
      <c r="C474" t="str">
        <f t="shared" si="123"/>
        <v>Rumo4436249841</v>
      </c>
      <c r="D474">
        <f t="shared" si="124"/>
        <v>33</v>
      </c>
      <c r="E474" s="9" t="s">
        <v>549</v>
      </c>
      <c r="F474" s="9" t="s">
        <v>550</v>
      </c>
      <c r="G474" s="9" t="s">
        <v>29</v>
      </c>
      <c r="H474">
        <f t="shared" si="114"/>
        <v>0</v>
      </c>
      <c r="I474" s="9" t="s">
        <v>564</v>
      </c>
      <c r="J474" s="1">
        <f t="shared" si="115"/>
        <v>14</v>
      </c>
      <c r="K474" s="2">
        <v>44362</v>
      </c>
      <c r="L474" s="2">
        <v>49841</v>
      </c>
      <c r="M474" s="10">
        <f t="shared" si="116"/>
        <v>15.010958904109589</v>
      </c>
      <c r="N474" s="11">
        <f t="shared" si="117"/>
        <v>1</v>
      </c>
      <c r="O474" s="9" t="s">
        <v>47</v>
      </c>
      <c r="P474" t="str">
        <f t="shared" si="120"/>
        <v>0</v>
      </c>
      <c r="Q474" s="12">
        <v>258815</v>
      </c>
      <c r="R474" s="9">
        <v>1000</v>
      </c>
      <c r="S474" s="1" t="str">
        <f>IF($V474="USD",INDEX('Dólar Spot'!$B:$B,MATCH(Base!$K474,'Dólar Spot'!$A:$A,0)),"")</f>
        <v/>
      </c>
      <c r="T474" s="11">
        <f t="shared" si="125"/>
        <v>258815000</v>
      </c>
      <c r="U474" s="13">
        <f t="shared" si="118"/>
        <v>2.5881500000000002</v>
      </c>
      <c r="V474" s="9" t="s">
        <v>32</v>
      </c>
      <c r="W474" s="9" t="s">
        <v>35</v>
      </c>
      <c r="X474">
        <f t="shared" si="121"/>
        <v>0</v>
      </c>
      <c r="Y474" s="1" t="str" cm="1">
        <f t="array" ref="Y474">INDEX(Ratings!$B$2:$M$42,_xlfn.XMATCH(Base!F474,Ratings!$A$2:$A$42),_xlfn.XMATCH(YEAR(Base!K474),Ratings!$B$1:$M$1))</f>
        <v>BB</v>
      </c>
      <c r="Z474">
        <f t="shared" si="122"/>
        <v>0</v>
      </c>
      <c r="AA474">
        <f>IFERROR(IFERROR(IFERROR(INDEX('EMBI+'!$B:$B,MATCH(Base!$K474,'EMBI+'!$A:$A,0)),INDEX('EMBI+'!$B:$B,MATCH(Base!$K474+1,'EMBI+'!$A:$A,0))),INDEX('EMBI+'!$B:$B,MATCH(Base!$K474+2,'EMBI+'!$A:$A,0))),INDEX('EMBI+'!$B:$B,MATCH(Base!$K474+3,'EMBI+'!$A:$A,0)))/100</f>
        <v>2.66</v>
      </c>
      <c r="AB474" s="9">
        <v>154.49257</v>
      </c>
      <c r="AC474" s="9">
        <v>161.87565000000001</v>
      </c>
      <c r="AD474" s="9"/>
      <c r="AE474" s="9"/>
      <c r="AF474" s="2"/>
      <c r="AG474" s="2"/>
    </row>
    <row r="475" spans="1:33" x14ac:dyDescent="0.35">
      <c r="A475">
        <f t="shared" si="119"/>
        <v>473</v>
      </c>
      <c r="B475">
        <f>IF(G475="Bonds",COUNTIF($G$3:G475,"Bonds"),0)</f>
        <v>134</v>
      </c>
      <c r="C475" t="str">
        <f t="shared" si="123"/>
        <v>Rumo4402210/01/2028</v>
      </c>
      <c r="D475">
        <f t="shared" si="124"/>
        <v>33</v>
      </c>
      <c r="E475" s="9" t="s">
        <v>565</v>
      </c>
      <c r="F475" s="9" t="s">
        <v>550</v>
      </c>
      <c r="G475" s="9" t="s">
        <v>37</v>
      </c>
      <c r="H475">
        <f t="shared" si="114"/>
        <v>1</v>
      </c>
      <c r="I475" s="9"/>
      <c r="J475" s="1">
        <f t="shared" si="115"/>
        <v>15</v>
      </c>
      <c r="K475" s="2">
        <v>44022</v>
      </c>
      <c r="L475" s="2" t="s">
        <v>123</v>
      </c>
      <c r="M475" s="10">
        <f t="shared" si="116"/>
        <v>7.506849315068493</v>
      </c>
      <c r="N475" s="11">
        <f t="shared" si="117"/>
        <v>1</v>
      </c>
      <c r="O475" s="9" t="s">
        <v>39</v>
      </c>
      <c r="P475" t="str">
        <f t="shared" si="120"/>
        <v>0</v>
      </c>
      <c r="Q475" s="9"/>
      <c r="R475" s="9"/>
      <c r="S475" s="1">
        <f>IF($V475="USD",INDEX('Dólar Spot'!$B:$B,MATCH(Base!$K475,'Dólar Spot'!$A:$A,0)),"")</f>
        <v>5.3433999999999999</v>
      </c>
      <c r="T475" s="12">
        <v>500000000</v>
      </c>
      <c r="U475" s="13">
        <f t="shared" si="118"/>
        <v>26.716999999999999</v>
      </c>
      <c r="V475" s="9" t="s">
        <v>40</v>
      </c>
      <c r="W475" s="9" t="s">
        <v>34</v>
      </c>
      <c r="X475">
        <f t="shared" si="121"/>
        <v>1</v>
      </c>
      <c r="Y475" s="1" t="str" cm="1">
        <f t="array" ref="Y475">INDEX(Ratings!$B$2:$M$42,_xlfn.XMATCH(Base!F475,Ratings!$A$2:$A$42),_xlfn.XMATCH(YEAR(Base!K475),Ratings!$B$1:$M$1))</f>
        <v>BB</v>
      </c>
      <c r="Z475">
        <f t="shared" si="122"/>
        <v>0</v>
      </c>
      <c r="AA475">
        <f>IFERROR(IFERROR(IFERROR(INDEX('EMBI+'!$B:$B,MATCH(Base!$K475,'EMBI+'!$A:$A,0)),INDEX('EMBI+'!$B:$B,MATCH(Base!$K475+1,'EMBI+'!$A:$A,0))),INDEX('EMBI+'!$B:$B,MATCH(Base!$K475+2,'EMBI+'!$A:$A,0))),INDEX('EMBI+'!$B:$B,MATCH(Base!$K475+3,'EMBI+'!$A:$A,0)))/100</f>
        <v>3.82</v>
      </c>
      <c r="AB475" s="9">
        <v>84.903540000000007</v>
      </c>
      <c r="AC475" s="9">
        <v>178.75436999999999</v>
      </c>
      <c r="AD475" s="9"/>
      <c r="AE475" s="9"/>
      <c r="AF475" s="2"/>
      <c r="AG475" s="2"/>
    </row>
    <row r="476" spans="1:33" x14ac:dyDescent="0.35">
      <c r="A476">
        <f t="shared" si="119"/>
        <v>474</v>
      </c>
      <c r="B476">
        <f>IF(G476="Bonds",COUNTIF($G$3:G476,"Bonds"),0)</f>
        <v>135</v>
      </c>
      <c r="C476" t="str">
        <f t="shared" si="123"/>
        <v>Rumo4446118/01/2032</v>
      </c>
      <c r="D476">
        <f t="shared" si="124"/>
        <v>33</v>
      </c>
      <c r="E476" s="9" t="s">
        <v>565</v>
      </c>
      <c r="F476" s="9" t="s">
        <v>550</v>
      </c>
      <c r="G476" s="9" t="s">
        <v>37</v>
      </c>
      <c r="H476">
        <f t="shared" si="114"/>
        <v>1</v>
      </c>
      <c r="I476" s="9"/>
      <c r="J476" s="1">
        <f t="shared" si="115"/>
        <v>16</v>
      </c>
      <c r="K476" s="2">
        <v>44461</v>
      </c>
      <c r="L476" s="2" t="s">
        <v>566</v>
      </c>
      <c r="M476" s="10">
        <f t="shared" si="116"/>
        <v>10.328767123287671</v>
      </c>
      <c r="N476" s="11">
        <f t="shared" si="117"/>
        <v>1</v>
      </c>
      <c r="O476" s="9" t="s">
        <v>39</v>
      </c>
      <c r="P476" t="str">
        <f t="shared" si="120"/>
        <v>0</v>
      </c>
      <c r="Q476" s="9"/>
      <c r="R476" s="9"/>
      <c r="S476" s="1">
        <f>IF($V476="USD",INDEX('Dólar Spot'!$B:$B,MATCH(Base!$K476,'Dólar Spot'!$A:$A,0)),"")</f>
        <v>5.2777000000000003</v>
      </c>
      <c r="T476" s="12">
        <v>500000000</v>
      </c>
      <c r="U476" s="13">
        <f t="shared" si="118"/>
        <v>26.388500000000001</v>
      </c>
      <c r="V476" s="9" t="s">
        <v>40</v>
      </c>
      <c r="W476" s="9" t="s">
        <v>34</v>
      </c>
      <c r="X476">
        <f t="shared" si="121"/>
        <v>1</v>
      </c>
      <c r="Y476" s="1" t="str" cm="1">
        <f t="array" ref="Y476">INDEX(Ratings!$B$2:$M$42,_xlfn.XMATCH(Base!F476,Ratings!$A$2:$A$42),_xlfn.XMATCH(YEAR(Base!K476),Ratings!$B$1:$M$1))</f>
        <v>BB</v>
      </c>
      <c r="Z476">
        <f t="shared" si="122"/>
        <v>0</v>
      </c>
      <c r="AA476">
        <f>IFERROR(IFERROR(IFERROR(INDEX('EMBI+'!$B:$B,MATCH(Base!$K476,'EMBI+'!$A:$A,0)),INDEX('EMBI+'!$B:$B,MATCH(Base!$K476+1,'EMBI+'!$A:$A,0))),INDEX('EMBI+'!$B:$B,MATCH(Base!$K476+2,'EMBI+'!$A:$A,0))),INDEX('EMBI+'!$B:$B,MATCH(Base!$K476+3,'EMBI+'!$A:$A,0)))/100</f>
        <v>3.18</v>
      </c>
      <c r="AB476" s="9">
        <v>152.08901</v>
      </c>
      <c r="AC476" s="9">
        <v>198.25942000000001</v>
      </c>
      <c r="AD476" s="9"/>
      <c r="AE476" s="9"/>
      <c r="AF476" s="2"/>
      <c r="AG476" s="2"/>
    </row>
    <row r="477" spans="1:33" x14ac:dyDescent="0.35">
      <c r="A477">
        <f t="shared" si="119"/>
        <v>475</v>
      </c>
      <c r="B477">
        <f>IF(G477="Bonds",COUNTIF($G$3:G477,"Bonds"),0)</f>
        <v>0</v>
      </c>
      <c r="C477" t="str">
        <f t="shared" si="123"/>
        <v>Simpar4448947046</v>
      </c>
      <c r="D477">
        <f t="shared" si="124"/>
        <v>34</v>
      </c>
      <c r="E477" s="9" t="s">
        <v>567</v>
      </c>
      <c r="F477" s="9" t="s">
        <v>568</v>
      </c>
      <c r="G477" s="9" t="s">
        <v>29</v>
      </c>
      <c r="H477">
        <f t="shared" si="114"/>
        <v>0</v>
      </c>
      <c r="I477" s="9" t="s">
        <v>569</v>
      </c>
      <c r="J477" s="1">
        <f t="shared" si="115"/>
        <v>1</v>
      </c>
      <c r="K477" s="2">
        <v>44489</v>
      </c>
      <c r="L477" s="2">
        <v>47046</v>
      </c>
      <c r="M477" s="10">
        <f t="shared" si="116"/>
        <v>7.0054794520547947</v>
      </c>
      <c r="N477" s="11">
        <f t="shared" si="117"/>
        <v>1</v>
      </c>
      <c r="O477" s="9" t="s">
        <v>47</v>
      </c>
      <c r="P477" t="str">
        <f t="shared" si="120"/>
        <v>0</v>
      </c>
      <c r="Q477" s="12">
        <v>700000</v>
      </c>
      <c r="R477" s="9">
        <v>1000</v>
      </c>
      <c r="S477" s="1" t="str">
        <f>IF($V477="USD",INDEX('Dólar Spot'!$B:$B,MATCH(Base!$K477,'Dólar Spot'!$A:$A,0)),"")</f>
        <v/>
      </c>
      <c r="T477" s="11">
        <f t="shared" ref="T477:T495" si="126">Q477*R477</f>
        <v>700000000</v>
      </c>
      <c r="U477" s="13">
        <f t="shared" si="118"/>
        <v>7</v>
      </c>
      <c r="V477" s="9" t="s">
        <v>44</v>
      </c>
      <c r="W477" s="9" t="s">
        <v>34</v>
      </c>
      <c r="X477">
        <f t="shared" si="121"/>
        <v>1</v>
      </c>
      <c r="Y477" s="1" t="str" cm="1">
        <f t="array" ref="Y477">INDEX(Ratings!$B$2:$M$42,_xlfn.XMATCH(Base!F477,Ratings!$A$2:$A$42),_xlfn.XMATCH(YEAR(Base!K477),Ratings!$B$1:$M$1))</f>
        <v>BB-</v>
      </c>
      <c r="Z477">
        <f t="shared" si="122"/>
        <v>0</v>
      </c>
      <c r="AA477">
        <f>IFERROR(IFERROR(IFERROR(INDEX('EMBI+'!$B:$B,MATCH(Base!$K477,'EMBI+'!$A:$A,0)),INDEX('EMBI+'!$B:$B,MATCH(Base!$K477+1,'EMBI+'!$A:$A,0))),INDEX('EMBI+'!$B:$B,MATCH(Base!$K477+2,'EMBI+'!$A:$A,0))),INDEX('EMBI+'!$B:$B,MATCH(Base!$K477+3,'EMBI+'!$A:$A,0)))/100</f>
        <v>3.36</v>
      </c>
      <c r="AB477" s="9">
        <v>34.068300000000001</v>
      </c>
      <c r="AC477" s="9">
        <v>291.81061</v>
      </c>
      <c r="AD477" s="9"/>
      <c r="AE477" s="9"/>
      <c r="AF477" s="2"/>
      <c r="AG477" s="2"/>
    </row>
    <row r="478" spans="1:33" x14ac:dyDescent="0.35">
      <c r="A478">
        <f t="shared" si="119"/>
        <v>476</v>
      </c>
      <c r="B478">
        <f>IF(G478="Bonds",COUNTIF($G$3:G478,"Bonds"),0)</f>
        <v>0</v>
      </c>
      <c r="C478" t="str">
        <f t="shared" si="123"/>
        <v>Simpar4071842910</v>
      </c>
      <c r="D478">
        <f t="shared" si="124"/>
        <v>34</v>
      </c>
      <c r="E478" s="9" t="s">
        <v>567</v>
      </c>
      <c r="F478" s="9" t="s">
        <v>568</v>
      </c>
      <c r="G478" s="9" t="s">
        <v>29</v>
      </c>
      <c r="H478">
        <f t="shared" si="114"/>
        <v>0</v>
      </c>
      <c r="I478" s="9" t="s">
        <v>570</v>
      </c>
      <c r="J478" s="1">
        <f t="shared" si="115"/>
        <v>2</v>
      </c>
      <c r="K478" s="2">
        <v>40718</v>
      </c>
      <c r="L478" s="2">
        <v>42910</v>
      </c>
      <c r="M478" s="10">
        <f t="shared" si="116"/>
        <v>6.0054794520547947</v>
      </c>
      <c r="N478" s="11">
        <f t="shared" si="117"/>
        <v>1</v>
      </c>
      <c r="O478" s="9" t="s">
        <v>47</v>
      </c>
      <c r="P478" t="str">
        <f t="shared" si="120"/>
        <v>0</v>
      </c>
      <c r="Q478" s="12">
        <v>113</v>
      </c>
      <c r="R478" s="9">
        <v>1000000</v>
      </c>
      <c r="S478" s="1" t="str">
        <f>IF($V478="USD",INDEX('Dólar Spot'!$B:$B,MATCH(Base!$K478,'Dólar Spot'!$A:$A,0)),"")</f>
        <v/>
      </c>
      <c r="T478" s="11">
        <f t="shared" si="126"/>
        <v>113000000</v>
      </c>
      <c r="U478" s="13">
        <f t="shared" si="118"/>
        <v>1.1299999999999999</v>
      </c>
      <c r="V478" s="9" t="s">
        <v>44</v>
      </c>
      <c r="W478" s="9" t="s">
        <v>34</v>
      </c>
      <c r="X478">
        <f t="shared" si="121"/>
        <v>1</v>
      </c>
      <c r="Y478" s="1" t="str" cm="1">
        <f t="array" ref="Y478">INDEX(Ratings!$B$2:$M$42,_xlfn.XMATCH(Base!F478,Ratings!$A$2:$A$42),_xlfn.XMATCH(YEAR(Base!K478),Ratings!$B$1:$M$1))</f>
        <v>BB-</v>
      </c>
      <c r="Z478">
        <f t="shared" si="122"/>
        <v>0</v>
      </c>
      <c r="AA478">
        <f>IFERROR(IFERROR(IFERROR(INDEX('EMBI+'!$B:$B,MATCH(Base!$K478,'EMBI+'!$A:$A,0)),INDEX('EMBI+'!$B:$B,MATCH(Base!$K478+1,'EMBI+'!$A:$A,0))),INDEX('EMBI+'!$B:$B,MATCH(Base!$K478+2,'EMBI+'!$A:$A,0))),INDEX('EMBI+'!$B:$B,MATCH(Base!$K478+3,'EMBI+'!$A:$A,0)))/100</f>
        <v>1.75</v>
      </c>
      <c r="AB478" s="9">
        <v>8.1566700000000001</v>
      </c>
      <c r="AC478" s="9">
        <v>18.31448</v>
      </c>
      <c r="AD478" s="9"/>
      <c r="AE478" s="9"/>
      <c r="AF478" s="2"/>
      <c r="AG478" s="2"/>
    </row>
    <row r="479" spans="1:33" x14ac:dyDescent="0.35">
      <c r="A479">
        <f t="shared" si="119"/>
        <v>477</v>
      </c>
      <c r="B479">
        <f>IF(G479="Bonds",COUNTIF($G$3:G479,"Bonds"),0)</f>
        <v>0</v>
      </c>
      <c r="C479" t="str">
        <f t="shared" si="123"/>
        <v>Simpar4105342514</v>
      </c>
      <c r="D479">
        <f t="shared" si="124"/>
        <v>34</v>
      </c>
      <c r="E479" s="9" t="s">
        <v>567</v>
      </c>
      <c r="F479" s="9" t="s">
        <v>568</v>
      </c>
      <c r="G479" s="9" t="s">
        <v>29</v>
      </c>
      <c r="H479">
        <f t="shared" si="114"/>
        <v>0</v>
      </c>
      <c r="I479" s="9" t="s">
        <v>571</v>
      </c>
      <c r="J479" s="1">
        <f t="shared" si="115"/>
        <v>3</v>
      </c>
      <c r="K479" s="2">
        <v>41053</v>
      </c>
      <c r="L479" s="2">
        <v>42514</v>
      </c>
      <c r="M479" s="10">
        <f t="shared" si="116"/>
        <v>4.0027397260273974</v>
      </c>
      <c r="N479" s="11">
        <f t="shared" si="117"/>
        <v>0</v>
      </c>
      <c r="O479" s="9" t="s">
        <v>47</v>
      </c>
      <c r="P479" t="str">
        <f t="shared" si="120"/>
        <v>0</v>
      </c>
      <c r="Q479" s="12">
        <v>20000</v>
      </c>
      <c r="R479" s="9">
        <v>10000</v>
      </c>
      <c r="S479" s="1" t="str">
        <f>IF($V479="USD",INDEX('Dólar Spot'!$B:$B,MATCH(Base!$K479,'Dólar Spot'!$A:$A,0)),"")</f>
        <v/>
      </c>
      <c r="T479" s="11">
        <f t="shared" si="126"/>
        <v>200000000</v>
      </c>
      <c r="U479" s="13">
        <f t="shared" si="118"/>
        <v>2</v>
      </c>
      <c r="V479" s="9" t="s">
        <v>44</v>
      </c>
      <c r="W479" s="9" t="s">
        <v>34</v>
      </c>
      <c r="X479">
        <f t="shared" si="121"/>
        <v>1</v>
      </c>
      <c r="Y479" s="1" t="str" cm="1">
        <f t="array" ref="Y479">INDEX(Ratings!$B$2:$M$42,_xlfn.XMATCH(Base!F479,Ratings!$A$2:$A$42),_xlfn.XMATCH(YEAR(Base!K479),Ratings!$B$1:$M$1))</f>
        <v>BB</v>
      </c>
      <c r="Z479">
        <f t="shared" si="122"/>
        <v>0</v>
      </c>
      <c r="AA479">
        <f>IFERROR(IFERROR(IFERROR(INDEX('EMBI+'!$B:$B,MATCH(Base!$K479,'EMBI+'!$A:$A,0)),INDEX('EMBI+'!$B:$B,MATCH(Base!$K479+1,'EMBI+'!$A:$A,0))),INDEX('EMBI+'!$B:$B,MATCH(Base!$K479+2,'EMBI+'!$A:$A,0))),INDEX('EMBI+'!$B:$B,MATCH(Base!$K479+3,'EMBI+'!$A:$A,0)))/100</f>
        <v>2.29</v>
      </c>
      <c r="AB479" s="9">
        <v>9.3430199999999992</v>
      </c>
      <c r="AC479" s="9">
        <v>27.047699999999999</v>
      </c>
      <c r="AD479" s="9"/>
      <c r="AE479" s="9"/>
      <c r="AF479" s="2"/>
      <c r="AG479" s="2"/>
    </row>
    <row r="480" spans="1:33" x14ac:dyDescent="0.35">
      <c r="A480">
        <f t="shared" si="119"/>
        <v>478</v>
      </c>
      <c r="B480">
        <f>IF(G480="Bonds",COUNTIF($G$3:G480,"Bonds"),0)</f>
        <v>0</v>
      </c>
      <c r="C480" t="str">
        <f t="shared" si="123"/>
        <v>Simpar4147043296</v>
      </c>
      <c r="D480">
        <f t="shared" si="124"/>
        <v>34</v>
      </c>
      <c r="E480" s="9" t="s">
        <v>567</v>
      </c>
      <c r="F480" s="9" t="s">
        <v>568</v>
      </c>
      <c r="G480" s="9" t="s">
        <v>29</v>
      </c>
      <c r="H480">
        <f t="shared" si="114"/>
        <v>0</v>
      </c>
      <c r="I480" s="9" t="s">
        <v>572</v>
      </c>
      <c r="J480" s="1">
        <f t="shared" si="115"/>
        <v>4</v>
      </c>
      <c r="K480" s="2">
        <v>41470</v>
      </c>
      <c r="L480" s="2">
        <v>43296</v>
      </c>
      <c r="M480" s="10">
        <f t="shared" si="116"/>
        <v>5.0027397260273974</v>
      </c>
      <c r="N480" s="11">
        <f t="shared" si="117"/>
        <v>1</v>
      </c>
      <c r="O480" s="9" t="s">
        <v>47</v>
      </c>
      <c r="P480" t="str">
        <f t="shared" si="120"/>
        <v>0</v>
      </c>
      <c r="Q480" s="12">
        <v>152429</v>
      </c>
      <c r="R480" s="9">
        <v>1000</v>
      </c>
      <c r="S480" s="1" t="str">
        <f>IF($V480="USD",INDEX('Dólar Spot'!$B:$B,MATCH(Base!$K480,'Dólar Spot'!$A:$A,0)),"")</f>
        <v/>
      </c>
      <c r="T480" s="11">
        <f t="shared" si="126"/>
        <v>152429000</v>
      </c>
      <c r="U480" s="13">
        <f t="shared" si="118"/>
        <v>1.5242899999999999</v>
      </c>
      <c r="V480" s="9" t="s">
        <v>44</v>
      </c>
      <c r="W480" s="9" t="s">
        <v>35</v>
      </c>
      <c r="X480">
        <f t="shared" si="121"/>
        <v>0</v>
      </c>
      <c r="Y480" s="1" t="str" cm="1">
        <f t="array" ref="Y480">INDEX(Ratings!$B$2:$M$42,_xlfn.XMATCH(Base!F480,Ratings!$A$2:$A$42),_xlfn.XMATCH(YEAR(Base!K480),Ratings!$B$1:$M$1))</f>
        <v>BB</v>
      </c>
      <c r="Z480">
        <f t="shared" si="122"/>
        <v>0</v>
      </c>
      <c r="AA480">
        <f>IFERROR(IFERROR(IFERROR(INDEX('EMBI+'!$B:$B,MATCH(Base!$K480,'EMBI+'!$A:$A,0)),INDEX('EMBI+'!$B:$B,MATCH(Base!$K480+1,'EMBI+'!$A:$A,0))),INDEX('EMBI+'!$B:$B,MATCH(Base!$K480+2,'EMBI+'!$A:$A,0))),INDEX('EMBI+'!$B:$B,MATCH(Base!$K480+3,'EMBI+'!$A:$A,0)))/100</f>
        <v>2.2400000000000002</v>
      </c>
      <c r="AB480" s="9">
        <v>10.024710000000001</v>
      </c>
      <c r="AC480" s="9">
        <v>33.554160000000003</v>
      </c>
      <c r="AD480" s="9"/>
      <c r="AE480" s="9"/>
      <c r="AF480" s="2"/>
      <c r="AG480" s="2"/>
    </row>
    <row r="481" spans="1:33" x14ac:dyDescent="0.35">
      <c r="A481">
        <f t="shared" si="119"/>
        <v>479</v>
      </c>
      <c r="B481">
        <f>IF(G481="Bonds",COUNTIF($G$3:G481,"Bonds"),0)</f>
        <v>0</v>
      </c>
      <c r="C481" t="str">
        <f t="shared" si="123"/>
        <v>Simpar4157143762</v>
      </c>
      <c r="D481">
        <f t="shared" si="124"/>
        <v>34</v>
      </c>
      <c r="E481" s="9" t="s">
        <v>567</v>
      </c>
      <c r="F481" s="9" t="s">
        <v>568</v>
      </c>
      <c r="G481" s="9" t="s">
        <v>29</v>
      </c>
      <c r="H481">
        <f t="shared" si="114"/>
        <v>0</v>
      </c>
      <c r="I481" s="9" t="s">
        <v>573</v>
      </c>
      <c r="J481" s="1">
        <f t="shared" si="115"/>
        <v>5</v>
      </c>
      <c r="K481" s="2">
        <v>41571</v>
      </c>
      <c r="L481" s="2">
        <v>43762</v>
      </c>
      <c r="M481" s="10">
        <f t="shared" si="116"/>
        <v>6.0027397260273974</v>
      </c>
      <c r="N481" s="11">
        <f t="shared" si="117"/>
        <v>1</v>
      </c>
      <c r="O481" s="9" t="s">
        <v>47</v>
      </c>
      <c r="P481" t="str">
        <f t="shared" si="120"/>
        <v>0</v>
      </c>
      <c r="Q481" s="12">
        <v>17000</v>
      </c>
      <c r="R481" s="9">
        <v>10000</v>
      </c>
      <c r="S481" s="1" t="str">
        <f>IF($V481="USD",INDEX('Dólar Spot'!$B:$B,MATCH(Base!$K481,'Dólar Spot'!$A:$A,0)),"")</f>
        <v/>
      </c>
      <c r="T481" s="11">
        <f t="shared" si="126"/>
        <v>170000000</v>
      </c>
      <c r="U481" s="13">
        <f t="shared" si="118"/>
        <v>1.7</v>
      </c>
      <c r="V481" s="9" t="s">
        <v>44</v>
      </c>
      <c r="W481" s="9" t="s">
        <v>34</v>
      </c>
      <c r="X481">
        <f t="shared" si="121"/>
        <v>1</v>
      </c>
      <c r="Y481" s="1" t="str" cm="1">
        <f t="array" ref="Y481">INDEX(Ratings!$B$2:$M$42,_xlfn.XMATCH(Base!F481,Ratings!$A$2:$A$42),_xlfn.XMATCH(YEAR(Base!K481),Ratings!$B$1:$M$1))</f>
        <v>BB</v>
      </c>
      <c r="Z481">
        <f t="shared" si="122"/>
        <v>0</v>
      </c>
      <c r="AA481">
        <f>IFERROR(IFERROR(IFERROR(INDEX('EMBI+'!$B:$B,MATCH(Base!$K481,'EMBI+'!$A:$A,0)),INDEX('EMBI+'!$B:$B,MATCH(Base!$K481+1,'EMBI+'!$A:$A,0))),INDEX('EMBI+'!$B:$B,MATCH(Base!$K481+2,'EMBI+'!$A:$A,0))),INDEX('EMBI+'!$B:$B,MATCH(Base!$K481+3,'EMBI+'!$A:$A,0)))/100</f>
        <v>2.15</v>
      </c>
      <c r="AB481" s="9">
        <v>10.27397</v>
      </c>
      <c r="AC481" s="9">
        <v>36.387099999999997</v>
      </c>
      <c r="AD481" s="9"/>
      <c r="AE481" s="9"/>
      <c r="AF481" s="2"/>
      <c r="AG481" s="2"/>
    </row>
    <row r="482" spans="1:33" x14ac:dyDescent="0.35">
      <c r="A482">
        <f t="shared" si="119"/>
        <v>480</v>
      </c>
      <c r="B482">
        <f>IF(G482="Bonds",COUNTIF($G$3:G482,"Bonds"),0)</f>
        <v>0</v>
      </c>
      <c r="C482" t="str">
        <f t="shared" si="123"/>
        <v>Simpar4180543631</v>
      </c>
      <c r="D482">
        <f t="shared" si="124"/>
        <v>34</v>
      </c>
      <c r="E482" s="9" t="s">
        <v>567</v>
      </c>
      <c r="F482" s="9" t="s">
        <v>568</v>
      </c>
      <c r="G482" s="9" t="s">
        <v>29</v>
      </c>
      <c r="H482">
        <f t="shared" si="114"/>
        <v>0</v>
      </c>
      <c r="I482" s="9" t="s">
        <v>574</v>
      </c>
      <c r="J482" s="1">
        <f t="shared" si="115"/>
        <v>6</v>
      </c>
      <c r="K482" s="2">
        <v>41805</v>
      </c>
      <c r="L482" s="2">
        <v>43631</v>
      </c>
      <c r="M482" s="10">
        <f t="shared" si="116"/>
        <v>5.0027397260273974</v>
      </c>
      <c r="N482" s="11">
        <f t="shared" si="117"/>
        <v>1</v>
      </c>
      <c r="O482" s="9" t="s">
        <v>47</v>
      </c>
      <c r="P482" t="str">
        <f t="shared" si="120"/>
        <v>0</v>
      </c>
      <c r="Q482" s="12">
        <v>165175</v>
      </c>
      <c r="R482" s="9">
        <v>1000</v>
      </c>
      <c r="S482" s="1" t="str">
        <f>IF($V482="USD",INDEX('Dólar Spot'!$B:$B,MATCH(Base!$K482,'Dólar Spot'!$A:$A,0)),"")</f>
        <v/>
      </c>
      <c r="T482" s="11">
        <f t="shared" si="126"/>
        <v>165175000</v>
      </c>
      <c r="U482" s="13">
        <f t="shared" si="118"/>
        <v>1.6517500000000001</v>
      </c>
      <c r="V482" s="9" t="s">
        <v>44</v>
      </c>
      <c r="W482" s="9" t="s">
        <v>35</v>
      </c>
      <c r="X482">
        <f t="shared" si="121"/>
        <v>0</v>
      </c>
      <c r="Y482" s="1" t="str" cm="1">
        <f t="array" ref="Y482">INDEX(Ratings!$B$2:$M$42,_xlfn.XMATCH(Base!F482,Ratings!$A$2:$A$42),_xlfn.XMATCH(YEAR(Base!K482),Ratings!$B$1:$M$1))</f>
        <v>BB</v>
      </c>
      <c r="Z482">
        <f t="shared" si="122"/>
        <v>0</v>
      </c>
      <c r="AA482">
        <f>IFERROR(IFERROR(IFERROR(INDEX('EMBI+'!$B:$B,MATCH(Base!$K482,'EMBI+'!$A:$A,0)),INDEX('EMBI+'!$B:$B,MATCH(Base!$K482+1,'EMBI+'!$A:$A,0))),INDEX('EMBI+'!$B:$B,MATCH(Base!$K482+2,'EMBI+'!$A:$A,0))),INDEX('EMBI+'!$B:$B,MATCH(Base!$K482+3,'EMBI+'!$A:$A,0)))/100</f>
        <v>2.08</v>
      </c>
      <c r="AB482" s="9">
        <v>10.26676</v>
      </c>
      <c r="AC482" s="9">
        <v>40.701360000000001</v>
      </c>
      <c r="AD482" s="9"/>
      <c r="AE482" s="9"/>
      <c r="AF482" s="2"/>
      <c r="AG482" s="2"/>
    </row>
    <row r="483" spans="1:33" x14ac:dyDescent="0.35">
      <c r="A483">
        <f t="shared" si="119"/>
        <v>481</v>
      </c>
      <c r="B483">
        <f>IF(G483="Bonds",COUNTIF($G$3:G483,"Bonds"),0)</f>
        <v>0</v>
      </c>
      <c r="C483" t="str">
        <f t="shared" si="123"/>
        <v>Simpar4198843814</v>
      </c>
      <c r="D483">
        <f t="shared" si="124"/>
        <v>34</v>
      </c>
      <c r="E483" s="9" t="s">
        <v>567</v>
      </c>
      <c r="F483" s="9" t="s">
        <v>568</v>
      </c>
      <c r="G483" s="9" t="s">
        <v>29</v>
      </c>
      <c r="H483">
        <f t="shared" si="114"/>
        <v>0</v>
      </c>
      <c r="I483" s="9" t="s">
        <v>575</v>
      </c>
      <c r="J483" s="1">
        <f t="shared" si="115"/>
        <v>7</v>
      </c>
      <c r="K483" s="2">
        <v>41988</v>
      </c>
      <c r="L483" s="2">
        <v>43814</v>
      </c>
      <c r="M483" s="10">
        <f t="shared" si="116"/>
        <v>5.0027397260273974</v>
      </c>
      <c r="N483" s="11">
        <f t="shared" si="117"/>
        <v>1</v>
      </c>
      <c r="O483" s="9" t="s">
        <v>47</v>
      </c>
      <c r="P483" t="str">
        <f t="shared" si="120"/>
        <v>0</v>
      </c>
      <c r="Q483" s="12">
        <v>10000</v>
      </c>
      <c r="R483" s="9">
        <v>10000</v>
      </c>
      <c r="S483" s="1" t="str">
        <f>IF($V483="USD",INDEX('Dólar Spot'!$B:$B,MATCH(Base!$K483,'Dólar Spot'!$A:$A,0)),"")</f>
        <v/>
      </c>
      <c r="T483" s="11">
        <f t="shared" si="126"/>
        <v>100000000</v>
      </c>
      <c r="U483" s="13">
        <f t="shared" si="118"/>
        <v>1</v>
      </c>
      <c r="V483" s="9" t="s">
        <v>44</v>
      </c>
      <c r="W483" s="9" t="s">
        <v>34</v>
      </c>
      <c r="X483">
        <f t="shared" si="121"/>
        <v>1</v>
      </c>
      <c r="Y483" s="1" t="str" cm="1">
        <f t="array" ref="Y483">INDEX(Ratings!$B$2:$M$42,_xlfn.XMATCH(Base!F483,Ratings!$A$2:$A$42),_xlfn.XMATCH(YEAR(Base!K483),Ratings!$B$1:$M$1))</f>
        <v>BB</v>
      </c>
      <c r="Z483">
        <f t="shared" si="122"/>
        <v>0</v>
      </c>
      <c r="AA483">
        <f>IFERROR(IFERROR(IFERROR(INDEX('EMBI+'!$B:$B,MATCH(Base!$K483,'EMBI+'!$A:$A,0)),INDEX('EMBI+'!$B:$B,MATCH(Base!$K483+1,'EMBI+'!$A:$A,0))),INDEX('EMBI+'!$B:$B,MATCH(Base!$K483+2,'EMBI+'!$A:$A,0))),INDEX('EMBI+'!$B:$B,MATCH(Base!$K483+3,'EMBI+'!$A:$A,0)))/100</f>
        <v>3.12</v>
      </c>
      <c r="AB483" s="9">
        <v>10.44853</v>
      </c>
      <c r="AC483" s="9">
        <v>48.454479999999997</v>
      </c>
      <c r="AD483" s="9"/>
      <c r="AE483" s="9"/>
      <c r="AF483" s="2"/>
      <c r="AG483" s="2"/>
    </row>
    <row r="484" spans="1:33" x14ac:dyDescent="0.35">
      <c r="A484">
        <f t="shared" si="119"/>
        <v>482</v>
      </c>
      <c r="B484">
        <f>IF(G484="Bonds",COUNTIF($G$3:G484,"Bonds"),0)</f>
        <v>0</v>
      </c>
      <c r="C484" t="str">
        <f t="shared" si="123"/>
        <v>Simpar4147044027</v>
      </c>
      <c r="D484">
        <f t="shared" si="124"/>
        <v>34</v>
      </c>
      <c r="E484" s="9" t="s">
        <v>567</v>
      </c>
      <c r="F484" s="9" t="s">
        <v>568</v>
      </c>
      <c r="G484" s="9" t="s">
        <v>29</v>
      </c>
      <c r="H484">
        <f t="shared" si="114"/>
        <v>0</v>
      </c>
      <c r="I484" s="9" t="s">
        <v>576</v>
      </c>
      <c r="J484" s="1">
        <f t="shared" si="115"/>
        <v>8</v>
      </c>
      <c r="K484" s="2">
        <v>41470</v>
      </c>
      <c r="L484" s="2">
        <v>44027</v>
      </c>
      <c r="M484" s="10">
        <f t="shared" si="116"/>
        <v>7.0054794520547947</v>
      </c>
      <c r="N484" s="11">
        <f t="shared" si="117"/>
        <v>1</v>
      </c>
      <c r="O484" s="9" t="s">
        <v>47</v>
      </c>
      <c r="P484" t="str">
        <f t="shared" si="120"/>
        <v>0</v>
      </c>
      <c r="Q484" s="12">
        <v>62472</v>
      </c>
      <c r="R484" s="9">
        <v>1000</v>
      </c>
      <c r="S484" s="1" t="str">
        <f>IF($V484="USD",INDEX('Dólar Spot'!$B:$B,MATCH(Base!$K484,'Dólar Spot'!$A:$A,0)),"")</f>
        <v/>
      </c>
      <c r="T484" s="11">
        <f t="shared" si="126"/>
        <v>62472000</v>
      </c>
      <c r="U484" s="13">
        <f t="shared" si="118"/>
        <v>0.62472000000000005</v>
      </c>
      <c r="V484" s="9" t="s">
        <v>44</v>
      </c>
      <c r="W484" s="9" t="s">
        <v>35</v>
      </c>
      <c r="X484">
        <f t="shared" si="121"/>
        <v>0</v>
      </c>
      <c r="Y484" s="1" t="str" cm="1">
        <f t="array" ref="Y484">INDEX(Ratings!$B$2:$M$42,_xlfn.XMATCH(Base!F484,Ratings!$A$2:$A$42),_xlfn.XMATCH(YEAR(Base!K484),Ratings!$B$1:$M$1))</f>
        <v>BB</v>
      </c>
      <c r="Z484">
        <f t="shared" si="122"/>
        <v>0</v>
      </c>
      <c r="AA484">
        <f>IFERROR(IFERROR(IFERROR(INDEX('EMBI+'!$B:$B,MATCH(Base!$K484,'EMBI+'!$A:$A,0)),INDEX('EMBI+'!$B:$B,MATCH(Base!$K484+1,'EMBI+'!$A:$A,0))),INDEX('EMBI+'!$B:$B,MATCH(Base!$K484+2,'EMBI+'!$A:$A,0))),INDEX('EMBI+'!$B:$B,MATCH(Base!$K484+3,'EMBI+'!$A:$A,0)))/100</f>
        <v>2.2400000000000002</v>
      </c>
      <c r="AB484" s="9">
        <v>10.024710000000001</v>
      </c>
      <c r="AC484" s="9">
        <v>33.554160000000003</v>
      </c>
      <c r="AD484" s="9"/>
      <c r="AE484" s="9"/>
      <c r="AF484" s="2"/>
      <c r="AG484" s="2"/>
    </row>
    <row r="485" spans="1:33" x14ac:dyDescent="0.35">
      <c r="A485">
        <f t="shared" si="119"/>
        <v>483</v>
      </c>
      <c r="B485">
        <f>IF(G485="Bonds",COUNTIF($G$3:G485,"Bonds"),0)</f>
        <v>0</v>
      </c>
      <c r="C485" t="str">
        <f t="shared" si="123"/>
        <v>Simpar4180544362</v>
      </c>
      <c r="D485">
        <f t="shared" si="124"/>
        <v>34</v>
      </c>
      <c r="E485" s="9" t="s">
        <v>567</v>
      </c>
      <c r="F485" s="9" t="s">
        <v>568</v>
      </c>
      <c r="G485" s="9" t="s">
        <v>29</v>
      </c>
      <c r="H485">
        <f t="shared" si="114"/>
        <v>0</v>
      </c>
      <c r="I485" s="9" t="s">
        <v>577</v>
      </c>
      <c r="J485" s="1">
        <f t="shared" si="115"/>
        <v>9</v>
      </c>
      <c r="K485" s="2">
        <v>41805</v>
      </c>
      <c r="L485" s="2">
        <v>44362</v>
      </c>
      <c r="M485" s="10">
        <f t="shared" si="116"/>
        <v>7.0054794520547947</v>
      </c>
      <c r="N485" s="11">
        <f t="shared" si="117"/>
        <v>1</v>
      </c>
      <c r="O485" s="9" t="s">
        <v>47</v>
      </c>
      <c r="P485" t="str">
        <f t="shared" si="120"/>
        <v>0</v>
      </c>
      <c r="Q485" s="12">
        <v>71751</v>
      </c>
      <c r="R485" s="9">
        <v>1000</v>
      </c>
      <c r="S485" s="1" t="str">
        <f>IF($V485="USD",INDEX('Dólar Spot'!$B:$B,MATCH(Base!$K485,'Dólar Spot'!$A:$A,0)),"")</f>
        <v/>
      </c>
      <c r="T485" s="11">
        <f t="shared" si="126"/>
        <v>71751000</v>
      </c>
      <c r="U485" s="13">
        <f t="shared" si="118"/>
        <v>0.71750999999999998</v>
      </c>
      <c r="V485" s="9" t="s">
        <v>32</v>
      </c>
      <c r="W485" s="9" t="s">
        <v>35</v>
      </c>
      <c r="X485">
        <f t="shared" si="121"/>
        <v>0</v>
      </c>
      <c r="Y485" s="1" t="str" cm="1">
        <f t="array" ref="Y485">INDEX(Ratings!$B$2:$M$42,_xlfn.XMATCH(Base!F485,Ratings!$A$2:$A$42),_xlfn.XMATCH(YEAR(Base!K485),Ratings!$B$1:$M$1))</f>
        <v>BB</v>
      </c>
      <c r="Z485">
        <f t="shared" si="122"/>
        <v>0</v>
      </c>
      <c r="AA485">
        <f>IFERROR(IFERROR(IFERROR(INDEX('EMBI+'!$B:$B,MATCH(Base!$K485,'EMBI+'!$A:$A,0)),INDEX('EMBI+'!$B:$B,MATCH(Base!$K485+1,'EMBI+'!$A:$A,0))),INDEX('EMBI+'!$B:$B,MATCH(Base!$K485+2,'EMBI+'!$A:$A,0))),INDEX('EMBI+'!$B:$B,MATCH(Base!$K485+3,'EMBI+'!$A:$A,0)))/100</f>
        <v>2.08</v>
      </c>
      <c r="AB485" s="9">
        <v>10.26676</v>
      </c>
      <c r="AC485" s="9">
        <v>40.701360000000001</v>
      </c>
      <c r="AD485" s="9"/>
      <c r="AE485" s="9"/>
      <c r="AF485" s="2"/>
      <c r="AG485" s="2"/>
    </row>
    <row r="486" spans="1:33" x14ac:dyDescent="0.35">
      <c r="A486">
        <f t="shared" si="119"/>
        <v>484</v>
      </c>
      <c r="B486">
        <f>IF(G486="Bonds",COUNTIF($G$3:G486,"Bonds"),0)</f>
        <v>0</v>
      </c>
      <c r="C486" t="str">
        <f t="shared" si="123"/>
        <v>Simpar4198844545</v>
      </c>
      <c r="D486">
        <f t="shared" si="124"/>
        <v>34</v>
      </c>
      <c r="E486" s="9" t="s">
        <v>567</v>
      </c>
      <c r="F486" s="9" t="s">
        <v>568</v>
      </c>
      <c r="G486" s="9" t="s">
        <v>29</v>
      </c>
      <c r="H486">
        <f t="shared" si="114"/>
        <v>0</v>
      </c>
      <c r="I486" s="9" t="s">
        <v>578</v>
      </c>
      <c r="J486" s="1">
        <f t="shared" si="115"/>
        <v>10</v>
      </c>
      <c r="K486" s="2">
        <v>41988</v>
      </c>
      <c r="L486" s="2">
        <v>44545</v>
      </c>
      <c r="M486" s="10">
        <f t="shared" si="116"/>
        <v>7.0054794520547947</v>
      </c>
      <c r="N486" s="11">
        <f t="shared" si="117"/>
        <v>1</v>
      </c>
      <c r="O486" s="9" t="s">
        <v>47</v>
      </c>
      <c r="P486" t="str">
        <f t="shared" si="120"/>
        <v>0</v>
      </c>
      <c r="Q486" s="12">
        <v>15000</v>
      </c>
      <c r="R486" s="9">
        <v>10000</v>
      </c>
      <c r="S486" s="1" t="str">
        <f>IF($V486="USD",INDEX('Dólar Spot'!$B:$B,MATCH(Base!$K486,'Dólar Spot'!$A:$A,0)),"")</f>
        <v/>
      </c>
      <c r="T486" s="11">
        <f t="shared" si="126"/>
        <v>150000000</v>
      </c>
      <c r="U486" s="13">
        <f t="shared" si="118"/>
        <v>1.5</v>
      </c>
      <c r="V486" s="9" t="s">
        <v>44</v>
      </c>
      <c r="W486" s="9" t="s">
        <v>34</v>
      </c>
      <c r="X486">
        <f t="shared" si="121"/>
        <v>1</v>
      </c>
      <c r="Y486" s="1" t="str" cm="1">
        <f t="array" ref="Y486">INDEX(Ratings!$B$2:$M$42,_xlfn.XMATCH(Base!F486,Ratings!$A$2:$A$42),_xlfn.XMATCH(YEAR(Base!K486),Ratings!$B$1:$M$1))</f>
        <v>BB</v>
      </c>
      <c r="Z486">
        <f t="shared" si="122"/>
        <v>0</v>
      </c>
      <c r="AA486">
        <f>IFERROR(IFERROR(IFERROR(INDEX('EMBI+'!$B:$B,MATCH(Base!$K486,'EMBI+'!$A:$A,0)),INDEX('EMBI+'!$B:$B,MATCH(Base!$K486+1,'EMBI+'!$A:$A,0))),INDEX('EMBI+'!$B:$B,MATCH(Base!$K486+2,'EMBI+'!$A:$A,0))),INDEX('EMBI+'!$B:$B,MATCH(Base!$K486+3,'EMBI+'!$A:$A,0)))/100</f>
        <v>3.12</v>
      </c>
      <c r="AB486" s="9">
        <v>10.44853</v>
      </c>
      <c r="AC486" s="9">
        <v>48.454479999999997</v>
      </c>
      <c r="AD486" s="9"/>
      <c r="AE486" s="9"/>
      <c r="AF486" s="2"/>
      <c r="AG486" s="2"/>
    </row>
    <row r="487" spans="1:33" x14ac:dyDescent="0.35">
      <c r="A487">
        <f t="shared" si="119"/>
        <v>485</v>
      </c>
      <c r="B487">
        <f>IF(G487="Bonds",COUNTIF($G$3:G487,"Bonds"),0)</f>
        <v>0</v>
      </c>
      <c r="C487" t="str">
        <f t="shared" si="123"/>
        <v>Simpar4147044027</v>
      </c>
      <c r="D487">
        <f t="shared" si="124"/>
        <v>34</v>
      </c>
      <c r="E487" s="9" t="s">
        <v>567</v>
      </c>
      <c r="F487" s="9" t="s">
        <v>568</v>
      </c>
      <c r="G487" s="9" t="s">
        <v>29</v>
      </c>
      <c r="H487">
        <f t="shared" si="114"/>
        <v>0</v>
      </c>
      <c r="I487" s="9" t="s">
        <v>579</v>
      </c>
      <c r="J487" s="1">
        <f t="shared" si="115"/>
        <v>11</v>
      </c>
      <c r="K487" s="2">
        <v>41470</v>
      </c>
      <c r="L487" s="2">
        <v>44027</v>
      </c>
      <c r="M487" s="10">
        <f t="shared" si="116"/>
        <v>7.0054794520547947</v>
      </c>
      <c r="N487" s="11">
        <f t="shared" si="117"/>
        <v>1</v>
      </c>
      <c r="O487" s="9" t="s">
        <v>47</v>
      </c>
      <c r="P487" t="str">
        <f t="shared" si="120"/>
        <v>0</v>
      </c>
      <c r="Q487" s="12">
        <v>185099</v>
      </c>
      <c r="R487" s="9">
        <v>1000</v>
      </c>
      <c r="S487" s="1" t="str">
        <f>IF($V487="USD",INDEX('Dólar Spot'!$B:$B,MATCH(Base!$K487,'Dólar Spot'!$A:$A,0)),"")</f>
        <v/>
      </c>
      <c r="T487" s="11">
        <f t="shared" si="126"/>
        <v>185099000</v>
      </c>
      <c r="U487" s="13">
        <f t="shared" si="118"/>
        <v>1.8509899999999999</v>
      </c>
      <c r="V487" s="9" t="s">
        <v>32</v>
      </c>
      <c r="W487" s="9" t="s">
        <v>35</v>
      </c>
      <c r="X487">
        <f t="shared" si="121"/>
        <v>0</v>
      </c>
      <c r="Y487" s="1" t="str" cm="1">
        <f t="array" ref="Y487">INDEX(Ratings!$B$2:$M$42,_xlfn.XMATCH(Base!F487,Ratings!$A$2:$A$42),_xlfn.XMATCH(YEAR(Base!K487),Ratings!$B$1:$M$1))</f>
        <v>BB</v>
      </c>
      <c r="Z487">
        <f t="shared" si="122"/>
        <v>0</v>
      </c>
      <c r="AA487">
        <f>IFERROR(IFERROR(IFERROR(INDEX('EMBI+'!$B:$B,MATCH(Base!$K487,'EMBI+'!$A:$A,0)),INDEX('EMBI+'!$B:$B,MATCH(Base!$K487+1,'EMBI+'!$A:$A,0))),INDEX('EMBI+'!$B:$B,MATCH(Base!$K487+2,'EMBI+'!$A:$A,0))),INDEX('EMBI+'!$B:$B,MATCH(Base!$K487+3,'EMBI+'!$A:$A,0)))/100</f>
        <v>2.2400000000000002</v>
      </c>
      <c r="AB487" s="9">
        <v>10.024710000000001</v>
      </c>
      <c r="AC487" s="9">
        <v>33.554160000000003</v>
      </c>
      <c r="AD487" s="9"/>
      <c r="AE487" s="9"/>
      <c r="AF487" s="2"/>
      <c r="AG487" s="2"/>
    </row>
    <row r="488" spans="1:33" x14ac:dyDescent="0.35">
      <c r="A488">
        <f t="shared" si="119"/>
        <v>486</v>
      </c>
      <c r="B488">
        <f>IF(G488="Bonds",COUNTIF($G$3:G488,"Bonds"),0)</f>
        <v>0</v>
      </c>
      <c r="C488" t="str">
        <f t="shared" si="123"/>
        <v>Simpar4180544362</v>
      </c>
      <c r="D488">
        <f t="shared" si="124"/>
        <v>34</v>
      </c>
      <c r="E488" s="9" t="s">
        <v>567</v>
      </c>
      <c r="F488" s="9" t="s">
        <v>568</v>
      </c>
      <c r="G488" s="9" t="s">
        <v>29</v>
      </c>
      <c r="H488">
        <f t="shared" si="114"/>
        <v>0</v>
      </c>
      <c r="I488" s="9" t="s">
        <v>580</v>
      </c>
      <c r="J488" s="1">
        <f t="shared" si="115"/>
        <v>12</v>
      </c>
      <c r="K488" s="2">
        <v>41805</v>
      </c>
      <c r="L488" s="2">
        <v>44362</v>
      </c>
      <c r="M488" s="10">
        <f t="shared" si="116"/>
        <v>7.0054794520547947</v>
      </c>
      <c r="N488" s="11">
        <f t="shared" si="117"/>
        <v>1</v>
      </c>
      <c r="O488" s="9" t="s">
        <v>47</v>
      </c>
      <c r="P488" t="str">
        <f t="shared" si="120"/>
        <v>0</v>
      </c>
      <c r="Q488" s="12">
        <v>163074</v>
      </c>
      <c r="R488" s="9">
        <v>1000</v>
      </c>
      <c r="S488" s="1" t="str">
        <f>IF($V488="USD",INDEX('Dólar Spot'!$B:$B,MATCH(Base!$K488,'Dólar Spot'!$A:$A,0)),"")</f>
        <v/>
      </c>
      <c r="T488" s="11">
        <f t="shared" si="126"/>
        <v>163074000</v>
      </c>
      <c r="U488" s="13">
        <f t="shared" si="118"/>
        <v>1.6307400000000001</v>
      </c>
      <c r="V488" s="9" t="s">
        <v>44</v>
      </c>
      <c r="W488" s="9" t="s">
        <v>35</v>
      </c>
      <c r="X488">
        <f t="shared" si="121"/>
        <v>0</v>
      </c>
      <c r="Y488" s="1" t="str" cm="1">
        <f t="array" ref="Y488">INDEX(Ratings!$B$2:$M$42,_xlfn.XMATCH(Base!F488,Ratings!$A$2:$A$42),_xlfn.XMATCH(YEAR(Base!K488),Ratings!$B$1:$M$1))</f>
        <v>BB</v>
      </c>
      <c r="Z488">
        <f t="shared" si="122"/>
        <v>0</v>
      </c>
      <c r="AA488">
        <f>IFERROR(IFERROR(IFERROR(INDEX('EMBI+'!$B:$B,MATCH(Base!$K488,'EMBI+'!$A:$A,0)),INDEX('EMBI+'!$B:$B,MATCH(Base!$K488+1,'EMBI+'!$A:$A,0))),INDEX('EMBI+'!$B:$B,MATCH(Base!$K488+2,'EMBI+'!$A:$A,0))),INDEX('EMBI+'!$B:$B,MATCH(Base!$K488+3,'EMBI+'!$A:$A,0)))/100</f>
        <v>2.08</v>
      </c>
      <c r="AB488" s="9">
        <v>10.26676</v>
      </c>
      <c r="AC488" s="9">
        <v>40.701360000000001</v>
      </c>
      <c r="AD488" s="9"/>
      <c r="AE488" s="9"/>
      <c r="AF488" s="2"/>
      <c r="AG488" s="2"/>
    </row>
    <row r="489" spans="1:33" x14ac:dyDescent="0.35">
      <c r="A489">
        <f t="shared" si="119"/>
        <v>487</v>
      </c>
      <c r="B489">
        <f>IF(G489="Bonds",COUNTIF($G$3:G489,"Bonds"),0)</f>
        <v>0</v>
      </c>
      <c r="C489" t="str">
        <f t="shared" si="123"/>
        <v>Simpar4290647016</v>
      </c>
      <c r="D489">
        <f t="shared" si="124"/>
        <v>34</v>
      </c>
      <c r="E489" s="9" t="s">
        <v>567</v>
      </c>
      <c r="F489" s="9" t="s">
        <v>568</v>
      </c>
      <c r="G489" s="9" t="s">
        <v>29</v>
      </c>
      <c r="H489">
        <f t="shared" si="114"/>
        <v>0</v>
      </c>
      <c r="I489" s="9" t="s">
        <v>581</v>
      </c>
      <c r="J489" s="1">
        <f t="shared" si="115"/>
        <v>13</v>
      </c>
      <c r="K489" s="2">
        <v>42906</v>
      </c>
      <c r="L489" s="2">
        <v>47016</v>
      </c>
      <c r="M489" s="10">
        <f t="shared" si="116"/>
        <v>11.260273972602739</v>
      </c>
      <c r="N489" s="11">
        <f t="shared" si="117"/>
        <v>1</v>
      </c>
      <c r="O489" s="9" t="s">
        <v>61</v>
      </c>
      <c r="P489" t="str">
        <f t="shared" si="120"/>
        <v>1</v>
      </c>
      <c r="Q489" s="12">
        <v>400000</v>
      </c>
      <c r="R489" s="9">
        <v>1000</v>
      </c>
      <c r="S489" s="1" t="str">
        <f>IF($V489="USD",INDEX('Dólar Spot'!$B:$B,MATCH(Base!$K489,'Dólar Spot'!$A:$A,0)),"")</f>
        <v/>
      </c>
      <c r="T489" s="11">
        <f t="shared" si="126"/>
        <v>400000000</v>
      </c>
      <c r="U489" s="13">
        <f t="shared" si="118"/>
        <v>4</v>
      </c>
      <c r="V489" s="9" t="s">
        <v>44</v>
      </c>
      <c r="W489" s="9" t="s">
        <v>34</v>
      </c>
      <c r="X489">
        <f t="shared" si="121"/>
        <v>1</v>
      </c>
      <c r="Y489" s="1" t="str" cm="1">
        <f t="array" ref="Y489">INDEX(Ratings!$B$2:$M$42,_xlfn.XMATCH(Base!F489,Ratings!$A$2:$A$42),_xlfn.XMATCH(YEAR(Base!K489),Ratings!$B$1:$M$1))</f>
        <v>BB</v>
      </c>
      <c r="Z489">
        <f t="shared" si="122"/>
        <v>0</v>
      </c>
      <c r="AA489">
        <f>IFERROR(IFERROR(IFERROR(INDEX('EMBI+'!$B:$B,MATCH(Base!$K489,'EMBI+'!$A:$A,0)),INDEX('EMBI+'!$B:$B,MATCH(Base!$K489+1,'EMBI+'!$A:$A,0))),INDEX('EMBI+'!$B:$B,MATCH(Base!$K489+2,'EMBI+'!$A:$A,0))),INDEX('EMBI+'!$B:$B,MATCH(Base!$K489+3,'EMBI+'!$A:$A,0)))/100</f>
        <v>2.99</v>
      </c>
      <c r="AB489" s="9">
        <v>6.7768499999999996</v>
      </c>
      <c r="AC489" s="9">
        <v>70.923969999999997</v>
      </c>
      <c r="AD489" s="9"/>
      <c r="AE489" s="9"/>
      <c r="AF489" s="2"/>
      <c r="AG489" s="2"/>
    </row>
    <row r="490" spans="1:33" x14ac:dyDescent="0.35">
      <c r="A490">
        <f t="shared" si="119"/>
        <v>488</v>
      </c>
      <c r="B490">
        <f>IF(G490="Bonds",COUNTIF($G$3:G490,"Bonds"),0)</f>
        <v>0</v>
      </c>
      <c r="C490" t="str">
        <f t="shared" si="123"/>
        <v>Simpar4345447016</v>
      </c>
      <c r="D490">
        <f t="shared" si="124"/>
        <v>34</v>
      </c>
      <c r="E490" s="9" t="s">
        <v>567</v>
      </c>
      <c r="F490" s="9" t="s">
        <v>568</v>
      </c>
      <c r="G490" s="9" t="s">
        <v>29</v>
      </c>
      <c r="H490">
        <f t="shared" si="114"/>
        <v>0</v>
      </c>
      <c r="I490" s="9" t="s">
        <v>582</v>
      </c>
      <c r="J490" s="1">
        <f t="shared" si="115"/>
        <v>14</v>
      </c>
      <c r="K490" s="2">
        <v>43454</v>
      </c>
      <c r="L490" s="2">
        <v>47016</v>
      </c>
      <c r="M490" s="10">
        <f t="shared" si="116"/>
        <v>9.7589041095890412</v>
      </c>
      <c r="N490" s="11">
        <f t="shared" si="117"/>
        <v>1</v>
      </c>
      <c r="O490" s="9" t="s">
        <v>61</v>
      </c>
      <c r="P490" t="str">
        <f t="shared" si="120"/>
        <v>1</v>
      </c>
      <c r="Q490" s="12">
        <v>60000</v>
      </c>
      <c r="R490" s="9">
        <v>10000</v>
      </c>
      <c r="S490" s="1" t="str">
        <f>IF($V490="USD",INDEX('Dólar Spot'!$B:$B,MATCH(Base!$K490,'Dólar Spot'!$A:$A,0)),"")</f>
        <v/>
      </c>
      <c r="T490" s="11">
        <f t="shared" si="126"/>
        <v>600000000</v>
      </c>
      <c r="U490" s="13">
        <f t="shared" si="118"/>
        <v>6</v>
      </c>
      <c r="V490" s="9" t="s">
        <v>44</v>
      </c>
      <c r="W490" s="9" t="s">
        <v>34</v>
      </c>
      <c r="X490">
        <f t="shared" si="121"/>
        <v>1</v>
      </c>
      <c r="Y490" s="1" t="str" cm="1">
        <f t="array" ref="Y490">INDEX(Ratings!$B$2:$M$42,_xlfn.XMATCH(Base!F490,Ratings!$A$2:$A$42),_xlfn.XMATCH(YEAR(Base!K490),Ratings!$B$1:$M$1))</f>
        <v>BB</v>
      </c>
      <c r="Z490">
        <f t="shared" si="122"/>
        <v>0</v>
      </c>
      <c r="AA490">
        <f>IFERROR(IFERROR(IFERROR(INDEX('EMBI+'!$B:$B,MATCH(Base!$K490,'EMBI+'!$A:$A,0)),INDEX('EMBI+'!$B:$B,MATCH(Base!$K490+1,'EMBI+'!$A:$A,0))),INDEX('EMBI+'!$B:$B,MATCH(Base!$K490+2,'EMBI+'!$A:$A,0))),INDEX('EMBI+'!$B:$B,MATCH(Base!$K490+3,'EMBI+'!$A:$A,0)))/100</f>
        <v>2.68</v>
      </c>
      <c r="AB490" s="9">
        <v>7.5314500000000004</v>
      </c>
      <c r="AC490" s="9">
        <v>120.01358</v>
      </c>
      <c r="AD490" s="9"/>
      <c r="AE490" s="9"/>
      <c r="AF490" s="2"/>
      <c r="AG490" s="2"/>
    </row>
    <row r="491" spans="1:33" x14ac:dyDescent="0.35">
      <c r="A491">
        <f t="shared" si="119"/>
        <v>489</v>
      </c>
      <c r="B491">
        <f>IF(G491="Bonds",COUNTIF($G$3:G491,"Bonds"),0)</f>
        <v>0</v>
      </c>
      <c r="C491" t="str">
        <f t="shared" si="123"/>
        <v>Simpar4360545432</v>
      </c>
      <c r="D491">
        <f t="shared" si="124"/>
        <v>34</v>
      </c>
      <c r="E491" s="9" t="s">
        <v>567</v>
      </c>
      <c r="F491" s="9" t="s">
        <v>568</v>
      </c>
      <c r="G491" s="9" t="s">
        <v>29</v>
      </c>
      <c r="H491">
        <f t="shared" si="114"/>
        <v>0</v>
      </c>
      <c r="I491" s="9" t="s">
        <v>583</v>
      </c>
      <c r="J491" s="1">
        <f t="shared" si="115"/>
        <v>15</v>
      </c>
      <c r="K491" s="2">
        <v>43605</v>
      </c>
      <c r="L491" s="2">
        <v>45432</v>
      </c>
      <c r="M491" s="10">
        <f t="shared" si="116"/>
        <v>5.0054794520547947</v>
      </c>
      <c r="N491" s="11">
        <f t="shared" si="117"/>
        <v>1</v>
      </c>
      <c r="O491" s="9" t="s">
        <v>47</v>
      </c>
      <c r="P491" t="str">
        <f t="shared" si="120"/>
        <v>0</v>
      </c>
      <c r="Q491" s="12">
        <v>344940</v>
      </c>
      <c r="R491" s="9">
        <v>1000</v>
      </c>
      <c r="S491" s="1" t="str">
        <f>IF($V491="USD",INDEX('Dólar Spot'!$B:$B,MATCH(Base!$K491,'Dólar Spot'!$A:$A,0)),"")</f>
        <v/>
      </c>
      <c r="T491" s="11">
        <f t="shared" si="126"/>
        <v>344940000</v>
      </c>
      <c r="U491" s="13">
        <f t="shared" si="118"/>
        <v>3.4493999999999998</v>
      </c>
      <c r="V491" s="9" t="s">
        <v>44</v>
      </c>
      <c r="W491" s="9" t="s">
        <v>34</v>
      </c>
      <c r="X491">
        <f t="shared" si="121"/>
        <v>1</v>
      </c>
      <c r="Y491" s="1" t="str" cm="1">
        <f t="array" ref="Y491">INDEX(Ratings!$B$2:$M$42,_xlfn.XMATCH(Base!F491,Ratings!$A$2:$A$42),_xlfn.XMATCH(YEAR(Base!K491),Ratings!$B$1:$M$1))</f>
        <v>BB</v>
      </c>
      <c r="Z491">
        <f t="shared" si="122"/>
        <v>0</v>
      </c>
      <c r="AA491">
        <f>IFERROR(IFERROR(IFERROR(INDEX('EMBI+'!$B:$B,MATCH(Base!$K491,'EMBI+'!$A:$A,0)),INDEX('EMBI+'!$B:$B,MATCH(Base!$K491+1,'EMBI+'!$A:$A,0))),INDEX('EMBI+'!$B:$B,MATCH(Base!$K491+2,'EMBI+'!$A:$A,0))),INDEX('EMBI+'!$B:$B,MATCH(Base!$K491+3,'EMBI+'!$A:$A,0)))/100</f>
        <v>2.6</v>
      </c>
      <c r="AB491" s="9">
        <v>9.9097100000000005</v>
      </c>
      <c r="AC491" s="9">
        <v>134.30375000000001</v>
      </c>
      <c r="AD491" s="9"/>
      <c r="AE491" s="9"/>
      <c r="AF491" s="2"/>
      <c r="AG491" s="2"/>
    </row>
    <row r="492" spans="1:33" x14ac:dyDescent="0.35">
      <c r="A492">
        <f t="shared" si="119"/>
        <v>490</v>
      </c>
      <c r="B492">
        <f>IF(G492="Bonds",COUNTIF($G$3:G492,"Bonds"),0)</f>
        <v>0</v>
      </c>
      <c r="C492" t="str">
        <f t="shared" si="123"/>
        <v>Simpar4378945250</v>
      </c>
      <c r="D492">
        <f t="shared" si="124"/>
        <v>34</v>
      </c>
      <c r="E492" s="9" t="s">
        <v>567</v>
      </c>
      <c r="F492" s="9" t="s">
        <v>568</v>
      </c>
      <c r="G492" s="9" t="s">
        <v>29</v>
      </c>
      <c r="H492">
        <f t="shared" si="114"/>
        <v>0</v>
      </c>
      <c r="I492" s="9" t="s">
        <v>584</v>
      </c>
      <c r="J492" s="1">
        <f t="shared" si="115"/>
        <v>16</v>
      </c>
      <c r="K492" s="2">
        <v>43789</v>
      </c>
      <c r="L492" s="2">
        <v>45250</v>
      </c>
      <c r="M492" s="10">
        <f t="shared" si="116"/>
        <v>4.0027397260273974</v>
      </c>
      <c r="N492" s="11">
        <f t="shared" si="117"/>
        <v>0</v>
      </c>
      <c r="O492" s="9" t="s">
        <v>47</v>
      </c>
      <c r="P492" t="str">
        <f t="shared" si="120"/>
        <v>0</v>
      </c>
      <c r="Q492" s="12">
        <v>200000</v>
      </c>
      <c r="R492" s="9">
        <v>1000</v>
      </c>
      <c r="S492" s="1" t="str">
        <f>IF($V492="USD",INDEX('Dólar Spot'!$B:$B,MATCH(Base!$K492,'Dólar Spot'!$A:$A,0)),"")</f>
        <v/>
      </c>
      <c r="T492" s="11">
        <f t="shared" si="126"/>
        <v>200000000</v>
      </c>
      <c r="U492" s="13">
        <f t="shared" si="118"/>
        <v>2</v>
      </c>
      <c r="V492" s="9" t="s">
        <v>44</v>
      </c>
      <c r="W492" s="9" t="s">
        <v>34</v>
      </c>
      <c r="X492">
        <f t="shared" si="121"/>
        <v>1</v>
      </c>
      <c r="Y492" s="1" t="str" cm="1">
        <f t="array" ref="Y492">INDEX(Ratings!$B$2:$M$42,_xlfn.XMATCH(Base!F492,Ratings!$A$2:$A$42),_xlfn.XMATCH(YEAR(Base!K492),Ratings!$B$1:$M$1))</f>
        <v>BB</v>
      </c>
      <c r="Z492">
        <f t="shared" si="122"/>
        <v>0</v>
      </c>
      <c r="AA492">
        <f>IFERROR(IFERROR(IFERROR(INDEX('EMBI+'!$B:$B,MATCH(Base!$K492,'EMBI+'!$A:$A,0)),INDEX('EMBI+'!$B:$B,MATCH(Base!$K492+1,'EMBI+'!$A:$A,0))),INDEX('EMBI+'!$B:$B,MATCH(Base!$K492+2,'EMBI+'!$A:$A,0))),INDEX('EMBI+'!$B:$B,MATCH(Base!$K492+3,'EMBI+'!$A:$A,0)))/100</f>
        <v>2.4900000000000002</v>
      </c>
      <c r="AB492" s="9">
        <v>13.47045</v>
      </c>
      <c r="AC492" s="9">
        <v>145.13106999999999</v>
      </c>
      <c r="AD492" s="9"/>
      <c r="AE492" s="9"/>
      <c r="AF492" s="2"/>
      <c r="AG492" s="2"/>
    </row>
    <row r="493" spans="1:33" x14ac:dyDescent="0.35">
      <c r="A493">
        <f t="shared" si="119"/>
        <v>491</v>
      </c>
      <c r="B493">
        <f>IF(G493="Bonds",COUNTIF($G$3:G493,"Bonds"),0)</f>
        <v>0</v>
      </c>
      <c r="C493" t="str">
        <f t="shared" si="123"/>
        <v>Simpar4445447863</v>
      </c>
      <c r="D493">
        <f t="shared" si="124"/>
        <v>34</v>
      </c>
      <c r="E493" s="9" t="s">
        <v>567</v>
      </c>
      <c r="F493" s="9" t="s">
        <v>568</v>
      </c>
      <c r="G493" s="9" t="s">
        <v>29</v>
      </c>
      <c r="H493">
        <f t="shared" si="114"/>
        <v>0</v>
      </c>
      <c r="I493" s="9" t="s">
        <v>585</v>
      </c>
      <c r="J493" s="1">
        <f t="shared" si="115"/>
        <v>17</v>
      </c>
      <c r="K493" s="2">
        <v>44454</v>
      </c>
      <c r="L493" s="2">
        <v>47863</v>
      </c>
      <c r="M493" s="10">
        <f t="shared" si="116"/>
        <v>9.3397260273972602</v>
      </c>
      <c r="N493" s="11">
        <f t="shared" si="117"/>
        <v>1</v>
      </c>
      <c r="O493" s="9" t="s">
        <v>47</v>
      </c>
      <c r="P493" t="str">
        <f t="shared" si="120"/>
        <v>0</v>
      </c>
      <c r="Q493" s="12">
        <v>1245000</v>
      </c>
      <c r="R493" s="9">
        <v>1000</v>
      </c>
      <c r="S493" s="1" t="str">
        <f>IF($V493="USD",INDEX('Dólar Spot'!$B:$B,MATCH(Base!$K493,'Dólar Spot'!$A:$A,0)),"")</f>
        <v/>
      </c>
      <c r="T493" s="11">
        <f t="shared" si="126"/>
        <v>1245000000</v>
      </c>
      <c r="U493" s="13">
        <f t="shared" si="118"/>
        <v>12.45</v>
      </c>
      <c r="V493" s="9" t="s">
        <v>44</v>
      </c>
      <c r="W493" s="9" t="s">
        <v>34</v>
      </c>
      <c r="X493">
        <f t="shared" si="121"/>
        <v>1</v>
      </c>
      <c r="Y493" s="1" t="str" cm="1">
        <f t="array" ref="Y493">INDEX(Ratings!$B$2:$M$42,_xlfn.XMATCH(Base!F493,Ratings!$A$2:$A$42),_xlfn.XMATCH(YEAR(Base!K493),Ratings!$B$1:$M$1))</f>
        <v>BB-</v>
      </c>
      <c r="Z493">
        <f t="shared" si="122"/>
        <v>0</v>
      </c>
      <c r="AA493">
        <f>IFERROR(IFERROR(IFERROR(INDEX('EMBI+'!$B:$B,MATCH(Base!$K493,'EMBI+'!$A:$A,0)),INDEX('EMBI+'!$B:$B,MATCH(Base!$K493+1,'EMBI+'!$A:$A,0))),INDEX('EMBI+'!$B:$B,MATCH(Base!$K493+2,'EMBI+'!$A:$A,0))),INDEX('EMBI+'!$B:$B,MATCH(Base!$K493+3,'EMBI+'!$A:$A,0)))/100</f>
        <v>3.14</v>
      </c>
      <c r="AB493" s="9">
        <v>34.068300000000001</v>
      </c>
      <c r="AC493" s="9">
        <v>291.81061</v>
      </c>
      <c r="AD493" s="9"/>
      <c r="AE493" s="9"/>
      <c r="AF493" s="2"/>
      <c r="AG493" s="2"/>
    </row>
    <row r="494" spans="1:33" x14ac:dyDescent="0.35">
      <c r="A494">
        <f t="shared" si="119"/>
        <v>492</v>
      </c>
      <c r="B494">
        <f>IF(G494="Bonds",COUNTIF($G$3:G494,"Bonds"),0)</f>
        <v>0</v>
      </c>
      <c r="C494" t="str">
        <f t="shared" si="123"/>
        <v>Simpar4360546162</v>
      </c>
      <c r="D494">
        <f t="shared" si="124"/>
        <v>34</v>
      </c>
      <c r="E494" s="9" t="s">
        <v>567</v>
      </c>
      <c r="F494" s="9" t="s">
        <v>568</v>
      </c>
      <c r="G494" s="9" t="s">
        <v>29</v>
      </c>
      <c r="H494">
        <f t="shared" si="114"/>
        <v>0</v>
      </c>
      <c r="I494" s="9" t="s">
        <v>586</v>
      </c>
      <c r="J494" s="1">
        <f t="shared" si="115"/>
        <v>18</v>
      </c>
      <c r="K494" s="2">
        <v>43605</v>
      </c>
      <c r="L494" s="2">
        <v>46162</v>
      </c>
      <c r="M494" s="10">
        <f t="shared" si="116"/>
        <v>7.0054794520547947</v>
      </c>
      <c r="N494" s="11">
        <f t="shared" si="117"/>
        <v>1</v>
      </c>
      <c r="O494" s="9" t="s">
        <v>47</v>
      </c>
      <c r="P494" t="str">
        <f t="shared" si="120"/>
        <v>0</v>
      </c>
      <c r="Q494" s="12">
        <v>105060</v>
      </c>
      <c r="R494" s="9">
        <v>1000</v>
      </c>
      <c r="S494" s="1" t="str">
        <f>IF($V494="USD",INDEX('Dólar Spot'!$B:$B,MATCH(Base!$K494,'Dólar Spot'!$A:$A,0)),"")</f>
        <v/>
      </c>
      <c r="T494" s="11">
        <f t="shared" si="126"/>
        <v>105060000</v>
      </c>
      <c r="U494" s="13">
        <f t="shared" si="118"/>
        <v>1.0506</v>
      </c>
      <c r="V494" s="9" t="s">
        <v>44</v>
      </c>
      <c r="W494" s="9" t="s">
        <v>34</v>
      </c>
      <c r="X494">
        <f t="shared" si="121"/>
        <v>1</v>
      </c>
      <c r="Y494" s="1" t="str" cm="1">
        <f t="array" ref="Y494">INDEX(Ratings!$B$2:$M$42,_xlfn.XMATCH(Base!F494,Ratings!$A$2:$A$42),_xlfn.XMATCH(YEAR(Base!K494),Ratings!$B$1:$M$1))</f>
        <v>BB</v>
      </c>
      <c r="Z494">
        <f t="shared" si="122"/>
        <v>0</v>
      </c>
      <c r="AA494">
        <f>IFERROR(IFERROR(IFERROR(INDEX('EMBI+'!$B:$B,MATCH(Base!$K494,'EMBI+'!$A:$A,0)),INDEX('EMBI+'!$B:$B,MATCH(Base!$K494+1,'EMBI+'!$A:$A,0))),INDEX('EMBI+'!$B:$B,MATCH(Base!$K494+2,'EMBI+'!$A:$A,0))),INDEX('EMBI+'!$B:$B,MATCH(Base!$K494+3,'EMBI+'!$A:$A,0)))/100</f>
        <v>2.6</v>
      </c>
      <c r="AB494" s="9">
        <v>9.9097100000000005</v>
      </c>
      <c r="AC494" s="9">
        <v>134.30375000000001</v>
      </c>
      <c r="AD494" s="9"/>
      <c r="AE494" s="9"/>
      <c r="AF494" s="2"/>
      <c r="AG494" s="2"/>
    </row>
    <row r="495" spans="1:33" x14ac:dyDescent="0.35">
      <c r="A495">
        <f t="shared" si="119"/>
        <v>493</v>
      </c>
      <c r="B495">
        <f>IF(G495="Bonds",COUNTIF($G$3:G495,"Bonds"),0)</f>
        <v>0</v>
      </c>
      <c r="C495" t="str">
        <f t="shared" si="123"/>
        <v>Simpar4445448106</v>
      </c>
      <c r="D495">
        <f t="shared" si="124"/>
        <v>34</v>
      </c>
      <c r="E495" s="9" t="s">
        <v>567</v>
      </c>
      <c r="F495" s="9" t="s">
        <v>568</v>
      </c>
      <c r="G495" s="9" t="s">
        <v>29</v>
      </c>
      <c r="H495">
        <f t="shared" si="114"/>
        <v>0</v>
      </c>
      <c r="I495" s="9" t="s">
        <v>587</v>
      </c>
      <c r="J495" s="1">
        <f t="shared" si="115"/>
        <v>19</v>
      </c>
      <c r="K495" s="2">
        <v>44454</v>
      </c>
      <c r="L495" s="2">
        <v>48106</v>
      </c>
      <c r="M495" s="10">
        <f t="shared" si="116"/>
        <v>10.005479452054795</v>
      </c>
      <c r="N495" s="11">
        <f t="shared" si="117"/>
        <v>1</v>
      </c>
      <c r="O495" s="9" t="s">
        <v>47</v>
      </c>
      <c r="P495" t="str">
        <f t="shared" si="120"/>
        <v>0</v>
      </c>
      <c r="Q495" s="12">
        <v>255000</v>
      </c>
      <c r="R495" s="9">
        <v>1000</v>
      </c>
      <c r="S495" s="1" t="str">
        <f>IF($V495="USD",INDEX('Dólar Spot'!$B:$B,MATCH(Base!$K495,'Dólar Spot'!$A:$A,0)),"")</f>
        <v/>
      </c>
      <c r="T495" s="11">
        <f t="shared" si="126"/>
        <v>255000000</v>
      </c>
      <c r="U495" s="13">
        <f t="shared" si="118"/>
        <v>2.5499999999999998</v>
      </c>
      <c r="V495" s="9" t="s">
        <v>32</v>
      </c>
      <c r="W495" s="9" t="s">
        <v>34</v>
      </c>
      <c r="X495">
        <f t="shared" si="121"/>
        <v>1</v>
      </c>
      <c r="Y495" s="1" t="str" cm="1">
        <f t="array" ref="Y495">INDEX(Ratings!$B$2:$M$42,_xlfn.XMATCH(Base!F495,Ratings!$A$2:$A$42),_xlfn.XMATCH(YEAR(Base!K495),Ratings!$B$1:$M$1))</f>
        <v>BB-</v>
      </c>
      <c r="Z495">
        <f t="shared" si="122"/>
        <v>0</v>
      </c>
      <c r="AA495">
        <f>IFERROR(IFERROR(IFERROR(INDEX('EMBI+'!$B:$B,MATCH(Base!$K495,'EMBI+'!$A:$A,0)),INDEX('EMBI+'!$B:$B,MATCH(Base!$K495+1,'EMBI+'!$A:$A,0))),INDEX('EMBI+'!$B:$B,MATCH(Base!$K495+2,'EMBI+'!$A:$A,0))),INDEX('EMBI+'!$B:$B,MATCH(Base!$K495+3,'EMBI+'!$A:$A,0)))/100</f>
        <v>3.14</v>
      </c>
      <c r="AB495" s="9">
        <v>34.068300000000001</v>
      </c>
      <c r="AC495" s="9">
        <v>291.81061</v>
      </c>
      <c r="AD495" s="9"/>
      <c r="AE495" s="9"/>
      <c r="AF495" s="2"/>
      <c r="AG495" s="2"/>
    </row>
    <row r="496" spans="1:33" x14ac:dyDescent="0.35">
      <c r="A496">
        <f t="shared" si="119"/>
        <v>494</v>
      </c>
      <c r="B496">
        <f>IF(G496="Bonds",COUNTIF($G$3:G496,"Bonds"),0)</f>
        <v>136</v>
      </c>
      <c r="C496" t="str">
        <f t="shared" si="123"/>
        <v>Simpar4421626/01/2031</v>
      </c>
      <c r="D496">
        <f t="shared" si="124"/>
        <v>34</v>
      </c>
      <c r="E496" s="9" t="s">
        <v>588</v>
      </c>
      <c r="F496" s="9" t="s">
        <v>568</v>
      </c>
      <c r="G496" s="9" t="s">
        <v>37</v>
      </c>
      <c r="H496">
        <f t="shared" si="114"/>
        <v>1</v>
      </c>
      <c r="I496" s="9"/>
      <c r="J496" s="1">
        <f t="shared" si="115"/>
        <v>20</v>
      </c>
      <c r="K496" s="2">
        <v>44216</v>
      </c>
      <c r="L496" s="2" t="s">
        <v>589</v>
      </c>
      <c r="M496" s="10">
        <f t="shared" si="116"/>
        <v>10.021917808219179</v>
      </c>
      <c r="N496" s="11">
        <f t="shared" si="117"/>
        <v>1</v>
      </c>
      <c r="O496" s="9" t="s">
        <v>39</v>
      </c>
      <c r="P496" t="str">
        <f t="shared" si="120"/>
        <v>0</v>
      </c>
      <c r="Q496" s="9"/>
      <c r="R496" s="9"/>
      <c r="S496" s="1">
        <f>IF($V496="USD",INDEX('Dólar Spot'!$B:$B,MATCH(Base!$K496,'Dólar Spot'!$A:$A,0)),"")</f>
        <v>5.3026999999999997</v>
      </c>
      <c r="T496" s="12">
        <v>625000000</v>
      </c>
      <c r="U496" s="13">
        <f t="shared" si="118"/>
        <v>33.141874999999999</v>
      </c>
      <c r="V496" s="9" t="s">
        <v>40</v>
      </c>
      <c r="W496" s="9" t="s">
        <v>34</v>
      </c>
      <c r="X496">
        <f t="shared" si="121"/>
        <v>1</v>
      </c>
      <c r="Y496" s="1" t="str" cm="1">
        <f t="array" ref="Y496">INDEX(Ratings!$B$2:$M$42,_xlfn.XMATCH(Base!F496,Ratings!$A$2:$A$42),_xlfn.XMATCH(YEAR(Base!K496),Ratings!$B$1:$M$1))</f>
        <v>BB-</v>
      </c>
      <c r="Z496">
        <f t="shared" si="122"/>
        <v>0</v>
      </c>
      <c r="AA496">
        <f>IFERROR(IFERROR(IFERROR(INDEX('EMBI+'!$B:$B,MATCH(Base!$K496,'EMBI+'!$A:$A,0)),INDEX('EMBI+'!$B:$B,MATCH(Base!$K496+1,'EMBI+'!$A:$A,0))),INDEX('EMBI+'!$B:$B,MATCH(Base!$K496+2,'EMBI+'!$A:$A,0))),INDEX('EMBI+'!$B:$B,MATCH(Base!$K496+3,'EMBI+'!$A:$A,0)))/100</f>
        <v>2.83</v>
      </c>
      <c r="AB496" s="9">
        <v>18.925979999999999</v>
      </c>
      <c r="AC496" s="9">
        <v>176.98134999999999</v>
      </c>
      <c r="AD496" s="9"/>
      <c r="AE496" s="9"/>
      <c r="AF496" s="2"/>
      <c r="AG496" s="2"/>
    </row>
    <row r="497" spans="1:33" x14ac:dyDescent="0.35">
      <c r="A497">
        <f t="shared" si="119"/>
        <v>495</v>
      </c>
      <c r="B497">
        <f>IF(G497="Bonds",COUNTIF($G$3:G497,"Bonds"),0)</f>
        <v>137</v>
      </c>
      <c r="C497" t="str">
        <f t="shared" si="123"/>
        <v>Simpar4294226/07/2024</v>
      </c>
      <c r="D497">
        <f t="shared" si="124"/>
        <v>34</v>
      </c>
      <c r="E497" s="9" t="s">
        <v>588</v>
      </c>
      <c r="F497" s="9" t="s">
        <v>568</v>
      </c>
      <c r="G497" s="9" t="s">
        <v>37</v>
      </c>
      <c r="H497">
        <f t="shared" si="114"/>
        <v>1</v>
      </c>
      <c r="I497" s="9"/>
      <c r="J497" s="1">
        <f t="shared" si="115"/>
        <v>21</v>
      </c>
      <c r="K497" s="2">
        <v>42942</v>
      </c>
      <c r="L497" s="2" t="s">
        <v>590</v>
      </c>
      <c r="M497" s="10">
        <f t="shared" si="116"/>
        <v>7.0054794520547947</v>
      </c>
      <c r="N497" s="11">
        <f t="shared" si="117"/>
        <v>1</v>
      </c>
      <c r="O497" s="9" t="s">
        <v>39</v>
      </c>
      <c r="P497" t="str">
        <f t="shared" si="120"/>
        <v>0</v>
      </c>
      <c r="Q497" s="9"/>
      <c r="R497" s="9"/>
      <c r="S497" s="1">
        <f>IF($V497="USD",INDEX('Dólar Spot'!$B:$B,MATCH(Base!$K497,'Dólar Spot'!$A:$A,0)),"")</f>
        <v>3.1650999999999998</v>
      </c>
      <c r="T497" s="12">
        <v>325000000</v>
      </c>
      <c r="U497" s="13">
        <f t="shared" si="118"/>
        <v>10.286574999999999</v>
      </c>
      <c r="V497" s="9" t="s">
        <v>40</v>
      </c>
      <c r="W497" s="9" t="s">
        <v>34</v>
      </c>
      <c r="X497">
        <f t="shared" si="121"/>
        <v>1</v>
      </c>
      <c r="Y497" s="1" t="str" cm="1">
        <f t="array" ref="Y497">INDEX(Ratings!$B$2:$M$42,_xlfn.XMATCH(Base!F497,Ratings!$A$2:$A$42),_xlfn.XMATCH(YEAR(Base!K497),Ratings!$B$1:$M$1))</f>
        <v>BB</v>
      </c>
      <c r="Z497">
        <f t="shared" si="122"/>
        <v>0</v>
      </c>
      <c r="AA497">
        <f>IFERROR(IFERROR(IFERROR(INDEX('EMBI+'!$B:$B,MATCH(Base!$K497,'EMBI+'!$A:$A,0)),INDEX('EMBI+'!$B:$B,MATCH(Base!$K497+1,'EMBI+'!$A:$A,0))),INDEX('EMBI+'!$B:$B,MATCH(Base!$K497+2,'EMBI+'!$A:$A,0))),INDEX('EMBI+'!$B:$B,MATCH(Base!$K497+3,'EMBI+'!$A:$A,0)))/100</f>
        <v>2.69</v>
      </c>
      <c r="AB497" s="9">
        <v>6.7768499999999996</v>
      </c>
      <c r="AC497" s="9">
        <v>70.923969999999997</v>
      </c>
      <c r="AD497" s="9"/>
      <c r="AE497" s="9"/>
      <c r="AF497" s="2"/>
      <c r="AG497" s="2"/>
    </row>
    <row r="498" spans="1:33" x14ac:dyDescent="0.35">
      <c r="A498">
        <f t="shared" si="119"/>
        <v>496</v>
      </c>
      <c r="B498">
        <f>IF(G498="Bonds",COUNTIF($G$3:G498,"Bonds"),0)</f>
        <v>138</v>
      </c>
      <c r="C498" t="str">
        <f t="shared" si="123"/>
        <v>Simpar4311626/07/2024</v>
      </c>
      <c r="D498">
        <f t="shared" si="124"/>
        <v>34</v>
      </c>
      <c r="E498" s="9" t="s">
        <v>588</v>
      </c>
      <c r="F498" s="9" t="s">
        <v>568</v>
      </c>
      <c r="G498" s="9" t="s">
        <v>37</v>
      </c>
      <c r="H498">
        <f t="shared" si="114"/>
        <v>1</v>
      </c>
      <c r="I498" s="9"/>
      <c r="J498" s="1">
        <f t="shared" si="115"/>
        <v>22</v>
      </c>
      <c r="K498" s="2">
        <v>43116</v>
      </c>
      <c r="L498" s="2" t="s">
        <v>590</v>
      </c>
      <c r="M498" s="10">
        <f t="shared" si="116"/>
        <v>6.5287671232876709</v>
      </c>
      <c r="N498" s="11">
        <f t="shared" si="117"/>
        <v>1</v>
      </c>
      <c r="O498" s="9" t="s">
        <v>39</v>
      </c>
      <c r="P498" t="str">
        <f t="shared" si="120"/>
        <v>0</v>
      </c>
      <c r="Q498" s="9"/>
      <c r="R498" s="9"/>
      <c r="S498" s="1">
        <f>IF($V498="USD",INDEX('Dólar Spot'!$B:$B,MATCH(Base!$K498,'Dólar Spot'!$A:$A,0)),"")</f>
        <v>3.2212999999999998</v>
      </c>
      <c r="T498" s="12">
        <v>325000000</v>
      </c>
      <c r="U498" s="13">
        <f t="shared" si="118"/>
        <v>10.469225</v>
      </c>
      <c r="V498" s="9" t="s">
        <v>40</v>
      </c>
      <c r="W498" s="9" t="s">
        <v>34</v>
      </c>
      <c r="X498">
        <f t="shared" si="121"/>
        <v>1</v>
      </c>
      <c r="Y498" s="1" t="str" cm="1">
        <f t="array" ref="Y498">INDEX(Ratings!$B$2:$M$42,_xlfn.XMATCH(Base!F498,Ratings!$A$2:$A$42),_xlfn.XMATCH(YEAR(Base!K498),Ratings!$B$1:$M$1))</f>
        <v>BB</v>
      </c>
      <c r="Z498">
        <f t="shared" si="122"/>
        <v>0</v>
      </c>
      <c r="AA498">
        <f>IFERROR(IFERROR(IFERROR(INDEX('EMBI+'!$B:$B,MATCH(Base!$K498,'EMBI+'!$A:$A,0)),INDEX('EMBI+'!$B:$B,MATCH(Base!$K498+1,'EMBI+'!$A:$A,0))),INDEX('EMBI+'!$B:$B,MATCH(Base!$K498+2,'EMBI+'!$A:$A,0))),INDEX('EMBI+'!$B:$B,MATCH(Base!$K498+3,'EMBI+'!$A:$A,0)))/100</f>
        <v>2.2599999999999998</v>
      </c>
      <c r="AB498" s="9">
        <v>6.8678800000000004</v>
      </c>
      <c r="AC498" s="9">
        <v>82.689750000000004</v>
      </c>
      <c r="AD498" s="9"/>
      <c r="AE498" s="9"/>
      <c r="AF498" s="2"/>
      <c r="AG498" s="2"/>
    </row>
    <row r="499" spans="1:33" x14ac:dyDescent="0.35">
      <c r="A499">
        <f t="shared" si="119"/>
        <v>497</v>
      </c>
      <c r="B499">
        <f>IF(G499="Bonds",COUNTIF($G$3:G499,"Bonds"),0)</f>
        <v>0</v>
      </c>
      <c r="C499" t="str">
        <f t="shared" si="123"/>
        <v>Suzano4328046202</v>
      </c>
      <c r="D499">
        <f t="shared" si="124"/>
        <v>35</v>
      </c>
      <c r="E499" s="9" t="s">
        <v>591</v>
      </c>
      <c r="F499" s="9" t="s">
        <v>592</v>
      </c>
      <c r="G499" s="9" t="s">
        <v>29</v>
      </c>
      <c r="H499">
        <f t="shared" si="114"/>
        <v>0</v>
      </c>
      <c r="I499" s="9" t="s">
        <v>593</v>
      </c>
      <c r="J499" s="1">
        <f t="shared" si="115"/>
        <v>1</v>
      </c>
      <c r="K499" s="2">
        <v>43280</v>
      </c>
      <c r="L499" s="2">
        <v>46202</v>
      </c>
      <c r="M499" s="10">
        <f t="shared" si="116"/>
        <v>8.0054794520547947</v>
      </c>
      <c r="N499" s="11">
        <f t="shared" si="117"/>
        <v>1</v>
      </c>
      <c r="O499" s="9" t="s">
        <v>47</v>
      </c>
      <c r="P499" t="str">
        <f t="shared" si="120"/>
        <v>0</v>
      </c>
      <c r="Q499" s="12">
        <v>4681100</v>
      </c>
      <c r="R499" s="9">
        <v>1000</v>
      </c>
      <c r="S499" s="1" t="str">
        <f>IF($V499="USD",INDEX('Dólar Spot'!$B:$B,MATCH(Base!$K499,'Dólar Spot'!$A:$A,0)),"")</f>
        <v/>
      </c>
      <c r="T499" s="11">
        <f>Q499*R499</f>
        <v>4681100000</v>
      </c>
      <c r="U499" s="13">
        <f t="shared" si="118"/>
        <v>46.811</v>
      </c>
      <c r="V499" s="9" t="s">
        <v>44</v>
      </c>
      <c r="W499" s="9" t="s">
        <v>34</v>
      </c>
      <c r="X499">
        <f t="shared" si="121"/>
        <v>1</v>
      </c>
      <c r="Y499" s="1" t="str" cm="1">
        <f t="array" ref="Y499">INDEX(Ratings!$B$2:$M$42,_xlfn.XMATCH(Base!F499,Ratings!$A$2:$A$42),_xlfn.XMATCH(YEAR(Base!K499),Ratings!$B$1:$M$1))</f>
        <v>BBB-</v>
      </c>
      <c r="Z499">
        <f t="shared" si="122"/>
        <v>1</v>
      </c>
      <c r="AA499">
        <f>IFERROR(IFERROR(IFERROR(INDEX('EMBI+'!$B:$B,MATCH(Base!$K499,'EMBI+'!$A:$A,0)),INDEX('EMBI+'!$B:$B,MATCH(Base!$K499+1,'EMBI+'!$A:$A,0))),INDEX('EMBI+'!$B:$B,MATCH(Base!$K499+2,'EMBI+'!$A:$A,0))),INDEX('EMBI+'!$B:$B,MATCH(Base!$K499+3,'EMBI+'!$A:$A,0)))/100</f>
        <v>3.32</v>
      </c>
      <c r="AB499" s="9">
        <v>107.02919</v>
      </c>
      <c r="AC499" s="9">
        <v>179.62472</v>
      </c>
      <c r="AD499" s="9"/>
      <c r="AE499" s="9"/>
      <c r="AF499" s="2"/>
      <c r="AG499" s="2"/>
    </row>
    <row r="500" spans="1:33" x14ac:dyDescent="0.35">
      <c r="A500">
        <f t="shared" si="119"/>
        <v>498</v>
      </c>
      <c r="B500">
        <f>IF(G500="Bonds",COUNTIF($G$3:G500,"Bonds"),0)</f>
        <v>0</v>
      </c>
      <c r="C500" t="str">
        <f t="shared" si="123"/>
        <v>Suzano4347243832</v>
      </c>
      <c r="D500">
        <f t="shared" si="124"/>
        <v>35</v>
      </c>
      <c r="E500" s="9" t="s">
        <v>591</v>
      </c>
      <c r="F500" s="9" t="s">
        <v>592</v>
      </c>
      <c r="G500" s="9" t="s">
        <v>29</v>
      </c>
      <c r="H500">
        <f t="shared" si="114"/>
        <v>0</v>
      </c>
      <c r="I500" s="9" t="s">
        <v>594</v>
      </c>
      <c r="J500" s="1">
        <f t="shared" si="115"/>
        <v>2</v>
      </c>
      <c r="K500" s="2">
        <v>43472</v>
      </c>
      <c r="L500" s="2">
        <v>43832</v>
      </c>
      <c r="M500" s="10">
        <f t="shared" si="116"/>
        <v>0.98630136986301364</v>
      </c>
      <c r="N500" s="11">
        <f t="shared" si="117"/>
        <v>0</v>
      </c>
      <c r="O500" s="9" t="s">
        <v>47</v>
      </c>
      <c r="P500" t="str">
        <f t="shared" si="120"/>
        <v>0</v>
      </c>
      <c r="Q500" s="12">
        <v>400000</v>
      </c>
      <c r="R500" s="9">
        <v>10000</v>
      </c>
      <c r="S500" s="1" t="str">
        <f>IF($V500="USD",INDEX('Dólar Spot'!$B:$B,MATCH(Base!$K500,'Dólar Spot'!$A:$A,0)),"")</f>
        <v/>
      </c>
      <c r="T500" s="11">
        <f>Q500*R500</f>
        <v>4000000000</v>
      </c>
      <c r="U500" s="13">
        <f t="shared" si="118"/>
        <v>40</v>
      </c>
      <c r="V500" s="9" t="s">
        <v>44</v>
      </c>
      <c r="W500" s="9" t="s">
        <v>34</v>
      </c>
      <c r="X500">
        <f t="shared" si="121"/>
        <v>1</v>
      </c>
      <c r="Y500" s="1" t="str" cm="1">
        <f t="array" ref="Y500">INDEX(Ratings!$B$2:$M$42,_xlfn.XMATCH(Base!F500,Ratings!$A$2:$A$42),_xlfn.XMATCH(YEAR(Base!K500),Ratings!$B$1:$M$1))</f>
        <v>BBB-</v>
      </c>
      <c r="Z500">
        <f t="shared" si="122"/>
        <v>1</v>
      </c>
      <c r="AA500">
        <f>IFERROR(IFERROR(IFERROR(INDEX('EMBI+'!$B:$B,MATCH(Base!$K500,'EMBI+'!$A:$A,0)),INDEX('EMBI+'!$B:$B,MATCH(Base!$K500+1,'EMBI+'!$A:$A,0))),INDEX('EMBI+'!$B:$B,MATCH(Base!$K500+2,'EMBI+'!$A:$A,0))),INDEX('EMBI+'!$B:$B,MATCH(Base!$K500+3,'EMBI+'!$A:$A,0)))/100</f>
        <v>2.56</v>
      </c>
      <c r="AB500" s="9">
        <v>120.12007</v>
      </c>
      <c r="AC500" s="9">
        <v>357.37509</v>
      </c>
      <c r="AD500" s="9"/>
      <c r="AE500" s="9"/>
      <c r="AF500" s="2"/>
      <c r="AG500" s="2"/>
    </row>
    <row r="501" spans="1:33" x14ac:dyDescent="0.35">
      <c r="A501">
        <f t="shared" si="119"/>
        <v>499</v>
      </c>
      <c r="B501">
        <f>IF(G501="Bonds",COUNTIF($G$3:G501,"Bonds"),0)</f>
        <v>0</v>
      </c>
      <c r="C501" t="str">
        <f t="shared" si="123"/>
        <v>Suzano4372347011</v>
      </c>
      <c r="D501">
        <f t="shared" si="124"/>
        <v>35</v>
      </c>
      <c r="E501" s="9" t="s">
        <v>591</v>
      </c>
      <c r="F501" s="9" t="s">
        <v>592</v>
      </c>
      <c r="G501" s="9" t="s">
        <v>29</v>
      </c>
      <c r="H501">
        <f t="shared" si="114"/>
        <v>0</v>
      </c>
      <c r="I501" s="9" t="s">
        <v>595</v>
      </c>
      <c r="J501" s="1">
        <f t="shared" si="115"/>
        <v>3</v>
      </c>
      <c r="K501" s="2">
        <v>43723</v>
      </c>
      <c r="L501" s="2">
        <v>47011</v>
      </c>
      <c r="M501" s="10">
        <f t="shared" si="116"/>
        <v>9.0082191780821912</v>
      </c>
      <c r="N501" s="11">
        <f t="shared" si="117"/>
        <v>1</v>
      </c>
      <c r="O501" s="9" t="s">
        <v>47</v>
      </c>
      <c r="P501" t="str">
        <f t="shared" si="120"/>
        <v>0</v>
      </c>
      <c r="Q501" s="12">
        <v>75000</v>
      </c>
      <c r="R501" s="9">
        <v>10000</v>
      </c>
      <c r="S501" s="1" t="str">
        <f>IF($V501="USD",INDEX('Dólar Spot'!$B:$B,MATCH(Base!$K501,'Dólar Spot'!$A:$A,0)),"")</f>
        <v/>
      </c>
      <c r="T501" s="11">
        <f>Q501*R501</f>
        <v>750000000</v>
      </c>
      <c r="U501" s="13">
        <f t="shared" si="118"/>
        <v>7.5</v>
      </c>
      <c r="V501" s="9" t="s">
        <v>44</v>
      </c>
      <c r="W501" s="9" t="s">
        <v>34</v>
      </c>
      <c r="X501">
        <f t="shared" si="121"/>
        <v>1</v>
      </c>
      <c r="Y501" s="1" t="str" cm="1">
        <f t="array" ref="Y501">INDEX(Ratings!$B$2:$M$42,_xlfn.XMATCH(Base!F501,Ratings!$A$2:$A$42),_xlfn.XMATCH(YEAR(Base!K501),Ratings!$B$1:$M$1))</f>
        <v>BBB-</v>
      </c>
      <c r="Z501">
        <f t="shared" si="122"/>
        <v>1</v>
      </c>
      <c r="AA501">
        <f>IFERROR(IFERROR(IFERROR(INDEX('EMBI+'!$B:$B,MATCH(Base!$K501,'EMBI+'!$A:$A,0)),INDEX('EMBI+'!$B:$B,MATCH(Base!$K501+1,'EMBI+'!$A:$A,0))),INDEX('EMBI+'!$B:$B,MATCH(Base!$K501+2,'EMBI+'!$A:$A,0))),INDEX('EMBI+'!$B:$B,MATCH(Base!$K501+3,'EMBI+'!$A:$A,0)))/100</f>
        <v>2.2400000000000002</v>
      </c>
      <c r="AB501" s="9">
        <v>169.19691</v>
      </c>
      <c r="AC501" s="9">
        <v>679.67016999999998</v>
      </c>
      <c r="AD501" s="9"/>
      <c r="AE501" s="9"/>
      <c r="AF501" s="2"/>
      <c r="AG501" s="2"/>
    </row>
    <row r="502" spans="1:33" x14ac:dyDescent="0.35">
      <c r="A502">
        <f t="shared" si="119"/>
        <v>500</v>
      </c>
      <c r="B502">
        <f>IF(G502="Bonds",COUNTIF($G$3:G502,"Bonds"),0)</f>
        <v>139</v>
      </c>
      <c r="C502" t="str">
        <f t="shared" si="123"/>
        <v>Suzano4281016/03/2047</v>
      </c>
      <c r="D502">
        <f t="shared" si="124"/>
        <v>35</v>
      </c>
      <c r="E502" s="9" t="s">
        <v>596</v>
      </c>
      <c r="F502" s="9" t="s">
        <v>592</v>
      </c>
      <c r="G502" s="9" t="s">
        <v>37</v>
      </c>
      <c r="H502">
        <f t="shared" si="114"/>
        <v>1</v>
      </c>
      <c r="I502" s="9"/>
      <c r="J502" s="1">
        <f t="shared" si="115"/>
        <v>4</v>
      </c>
      <c r="K502" s="2">
        <v>42810</v>
      </c>
      <c r="L502" s="2" t="s">
        <v>597</v>
      </c>
      <c r="M502" s="10">
        <f t="shared" si="116"/>
        <v>30.019178082191782</v>
      </c>
      <c r="N502" s="11">
        <f t="shared" si="117"/>
        <v>1</v>
      </c>
      <c r="O502" s="9" t="s">
        <v>39</v>
      </c>
      <c r="P502" t="str">
        <f t="shared" si="120"/>
        <v>0</v>
      </c>
      <c r="Q502" s="12"/>
      <c r="R502" s="9"/>
      <c r="S502" s="1">
        <f>IF($V502="USD",INDEX('Dólar Spot'!$B:$B,MATCH(Base!$K502,'Dólar Spot'!$A:$A,0)),"")</f>
        <v>3.1074000000000002</v>
      </c>
      <c r="T502" s="12">
        <v>300000000</v>
      </c>
      <c r="U502" s="13">
        <f t="shared" si="118"/>
        <v>9.3222000000000005</v>
      </c>
      <c r="V502" s="9" t="s">
        <v>40</v>
      </c>
      <c r="W502" s="9" t="s">
        <v>34</v>
      </c>
      <c r="X502">
        <f t="shared" si="121"/>
        <v>1</v>
      </c>
      <c r="Y502" s="1" t="str" cm="1">
        <f t="array" ref="Y502">INDEX(Ratings!$B$2:$M$42,_xlfn.XMATCH(Base!F502,Ratings!$A$2:$A$42),_xlfn.XMATCH(YEAR(Base!K502),Ratings!$B$1:$M$1))</f>
        <v>BB+</v>
      </c>
      <c r="Z502">
        <f t="shared" si="122"/>
        <v>0</v>
      </c>
      <c r="AA502">
        <f>IFERROR(IFERROR(IFERROR(INDEX('EMBI+'!$B:$B,MATCH(Base!$K502,'EMBI+'!$A:$A,0)),INDEX('EMBI+'!$B:$B,MATCH(Base!$K502+1,'EMBI+'!$A:$A,0))),INDEX('EMBI+'!$B:$B,MATCH(Base!$K502+2,'EMBI+'!$A:$A,0))),INDEX('EMBI+'!$B:$B,MATCH(Base!$K502+3,'EMBI+'!$A:$A,0)))/100</f>
        <v>2.74</v>
      </c>
      <c r="AB502" s="9">
        <v>106.01369</v>
      </c>
      <c r="AC502" s="9">
        <v>138.15455</v>
      </c>
      <c r="AD502" s="9"/>
      <c r="AE502" s="9"/>
      <c r="AF502" s="2"/>
      <c r="AG502" s="2"/>
    </row>
    <row r="503" spans="1:33" x14ac:dyDescent="0.35">
      <c r="A503">
        <f t="shared" si="119"/>
        <v>501</v>
      </c>
      <c r="B503">
        <f>IF(G503="Bonds",COUNTIF($G$3:G503,"Bonds"),0)</f>
        <v>140</v>
      </c>
      <c r="C503" t="str">
        <f t="shared" si="123"/>
        <v>Suzano4369115/01/2029</v>
      </c>
      <c r="D503">
        <f t="shared" si="124"/>
        <v>35</v>
      </c>
      <c r="E503" s="9" t="s">
        <v>596</v>
      </c>
      <c r="F503" s="9" t="s">
        <v>592</v>
      </c>
      <c r="G503" s="9" t="s">
        <v>37</v>
      </c>
      <c r="H503">
        <f t="shared" si="114"/>
        <v>1</v>
      </c>
      <c r="I503" s="9"/>
      <c r="J503" s="1">
        <f t="shared" si="115"/>
        <v>5</v>
      </c>
      <c r="K503" s="2">
        <v>43691</v>
      </c>
      <c r="L503" s="2" t="s">
        <v>598</v>
      </c>
      <c r="M503" s="10">
        <f t="shared" si="116"/>
        <v>9.4301369863013704</v>
      </c>
      <c r="N503" s="11">
        <f t="shared" si="117"/>
        <v>1</v>
      </c>
      <c r="O503" s="9" t="s">
        <v>39</v>
      </c>
      <c r="P503" t="str">
        <f t="shared" si="120"/>
        <v>0</v>
      </c>
      <c r="Q503" s="12"/>
      <c r="R503" s="9"/>
      <c r="S503" s="1">
        <f>IF($V503="USD",INDEX('Dólar Spot'!$B:$B,MATCH(Base!$K503,'Dólar Spot'!$A:$A,0)),"")</f>
        <v>4.0068000000000001</v>
      </c>
      <c r="T503" s="12">
        <v>750000000</v>
      </c>
      <c r="U503" s="13">
        <f t="shared" si="118"/>
        <v>30.050999999999998</v>
      </c>
      <c r="V503" s="9" t="s">
        <v>40</v>
      </c>
      <c r="W503" s="9" t="s">
        <v>34</v>
      </c>
      <c r="X503">
        <f t="shared" si="121"/>
        <v>1</v>
      </c>
      <c r="Y503" s="1" t="str" cm="1">
        <f t="array" ref="Y503">INDEX(Ratings!$B$2:$M$42,_xlfn.XMATCH(Base!F503,Ratings!$A$2:$A$42),_xlfn.XMATCH(YEAR(Base!K503),Ratings!$B$1:$M$1))</f>
        <v>BBB-</v>
      </c>
      <c r="Z503">
        <f t="shared" si="122"/>
        <v>1</v>
      </c>
      <c r="AA503">
        <f>IFERROR(IFERROR(IFERROR(INDEX('EMBI+'!$B:$B,MATCH(Base!$K503,'EMBI+'!$A:$A,0)),INDEX('EMBI+'!$B:$B,MATCH(Base!$K503+1,'EMBI+'!$A:$A,0))),INDEX('EMBI+'!$B:$B,MATCH(Base!$K503+2,'EMBI+'!$A:$A,0))),INDEX('EMBI+'!$B:$B,MATCH(Base!$K503+3,'EMBI+'!$A:$A,0)))/100</f>
        <v>2.44</v>
      </c>
      <c r="AB503" s="9">
        <v>169.19691</v>
      </c>
      <c r="AC503" s="9">
        <v>679.67016999999998</v>
      </c>
      <c r="AD503" s="9"/>
      <c r="AE503" s="9"/>
      <c r="AF503" s="2"/>
      <c r="AG503" s="2"/>
    </row>
    <row r="504" spans="1:33" x14ac:dyDescent="0.35">
      <c r="A504">
        <f t="shared" si="119"/>
        <v>502</v>
      </c>
      <c r="B504">
        <f>IF(G504="Bonds",COUNTIF($G$3:G504,"Bonds"),0)</f>
        <v>141</v>
      </c>
      <c r="C504" t="str">
        <f t="shared" si="123"/>
        <v>Suzano4437815/01/2032</v>
      </c>
      <c r="D504">
        <f t="shared" si="124"/>
        <v>35</v>
      </c>
      <c r="E504" s="9" t="s">
        <v>596</v>
      </c>
      <c r="F504" s="9" t="s">
        <v>592</v>
      </c>
      <c r="G504" s="9" t="s">
        <v>37</v>
      </c>
      <c r="H504">
        <f t="shared" si="114"/>
        <v>1</v>
      </c>
      <c r="I504" s="9"/>
      <c r="J504" s="1">
        <f t="shared" si="115"/>
        <v>6</v>
      </c>
      <c r="K504" s="2">
        <v>44378</v>
      </c>
      <c r="L504" s="2" t="s">
        <v>599</v>
      </c>
      <c r="M504" s="10">
        <f t="shared" si="116"/>
        <v>10.547945205479452</v>
      </c>
      <c r="N504" s="11">
        <f t="shared" si="117"/>
        <v>1</v>
      </c>
      <c r="O504" s="9" t="s">
        <v>39</v>
      </c>
      <c r="P504" t="str">
        <f t="shared" si="120"/>
        <v>0</v>
      </c>
      <c r="Q504" s="12"/>
      <c r="R504" s="9"/>
      <c r="S504" s="1">
        <f>IF($V504="USD",INDEX('Dólar Spot'!$B:$B,MATCH(Base!$K504,'Dólar Spot'!$A:$A,0)),"")</f>
        <v>5.0049000000000001</v>
      </c>
      <c r="T504" s="12">
        <v>1000000000</v>
      </c>
      <c r="U504" s="13">
        <f t="shared" si="118"/>
        <v>50.048999999999999</v>
      </c>
      <c r="V504" s="9" t="s">
        <v>40</v>
      </c>
      <c r="W504" s="9" t="s">
        <v>34</v>
      </c>
      <c r="X504">
        <f t="shared" si="121"/>
        <v>1</v>
      </c>
      <c r="Y504" s="1" t="str" cm="1">
        <f t="array" ref="Y504">INDEX(Ratings!$B$2:$M$42,_xlfn.XMATCH(Base!F504,Ratings!$A$2:$A$42),_xlfn.XMATCH(YEAR(Base!K504),Ratings!$B$1:$M$1))</f>
        <v>BBB-</v>
      </c>
      <c r="Z504">
        <f t="shared" si="122"/>
        <v>1</v>
      </c>
      <c r="AA504">
        <f>IFERROR(IFERROR(IFERROR(INDEX('EMBI+'!$B:$B,MATCH(Base!$K504,'EMBI+'!$A:$A,0)),INDEX('EMBI+'!$B:$B,MATCH(Base!$K504+1,'EMBI+'!$A:$A,0))),INDEX('EMBI+'!$B:$B,MATCH(Base!$K504+2,'EMBI+'!$A:$A,0))),INDEX('EMBI+'!$B:$B,MATCH(Base!$K504+3,'EMBI+'!$A:$A,0)))/100</f>
        <v>2.76</v>
      </c>
      <c r="AB504" s="9">
        <v>144.88391999999999</v>
      </c>
      <c r="AC504" s="9">
        <v>684.76998000000003</v>
      </c>
      <c r="AD504" s="9"/>
      <c r="AE504" s="9"/>
      <c r="AF504" s="2"/>
      <c r="AG504" s="2"/>
    </row>
    <row r="505" spans="1:33" x14ac:dyDescent="0.35">
      <c r="A505">
        <f t="shared" si="119"/>
        <v>503</v>
      </c>
      <c r="B505">
        <f>IF(G505="Bonds",COUNTIF($G$3:G505,"Bonds"),0)</f>
        <v>142</v>
      </c>
      <c r="C505" t="str">
        <f t="shared" si="123"/>
        <v>Suzano4408815/01/2031</v>
      </c>
      <c r="D505">
        <f t="shared" si="124"/>
        <v>35</v>
      </c>
      <c r="E505" s="9" t="s">
        <v>596</v>
      </c>
      <c r="F505" s="9" t="s">
        <v>592</v>
      </c>
      <c r="G505" s="9" t="s">
        <v>37</v>
      </c>
      <c r="H505">
        <f t="shared" si="114"/>
        <v>1</v>
      </c>
      <c r="I505" s="9"/>
      <c r="J505" s="1">
        <f t="shared" si="115"/>
        <v>7</v>
      </c>
      <c r="K505" s="2">
        <v>44088</v>
      </c>
      <c r="L505" s="2" t="s">
        <v>600</v>
      </c>
      <c r="M505" s="10">
        <f t="shared" si="116"/>
        <v>10.342465753424657</v>
      </c>
      <c r="N505" s="11">
        <f t="shared" si="117"/>
        <v>1</v>
      </c>
      <c r="O505" s="9" t="s">
        <v>39</v>
      </c>
      <c r="P505" t="str">
        <f t="shared" si="120"/>
        <v>0</v>
      </c>
      <c r="Q505" s="12"/>
      <c r="R505" s="9"/>
      <c r="S505" s="1">
        <f>IF($V505="USD",INDEX('Dólar Spot'!$B:$B,MATCH(Base!$K505,'Dólar Spot'!$A:$A,0)),"")</f>
        <v>5.2977999999999996</v>
      </c>
      <c r="T505" s="12">
        <v>750000000</v>
      </c>
      <c r="U505" s="13">
        <f t="shared" si="118"/>
        <v>39.733499999999992</v>
      </c>
      <c r="V505" s="9" t="s">
        <v>40</v>
      </c>
      <c r="W505" s="9" t="s">
        <v>34</v>
      </c>
      <c r="X505">
        <f t="shared" si="121"/>
        <v>1</v>
      </c>
      <c r="Y505" s="1" t="str" cm="1">
        <f t="array" ref="Y505">INDEX(Ratings!$B$2:$M$42,_xlfn.XMATCH(Base!F505,Ratings!$A$2:$A$42),_xlfn.XMATCH(YEAR(Base!K505),Ratings!$B$1:$M$1))</f>
        <v>BBB-</v>
      </c>
      <c r="Z505">
        <f t="shared" si="122"/>
        <v>1</v>
      </c>
      <c r="AA505">
        <f>IFERROR(IFERROR(IFERROR(INDEX('EMBI+'!$B:$B,MATCH(Base!$K505,'EMBI+'!$A:$A,0)),INDEX('EMBI+'!$B:$B,MATCH(Base!$K505+1,'EMBI+'!$A:$A,0))),INDEX('EMBI+'!$B:$B,MATCH(Base!$K505+2,'EMBI+'!$A:$A,0))),INDEX('EMBI+'!$B:$B,MATCH(Base!$K505+3,'EMBI+'!$A:$A,0)))/100</f>
        <v>3.1</v>
      </c>
      <c r="AB505" s="9">
        <v>133.47</v>
      </c>
      <c r="AC505" s="9">
        <v>784.89608999999996</v>
      </c>
      <c r="AD505" s="9"/>
      <c r="AE505" s="9"/>
      <c r="AF505" s="2"/>
      <c r="AG505" s="2"/>
    </row>
    <row r="506" spans="1:33" x14ac:dyDescent="0.35">
      <c r="A506">
        <f t="shared" si="119"/>
        <v>504</v>
      </c>
      <c r="B506">
        <f>IF(G506="Bonds",COUNTIF($G$3:G506,"Bonds"),0)</f>
        <v>143</v>
      </c>
      <c r="C506" t="str">
        <f t="shared" si="123"/>
        <v>Suzano4445215/09/2028</v>
      </c>
      <c r="D506">
        <f t="shared" si="124"/>
        <v>35</v>
      </c>
      <c r="E506" s="9" t="s">
        <v>596</v>
      </c>
      <c r="F506" s="9" t="s">
        <v>592</v>
      </c>
      <c r="G506" s="9" t="s">
        <v>37</v>
      </c>
      <c r="H506">
        <f t="shared" si="114"/>
        <v>1</v>
      </c>
      <c r="I506" s="9"/>
      <c r="J506" s="1">
        <f t="shared" si="115"/>
        <v>8</v>
      </c>
      <c r="K506" s="2">
        <v>44452</v>
      </c>
      <c r="L506" s="2" t="s">
        <v>601</v>
      </c>
      <c r="M506" s="10">
        <f t="shared" si="116"/>
        <v>7.0109589041095894</v>
      </c>
      <c r="N506" s="11">
        <f t="shared" si="117"/>
        <v>1</v>
      </c>
      <c r="O506" s="9" t="s">
        <v>39</v>
      </c>
      <c r="P506" t="str">
        <f t="shared" si="120"/>
        <v>0</v>
      </c>
      <c r="Q506" s="12"/>
      <c r="R506" s="9"/>
      <c r="S506" s="1">
        <f>IF($V506="USD",INDEX('Dólar Spot'!$B:$B,MATCH(Base!$K506,'Dólar Spot'!$A:$A,0)),"")</f>
        <v>5.2183999999999999</v>
      </c>
      <c r="T506" s="12">
        <v>500000000</v>
      </c>
      <c r="U506" s="13">
        <f t="shared" si="118"/>
        <v>26.091999999999999</v>
      </c>
      <c r="V506" s="9" t="s">
        <v>40</v>
      </c>
      <c r="W506" s="9" t="s">
        <v>34</v>
      </c>
      <c r="X506">
        <f t="shared" si="121"/>
        <v>1</v>
      </c>
      <c r="Y506" s="1" t="str" cm="1">
        <f t="array" ref="Y506">INDEX(Ratings!$B$2:$M$42,_xlfn.XMATCH(Base!F506,Ratings!$A$2:$A$42),_xlfn.XMATCH(YEAR(Base!K506),Ratings!$B$1:$M$1))</f>
        <v>BBB-</v>
      </c>
      <c r="Z506">
        <f t="shared" si="122"/>
        <v>1</v>
      </c>
      <c r="AA506">
        <f>IFERROR(IFERROR(IFERROR(INDEX('EMBI+'!$B:$B,MATCH(Base!$K506,'EMBI+'!$A:$A,0)),INDEX('EMBI+'!$B:$B,MATCH(Base!$K506+1,'EMBI+'!$A:$A,0))),INDEX('EMBI+'!$B:$B,MATCH(Base!$K506+2,'EMBI+'!$A:$A,0))),INDEX('EMBI+'!$B:$B,MATCH(Base!$K506+3,'EMBI+'!$A:$A,0)))/100</f>
        <v>3.14</v>
      </c>
      <c r="AB506" s="9">
        <v>135.18491</v>
      </c>
      <c r="AC506" s="9">
        <v>771.47896000000003</v>
      </c>
      <c r="AD506" s="9"/>
      <c r="AE506" s="9"/>
      <c r="AF506" s="2"/>
      <c r="AG506" s="2"/>
    </row>
    <row r="507" spans="1:33" x14ac:dyDescent="0.35">
      <c r="A507">
        <f t="shared" si="119"/>
        <v>505</v>
      </c>
      <c r="B507">
        <f>IF(G507="Bonds",COUNTIF($G$3:G507,"Bonds"),0)</f>
        <v>144</v>
      </c>
      <c r="C507" t="str">
        <f t="shared" si="123"/>
        <v>Suzano4256514/07/2026</v>
      </c>
      <c r="D507">
        <f t="shared" si="124"/>
        <v>35</v>
      </c>
      <c r="E507" s="9" t="s">
        <v>596</v>
      </c>
      <c r="F507" s="9" t="s">
        <v>592</v>
      </c>
      <c r="G507" s="9" t="s">
        <v>37</v>
      </c>
      <c r="H507">
        <f t="shared" si="114"/>
        <v>1</v>
      </c>
      <c r="I507" s="9"/>
      <c r="J507" s="1">
        <f t="shared" si="115"/>
        <v>9</v>
      </c>
      <c r="K507" s="2">
        <v>42565</v>
      </c>
      <c r="L507" s="2" t="s">
        <v>602</v>
      </c>
      <c r="M507" s="10">
        <f t="shared" si="116"/>
        <v>10.005479452054795</v>
      </c>
      <c r="N507" s="11">
        <f t="shared" si="117"/>
        <v>1</v>
      </c>
      <c r="O507" s="9" t="s">
        <v>39</v>
      </c>
      <c r="P507" t="str">
        <f t="shared" si="120"/>
        <v>0</v>
      </c>
      <c r="Q507" s="12"/>
      <c r="R507" s="9"/>
      <c r="S507" s="1">
        <f>IF($V507="USD",INDEX('Dólar Spot'!$B:$B,MATCH(Base!$K507,'Dólar Spot'!$A:$A,0)),"")</f>
        <v>3.2305000000000001</v>
      </c>
      <c r="T507" s="12">
        <v>500000000</v>
      </c>
      <c r="U507" s="13">
        <f t="shared" si="118"/>
        <v>16.1525</v>
      </c>
      <c r="V507" s="9" t="s">
        <v>40</v>
      </c>
      <c r="W507" s="9" t="s">
        <v>35</v>
      </c>
      <c r="X507">
        <f t="shared" si="121"/>
        <v>0</v>
      </c>
      <c r="Y507" s="1" t="str" cm="1">
        <f t="array" ref="Y507">INDEX(Ratings!$B$2:$M$42,_xlfn.XMATCH(Base!F507,Ratings!$A$2:$A$42),_xlfn.XMATCH(YEAR(Base!K507),Ratings!$B$1:$M$1))</f>
        <v>BB+</v>
      </c>
      <c r="Z507">
        <f t="shared" si="122"/>
        <v>0</v>
      </c>
      <c r="AA507">
        <f>IFERROR(IFERROR(IFERROR(INDEX('EMBI+'!$B:$B,MATCH(Base!$K507,'EMBI+'!$A:$A,0)),INDEX('EMBI+'!$B:$B,MATCH(Base!$K507+1,'EMBI+'!$A:$A,0))),INDEX('EMBI+'!$B:$B,MATCH(Base!$K507+2,'EMBI+'!$A:$A,0))),INDEX('EMBI+'!$B:$B,MATCH(Base!$K507+3,'EMBI+'!$A:$A,0)))/100</f>
        <v>3.31</v>
      </c>
      <c r="AB507" s="9">
        <v>109.64376</v>
      </c>
      <c r="AC507" s="9">
        <v>128.02286000000001</v>
      </c>
      <c r="AD507" s="9"/>
      <c r="AE507" s="9"/>
      <c r="AF507" s="2"/>
      <c r="AG507" s="2"/>
    </row>
    <row r="508" spans="1:33" x14ac:dyDescent="0.35">
      <c r="A508">
        <f t="shared" si="119"/>
        <v>506</v>
      </c>
      <c r="B508">
        <f>IF(G508="Bonds",COUNTIF($G$3:G508,"Bonds"),0)</f>
        <v>145</v>
      </c>
      <c r="C508" t="str">
        <f t="shared" si="123"/>
        <v>Suzano4336315/01/2029</v>
      </c>
      <c r="D508">
        <f t="shared" si="124"/>
        <v>35</v>
      </c>
      <c r="E508" s="9" t="s">
        <v>596</v>
      </c>
      <c r="F508" s="9" t="s">
        <v>592</v>
      </c>
      <c r="G508" s="9" t="s">
        <v>37</v>
      </c>
      <c r="H508">
        <f t="shared" si="114"/>
        <v>1</v>
      </c>
      <c r="I508" s="9"/>
      <c r="J508" s="1">
        <f t="shared" si="115"/>
        <v>10</v>
      </c>
      <c r="K508" s="2">
        <v>43363</v>
      </c>
      <c r="L508" s="2" t="s">
        <v>598</v>
      </c>
      <c r="M508" s="10">
        <f t="shared" si="116"/>
        <v>10.328767123287671</v>
      </c>
      <c r="N508" s="11">
        <f t="shared" si="117"/>
        <v>1</v>
      </c>
      <c r="O508" s="9" t="s">
        <v>39</v>
      </c>
      <c r="P508" t="str">
        <f t="shared" si="120"/>
        <v>0</v>
      </c>
      <c r="Q508" s="12"/>
      <c r="R508" s="9"/>
      <c r="S508" s="1">
        <f>IF($V508="USD",INDEX('Dólar Spot'!$B:$B,MATCH(Base!$K508,'Dólar Spot'!$A:$A,0)),"")</f>
        <v>4.0991</v>
      </c>
      <c r="T508" s="12">
        <v>1000000000</v>
      </c>
      <c r="U508" s="13">
        <f t="shared" si="118"/>
        <v>40.991</v>
      </c>
      <c r="V508" s="9" t="s">
        <v>40</v>
      </c>
      <c r="W508" s="9" t="s">
        <v>34</v>
      </c>
      <c r="X508">
        <f t="shared" si="121"/>
        <v>1</v>
      </c>
      <c r="Y508" s="1" t="str" cm="1">
        <f t="array" ref="Y508">INDEX(Ratings!$B$2:$M$42,_xlfn.XMATCH(Base!F508,Ratings!$A$2:$A$42),_xlfn.XMATCH(YEAR(Base!K508),Ratings!$B$1:$M$1))</f>
        <v>BBB-</v>
      </c>
      <c r="Z508">
        <f t="shared" si="122"/>
        <v>1</v>
      </c>
      <c r="AA508">
        <f>IFERROR(IFERROR(IFERROR(INDEX('EMBI+'!$B:$B,MATCH(Base!$K508,'EMBI+'!$A:$A,0)),INDEX('EMBI+'!$B:$B,MATCH(Base!$K508+1,'EMBI+'!$A:$A,0))),INDEX('EMBI+'!$B:$B,MATCH(Base!$K508+2,'EMBI+'!$A:$A,0))),INDEX('EMBI+'!$B:$B,MATCH(Base!$K508+3,'EMBI+'!$A:$A,0)))/100</f>
        <v>3.09</v>
      </c>
      <c r="AB508" s="9">
        <v>106.32102999999999</v>
      </c>
      <c r="AC508" s="9">
        <v>238.18734000000001</v>
      </c>
      <c r="AD508" s="9"/>
      <c r="AE508" s="9"/>
      <c r="AF508" s="2"/>
      <c r="AG508" s="2"/>
    </row>
    <row r="509" spans="1:33" x14ac:dyDescent="0.35">
      <c r="A509">
        <f t="shared" si="119"/>
        <v>507</v>
      </c>
      <c r="B509">
        <f>IF(G509="Bonds",COUNTIF($G$3:G509,"Bonds"),0)</f>
        <v>146</v>
      </c>
      <c r="C509" t="str">
        <f t="shared" si="123"/>
        <v>Suzano4361415/01/2030</v>
      </c>
      <c r="D509">
        <f t="shared" si="124"/>
        <v>35</v>
      </c>
      <c r="E509" s="9" t="s">
        <v>596</v>
      </c>
      <c r="F509" s="9" t="s">
        <v>592</v>
      </c>
      <c r="G509" s="9" t="s">
        <v>37</v>
      </c>
      <c r="H509">
        <f t="shared" si="114"/>
        <v>1</v>
      </c>
      <c r="I509" s="9"/>
      <c r="J509" s="1">
        <f t="shared" si="115"/>
        <v>11</v>
      </c>
      <c r="K509" s="2">
        <v>43614</v>
      </c>
      <c r="L509" s="2" t="s">
        <v>489</v>
      </c>
      <c r="M509" s="10">
        <f t="shared" si="116"/>
        <v>10.641095890410959</v>
      </c>
      <c r="N509" s="11">
        <f t="shared" si="117"/>
        <v>1</v>
      </c>
      <c r="O509" s="9" t="s">
        <v>39</v>
      </c>
      <c r="P509" t="str">
        <f t="shared" si="120"/>
        <v>0</v>
      </c>
      <c r="Q509" s="12"/>
      <c r="R509" s="9"/>
      <c r="S509" s="1">
        <f>IF($V509="USD",INDEX('Dólar Spot'!$B:$B,MATCH(Base!$K509,'Dólar Spot'!$A:$A,0)),"")</f>
        <v>3.9958999999999998</v>
      </c>
      <c r="T509" s="12">
        <v>1000000000</v>
      </c>
      <c r="U509" s="13">
        <f t="shared" si="118"/>
        <v>39.959000000000003</v>
      </c>
      <c r="V509" s="9" t="s">
        <v>40</v>
      </c>
      <c r="W509" s="9" t="s">
        <v>34</v>
      </c>
      <c r="X509">
        <f t="shared" si="121"/>
        <v>1</v>
      </c>
      <c r="Y509" s="1" t="str" cm="1">
        <f t="array" ref="Y509">INDEX(Ratings!$B$2:$M$42,_xlfn.XMATCH(Base!F509,Ratings!$A$2:$A$42),_xlfn.XMATCH(YEAR(Base!K509),Ratings!$B$1:$M$1))</f>
        <v>BBB-</v>
      </c>
      <c r="Z509">
        <f t="shared" si="122"/>
        <v>1</v>
      </c>
      <c r="AA509">
        <f>IFERROR(IFERROR(IFERROR(INDEX('EMBI+'!$B:$B,MATCH(Base!$K509,'EMBI+'!$A:$A,0)),INDEX('EMBI+'!$B:$B,MATCH(Base!$K509+1,'EMBI+'!$A:$A,0))),INDEX('EMBI+'!$B:$B,MATCH(Base!$K509+2,'EMBI+'!$A:$A,0))),INDEX('EMBI+'!$B:$B,MATCH(Base!$K509+3,'EMBI+'!$A:$A,0)))/100</f>
        <v>2.69</v>
      </c>
      <c r="AB509" s="9">
        <v>203.13133999999999</v>
      </c>
      <c r="AC509" s="9">
        <v>643.02034000000003</v>
      </c>
      <c r="AD509" s="9"/>
      <c r="AE509" s="9"/>
      <c r="AF509" s="2"/>
      <c r="AG509" s="2"/>
    </row>
    <row r="510" spans="1:33" x14ac:dyDescent="0.35">
      <c r="A510">
        <f t="shared" si="119"/>
        <v>508</v>
      </c>
      <c r="B510">
        <f>IF(G510="Bonds",COUNTIF($G$3:G510,"Bonds"),0)</f>
        <v>147</v>
      </c>
      <c r="C510" t="str">
        <f t="shared" si="123"/>
        <v>Suzano4361416/03/2047</v>
      </c>
      <c r="D510">
        <f t="shared" si="124"/>
        <v>35</v>
      </c>
      <c r="E510" s="9" t="s">
        <v>596</v>
      </c>
      <c r="F510" s="9" t="s">
        <v>592</v>
      </c>
      <c r="G510" s="9" t="s">
        <v>37</v>
      </c>
      <c r="H510">
        <f t="shared" si="114"/>
        <v>1</v>
      </c>
      <c r="I510" s="9"/>
      <c r="J510" s="1">
        <f t="shared" si="115"/>
        <v>12</v>
      </c>
      <c r="K510" s="2">
        <v>43614</v>
      </c>
      <c r="L510" s="2" t="s">
        <v>597</v>
      </c>
      <c r="M510" s="10">
        <f t="shared" si="116"/>
        <v>27.816438356164383</v>
      </c>
      <c r="N510" s="11">
        <f t="shared" si="117"/>
        <v>1</v>
      </c>
      <c r="O510" s="9" t="s">
        <v>39</v>
      </c>
      <c r="P510" t="str">
        <f t="shared" si="120"/>
        <v>0</v>
      </c>
      <c r="Q510" s="12"/>
      <c r="R510" s="9"/>
      <c r="S510" s="1">
        <f>IF($V510="USD",INDEX('Dólar Spot'!$B:$B,MATCH(Base!$K510,'Dólar Spot'!$A:$A,0)),"")</f>
        <v>3.9958999999999998</v>
      </c>
      <c r="T510" s="12">
        <v>250000000</v>
      </c>
      <c r="U510" s="13">
        <f t="shared" si="118"/>
        <v>9.9897500000000008</v>
      </c>
      <c r="V510" s="9" t="s">
        <v>40</v>
      </c>
      <c r="W510" s="9" t="s">
        <v>34</v>
      </c>
      <c r="X510">
        <f t="shared" si="121"/>
        <v>1</v>
      </c>
      <c r="Y510" s="1" t="str" cm="1">
        <f t="array" ref="Y510">INDEX(Ratings!$B$2:$M$42,_xlfn.XMATCH(Base!F510,Ratings!$A$2:$A$42),_xlfn.XMATCH(YEAR(Base!K510),Ratings!$B$1:$M$1))</f>
        <v>BBB-</v>
      </c>
      <c r="Z510">
        <f t="shared" si="122"/>
        <v>1</v>
      </c>
      <c r="AA510">
        <f>IFERROR(IFERROR(IFERROR(INDEX('EMBI+'!$B:$B,MATCH(Base!$K510,'EMBI+'!$A:$A,0)),INDEX('EMBI+'!$B:$B,MATCH(Base!$K510+1,'EMBI+'!$A:$A,0))),INDEX('EMBI+'!$B:$B,MATCH(Base!$K510+2,'EMBI+'!$A:$A,0))),INDEX('EMBI+'!$B:$B,MATCH(Base!$K510+3,'EMBI+'!$A:$A,0)))/100</f>
        <v>2.69</v>
      </c>
      <c r="AB510" s="9">
        <v>203.13133999999999</v>
      </c>
      <c r="AC510" s="9">
        <v>643.02034000000003</v>
      </c>
      <c r="AD510" s="9"/>
      <c r="AE510" s="9"/>
      <c r="AF510" s="2"/>
      <c r="AG510" s="2"/>
    </row>
    <row r="511" spans="1:33" x14ac:dyDescent="0.35">
      <c r="A511">
        <f t="shared" si="119"/>
        <v>509</v>
      </c>
      <c r="B511">
        <f>IF(G511="Bonds",COUNTIF($G$3:G511,"Bonds"),0)</f>
        <v>148</v>
      </c>
      <c r="C511" t="str">
        <f t="shared" si="123"/>
        <v>Suzano4299014/07/2026</v>
      </c>
      <c r="D511">
        <f t="shared" si="124"/>
        <v>35</v>
      </c>
      <c r="E511" s="9" t="s">
        <v>596</v>
      </c>
      <c r="F511" s="9" t="s">
        <v>592</v>
      </c>
      <c r="G511" s="9" t="s">
        <v>37</v>
      </c>
      <c r="H511">
        <f t="shared" si="114"/>
        <v>1</v>
      </c>
      <c r="I511" s="9"/>
      <c r="J511" s="1">
        <f t="shared" si="115"/>
        <v>13</v>
      </c>
      <c r="K511" s="2">
        <v>42990</v>
      </c>
      <c r="L511" s="2" t="s">
        <v>602</v>
      </c>
      <c r="M511" s="10">
        <f t="shared" si="116"/>
        <v>8.8410958904109584</v>
      </c>
      <c r="N511" s="11">
        <f t="shared" si="117"/>
        <v>1</v>
      </c>
      <c r="O511" s="9" t="s">
        <v>39</v>
      </c>
      <c r="P511" t="str">
        <f t="shared" si="120"/>
        <v>0</v>
      </c>
      <c r="Q511" s="12"/>
      <c r="R511" s="9"/>
      <c r="S511" s="1">
        <f>IF($V511="USD",INDEX('Dólar Spot'!$B:$B,MATCH(Base!$K511,'Dólar Spot'!$A:$A,0)),"")</f>
        <v>3.1137999999999999</v>
      </c>
      <c r="T511" s="12">
        <v>200000000</v>
      </c>
      <c r="U511" s="13">
        <f t="shared" si="118"/>
        <v>6.2275999999999998</v>
      </c>
      <c r="V511" s="9" t="s">
        <v>40</v>
      </c>
      <c r="W511" s="9" t="s">
        <v>35</v>
      </c>
      <c r="X511">
        <f t="shared" si="121"/>
        <v>0</v>
      </c>
      <c r="Y511" s="1" t="str" cm="1">
        <f t="array" ref="Y511">INDEX(Ratings!$B$2:$M$42,_xlfn.XMATCH(Base!F511,Ratings!$A$2:$A$42),_xlfn.XMATCH(YEAR(Base!K511),Ratings!$B$1:$M$1))</f>
        <v>BB+</v>
      </c>
      <c r="Z511">
        <f t="shared" si="122"/>
        <v>0</v>
      </c>
      <c r="AA511">
        <f>IFERROR(IFERROR(IFERROR(INDEX('EMBI+'!$B:$B,MATCH(Base!$K511,'EMBI+'!$A:$A,0)),INDEX('EMBI+'!$B:$B,MATCH(Base!$K511+1,'EMBI+'!$A:$A,0))),INDEX('EMBI+'!$B:$B,MATCH(Base!$K511+2,'EMBI+'!$A:$A,0))),INDEX('EMBI+'!$B:$B,MATCH(Base!$K511+3,'EMBI+'!$A:$A,0)))/100</f>
        <v>2.6</v>
      </c>
      <c r="AB511" s="9">
        <v>116.06074</v>
      </c>
      <c r="AC511" s="9">
        <v>131.32910999999999</v>
      </c>
      <c r="AD511" s="9"/>
      <c r="AE511" s="9"/>
      <c r="AF511" s="2"/>
      <c r="AG511" s="2"/>
    </row>
    <row r="512" spans="1:33" x14ac:dyDescent="0.35">
      <c r="A512">
        <f t="shared" si="119"/>
        <v>510</v>
      </c>
      <c r="B512">
        <f>IF(G512="Bonds",COUNTIF($G$3:G512,"Bonds"),0)</f>
        <v>149</v>
      </c>
      <c r="C512" t="str">
        <f t="shared" si="123"/>
        <v>Suzano4341316/03/2047</v>
      </c>
      <c r="D512">
        <f t="shared" si="124"/>
        <v>35</v>
      </c>
      <c r="E512" s="9" t="s">
        <v>596</v>
      </c>
      <c r="F512" s="9" t="s">
        <v>592</v>
      </c>
      <c r="G512" s="9" t="s">
        <v>37</v>
      </c>
      <c r="H512">
        <f t="shared" si="114"/>
        <v>1</v>
      </c>
      <c r="I512" s="9"/>
      <c r="J512" s="1">
        <f t="shared" si="115"/>
        <v>14</v>
      </c>
      <c r="K512" s="2">
        <v>43413</v>
      </c>
      <c r="L512" s="2" t="s">
        <v>597</v>
      </c>
      <c r="M512" s="10">
        <f t="shared" si="116"/>
        <v>28.367123287671234</v>
      </c>
      <c r="N512" s="11">
        <f t="shared" si="117"/>
        <v>1</v>
      </c>
      <c r="O512" s="9" t="s">
        <v>39</v>
      </c>
      <c r="P512" t="str">
        <f t="shared" si="120"/>
        <v>0</v>
      </c>
      <c r="Q512" s="12"/>
      <c r="R512" s="9"/>
      <c r="S512" s="1">
        <f>IF($V512="USD",INDEX('Dólar Spot'!$B:$B,MATCH(Base!$K512,'Dólar Spot'!$A:$A,0)),"")</f>
        <v>3.75</v>
      </c>
      <c r="T512" s="12">
        <v>500000000</v>
      </c>
      <c r="U512" s="13">
        <f t="shared" si="118"/>
        <v>18.75</v>
      </c>
      <c r="V512" s="9" t="s">
        <v>40</v>
      </c>
      <c r="W512" s="9" t="s">
        <v>34</v>
      </c>
      <c r="X512">
        <f t="shared" si="121"/>
        <v>1</v>
      </c>
      <c r="Y512" s="1" t="str" cm="1">
        <f t="array" ref="Y512">INDEX(Ratings!$B$2:$M$42,_xlfn.XMATCH(Base!F512,Ratings!$A$2:$A$42),_xlfn.XMATCH(YEAR(Base!K512),Ratings!$B$1:$M$1))</f>
        <v>BBB-</v>
      </c>
      <c r="Z512">
        <f t="shared" si="122"/>
        <v>1</v>
      </c>
      <c r="AA512">
        <f>IFERROR(IFERROR(IFERROR(INDEX('EMBI+'!$B:$B,MATCH(Base!$K512,'EMBI+'!$A:$A,0)),INDEX('EMBI+'!$B:$B,MATCH(Base!$K512+1,'EMBI+'!$A:$A,0))),INDEX('EMBI+'!$B:$B,MATCH(Base!$K512+2,'EMBI+'!$A:$A,0))),INDEX('EMBI+'!$B:$B,MATCH(Base!$K512+3,'EMBI+'!$A:$A,0)))/100</f>
        <v>2.54</v>
      </c>
      <c r="AB512" s="9">
        <v>120.12007</v>
      </c>
      <c r="AC512" s="9">
        <v>357.37509</v>
      </c>
      <c r="AD512" s="9"/>
      <c r="AE512" s="9"/>
      <c r="AF512" s="2"/>
      <c r="AG512" s="2"/>
    </row>
    <row r="513" spans="1:33" x14ac:dyDescent="0.35">
      <c r="A513">
        <f t="shared" si="119"/>
        <v>511</v>
      </c>
      <c r="B513">
        <f>IF(G513="Bonds",COUNTIF($G$3:G513,"Bonds"),0)</f>
        <v>150</v>
      </c>
      <c r="C513" t="str">
        <f t="shared" si="123"/>
        <v>Suzano4299016/03/2047</v>
      </c>
      <c r="D513">
        <f t="shared" si="124"/>
        <v>35</v>
      </c>
      <c r="E513" s="9" t="s">
        <v>596</v>
      </c>
      <c r="F513" s="9" t="s">
        <v>592</v>
      </c>
      <c r="G513" s="9" t="s">
        <v>37</v>
      </c>
      <c r="H513">
        <f t="shared" si="114"/>
        <v>1</v>
      </c>
      <c r="I513" s="9"/>
      <c r="J513" s="1">
        <f t="shared" si="115"/>
        <v>15</v>
      </c>
      <c r="K513" s="2">
        <v>42990</v>
      </c>
      <c r="L513" s="2" t="s">
        <v>597</v>
      </c>
      <c r="M513" s="10">
        <f t="shared" si="116"/>
        <v>29.526027397260275</v>
      </c>
      <c r="N513" s="11">
        <f t="shared" si="117"/>
        <v>1</v>
      </c>
      <c r="O513" s="9" t="s">
        <v>39</v>
      </c>
      <c r="P513" t="str">
        <f t="shared" si="120"/>
        <v>0</v>
      </c>
      <c r="Q513" s="12"/>
      <c r="R513" s="9"/>
      <c r="S513" s="1">
        <f>IF($V513="USD",INDEX('Dólar Spot'!$B:$B,MATCH(Base!$K513,'Dólar Spot'!$A:$A,0)),"")</f>
        <v>3.1137999999999999</v>
      </c>
      <c r="T513" s="12">
        <v>200000000</v>
      </c>
      <c r="U513" s="13">
        <f t="shared" si="118"/>
        <v>6.2275999999999998</v>
      </c>
      <c r="V513" s="9" t="s">
        <v>40</v>
      </c>
      <c r="W513" s="9" t="s">
        <v>35</v>
      </c>
      <c r="X513">
        <f t="shared" si="121"/>
        <v>0</v>
      </c>
      <c r="Y513" s="1" t="str" cm="1">
        <f t="array" ref="Y513">INDEX(Ratings!$B$2:$M$42,_xlfn.XMATCH(Base!F513,Ratings!$A$2:$A$42),_xlfn.XMATCH(YEAR(Base!K513),Ratings!$B$1:$M$1))</f>
        <v>BB+</v>
      </c>
      <c r="Z513">
        <f t="shared" si="122"/>
        <v>0</v>
      </c>
      <c r="AA513">
        <f>IFERROR(IFERROR(IFERROR(INDEX('EMBI+'!$B:$B,MATCH(Base!$K513,'EMBI+'!$A:$A,0)),INDEX('EMBI+'!$B:$B,MATCH(Base!$K513+1,'EMBI+'!$A:$A,0))),INDEX('EMBI+'!$B:$B,MATCH(Base!$K513+2,'EMBI+'!$A:$A,0))),INDEX('EMBI+'!$B:$B,MATCH(Base!$K513+3,'EMBI+'!$A:$A,0)))/100</f>
        <v>2.6</v>
      </c>
      <c r="AB513" s="9">
        <v>116.06074</v>
      </c>
      <c r="AC513" s="9">
        <v>131.32910999999999</v>
      </c>
      <c r="AD513" s="9"/>
      <c r="AE513" s="9"/>
      <c r="AF513" s="2"/>
      <c r="AG513" s="2"/>
    </row>
    <row r="514" spans="1:33" x14ac:dyDescent="0.35">
      <c r="A514">
        <f t="shared" si="119"/>
        <v>512</v>
      </c>
      <c r="B514">
        <f>IF(G514="Bonds",COUNTIF($G$3:G514,"Bonds"),0)</f>
        <v>151</v>
      </c>
      <c r="C514" t="str">
        <f t="shared" si="123"/>
        <v>Suzano4336315/01/2029</v>
      </c>
      <c r="D514">
        <f t="shared" si="124"/>
        <v>35</v>
      </c>
      <c r="E514" s="9" t="s">
        <v>596</v>
      </c>
      <c r="F514" s="9" t="s">
        <v>592</v>
      </c>
      <c r="G514" s="9" t="s">
        <v>37</v>
      </c>
      <c r="H514">
        <f t="shared" si="114"/>
        <v>1</v>
      </c>
      <c r="I514" s="9"/>
      <c r="J514" s="1">
        <f t="shared" si="115"/>
        <v>16</v>
      </c>
      <c r="K514" s="2">
        <v>43363</v>
      </c>
      <c r="L514" s="2" t="s">
        <v>598</v>
      </c>
      <c r="M514" s="10">
        <f t="shared" si="116"/>
        <v>10.328767123287671</v>
      </c>
      <c r="N514" s="11">
        <f t="shared" si="117"/>
        <v>1</v>
      </c>
      <c r="O514" s="9" t="s">
        <v>39</v>
      </c>
      <c r="P514" t="str">
        <f t="shared" si="120"/>
        <v>0</v>
      </c>
      <c r="Q514" s="12"/>
      <c r="R514" s="9"/>
      <c r="S514" s="1">
        <f>IF($V514="USD",INDEX('Dólar Spot'!$B:$B,MATCH(Base!$K514,'Dólar Spot'!$A:$A,0)),"")</f>
        <v>4.0991</v>
      </c>
      <c r="T514" s="12">
        <v>1000000000</v>
      </c>
      <c r="U514" s="13">
        <f t="shared" si="118"/>
        <v>40.991</v>
      </c>
      <c r="V514" s="9" t="s">
        <v>40</v>
      </c>
      <c r="W514" s="9" t="s">
        <v>34</v>
      </c>
      <c r="X514">
        <f t="shared" si="121"/>
        <v>1</v>
      </c>
      <c r="Y514" s="1" t="str" cm="1">
        <f t="array" ref="Y514">INDEX(Ratings!$B$2:$M$42,_xlfn.XMATCH(Base!F514,Ratings!$A$2:$A$42),_xlfn.XMATCH(YEAR(Base!K514),Ratings!$B$1:$M$1))</f>
        <v>BBB-</v>
      </c>
      <c r="Z514">
        <f t="shared" si="122"/>
        <v>1</v>
      </c>
      <c r="AA514">
        <f>IFERROR(IFERROR(IFERROR(INDEX('EMBI+'!$B:$B,MATCH(Base!$K514,'EMBI+'!$A:$A,0)),INDEX('EMBI+'!$B:$B,MATCH(Base!$K514+1,'EMBI+'!$A:$A,0))),INDEX('EMBI+'!$B:$B,MATCH(Base!$K514+2,'EMBI+'!$A:$A,0))),INDEX('EMBI+'!$B:$B,MATCH(Base!$K514+3,'EMBI+'!$A:$A,0)))/100</f>
        <v>3.09</v>
      </c>
      <c r="AB514" s="9">
        <v>106.32102999999999</v>
      </c>
      <c r="AC514" s="9">
        <v>238.18734000000001</v>
      </c>
      <c r="AD514" s="9"/>
      <c r="AE514" s="9"/>
      <c r="AF514" s="2"/>
      <c r="AG514" s="2"/>
    </row>
    <row r="515" spans="1:33" x14ac:dyDescent="0.35">
      <c r="A515">
        <f t="shared" si="119"/>
        <v>513</v>
      </c>
      <c r="B515">
        <f>IF(G515="Bonds",COUNTIF($G$3:G515,"Bonds"),0)</f>
        <v>152</v>
      </c>
      <c r="C515" t="str">
        <f t="shared" si="123"/>
        <v>Suzano4350115/01/2029</v>
      </c>
      <c r="D515">
        <f t="shared" si="124"/>
        <v>35</v>
      </c>
      <c r="E515" s="9" t="s">
        <v>596</v>
      </c>
      <c r="F515" s="9" t="s">
        <v>592</v>
      </c>
      <c r="G515" s="9" t="s">
        <v>37</v>
      </c>
      <c r="H515">
        <f t="shared" ref="H515:H557" si="127">IF(G515="Bonds",1,0)</f>
        <v>1</v>
      </c>
      <c r="I515" s="9"/>
      <c r="J515" s="1">
        <f t="shared" ref="J515:J557" si="128">IF(F515=F514,J514+1,1)</f>
        <v>17</v>
      </c>
      <c r="K515" s="2">
        <v>43501</v>
      </c>
      <c r="L515" s="2" t="s">
        <v>598</v>
      </c>
      <c r="M515" s="10">
        <f t="shared" ref="M515:M557" si="129">(L515-K515)/365</f>
        <v>9.9506849315068493</v>
      </c>
      <c r="N515" s="11">
        <f t="shared" ref="N515:N557" si="130">IF(M515&gt;5,1,0)</f>
        <v>1</v>
      </c>
      <c r="O515" s="9" t="s">
        <v>39</v>
      </c>
      <c r="P515" t="str">
        <f t="shared" si="120"/>
        <v>0</v>
      </c>
      <c r="Q515" s="12"/>
      <c r="R515" s="9"/>
      <c r="S515" s="1">
        <f>IF($V515="USD",INDEX('Dólar Spot'!$B:$B,MATCH(Base!$K515,'Dólar Spot'!$A:$A,0)),"")</f>
        <v>3.6735000000000002</v>
      </c>
      <c r="T515" s="12">
        <v>750000000</v>
      </c>
      <c r="U515" s="13">
        <f t="shared" ref="U515:U557" si="131">IF(V515="USD",T515*S515/100000000,Q515*R515/100000000)</f>
        <v>27.55125</v>
      </c>
      <c r="V515" s="9" t="s">
        <v>40</v>
      </c>
      <c r="W515" s="9" t="s">
        <v>34</v>
      </c>
      <c r="X515">
        <f t="shared" si="121"/>
        <v>1</v>
      </c>
      <c r="Y515" s="1" t="str" cm="1">
        <f t="array" ref="Y515">INDEX(Ratings!$B$2:$M$42,_xlfn.XMATCH(Base!F515,Ratings!$A$2:$A$42),_xlfn.XMATCH(YEAR(Base!K515),Ratings!$B$1:$M$1))</f>
        <v>BBB-</v>
      </c>
      <c r="Z515">
        <f t="shared" si="122"/>
        <v>1</v>
      </c>
      <c r="AA515">
        <f>IFERROR(IFERROR(IFERROR(INDEX('EMBI+'!$B:$B,MATCH(Base!$K515,'EMBI+'!$A:$A,0)),INDEX('EMBI+'!$B:$B,MATCH(Base!$K515+1,'EMBI+'!$A:$A,0))),INDEX('EMBI+'!$B:$B,MATCH(Base!$K515+2,'EMBI+'!$A:$A,0))),INDEX('EMBI+'!$B:$B,MATCH(Base!$K515+3,'EMBI+'!$A:$A,0)))/100</f>
        <v>2.3199999999999998</v>
      </c>
      <c r="AB515" s="9">
        <v>120.12007</v>
      </c>
      <c r="AC515" s="9">
        <v>357.37509</v>
      </c>
      <c r="AD515" s="9"/>
      <c r="AE515" s="9"/>
      <c r="AF515" s="2"/>
      <c r="AG515" s="2"/>
    </row>
    <row r="516" spans="1:33" x14ac:dyDescent="0.35">
      <c r="A516">
        <f t="shared" ref="A516:A557" si="132">+A515+1</f>
        <v>514</v>
      </c>
      <c r="B516">
        <f>IF(G516="Bonds",COUNTIF($G$3:G516,"Bonds"),0)</f>
        <v>0</v>
      </c>
      <c r="C516" t="str">
        <f t="shared" si="123"/>
        <v>Ultrapar4098442079</v>
      </c>
      <c r="D516">
        <f t="shared" si="124"/>
        <v>36</v>
      </c>
      <c r="E516" s="9" t="s">
        <v>603</v>
      </c>
      <c r="F516" s="9" t="s">
        <v>604</v>
      </c>
      <c r="G516" s="9" t="s">
        <v>29</v>
      </c>
      <c r="H516">
        <f t="shared" si="127"/>
        <v>0</v>
      </c>
      <c r="I516" s="9" t="s">
        <v>605</v>
      </c>
      <c r="J516" s="1">
        <f t="shared" si="128"/>
        <v>1</v>
      </c>
      <c r="K516" s="2">
        <v>40984</v>
      </c>
      <c r="L516" s="2">
        <v>42079</v>
      </c>
      <c r="M516" s="10">
        <f t="shared" si="129"/>
        <v>3</v>
      </c>
      <c r="N516" s="11">
        <f t="shared" si="130"/>
        <v>0</v>
      </c>
      <c r="O516" s="9" t="s">
        <v>47</v>
      </c>
      <c r="P516" t="str">
        <f t="shared" ref="P516:P557" si="133">IF(OR(O516="Real",O516="Flutuante",O516="SR SECURED"),"1","0")</f>
        <v>0</v>
      </c>
      <c r="Q516" s="12">
        <v>800</v>
      </c>
      <c r="R516" s="9">
        <v>1000000</v>
      </c>
      <c r="S516" s="1" t="str">
        <f>IF($V516="USD",INDEX('Dólar Spot'!$B:$B,MATCH(Base!$K516,'Dólar Spot'!$A:$A,0)),"")</f>
        <v/>
      </c>
      <c r="T516" s="12">
        <f>Q516*R516</f>
        <v>800000000</v>
      </c>
      <c r="U516" s="13">
        <f t="shared" si="131"/>
        <v>8</v>
      </c>
      <c r="V516" s="9" t="s">
        <v>44</v>
      </c>
      <c r="W516" s="9" t="s">
        <v>34</v>
      </c>
      <c r="X516">
        <f t="shared" ref="X516:X557" si="134">IF(OR(W516="N",W516="AT MATURITY"),0,1)</f>
        <v>1</v>
      </c>
      <c r="Y516" s="1" t="str" cm="1">
        <f t="array" ref="Y516">INDEX(Ratings!$B$2:$M$42,_xlfn.XMATCH(Base!F516,Ratings!$A$2:$A$42),_xlfn.XMATCH(YEAR(Base!K516),Ratings!$B$1:$M$1))</f>
        <v>BBB-</v>
      </c>
      <c r="Z516">
        <f t="shared" ref="Z516:Z557" si="135">IF(AND(Y516&lt;&gt;"BBB-",Y516&lt;&gt;"BBB",Y516&lt;&gt;"BBB+"),0,1)</f>
        <v>1</v>
      </c>
      <c r="AA516">
        <f>IFERROR(IFERROR(IFERROR(INDEX('EMBI+'!$B:$B,MATCH(Base!$K516,'EMBI+'!$A:$A,0)),INDEX('EMBI+'!$B:$B,MATCH(Base!$K516+1,'EMBI+'!$A:$A,0))),INDEX('EMBI+'!$B:$B,MATCH(Base!$K516+2,'EMBI+'!$A:$A,0))),INDEX('EMBI+'!$B:$B,MATCH(Base!$K516+3,'EMBI+'!$A:$A,0)))/100</f>
        <v>1.71</v>
      </c>
      <c r="AB516" s="9">
        <v>56.197859999999999</v>
      </c>
      <c r="AC516" s="9">
        <v>54.956139999999998</v>
      </c>
      <c r="AD516" s="9"/>
      <c r="AE516" s="9"/>
      <c r="AF516" s="2"/>
      <c r="AG516" s="2"/>
    </row>
    <row r="517" spans="1:33" x14ac:dyDescent="0.35">
      <c r="A517">
        <f t="shared" si="132"/>
        <v>515</v>
      </c>
      <c r="B517">
        <f>IF(G517="Bonds",COUNTIF($G$3:G517,"Bonds"),0)</f>
        <v>0</v>
      </c>
      <c r="C517" t="str">
        <f t="shared" ref="C517:C557" si="136">F517&amp;K517&amp;L517</f>
        <v>Ultrapar4207943175</v>
      </c>
      <c r="D517">
        <f t="shared" ref="D517:D557" si="137">IF(F517&lt;&gt;F516,D516+1,D516)</f>
        <v>36</v>
      </c>
      <c r="E517" s="9" t="s">
        <v>603</v>
      </c>
      <c r="F517" s="9" t="s">
        <v>604</v>
      </c>
      <c r="G517" s="9" t="s">
        <v>29</v>
      </c>
      <c r="H517">
        <f t="shared" si="127"/>
        <v>0</v>
      </c>
      <c r="I517" s="9" t="s">
        <v>606</v>
      </c>
      <c r="J517" s="1">
        <f t="shared" si="128"/>
        <v>2</v>
      </c>
      <c r="K517" s="2">
        <v>42079</v>
      </c>
      <c r="L517" s="2">
        <v>43175</v>
      </c>
      <c r="M517" s="10">
        <f t="shared" si="129"/>
        <v>3.0027397260273974</v>
      </c>
      <c r="N517" s="11">
        <f t="shared" si="130"/>
        <v>0</v>
      </c>
      <c r="O517" s="9" t="s">
        <v>47</v>
      </c>
      <c r="P517" t="str">
        <f t="shared" si="133"/>
        <v>0</v>
      </c>
      <c r="Q517" s="12">
        <v>80000</v>
      </c>
      <c r="R517" s="9">
        <v>10000</v>
      </c>
      <c r="S517" s="1" t="str">
        <f>IF($V517="USD",INDEX('Dólar Spot'!$B:$B,MATCH(Base!$K517,'Dólar Spot'!$A:$A,0)),"")</f>
        <v/>
      </c>
      <c r="T517" s="12">
        <f>Q517*R517</f>
        <v>800000000</v>
      </c>
      <c r="U517" s="13">
        <f t="shared" si="131"/>
        <v>8</v>
      </c>
      <c r="V517" s="9" t="s">
        <v>44</v>
      </c>
      <c r="W517" s="9" t="s">
        <v>34</v>
      </c>
      <c r="X517">
        <f t="shared" si="134"/>
        <v>1</v>
      </c>
      <c r="Y517" s="1" t="str" cm="1">
        <f t="array" ref="Y517">INDEX(Ratings!$B$2:$M$42,_xlfn.XMATCH(Base!F517,Ratings!$A$2:$A$42),_xlfn.XMATCH(YEAR(Base!K517),Ratings!$B$1:$M$1))</f>
        <v>BBB</v>
      </c>
      <c r="Z517">
        <f t="shared" si="135"/>
        <v>1</v>
      </c>
      <c r="AA517">
        <f>IFERROR(IFERROR(IFERROR(INDEX('EMBI+'!$B:$B,MATCH(Base!$K517,'EMBI+'!$A:$A,0)),INDEX('EMBI+'!$B:$B,MATCH(Base!$K517+1,'EMBI+'!$A:$A,0))),INDEX('EMBI+'!$B:$B,MATCH(Base!$K517+2,'EMBI+'!$A:$A,0))),INDEX('EMBI+'!$B:$B,MATCH(Base!$K517+3,'EMBI+'!$A:$A,0)))/100</f>
        <v>3.44</v>
      </c>
      <c r="AB517" s="9">
        <v>78.565619999999996</v>
      </c>
      <c r="AC517" s="9">
        <v>89.780510000000007</v>
      </c>
      <c r="AD517" s="9"/>
      <c r="AE517" s="9"/>
      <c r="AF517" s="2"/>
      <c r="AG517" s="2"/>
    </row>
    <row r="518" spans="1:33" x14ac:dyDescent="0.35">
      <c r="A518">
        <f t="shared" si="132"/>
        <v>516</v>
      </c>
      <c r="B518">
        <f>IF(G518="Bonds",COUNTIF($G$3:G518,"Bonds"),0)</f>
        <v>0</v>
      </c>
      <c r="C518" t="str">
        <f t="shared" si="136"/>
        <v>Ultrapar4316444990</v>
      </c>
      <c r="D518">
        <f t="shared" si="137"/>
        <v>36</v>
      </c>
      <c r="E518" s="9" t="s">
        <v>603</v>
      </c>
      <c r="F518" s="9" t="s">
        <v>604</v>
      </c>
      <c r="G518" s="9" t="s">
        <v>29</v>
      </c>
      <c r="H518">
        <f t="shared" si="127"/>
        <v>0</v>
      </c>
      <c r="I518" s="9" t="s">
        <v>607</v>
      </c>
      <c r="J518" s="1">
        <f t="shared" si="128"/>
        <v>3</v>
      </c>
      <c r="K518" s="2">
        <v>43164</v>
      </c>
      <c r="L518" s="2">
        <v>44990</v>
      </c>
      <c r="M518" s="10">
        <f t="shared" si="129"/>
        <v>5.0027397260273974</v>
      </c>
      <c r="N518" s="11">
        <f t="shared" si="130"/>
        <v>1</v>
      </c>
      <c r="O518" s="9" t="s">
        <v>47</v>
      </c>
      <c r="P518" t="str">
        <f t="shared" si="133"/>
        <v>0</v>
      </c>
      <c r="Q518" s="12">
        <v>1725000</v>
      </c>
      <c r="R518" s="9">
        <v>1000</v>
      </c>
      <c r="S518" s="1" t="str">
        <f>IF($V518="USD",INDEX('Dólar Spot'!$B:$B,MATCH(Base!$K518,'Dólar Spot'!$A:$A,0)),"")</f>
        <v/>
      </c>
      <c r="T518" s="12">
        <f>Q518*R518</f>
        <v>1725000000</v>
      </c>
      <c r="U518" s="13">
        <f t="shared" si="131"/>
        <v>17.25</v>
      </c>
      <c r="V518" s="9" t="s">
        <v>44</v>
      </c>
      <c r="W518" s="9" t="s">
        <v>34</v>
      </c>
      <c r="X518">
        <f t="shared" si="134"/>
        <v>1</v>
      </c>
      <c r="Y518" s="1" t="str" cm="1">
        <f t="array" ref="Y518">INDEX(Ratings!$B$2:$M$42,_xlfn.XMATCH(Base!F518,Ratings!$A$2:$A$42),_xlfn.XMATCH(YEAR(Base!K518),Ratings!$B$1:$M$1))</f>
        <v>BB+</v>
      </c>
      <c r="Z518">
        <f t="shared" si="135"/>
        <v>0</v>
      </c>
      <c r="AA518">
        <f>IFERROR(IFERROR(IFERROR(INDEX('EMBI+'!$B:$B,MATCH(Base!$K518,'EMBI+'!$A:$A,0)),INDEX('EMBI+'!$B:$B,MATCH(Base!$K518+1,'EMBI+'!$A:$A,0))),INDEX('EMBI+'!$B:$B,MATCH(Base!$K518+2,'EMBI+'!$A:$A,0))),INDEX('EMBI+'!$B:$B,MATCH(Base!$K518+3,'EMBI+'!$A:$A,0)))/100</f>
        <v>2.37</v>
      </c>
      <c r="AB518" s="9">
        <v>91.307770000000005</v>
      </c>
      <c r="AC518" s="9">
        <v>147.80311</v>
      </c>
      <c r="AD518" s="9"/>
      <c r="AE518" s="9"/>
      <c r="AF518" s="2"/>
      <c r="AG518" s="2"/>
    </row>
    <row r="519" spans="1:33" x14ac:dyDescent="0.35">
      <c r="A519">
        <f t="shared" si="132"/>
        <v>517</v>
      </c>
      <c r="B519">
        <f>IF(G519="Bonds",COUNTIF($G$3:G519,"Bonds"),0)</f>
        <v>153</v>
      </c>
      <c r="C519" t="str">
        <f t="shared" si="136"/>
        <v>Ultrapar4362206/06/2029</v>
      </c>
      <c r="D519">
        <f t="shared" si="137"/>
        <v>36</v>
      </c>
      <c r="E519" s="9" t="s">
        <v>608</v>
      </c>
      <c r="F519" s="9" t="s">
        <v>604</v>
      </c>
      <c r="G519" s="9" t="s">
        <v>37</v>
      </c>
      <c r="H519">
        <f t="shared" si="127"/>
        <v>1</v>
      </c>
      <c r="I519" s="9"/>
      <c r="J519" s="1">
        <f t="shared" si="128"/>
        <v>4</v>
      </c>
      <c r="K519" s="2">
        <v>43622</v>
      </c>
      <c r="L519" s="2" t="s">
        <v>609</v>
      </c>
      <c r="M519" s="10">
        <f t="shared" si="129"/>
        <v>10.008219178082191</v>
      </c>
      <c r="N519" s="11">
        <f t="shared" si="130"/>
        <v>1</v>
      </c>
      <c r="O519" s="9" t="s">
        <v>39</v>
      </c>
      <c r="P519" t="str">
        <f t="shared" si="133"/>
        <v>0</v>
      </c>
      <c r="Q519" s="9"/>
      <c r="R519" s="9"/>
      <c r="S519" s="1">
        <f>IF($V519="USD",INDEX('Dólar Spot'!$B:$B,MATCH(Base!$K519,'Dólar Spot'!$A:$A,0)),"")</f>
        <v>3.8719999999999999</v>
      </c>
      <c r="T519" s="12">
        <v>500000000</v>
      </c>
      <c r="U519" s="13">
        <f t="shared" si="131"/>
        <v>19.36</v>
      </c>
      <c r="V519" s="9" t="s">
        <v>40</v>
      </c>
      <c r="W519" s="9" t="s">
        <v>35</v>
      </c>
      <c r="X519">
        <f t="shared" si="134"/>
        <v>0</v>
      </c>
      <c r="Y519" s="1" t="str" cm="1">
        <f t="array" ref="Y519">INDEX(Ratings!$B$2:$M$42,_xlfn.XMATCH(Base!F519,Ratings!$A$2:$A$42),_xlfn.XMATCH(YEAR(Base!K519),Ratings!$B$1:$M$1))</f>
        <v>BB+</v>
      </c>
      <c r="Z519">
        <f t="shared" si="135"/>
        <v>0</v>
      </c>
      <c r="AA519">
        <f>IFERROR(IFERROR(IFERROR(INDEX('EMBI+'!$B:$B,MATCH(Base!$K519,'EMBI+'!$A:$A,0)),INDEX('EMBI+'!$B:$B,MATCH(Base!$K519+1,'EMBI+'!$A:$A,0))),INDEX('EMBI+'!$B:$B,MATCH(Base!$K519+2,'EMBI+'!$A:$A,0))),INDEX('EMBI+'!$B:$B,MATCH(Base!$K519+3,'EMBI+'!$A:$A,0)))/100</f>
        <v>2.5499999999999998</v>
      </c>
      <c r="AB519" s="9">
        <v>96.921009999999995</v>
      </c>
      <c r="AC519" s="9">
        <v>161.35296</v>
      </c>
      <c r="AD519" s="9"/>
      <c r="AE519" s="9"/>
      <c r="AF519" s="2"/>
      <c r="AG519" s="2"/>
    </row>
    <row r="520" spans="1:33" x14ac:dyDescent="0.35">
      <c r="A520">
        <f t="shared" si="132"/>
        <v>518</v>
      </c>
      <c r="B520">
        <f>IF(G520="Bonds",COUNTIF($G$3:G520,"Bonds"),0)</f>
        <v>154</v>
      </c>
      <c r="C520" t="str">
        <f t="shared" si="136"/>
        <v>Ultrapar4264906/10/2026</v>
      </c>
      <c r="D520">
        <f t="shared" si="137"/>
        <v>36</v>
      </c>
      <c r="E520" s="9" t="s">
        <v>608</v>
      </c>
      <c r="F520" s="9" t="s">
        <v>604</v>
      </c>
      <c r="G520" s="9" t="s">
        <v>37</v>
      </c>
      <c r="H520">
        <f t="shared" si="127"/>
        <v>1</v>
      </c>
      <c r="I520" s="9"/>
      <c r="J520" s="1">
        <f t="shared" si="128"/>
        <v>5</v>
      </c>
      <c r="K520" s="2">
        <v>42649</v>
      </c>
      <c r="L520" s="2" t="s">
        <v>610</v>
      </c>
      <c r="M520" s="10">
        <f t="shared" si="129"/>
        <v>10.005479452054795</v>
      </c>
      <c r="N520" s="11">
        <f t="shared" si="130"/>
        <v>1</v>
      </c>
      <c r="O520" s="9" t="s">
        <v>39</v>
      </c>
      <c r="P520" t="str">
        <f t="shared" si="133"/>
        <v>0</v>
      </c>
      <c r="Q520" s="9"/>
      <c r="R520" s="9"/>
      <c r="S520" s="1">
        <f>IF($V520="USD",INDEX('Dólar Spot'!$B:$B,MATCH(Base!$K520,'Dólar Spot'!$A:$A,0)),"")</f>
        <v>3.2303999999999999</v>
      </c>
      <c r="T520" s="12">
        <v>750000000</v>
      </c>
      <c r="U520" s="13">
        <f t="shared" si="131"/>
        <v>24.228000000000002</v>
      </c>
      <c r="V520" s="9" t="s">
        <v>40</v>
      </c>
      <c r="W520" s="9" t="s">
        <v>35</v>
      </c>
      <c r="X520">
        <f t="shared" si="134"/>
        <v>0</v>
      </c>
      <c r="Y520" s="1" t="str" cm="1">
        <f t="array" ref="Y520">INDEX(Ratings!$B$2:$M$42,_xlfn.XMATCH(Base!F520,Ratings!$A$2:$A$42),_xlfn.XMATCH(YEAR(Base!K520),Ratings!$B$1:$M$1))</f>
        <v>BB+</v>
      </c>
      <c r="Z520">
        <f t="shared" si="135"/>
        <v>0</v>
      </c>
      <c r="AA520">
        <f>IFERROR(IFERROR(IFERROR(INDEX('EMBI+'!$B:$B,MATCH(Base!$K520,'EMBI+'!$A:$A,0)),INDEX('EMBI+'!$B:$B,MATCH(Base!$K520+1,'EMBI+'!$A:$A,0))),INDEX('EMBI+'!$B:$B,MATCH(Base!$K520+2,'EMBI+'!$A:$A,0))),INDEX('EMBI+'!$B:$B,MATCH(Base!$K520+3,'EMBI+'!$A:$A,0)))/100</f>
        <v>3.17</v>
      </c>
      <c r="AB520" s="9">
        <v>83.94211</v>
      </c>
      <c r="AC520" s="9">
        <v>90.085250000000002</v>
      </c>
      <c r="AD520" s="9"/>
      <c r="AE520" s="9"/>
      <c r="AF520" s="2"/>
      <c r="AG520" s="2"/>
    </row>
    <row r="521" spans="1:33" x14ac:dyDescent="0.35">
      <c r="A521">
        <f t="shared" si="132"/>
        <v>519</v>
      </c>
      <c r="B521">
        <f>IF(G521="Bonds",COUNTIF($G$3:G521,"Bonds"),0)</f>
        <v>155</v>
      </c>
      <c r="C521" t="str">
        <f t="shared" si="136"/>
        <v>Ultrapar4403206/06/2029</v>
      </c>
      <c r="D521">
        <f t="shared" si="137"/>
        <v>36</v>
      </c>
      <c r="E521" s="9" t="s">
        <v>608</v>
      </c>
      <c r="F521" s="9" t="s">
        <v>604</v>
      </c>
      <c r="G521" s="9" t="s">
        <v>37</v>
      </c>
      <c r="H521">
        <f t="shared" si="127"/>
        <v>1</v>
      </c>
      <c r="I521" s="9"/>
      <c r="J521" s="1">
        <f t="shared" si="128"/>
        <v>6</v>
      </c>
      <c r="K521" s="2">
        <v>44032</v>
      </c>
      <c r="L521" s="2" t="s">
        <v>609</v>
      </c>
      <c r="M521" s="10">
        <f t="shared" si="129"/>
        <v>8.8849315068493144</v>
      </c>
      <c r="N521" s="11">
        <f t="shared" si="130"/>
        <v>1</v>
      </c>
      <c r="O521" s="9" t="s">
        <v>39</v>
      </c>
      <c r="P521" t="str">
        <f t="shared" si="133"/>
        <v>0</v>
      </c>
      <c r="Q521" s="9"/>
      <c r="R521" s="9"/>
      <c r="S521" s="1">
        <f>IF($V521="USD",INDEX('Dólar Spot'!$B:$B,MATCH(Base!$K521,'Dólar Spot'!$A:$A,0)),"")</f>
        <v>5.3628999999999998</v>
      </c>
      <c r="T521" s="12">
        <v>350000000</v>
      </c>
      <c r="U521" s="13">
        <f t="shared" si="131"/>
        <v>18.770150000000001</v>
      </c>
      <c r="V521" s="9" t="s">
        <v>40</v>
      </c>
      <c r="W521" s="9" t="s">
        <v>35</v>
      </c>
      <c r="X521">
        <f t="shared" si="134"/>
        <v>0</v>
      </c>
      <c r="Y521" s="1" t="str" cm="1">
        <f t="array" ref="Y521">INDEX(Ratings!$B$2:$M$42,_xlfn.XMATCH(Base!F521,Ratings!$A$2:$A$42),_xlfn.XMATCH(YEAR(Base!K521),Ratings!$B$1:$M$1))</f>
        <v>BB+</v>
      </c>
      <c r="Z521">
        <f t="shared" si="135"/>
        <v>0</v>
      </c>
      <c r="AA521">
        <f>IFERROR(IFERROR(IFERROR(INDEX('EMBI+'!$B:$B,MATCH(Base!$K521,'EMBI+'!$A:$A,0)),INDEX('EMBI+'!$B:$B,MATCH(Base!$K521+1,'EMBI+'!$A:$A,0))),INDEX('EMBI+'!$B:$B,MATCH(Base!$K521+2,'EMBI+'!$A:$A,0))),INDEX('EMBI+'!$B:$B,MATCH(Base!$K521+3,'EMBI+'!$A:$A,0)))/100</f>
        <v>3.55</v>
      </c>
      <c r="AB521" s="9">
        <v>91.164190000000005</v>
      </c>
      <c r="AC521" s="9">
        <v>195.39447999999999</v>
      </c>
      <c r="AD521" s="9"/>
      <c r="AE521" s="9"/>
      <c r="AF521" s="2"/>
      <c r="AG521" s="2"/>
    </row>
    <row r="522" spans="1:33" x14ac:dyDescent="0.35">
      <c r="A522">
        <f t="shared" si="132"/>
        <v>520</v>
      </c>
      <c r="B522">
        <f>IF(G522="Bonds",COUNTIF($G$3:G522,"Bonds"),0)</f>
        <v>0</v>
      </c>
      <c r="C522" t="str">
        <f t="shared" si="136"/>
        <v>Usiminas4130446006</v>
      </c>
      <c r="D522">
        <f t="shared" si="137"/>
        <v>37</v>
      </c>
      <c r="E522" s="9" t="s">
        <v>611</v>
      </c>
      <c r="F522" s="9" t="s">
        <v>612</v>
      </c>
      <c r="G522" s="9" t="s">
        <v>29</v>
      </c>
      <c r="H522">
        <f t="shared" si="127"/>
        <v>0</v>
      </c>
      <c r="I522" s="9" t="s">
        <v>613</v>
      </c>
      <c r="J522" s="1">
        <f t="shared" si="128"/>
        <v>1</v>
      </c>
      <c r="K522" s="2">
        <v>41304</v>
      </c>
      <c r="L522" s="2">
        <v>46006</v>
      </c>
      <c r="M522" s="10">
        <f t="shared" si="129"/>
        <v>12.882191780821918</v>
      </c>
      <c r="N522" s="11">
        <f t="shared" si="130"/>
        <v>1</v>
      </c>
      <c r="O522" s="9" t="s">
        <v>47</v>
      </c>
      <c r="P522" t="str">
        <f t="shared" si="133"/>
        <v>0</v>
      </c>
      <c r="Q522" s="12">
        <v>100000</v>
      </c>
      <c r="R522" s="9">
        <v>10000</v>
      </c>
      <c r="S522" s="1" t="str">
        <f>IF($V522="USD",INDEX('Dólar Spot'!$B:$B,MATCH(Base!$K522,'Dólar Spot'!$A:$A,0)),"")</f>
        <v/>
      </c>
      <c r="T522" s="11">
        <f>Q522*R522</f>
        <v>1000000000</v>
      </c>
      <c r="U522" s="13">
        <f t="shared" si="131"/>
        <v>10</v>
      </c>
      <c r="V522" s="9" t="s">
        <v>44</v>
      </c>
      <c r="W522" s="9" t="s">
        <v>34</v>
      </c>
      <c r="X522">
        <f t="shared" si="134"/>
        <v>1</v>
      </c>
      <c r="Y522" s="1" t="str" cm="1">
        <f t="array" ref="Y522">INDEX(Ratings!$B$2:$M$42,_xlfn.XMATCH(Base!F522,Ratings!$A$2:$A$42),_xlfn.XMATCH(YEAR(Base!K522),Ratings!$B$1:$M$1))</f>
        <v>BB+</v>
      </c>
      <c r="Z522">
        <f t="shared" si="135"/>
        <v>0</v>
      </c>
      <c r="AA522">
        <f>IFERROR(IFERROR(IFERROR(INDEX('EMBI+'!$B:$B,MATCH(Base!$K522,'EMBI+'!$A:$A,0)),INDEX('EMBI+'!$B:$B,MATCH(Base!$K522+1,'EMBI+'!$A:$A,0))),INDEX('EMBI+'!$B:$B,MATCH(Base!$K522+2,'EMBI+'!$A:$A,0))),INDEX('EMBI+'!$B:$B,MATCH(Base!$K522+3,'EMBI+'!$A:$A,0)))/100</f>
        <v>1.53</v>
      </c>
      <c r="AB522" s="9">
        <v>166.08429000000001</v>
      </c>
      <c r="AC522" s="9">
        <v>81.546599999999998</v>
      </c>
      <c r="AD522" s="9"/>
      <c r="AE522" s="9"/>
      <c r="AF522" s="2"/>
      <c r="AG522" s="2"/>
    </row>
    <row r="523" spans="1:33" x14ac:dyDescent="0.35">
      <c r="A523">
        <f t="shared" si="132"/>
        <v>521</v>
      </c>
      <c r="B523">
        <f>IF(G523="Bonds",COUNTIF($G$3:G523,"Bonds"),0)</f>
        <v>0</v>
      </c>
      <c r="C523" t="str">
        <f t="shared" si="136"/>
        <v>Usiminas4373845199</v>
      </c>
      <c r="D523">
        <f t="shared" si="137"/>
        <v>37</v>
      </c>
      <c r="E523" s="9" t="s">
        <v>611</v>
      </c>
      <c r="F523" s="9" t="s">
        <v>612</v>
      </c>
      <c r="G523" s="9" t="s">
        <v>29</v>
      </c>
      <c r="H523">
        <f t="shared" si="127"/>
        <v>0</v>
      </c>
      <c r="I523" s="9" t="s">
        <v>614</v>
      </c>
      <c r="J523" s="1">
        <f t="shared" si="128"/>
        <v>2</v>
      </c>
      <c r="K523" s="2">
        <v>43738</v>
      </c>
      <c r="L523" s="2">
        <v>45199</v>
      </c>
      <c r="M523" s="10">
        <f t="shared" si="129"/>
        <v>4.0027397260273974</v>
      </c>
      <c r="N523" s="11">
        <f t="shared" si="130"/>
        <v>0</v>
      </c>
      <c r="O523" s="9" t="s">
        <v>47</v>
      </c>
      <c r="P523" t="str">
        <f t="shared" si="133"/>
        <v>0</v>
      </c>
      <c r="Q523" s="12">
        <v>700000</v>
      </c>
      <c r="R523" s="9">
        <v>1000</v>
      </c>
      <c r="S523" s="1" t="str">
        <f>IF($V523="USD",INDEX('Dólar Spot'!$B:$B,MATCH(Base!$K523,'Dólar Spot'!$A:$A,0)),"")</f>
        <v/>
      </c>
      <c r="T523" s="11">
        <f>Q523*R523</f>
        <v>700000000</v>
      </c>
      <c r="U523" s="13">
        <f t="shared" si="131"/>
        <v>7</v>
      </c>
      <c r="V523" s="9" t="s">
        <v>44</v>
      </c>
      <c r="W523" s="9" t="s">
        <v>34</v>
      </c>
      <c r="X523">
        <f t="shared" si="134"/>
        <v>1</v>
      </c>
      <c r="Y523" s="1" t="str" cm="1">
        <f t="array" ref="Y523">INDEX(Ratings!$B$2:$M$42,_xlfn.XMATCH(Base!F523,Ratings!$A$2:$A$42),_xlfn.XMATCH(YEAR(Base!K523),Ratings!$B$1:$M$1))</f>
        <v>BB-</v>
      </c>
      <c r="Z523">
        <f t="shared" si="135"/>
        <v>0</v>
      </c>
      <c r="AA523">
        <f>IFERROR(IFERROR(IFERROR(INDEX('EMBI+'!$B:$B,MATCH(Base!$K523,'EMBI+'!$A:$A,0)),INDEX('EMBI+'!$B:$B,MATCH(Base!$K523+1,'EMBI+'!$A:$A,0))),INDEX('EMBI+'!$B:$B,MATCH(Base!$K523+2,'EMBI+'!$A:$A,0))),INDEX('EMBI+'!$B:$B,MATCH(Base!$K523+3,'EMBI+'!$A:$A,0)))/100</f>
        <v>2.4700000000000002</v>
      </c>
      <c r="AB523" s="9">
        <v>142.363</v>
      </c>
      <c r="AC523" s="9">
        <v>58.5047</v>
      </c>
      <c r="AD523" s="9"/>
      <c r="AE523" s="9"/>
      <c r="AF523" s="2"/>
      <c r="AG523" s="2"/>
    </row>
    <row r="524" spans="1:33" x14ac:dyDescent="0.35">
      <c r="A524">
        <f t="shared" si="132"/>
        <v>522</v>
      </c>
      <c r="B524">
        <f>IF(G524="Bonds",COUNTIF($G$3:G524,"Bonds"),0)</f>
        <v>0</v>
      </c>
      <c r="C524" t="str">
        <f t="shared" si="136"/>
        <v>Usiminas4373845930</v>
      </c>
      <c r="D524">
        <f t="shared" si="137"/>
        <v>37</v>
      </c>
      <c r="E524" s="9" t="s">
        <v>611</v>
      </c>
      <c r="F524" s="9" t="s">
        <v>612</v>
      </c>
      <c r="G524" s="9" t="s">
        <v>29</v>
      </c>
      <c r="H524">
        <f t="shared" si="127"/>
        <v>0</v>
      </c>
      <c r="I524" s="9" t="s">
        <v>615</v>
      </c>
      <c r="J524" s="1">
        <f t="shared" si="128"/>
        <v>3</v>
      </c>
      <c r="K524" s="2">
        <v>43738</v>
      </c>
      <c r="L524" s="2">
        <v>45930</v>
      </c>
      <c r="M524" s="10">
        <f t="shared" si="129"/>
        <v>6.0054794520547947</v>
      </c>
      <c r="N524" s="11">
        <f t="shared" si="130"/>
        <v>1</v>
      </c>
      <c r="O524" s="9" t="s">
        <v>47</v>
      </c>
      <c r="P524" t="str">
        <f t="shared" si="133"/>
        <v>0</v>
      </c>
      <c r="Q524" s="12">
        <v>1300000</v>
      </c>
      <c r="R524" s="9">
        <v>1000</v>
      </c>
      <c r="S524" s="1" t="str">
        <f>IF($V524="USD",INDEX('Dólar Spot'!$B:$B,MATCH(Base!$K524,'Dólar Spot'!$A:$A,0)),"")</f>
        <v/>
      </c>
      <c r="T524" s="11">
        <f>Q524*R524</f>
        <v>1300000000</v>
      </c>
      <c r="U524" s="13">
        <f t="shared" si="131"/>
        <v>13</v>
      </c>
      <c r="V524" s="9" t="s">
        <v>44</v>
      </c>
      <c r="W524" s="9" t="s">
        <v>34</v>
      </c>
      <c r="X524">
        <f t="shared" si="134"/>
        <v>1</v>
      </c>
      <c r="Y524" s="1" t="str" cm="1">
        <f t="array" ref="Y524">INDEX(Ratings!$B$2:$M$42,_xlfn.XMATCH(Base!F524,Ratings!$A$2:$A$42),_xlfn.XMATCH(YEAR(Base!K524),Ratings!$B$1:$M$1))</f>
        <v>BB-</v>
      </c>
      <c r="Z524">
        <f t="shared" si="135"/>
        <v>0</v>
      </c>
      <c r="AA524">
        <f>IFERROR(IFERROR(IFERROR(INDEX('EMBI+'!$B:$B,MATCH(Base!$K524,'EMBI+'!$A:$A,0)),INDEX('EMBI+'!$B:$B,MATCH(Base!$K524+1,'EMBI+'!$A:$A,0))),INDEX('EMBI+'!$B:$B,MATCH(Base!$K524+2,'EMBI+'!$A:$A,0))),INDEX('EMBI+'!$B:$B,MATCH(Base!$K524+3,'EMBI+'!$A:$A,0)))/100</f>
        <v>2.4700000000000002</v>
      </c>
      <c r="AB524" s="9">
        <v>142.363</v>
      </c>
      <c r="AC524" s="9">
        <v>58.5047</v>
      </c>
      <c r="AD524" s="9"/>
      <c r="AE524" s="9"/>
      <c r="AF524" s="2"/>
      <c r="AG524" s="2"/>
    </row>
    <row r="525" spans="1:33" x14ac:dyDescent="0.35">
      <c r="A525">
        <f t="shared" si="132"/>
        <v>523</v>
      </c>
      <c r="B525">
        <f>IF(G525="Bonds",COUNTIF($G$3:G525,"Bonds"),0)</f>
        <v>0</v>
      </c>
      <c r="C525" t="str">
        <f t="shared" si="136"/>
        <v>Usiminas4470446530</v>
      </c>
      <c r="D525">
        <f t="shared" si="137"/>
        <v>37</v>
      </c>
      <c r="E525" s="9" t="s">
        <v>611</v>
      </c>
      <c r="F525" s="9" t="s">
        <v>612</v>
      </c>
      <c r="G525" s="9" t="s">
        <v>29</v>
      </c>
      <c r="H525">
        <f t="shared" si="127"/>
        <v>0</v>
      </c>
      <c r="I525" s="9"/>
      <c r="J525" s="1">
        <f t="shared" si="128"/>
        <v>4</v>
      </c>
      <c r="K525" s="2">
        <v>44704</v>
      </c>
      <c r="L525" s="2">
        <v>46530</v>
      </c>
      <c r="M525" s="10">
        <f t="shared" si="129"/>
        <v>5.0027397260273974</v>
      </c>
      <c r="N525" s="11">
        <f t="shared" si="130"/>
        <v>1</v>
      </c>
      <c r="O525" s="9" t="s">
        <v>47</v>
      </c>
      <c r="P525" t="str">
        <f t="shared" si="133"/>
        <v>0</v>
      </c>
      <c r="Q525" s="12">
        <v>300000</v>
      </c>
      <c r="R525" s="9">
        <v>1000</v>
      </c>
      <c r="S525" s="1" t="str">
        <f>IF($V525="USD",INDEX('Dólar Spot'!$B:$B,MATCH(Base!$K525,'Dólar Spot'!$A:$A,0)),"")</f>
        <v/>
      </c>
      <c r="T525" s="11">
        <f t="shared" ref="T525:T529" si="138">Q525*R525</f>
        <v>300000000</v>
      </c>
      <c r="U525" s="13">
        <f t="shared" si="131"/>
        <v>3</v>
      </c>
      <c r="V525" s="9" t="s">
        <v>44</v>
      </c>
      <c r="W525" s="9" t="s">
        <v>34</v>
      </c>
      <c r="X525">
        <f t="shared" si="134"/>
        <v>1</v>
      </c>
      <c r="Y525" s="1" t="str" cm="1">
        <f t="array" ref="Y525">INDEX(Ratings!$B$2:$M$42,_xlfn.XMATCH(Base!F525,Ratings!$A$2:$A$42),_xlfn.XMATCH(YEAR(Base!K525),Ratings!$B$1:$M$1))</f>
        <v>BB</v>
      </c>
      <c r="Z525">
        <f t="shared" si="135"/>
        <v>0</v>
      </c>
      <c r="AA525">
        <f>IFERROR(IFERROR(IFERROR(INDEX('EMBI+'!$B:$B,MATCH(Base!$K525,'EMBI+'!$A:$A,0)),INDEX('EMBI+'!$B:$B,MATCH(Base!$K525+1,'EMBI+'!$A:$A,0))),INDEX('EMBI+'!$B:$B,MATCH(Base!$K525+2,'EMBI+'!$A:$A,0))),INDEX('EMBI+'!$B:$B,MATCH(Base!$K525+3,'EMBI+'!$A:$A,0)))/100</f>
        <v>3.25</v>
      </c>
      <c r="AB525" s="9">
        <v>229.34453999999999</v>
      </c>
      <c r="AC525" s="9">
        <v>55.505330000000001</v>
      </c>
      <c r="AD525" s="9"/>
      <c r="AE525" s="9"/>
      <c r="AF525" s="2"/>
      <c r="AG525" s="2"/>
    </row>
    <row r="526" spans="1:33" x14ac:dyDescent="0.35">
      <c r="A526">
        <f t="shared" si="132"/>
        <v>524</v>
      </c>
      <c r="B526">
        <f>IF(G526="Bonds",COUNTIF($G$3:G526,"Bonds"),0)</f>
        <v>0</v>
      </c>
      <c r="C526" t="str">
        <f t="shared" si="136"/>
        <v>Usiminas4490446730</v>
      </c>
      <c r="D526">
        <f t="shared" si="137"/>
        <v>37</v>
      </c>
      <c r="E526" s="9" t="s">
        <v>611</v>
      </c>
      <c r="F526" s="9" t="s">
        <v>612</v>
      </c>
      <c r="G526" s="9" t="s">
        <v>29</v>
      </c>
      <c r="H526">
        <f t="shared" si="127"/>
        <v>0</v>
      </c>
      <c r="I526" s="9"/>
      <c r="J526" s="1">
        <f t="shared" si="128"/>
        <v>5</v>
      </c>
      <c r="K526" s="2">
        <v>44904</v>
      </c>
      <c r="L526" s="2">
        <v>46730</v>
      </c>
      <c r="M526" s="10">
        <f t="shared" si="129"/>
        <v>5.0027397260273974</v>
      </c>
      <c r="N526" s="11">
        <f t="shared" si="130"/>
        <v>1</v>
      </c>
      <c r="O526" s="9" t="s">
        <v>47</v>
      </c>
      <c r="P526" t="str">
        <f t="shared" si="133"/>
        <v>0</v>
      </c>
      <c r="Q526" s="12">
        <v>160190</v>
      </c>
      <c r="R526" s="9">
        <v>1000</v>
      </c>
      <c r="S526" s="1" t="str">
        <f>IF($V526="USD",INDEX('Dólar Spot'!$B:$B,MATCH(Base!$K526,'Dólar Spot'!$A:$A,0)),"")</f>
        <v/>
      </c>
      <c r="T526" s="11">
        <f t="shared" si="138"/>
        <v>160190000</v>
      </c>
      <c r="U526" s="13">
        <f t="shared" si="131"/>
        <v>1.6019000000000001</v>
      </c>
      <c r="V526" s="9" t="s">
        <v>44</v>
      </c>
      <c r="W526" s="9" t="s">
        <v>34</v>
      </c>
      <c r="X526">
        <f t="shared" si="134"/>
        <v>1</v>
      </c>
      <c r="Y526" s="1" t="str" cm="1">
        <f t="array" ref="Y526">INDEX(Ratings!$B$2:$M$42,_xlfn.XMATCH(Base!F526,Ratings!$A$2:$A$42),_xlfn.XMATCH(YEAR(Base!K526),Ratings!$B$1:$M$1))</f>
        <v>BB</v>
      </c>
      <c r="Z526">
        <f t="shared" si="135"/>
        <v>0</v>
      </c>
      <c r="AA526">
        <f>IFERROR(IFERROR(IFERROR(INDEX('EMBI+'!$B:$B,MATCH(Base!$K526,'EMBI+'!$A:$A,0)),INDEX('EMBI+'!$B:$B,MATCH(Base!$K526+1,'EMBI+'!$A:$A,0))),INDEX('EMBI+'!$B:$B,MATCH(Base!$K526+2,'EMBI+'!$A:$A,0))),INDEX('EMBI+'!$B:$B,MATCH(Base!$K526+3,'EMBI+'!$A:$A,0)))/100</f>
        <v>2.44</v>
      </c>
      <c r="AB526" s="9">
        <v>231.55025000000001</v>
      </c>
      <c r="AC526" s="9">
        <v>61.975569999999998</v>
      </c>
      <c r="AD526" s="9"/>
      <c r="AE526" s="9"/>
      <c r="AF526" s="2"/>
      <c r="AG526" s="2"/>
    </row>
    <row r="527" spans="1:33" x14ac:dyDescent="0.35">
      <c r="A527">
        <f t="shared" si="132"/>
        <v>525</v>
      </c>
      <c r="B527">
        <f>IF(G527="Bonds",COUNTIF($G$3:G527,"Bonds"),0)</f>
        <v>0</v>
      </c>
      <c r="C527" t="str">
        <f t="shared" si="136"/>
        <v>Usiminas4470447261</v>
      </c>
      <c r="D527">
        <f t="shared" si="137"/>
        <v>37</v>
      </c>
      <c r="E527" s="9" t="s">
        <v>611</v>
      </c>
      <c r="F527" s="9" t="s">
        <v>612</v>
      </c>
      <c r="G527" s="9" t="s">
        <v>29</v>
      </c>
      <c r="H527">
        <f t="shared" si="127"/>
        <v>0</v>
      </c>
      <c r="I527" s="9"/>
      <c r="J527" s="1">
        <f t="shared" si="128"/>
        <v>6</v>
      </c>
      <c r="K527" s="2">
        <v>44704</v>
      </c>
      <c r="L527" s="2">
        <v>47261</v>
      </c>
      <c r="M527" s="10">
        <f t="shared" si="129"/>
        <v>7.0054794520547947</v>
      </c>
      <c r="N527" s="11">
        <f t="shared" si="130"/>
        <v>1</v>
      </c>
      <c r="O527" s="9" t="s">
        <v>47</v>
      </c>
      <c r="P527" t="str">
        <f t="shared" si="133"/>
        <v>0</v>
      </c>
      <c r="Q527" s="12">
        <v>400000</v>
      </c>
      <c r="R527" s="9">
        <v>1000</v>
      </c>
      <c r="S527" s="1" t="str">
        <f>IF($V527="USD",INDEX('Dólar Spot'!$B:$B,MATCH(Base!$K527,'Dólar Spot'!$A:$A,0)),"")</f>
        <v/>
      </c>
      <c r="T527" s="11">
        <f t="shared" si="138"/>
        <v>400000000</v>
      </c>
      <c r="U527" s="13">
        <f t="shared" si="131"/>
        <v>4</v>
      </c>
      <c r="V527" s="9" t="s">
        <v>44</v>
      </c>
      <c r="W527" s="9" t="s">
        <v>34</v>
      </c>
      <c r="X527">
        <f t="shared" si="134"/>
        <v>1</v>
      </c>
      <c r="Y527" s="1" t="str" cm="1">
        <f t="array" ref="Y527">INDEX(Ratings!$B$2:$M$42,_xlfn.XMATCH(Base!F527,Ratings!$A$2:$A$42),_xlfn.XMATCH(YEAR(Base!K527),Ratings!$B$1:$M$1))</f>
        <v>BB</v>
      </c>
      <c r="Z527">
        <f t="shared" si="135"/>
        <v>0</v>
      </c>
      <c r="AA527">
        <f>IFERROR(IFERROR(IFERROR(INDEX('EMBI+'!$B:$B,MATCH(Base!$K527,'EMBI+'!$A:$A,0)),INDEX('EMBI+'!$B:$B,MATCH(Base!$K527+1,'EMBI+'!$A:$A,0))),INDEX('EMBI+'!$B:$B,MATCH(Base!$K527+2,'EMBI+'!$A:$A,0))),INDEX('EMBI+'!$B:$B,MATCH(Base!$K527+3,'EMBI+'!$A:$A,0)))/100</f>
        <v>3.25</v>
      </c>
      <c r="AB527" s="9">
        <v>229.34453999999999</v>
      </c>
      <c r="AC527" s="9">
        <v>55.505330000000001</v>
      </c>
      <c r="AD527" s="9"/>
      <c r="AE527" s="9"/>
      <c r="AF527" s="2"/>
      <c r="AG527" s="2"/>
    </row>
    <row r="528" spans="1:33" x14ac:dyDescent="0.35">
      <c r="A528">
        <f t="shared" si="132"/>
        <v>526</v>
      </c>
      <c r="B528">
        <f>IF(G528="Bonds",COUNTIF($G$3:G528,"Bonds"),0)</f>
        <v>0</v>
      </c>
      <c r="C528" t="str">
        <f t="shared" si="136"/>
        <v>Usiminas4490447461</v>
      </c>
      <c r="D528">
        <f t="shared" si="137"/>
        <v>37</v>
      </c>
      <c r="E528" s="9" t="s">
        <v>611</v>
      </c>
      <c r="F528" s="9" t="s">
        <v>612</v>
      </c>
      <c r="G528" s="9" t="s">
        <v>29</v>
      </c>
      <c r="H528">
        <f t="shared" si="127"/>
        <v>0</v>
      </c>
      <c r="I528" s="9"/>
      <c r="J528" s="1">
        <f t="shared" si="128"/>
        <v>7</v>
      </c>
      <c r="K528" s="2">
        <v>44904</v>
      </c>
      <c r="L528" s="2">
        <v>47461</v>
      </c>
      <c r="M528" s="10">
        <f t="shared" si="129"/>
        <v>7.0054794520547947</v>
      </c>
      <c r="N528" s="11">
        <f t="shared" si="130"/>
        <v>1</v>
      </c>
      <c r="O528" s="9" t="s">
        <v>47</v>
      </c>
      <c r="P528" t="str">
        <f t="shared" si="133"/>
        <v>0</v>
      </c>
      <c r="Q528" s="12">
        <v>966060</v>
      </c>
      <c r="R528" s="9">
        <v>1000</v>
      </c>
      <c r="S528" s="1" t="str">
        <f>IF($V528="USD",INDEX('Dólar Spot'!$B:$B,MATCH(Base!$K528,'Dólar Spot'!$A:$A,0)),"")</f>
        <v/>
      </c>
      <c r="T528" s="11">
        <f t="shared" si="138"/>
        <v>966060000</v>
      </c>
      <c r="U528" s="13">
        <f t="shared" si="131"/>
        <v>9.6606000000000005</v>
      </c>
      <c r="V528" s="9" t="s">
        <v>44</v>
      </c>
      <c r="W528" s="9" t="s">
        <v>34</v>
      </c>
      <c r="X528">
        <f t="shared" si="134"/>
        <v>1</v>
      </c>
      <c r="Y528" s="1" t="str" cm="1">
        <f t="array" ref="Y528">INDEX(Ratings!$B$2:$M$42,_xlfn.XMATCH(Base!F528,Ratings!$A$2:$A$42),_xlfn.XMATCH(YEAR(Base!K528),Ratings!$B$1:$M$1))</f>
        <v>BB</v>
      </c>
      <c r="Z528">
        <f t="shared" si="135"/>
        <v>0</v>
      </c>
      <c r="AA528">
        <f>IFERROR(IFERROR(IFERROR(INDEX('EMBI+'!$B:$B,MATCH(Base!$K528,'EMBI+'!$A:$A,0)),INDEX('EMBI+'!$B:$B,MATCH(Base!$K528+1,'EMBI+'!$A:$A,0))),INDEX('EMBI+'!$B:$B,MATCH(Base!$K528+2,'EMBI+'!$A:$A,0))),INDEX('EMBI+'!$B:$B,MATCH(Base!$K528+3,'EMBI+'!$A:$A,0)))/100</f>
        <v>2.44</v>
      </c>
      <c r="AB528" s="9">
        <v>231.55025000000001</v>
      </c>
      <c r="AC528" s="9">
        <v>61.975569999999998</v>
      </c>
      <c r="AD528" s="9"/>
      <c r="AE528" s="9"/>
      <c r="AF528" s="2"/>
      <c r="AG528" s="2"/>
    </row>
    <row r="529" spans="1:33" x14ac:dyDescent="0.35">
      <c r="A529">
        <f t="shared" si="132"/>
        <v>527</v>
      </c>
      <c r="B529">
        <f>IF(G529="Bonds",COUNTIF($G$3:G529,"Bonds"),0)</f>
        <v>0</v>
      </c>
      <c r="C529" t="str">
        <f t="shared" si="136"/>
        <v>Usiminas4490448557</v>
      </c>
      <c r="D529">
        <f t="shared" si="137"/>
        <v>37</v>
      </c>
      <c r="E529" s="9" t="s">
        <v>611</v>
      </c>
      <c r="F529" s="9" t="s">
        <v>612</v>
      </c>
      <c r="G529" s="9" t="s">
        <v>29</v>
      </c>
      <c r="H529">
        <f t="shared" si="127"/>
        <v>0</v>
      </c>
      <c r="I529" s="9"/>
      <c r="J529" s="1">
        <f t="shared" si="128"/>
        <v>8</v>
      </c>
      <c r="K529" s="2">
        <v>44904</v>
      </c>
      <c r="L529" s="2">
        <v>48557</v>
      </c>
      <c r="M529" s="10">
        <f t="shared" si="129"/>
        <v>10.008219178082191</v>
      </c>
      <c r="N529" s="11">
        <f t="shared" si="130"/>
        <v>1</v>
      </c>
      <c r="O529" s="9" t="s">
        <v>47</v>
      </c>
      <c r="P529" t="str">
        <f t="shared" si="133"/>
        <v>0</v>
      </c>
      <c r="Q529" s="12">
        <v>373750</v>
      </c>
      <c r="R529" s="9">
        <v>1000</v>
      </c>
      <c r="S529" s="1" t="str">
        <f>IF($V529="USD",INDEX('Dólar Spot'!$B:$B,MATCH(Base!$K529,'Dólar Spot'!$A:$A,0)),"")</f>
        <v/>
      </c>
      <c r="T529" s="11">
        <f t="shared" si="138"/>
        <v>373750000</v>
      </c>
      <c r="U529" s="13">
        <f t="shared" si="131"/>
        <v>3.7374999999999998</v>
      </c>
      <c r="V529" s="9" t="s">
        <v>44</v>
      </c>
      <c r="W529" s="9" t="s">
        <v>34</v>
      </c>
      <c r="X529">
        <f t="shared" si="134"/>
        <v>1</v>
      </c>
      <c r="Y529" s="1" t="str" cm="1">
        <f t="array" ref="Y529">INDEX(Ratings!$B$2:$M$42,_xlfn.XMATCH(Base!F529,Ratings!$A$2:$A$42),_xlfn.XMATCH(YEAR(Base!K529),Ratings!$B$1:$M$1))</f>
        <v>BB</v>
      </c>
      <c r="Z529">
        <f t="shared" si="135"/>
        <v>0</v>
      </c>
      <c r="AA529">
        <f>IFERROR(IFERROR(IFERROR(INDEX('EMBI+'!$B:$B,MATCH(Base!$K529,'EMBI+'!$A:$A,0)),INDEX('EMBI+'!$B:$B,MATCH(Base!$K529+1,'EMBI+'!$A:$A,0))),INDEX('EMBI+'!$B:$B,MATCH(Base!$K529+2,'EMBI+'!$A:$A,0))),INDEX('EMBI+'!$B:$B,MATCH(Base!$K529+3,'EMBI+'!$A:$A,0)))/100</f>
        <v>2.44</v>
      </c>
      <c r="AB529" s="9">
        <v>231.55025000000001</v>
      </c>
      <c r="AC529" s="9">
        <v>61.975569999999998</v>
      </c>
      <c r="AD529" s="9"/>
      <c r="AE529" s="9"/>
      <c r="AF529" s="2"/>
      <c r="AG529" s="2"/>
    </row>
    <row r="530" spans="1:33" x14ac:dyDescent="0.35">
      <c r="A530">
        <f t="shared" si="132"/>
        <v>528</v>
      </c>
      <c r="B530">
        <f>IF(G530="Bonds",COUNTIF($G$3:G530,"Bonds"),0)</f>
        <v>156</v>
      </c>
      <c r="C530" t="str">
        <f t="shared" si="136"/>
        <v>Usiminas4366418/07/2026</v>
      </c>
      <c r="D530">
        <f t="shared" si="137"/>
        <v>37</v>
      </c>
      <c r="E530" s="9" t="s">
        <v>616</v>
      </c>
      <c r="F530" s="9" t="s">
        <v>612</v>
      </c>
      <c r="G530" s="9" t="s">
        <v>37</v>
      </c>
      <c r="H530">
        <f t="shared" si="127"/>
        <v>1</v>
      </c>
      <c r="I530" s="9"/>
      <c r="J530" s="1">
        <f t="shared" si="128"/>
        <v>9</v>
      </c>
      <c r="K530" s="2">
        <v>43664</v>
      </c>
      <c r="L530" s="2" t="s">
        <v>617</v>
      </c>
      <c r="M530" s="10">
        <f t="shared" si="129"/>
        <v>7.0054794520547947</v>
      </c>
      <c r="N530" s="11">
        <f t="shared" si="130"/>
        <v>1</v>
      </c>
      <c r="O530" s="9" t="s">
        <v>39</v>
      </c>
      <c r="P530" t="str">
        <f t="shared" si="133"/>
        <v>0</v>
      </c>
      <c r="Q530" s="9"/>
      <c r="R530" s="9"/>
      <c r="S530" s="1">
        <f>IF($V530="USD",INDEX('Dólar Spot'!$B:$B,MATCH(Base!$K530,'Dólar Spot'!$A:$A,0)),"")</f>
        <v>3.7483</v>
      </c>
      <c r="T530" s="12">
        <v>750000000</v>
      </c>
      <c r="U530" s="13">
        <f t="shared" si="131"/>
        <v>28.11225</v>
      </c>
      <c r="V530" s="9" t="s">
        <v>40</v>
      </c>
      <c r="W530" s="9" t="s">
        <v>34</v>
      </c>
      <c r="X530">
        <f t="shared" si="134"/>
        <v>1</v>
      </c>
      <c r="Y530" s="1" t="str" cm="1">
        <f t="array" ref="Y530">INDEX(Ratings!$B$2:$M$42,_xlfn.XMATCH(Base!F530,Ratings!$A$2:$A$42),_xlfn.XMATCH(YEAR(Base!K530),Ratings!$B$1:$M$1))</f>
        <v>BB-</v>
      </c>
      <c r="Z530">
        <f t="shared" si="135"/>
        <v>0</v>
      </c>
      <c r="AA530">
        <f>IFERROR(IFERROR(IFERROR(INDEX('EMBI+'!$B:$B,MATCH(Base!$K530,'EMBI+'!$A:$A,0)),INDEX('EMBI+'!$B:$B,MATCH(Base!$K530+1,'EMBI+'!$A:$A,0))),INDEX('EMBI+'!$B:$B,MATCH(Base!$K530+2,'EMBI+'!$A:$A,0))),INDEX('EMBI+'!$B:$B,MATCH(Base!$K530+3,'EMBI+'!$A:$A,0)))/100</f>
        <v>2.2200000000000002</v>
      </c>
      <c r="AB530" s="9">
        <v>144.16687999999999</v>
      </c>
      <c r="AC530" s="9">
        <v>54.616480000000003</v>
      </c>
      <c r="AD530" s="9"/>
      <c r="AE530" s="9"/>
      <c r="AF530" s="2"/>
      <c r="AG530" s="2"/>
    </row>
    <row r="531" spans="1:33" x14ac:dyDescent="0.35">
      <c r="A531">
        <f t="shared" si="132"/>
        <v>529</v>
      </c>
      <c r="B531">
        <f>IF(G531="Bonds",COUNTIF($G$3:G531,"Bonds"),0)</f>
        <v>0</v>
      </c>
      <c r="C531" t="str">
        <f t="shared" si="136"/>
        <v>Vale4165444211</v>
      </c>
      <c r="D531">
        <f t="shared" si="137"/>
        <v>38</v>
      </c>
      <c r="E531" s="9" t="s">
        <v>618</v>
      </c>
      <c r="F531" s="9" t="s">
        <v>619</v>
      </c>
      <c r="G531" s="9" t="s">
        <v>29</v>
      </c>
      <c r="H531">
        <f t="shared" si="127"/>
        <v>0</v>
      </c>
      <c r="I531" s="9" t="s">
        <v>620</v>
      </c>
      <c r="J531" s="1">
        <f t="shared" si="128"/>
        <v>1</v>
      </c>
      <c r="K531" s="2">
        <v>41654</v>
      </c>
      <c r="L531" s="2">
        <v>44211</v>
      </c>
      <c r="M531" s="10">
        <f t="shared" si="129"/>
        <v>7.0054794520547947</v>
      </c>
      <c r="N531" s="11">
        <f t="shared" si="130"/>
        <v>1</v>
      </c>
      <c r="O531" s="9" t="s">
        <v>47</v>
      </c>
      <c r="P531" t="str">
        <f t="shared" si="133"/>
        <v>0</v>
      </c>
      <c r="Q531" s="12">
        <v>600000</v>
      </c>
      <c r="R531" s="9">
        <v>1000</v>
      </c>
      <c r="S531" s="1" t="str">
        <f>IF($V531="USD",INDEX('Dólar Spot'!$B:$B,MATCH(Base!$K531,'Dólar Spot'!$A:$A,0)),"")</f>
        <v/>
      </c>
      <c r="T531" s="11">
        <f t="shared" ref="T531:T536" si="139">Q531*R531</f>
        <v>600000000</v>
      </c>
      <c r="U531" s="13">
        <f t="shared" si="131"/>
        <v>6</v>
      </c>
      <c r="V531" s="9" t="s">
        <v>32</v>
      </c>
      <c r="W531" s="9" t="s">
        <v>35</v>
      </c>
      <c r="X531">
        <f t="shared" si="134"/>
        <v>0</v>
      </c>
      <c r="Y531" s="1" t="str" cm="1">
        <f t="array" ref="Y531">INDEX(Ratings!$B$2:$M$42,_xlfn.XMATCH(Base!F531,Ratings!$A$2:$A$42),_xlfn.XMATCH(YEAR(Base!K531),Ratings!$B$1:$M$1))</f>
        <v>BBB+</v>
      </c>
      <c r="Z531">
        <f t="shared" si="135"/>
        <v>1</v>
      </c>
      <c r="AA531">
        <f>IFERROR(IFERROR(IFERROR(INDEX('EMBI+'!$B:$B,MATCH(Base!$K531,'EMBI+'!$A:$A,0)),INDEX('EMBI+'!$B:$B,MATCH(Base!$K531+1,'EMBI+'!$A:$A,0))),INDEX('EMBI+'!$B:$B,MATCH(Base!$K531+2,'EMBI+'!$A:$A,0))),INDEX('EMBI+'!$B:$B,MATCH(Base!$K531+3,'EMBI+'!$A:$A,0)))/100</f>
        <v>2.4300000000000002</v>
      </c>
      <c r="AB531" s="9">
        <v>1483.4580699999999</v>
      </c>
      <c r="AC531" s="9">
        <v>689.77013999999997</v>
      </c>
      <c r="AD531" s="9"/>
      <c r="AE531" s="9"/>
      <c r="AF531" s="2"/>
      <c r="AG531" s="2"/>
    </row>
    <row r="532" spans="1:33" x14ac:dyDescent="0.35">
      <c r="A532">
        <f t="shared" si="132"/>
        <v>530</v>
      </c>
      <c r="B532">
        <f>IF(G532="Bonds",COUNTIF($G$3:G532,"Bonds"),0)</f>
        <v>0</v>
      </c>
      <c r="C532" t="str">
        <f t="shared" si="136"/>
        <v>Vale4223144058</v>
      </c>
      <c r="D532">
        <f t="shared" si="137"/>
        <v>38</v>
      </c>
      <c r="E532" s="9" t="s">
        <v>618</v>
      </c>
      <c r="F532" s="9" t="s">
        <v>619</v>
      </c>
      <c r="G532" s="9" t="s">
        <v>29</v>
      </c>
      <c r="H532">
        <f t="shared" si="127"/>
        <v>0</v>
      </c>
      <c r="I532" s="9" t="s">
        <v>621</v>
      </c>
      <c r="J532" s="1">
        <f t="shared" si="128"/>
        <v>2</v>
      </c>
      <c r="K532" s="2">
        <v>42231</v>
      </c>
      <c r="L532" s="2">
        <v>44058</v>
      </c>
      <c r="M532" s="10">
        <f t="shared" si="129"/>
        <v>5.0054794520547947</v>
      </c>
      <c r="N532" s="11">
        <f t="shared" si="130"/>
        <v>1</v>
      </c>
      <c r="O532" s="9" t="s">
        <v>47</v>
      </c>
      <c r="P532" t="str">
        <f t="shared" si="133"/>
        <v>0</v>
      </c>
      <c r="Q532" s="12">
        <v>800000</v>
      </c>
      <c r="R532" s="9">
        <v>1000</v>
      </c>
      <c r="S532" s="1" t="str">
        <f>IF($V532="USD",INDEX('Dólar Spot'!$B:$B,MATCH(Base!$K532,'Dólar Spot'!$A:$A,0)),"")</f>
        <v/>
      </c>
      <c r="T532" s="11">
        <f t="shared" si="139"/>
        <v>800000000</v>
      </c>
      <c r="U532" s="13">
        <f t="shared" si="131"/>
        <v>8</v>
      </c>
      <c r="V532" s="9" t="s">
        <v>32</v>
      </c>
      <c r="W532" s="9" t="s">
        <v>35</v>
      </c>
      <c r="X532">
        <f t="shared" si="134"/>
        <v>0</v>
      </c>
      <c r="Y532" s="1" t="str" cm="1">
        <f t="array" ref="Y532">INDEX(Ratings!$B$2:$M$42,_xlfn.XMATCH(Base!F532,Ratings!$A$2:$A$42),_xlfn.XMATCH(YEAR(Base!K532),Ratings!$B$1:$M$1))</f>
        <v>BBB+</v>
      </c>
      <c r="Z532">
        <f t="shared" si="135"/>
        <v>1</v>
      </c>
      <c r="AA532">
        <f>IFERROR(IFERROR(IFERROR(INDEX('EMBI+'!$B:$B,MATCH(Base!$K532,'EMBI+'!$A:$A,0)),INDEX('EMBI+'!$B:$B,MATCH(Base!$K532+1,'EMBI+'!$A:$A,0))),INDEX('EMBI+'!$B:$B,MATCH(Base!$K532+2,'EMBI+'!$A:$A,0))),INDEX('EMBI+'!$B:$B,MATCH(Base!$K532+3,'EMBI+'!$A:$A,0)))/100</f>
        <v>3.16</v>
      </c>
      <c r="AB532" s="9">
        <v>1514.0671500000001</v>
      </c>
      <c r="AC532" s="9">
        <v>923.73779999999999</v>
      </c>
      <c r="AD532" s="9"/>
      <c r="AE532" s="9"/>
      <c r="AF532" s="2"/>
      <c r="AG532" s="2"/>
    </row>
    <row r="533" spans="1:33" x14ac:dyDescent="0.35">
      <c r="A533">
        <f t="shared" si="132"/>
        <v>531</v>
      </c>
      <c r="B533">
        <f>IF(G533="Bonds",COUNTIF($G$3:G533,"Bonds"),0)</f>
        <v>0</v>
      </c>
      <c r="C533" t="str">
        <f t="shared" si="136"/>
        <v>Vale4165445306</v>
      </c>
      <c r="D533">
        <f t="shared" si="137"/>
        <v>38</v>
      </c>
      <c r="E533" s="9" t="s">
        <v>618</v>
      </c>
      <c r="F533" s="9" t="s">
        <v>619</v>
      </c>
      <c r="G533" s="9" t="s">
        <v>29</v>
      </c>
      <c r="H533">
        <f t="shared" si="127"/>
        <v>0</v>
      </c>
      <c r="I533" s="9" t="s">
        <v>622</v>
      </c>
      <c r="J533" s="1">
        <f t="shared" si="128"/>
        <v>3</v>
      </c>
      <c r="K533" s="2">
        <v>41654</v>
      </c>
      <c r="L533" s="2">
        <v>45306</v>
      </c>
      <c r="M533" s="10">
        <f t="shared" si="129"/>
        <v>10.005479452054795</v>
      </c>
      <c r="N533" s="11">
        <f t="shared" si="130"/>
        <v>1</v>
      </c>
      <c r="O533" s="9" t="s">
        <v>47</v>
      </c>
      <c r="P533" t="str">
        <f t="shared" si="133"/>
        <v>0</v>
      </c>
      <c r="Q533" s="12">
        <v>150000</v>
      </c>
      <c r="R533" s="9">
        <v>1000</v>
      </c>
      <c r="S533" s="1" t="str">
        <f>IF($V533="USD",INDEX('Dólar Spot'!$B:$B,MATCH(Base!$K533,'Dólar Spot'!$A:$A,0)),"")</f>
        <v/>
      </c>
      <c r="T533" s="11">
        <f t="shared" si="139"/>
        <v>150000000</v>
      </c>
      <c r="U533" s="13">
        <f t="shared" si="131"/>
        <v>1.5</v>
      </c>
      <c r="V533" s="9" t="s">
        <v>32</v>
      </c>
      <c r="W533" s="9" t="s">
        <v>35</v>
      </c>
      <c r="X533">
        <f t="shared" si="134"/>
        <v>0</v>
      </c>
      <c r="Y533" s="1" t="str" cm="1">
        <f t="array" ref="Y533">INDEX(Ratings!$B$2:$M$42,_xlfn.XMATCH(Base!F533,Ratings!$A$2:$A$42),_xlfn.XMATCH(YEAR(Base!K533),Ratings!$B$1:$M$1))</f>
        <v>BBB+</v>
      </c>
      <c r="Z533">
        <f t="shared" si="135"/>
        <v>1</v>
      </c>
      <c r="AA533">
        <f>IFERROR(IFERROR(IFERROR(INDEX('EMBI+'!$B:$B,MATCH(Base!$K533,'EMBI+'!$A:$A,0)),INDEX('EMBI+'!$B:$B,MATCH(Base!$K533+1,'EMBI+'!$A:$A,0))),INDEX('EMBI+'!$B:$B,MATCH(Base!$K533+2,'EMBI+'!$A:$A,0))),INDEX('EMBI+'!$B:$B,MATCH(Base!$K533+3,'EMBI+'!$A:$A,0)))/100</f>
        <v>2.4300000000000002</v>
      </c>
      <c r="AB533" s="9">
        <v>1483.4580699999999</v>
      </c>
      <c r="AC533" s="9">
        <v>689.77013999999997</v>
      </c>
      <c r="AD533" s="9"/>
      <c r="AE533" s="9"/>
      <c r="AF533" s="2"/>
      <c r="AG533" s="2"/>
    </row>
    <row r="534" spans="1:33" x14ac:dyDescent="0.35">
      <c r="A534">
        <f t="shared" si="132"/>
        <v>532</v>
      </c>
      <c r="B534">
        <f>IF(G534="Bonds",COUNTIF($G$3:G534,"Bonds"),0)</f>
        <v>0</v>
      </c>
      <c r="C534" t="str">
        <f t="shared" si="136"/>
        <v>Vale4223144788</v>
      </c>
      <c r="D534">
        <f t="shared" si="137"/>
        <v>38</v>
      </c>
      <c r="E534" s="9" t="s">
        <v>618</v>
      </c>
      <c r="F534" s="9" t="s">
        <v>619</v>
      </c>
      <c r="G534" s="9" t="s">
        <v>29</v>
      </c>
      <c r="H534">
        <f t="shared" si="127"/>
        <v>0</v>
      </c>
      <c r="I534" s="9" t="s">
        <v>623</v>
      </c>
      <c r="J534" s="1">
        <f t="shared" si="128"/>
        <v>4</v>
      </c>
      <c r="K534" s="2">
        <v>42231</v>
      </c>
      <c r="L534" s="2">
        <v>44788</v>
      </c>
      <c r="M534" s="10">
        <f t="shared" si="129"/>
        <v>7.0054794520547947</v>
      </c>
      <c r="N534" s="11">
        <f t="shared" si="130"/>
        <v>1</v>
      </c>
      <c r="O534" s="9" t="s">
        <v>47</v>
      </c>
      <c r="P534" t="str">
        <f t="shared" si="133"/>
        <v>0</v>
      </c>
      <c r="Q534" s="12">
        <v>550000</v>
      </c>
      <c r="R534" s="9">
        <v>1000</v>
      </c>
      <c r="S534" s="1" t="str">
        <f>IF($V534="USD",INDEX('Dólar Spot'!$B:$B,MATCH(Base!$K534,'Dólar Spot'!$A:$A,0)),"")</f>
        <v/>
      </c>
      <c r="T534" s="11">
        <f t="shared" si="139"/>
        <v>550000000</v>
      </c>
      <c r="U534" s="13">
        <f t="shared" si="131"/>
        <v>5.5</v>
      </c>
      <c r="V534" s="9" t="s">
        <v>32</v>
      </c>
      <c r="W534" s="9" t="s">
        <v>35</v>
      </c>
      <c r="X534">
        <f t="shared" si="134"/>
        <v>0</v>
      </c>
      <c r="Y534" s="1" t="str" cm="1">
        <f t="array" ref="Y534">INDEX(Ratings!$B$2:$M$42,_xlfn.XMATCH(Base!F534,Ratings!$A$2:$A$42),_xlfn.XMATCH(YEAR(Base!K534),Ratings!$B$1:$M$1))</f>
        <v>BBB+</v>
      </c>
      <c r="Z534">
        <f t="shared" si="135"/>
        <v>1</v>
      </c>
      <c r="AA534">
        <f>IFERROR(IFERROR(IFERROR(INDEX('EMBI+'!$B:$B,MATCH(Base!$K534,'EMBI+'!$A:$A,0)),INDEX('EMBI+'!$B:$B,MATCH(Base!$K534+1,'EMBI+'!$A:$A,0))),INDEX('EMBI+'!$B:$B,MATCH(Base!$K534+2,'EMBI+'!$A:$A,0))),INDEX('EMBI+'!$B:$B,MATCH(Base!$K534+3,'EMBI+'!$A:$A,0)))/100</f>
        <v>3.16</v>
      </c>
      <c r="AB534" s="9">
        <v>1514.0671500000001</v>
      </c>
      <c r="AC534" s="9">
        <v>923.73779999999999</v>
      </c>
      <c r="AD534" s="9"/>
      <c r="AE534" s="9"/>
      <c r="AF534" s="2"/>
      <c r="AG534" s="2"/>
    </row>
    <row r="535" spans="1:33" x14ac:dyDescent="0.35">
      <c r="A535">
        <f t="shared" si="132"/>
        <v>533</v>
      </c>
      <c r="B535">
        <f>IF(G535="Bonds",COUNTIF($G$3:G535,"Bonds"),0)</f>
        <v>0</v>
      </c>
      <c r="C535" t="str">
        <f t="shared" si="136"/>
        <v>Vale4165446037</v>
      </c>
      <c r="D535">
        <f t="shared" si="137"/>
        <v>38</v>
      </c>
      <c r="E535" s="9" t="s">
        <v>618</v>
      </c>
      <c r="F535" s="9" t="s">
        <v>619</v>
      </c>
      <c r="G535" s="9" t="s">
        <v>29</v>
      </c>
      <c r="H535">
        <f t="shared" si="127"/>
        <v>0</v>
      </c>
      <c r="I535" s="9" t="s">
        <v>624</v>
      </c>
      <c r="J535" s="1">
        <f t="shared" si="128"/>
        <v>5</v>
      </c>
      <c r="K535" s="2">
        <v>41654</v>
      </c>
      <c r="L535" s="2">
        <v>46037</v>
      </c>
      <c r="M535" s="10">
        <f t="shared" si="129"/>
        <v>12.008219178082191</v>
      </c>
      <c r="N535" s="11">
        <f t="shared" si="130"/>
        <v>1</v>
      </c>
      <c r="O535" s="9" t="s">
        <v>47</v>
      </c>
      <c r="P535" t="str">
        <f t="shared" si="133"/>
        <v>0</v>
      </c>
      <c r="Q535" s="12">
        <v>100000</v>
      </c>
      <c r="R535" s="9">
        <v>1000</v>
      </c>
      <c r="S535" s="1" t="str">
        <f>IF($V535="USD",INDEX('Dólar Spot'!$B:$B,MATCH(Base!$K535,'Dólar Spot'!$A:$A,0)),"")</f>
        <v/>
      </c>
      <c r="T535" s="11">
        <f t="shared" si="139"/>
        <v>100000000</v>
      </c>
      <c r="U535" s="13">
        <f t="shared" si="131"/>
        <v>1</v>
      </c>
      <c r="V535" s="9" t="s">
        <v>32</v>
      </c>
      <c r="W535" s="9" t="s">
        <v>35</v>
      </c>
      <c r="X535">
        <f t="shared" si="134"/>
        <v>0</v>
      </c>
      <c r="Y535" s="1" t="str" cm="1">
        <f t="array" ref="Y535">INDEX(Ratings!$B$2:$M$42,_xlfn.XMATCH(Base!F535,Ratings!$A$2:$A$42),_xlfn.XMATCH(YEAR(Base!K535),Ratings!$B$1:$M$1))</f>
        <v>BBB+</v>
      </c>
      <c r="Z535">
        <f t="shared" si="135"/>
        <v>1</v>
      </c>
      <c r="AA535">
        <f>IFERROR(IFERROR(IFERROR(INDEX('EMBI+'!$B:$B,MATCH(Base!$K535,'EMBI+'!$A:$A,0)),INDEX('EMBI+'!$B:$B,MATCH(Base!$K535+1,'EMBI+'!$A:$A,0))),INDEX('EMBI+'!$B:$B,MATCH(Base!$K535+2,'EMBI+'!$A:$A,0))),INDEX('EMBI+'!$B:$B,MATCH(Base!$K535+3,'EMBI+'!$A:$A,0)))/100</f>
        <v>2.4300000000000002</v>
      </c>
      <c r="AB535" s="9">
        <v>1483.4580699999999</v>
      </c>
      <c r="AC535" s="9">
        <v>689.77013999999997</v>
      </c>
      <c r="AD535" s="9"/>
      <c r="AE535" s="9"/>
      <c r="AF535" s="2"/>
      <c r="AG535" s="2"/>
    </row>
    <row r="536" spans="1:33" x14ac:dyDescent="0.35">
      <c r="A536">
        <f t="shared" si="132"/>
        <v>534</v>
      </c>
      <c r="B536">
        <f>IF(G536="Bonds",COUNTIF($G$3:G536,"Bonds"),0)</f>
        <v>0</v>
      </c>
      <c r="C536" t="str">
        <f t="shared" si="136"/>
        <v>Vale4165447133</v>
      </c>
      <c r="D536">
        <f t="shared" si="137"/>
        <v>38</v>
      </c>
      <c r="E536" s="9" t="s">
        <v>618</v>
      </c>
      <c r="F536" s="9" t="s">
        <v>619</v>
      </c>
      <c r="G536" s="9" t="s">
        <v>29</v>
      </c>
      <c r="H536">
        <f t="shared" si="127"/>
        <v>0</v>
      </c>
      <c r="I536" s="9" t="s">
        <v>625</v>
      </c>
      <c r="J536" s="1">
        <f t="shared" si="128"/>
        <v>6</v>
      </c>
      <c r="K536" s="2">
        <v>41654</v>
      </c>
      <c r="L536" s="2">
        <v>47133</v>
      </c>
      <c r="M536" s="10">
        <f t="shared" si="129"/>
        <v>15.010958904109589</v>
      </c>
      <c r="N536" s="11">
        <f t="shared" si="130"/>
        <v>1</v>
      </c>
      <c r="O536" s="9" t="s">
        <v>47</v>
      </c>
      <c r="P536" t="str">
        <f t="shared" si="133"/>
        <v>0</v>
      </c>
      <c r="Q536" s="12">
        <v>150000</v>
      </c>
      <c r="R536" s="9">
        <v>1000</v>
      </c>
      <c r="S536" s="1" t="str">
        <f>IF($V536="USD",INDEX('Dólar Spot'!$B:$B,MATCH(Base!$K536,'Dólar Spot'!$A:$A,0)),"")</f>
        <v/>
      </c>
      <c r="T536" s="11">
        <f t="shared" si="139"/>
        <v>150000000</v>
      </c>
      <c r="U536" s="13">
        <f t="shared" si="131"/>
        <v>1.5</v>
      </c>
      <c r="V536" s="9" t="s">
        <v>32</v>
      </c>
      <c r="W536" s="9" t="s">
        <v>35</v>
      </c>
      <c r="X536">
        <f t="shared" si="134"/>
        <v>0</v>
      </c>
      <c r="Y536" s="1" t="str" cm="1">
        <f t="array" ref="Y536">INDEX(Ratings!$B$2:$M$42,_xlfn.XMATCH(Base!F536,Ratings!$A$2:$A$42),_xlfn.XMATCH(YEAR(Base!K536),Ratings!$B$1:$M$1))</f>
        <v>BBB+</v>
      </c>
      <c r="Z536">
        <f t="shared" si="135"/>
        <v>1</v>
      </c>
      <c r="AA536">
        <f>IFERROR(IFERROR(IFERROR(INDEX('EMBI+'!$B:$B,MATCH(Base!$K536,'EMBI+'!$A:$A,0)),INDEX('EMBI+'!$B:$B,MATCH(Base!$K536+1,'EMBI+'!$A:$A,0))),INDEX('EMBI+'!$B:$B,MATCH(Base!$K536+2,'EMBI+'!$A:$A,0))),INDEX('EMBI+'!$B:$B,MATCH(Base!$K536+3,'EMBI+'!$A:$A,0)))/100</f>
        <v>2.4300000000000002</v>
      </c>
      <c r="AB536" s="9">
        <v>1483.4580699999999</v>
      </c>
      <c r="AC536" s="9">
        <v>689.77013999999997</v>
      </c>
      <c r="AD536" s="9"/>
      <c r="AE536" s="9"/>
      <c r="AF536" s="2"/>
      <c r="AG536" s="2"/>
    </row>
    <row r="537" spans="1:33" x14ac:dyDescent="0.35">
      <c r="A537">
        <f t="shared" si="132"/>
        <v>535</v>
      </c>
      <c r="B537">
        <f>IF(G537="Bonds",COUNTIF($G$3:G537,"Bonds"),0)</f>
        <v>157</v>
      </c>
      <c r="C537" t="str">
        <f t="shared" si="136"/>
        <v>Vale4402008/07/2030</v>
      </c>
      <c r="D537">
        <f t="shared" si="137"/>
        <v>38</v>
      </c>
      <c r="E537" s="9" t="s">
        <v>626</v>
      </c>
      <c r="F537" s="9" t="s">
        <v>619</v>
      </c>
      <c r="G537" s="9" t="s">
        <v>37</v>
      </c>
      <c r="H537">
        <f t="shared" si="127"/>
        <v>1</v>
      </c>
      <c r="I537" s="9"/>
      <c r="J537" s="1">
        <f t="shared" si="128"/>
        <v>7</v>
      </c>
      <c r="K537" s="2">
        <v>44020</v>
      </c>
      <c r="L537" s="2" t="s">
        <v>627</v>
      </c>
      <c r="M537" s="10">
        <f t="shared" si="129"/>
        <v>10.005479452054795</v>
      </c>
      <c r="N537" s="11">
        <f t="shared" si="130"/>
        <v>1</v>
      </c>
      <c r="O537" s="9" t="s">
        <v>39</v>
      </c>
      <c r="P537" t="str">
        <f t="shared" si="133"/>
        <v>0</v>
      </c>
      <c r="Q537" s="9"/>
      <c r="R537" s="9"/>
      <c r="S537" s="1">
        <f>IF($V537="USD",INDEX('Dólar Spot'!$B:$B,MATCH(Base!$K537,'Dólar Spot'!$A:$A,0)),"")</f>
        <v>5.3475999999999999</v>
      </c>
      <c r="T537" s="12">
        <v>1500000000</v>
      </c>
      <c r="U537" s="13">
        <f t="shared" si="131"/>
        <v>80.213999999999999</v>
      </c>
      <c r="V537" s="9" t="s">
        <v>40</v>
      </c>
      <c r="W537" s="9" t="s">
        <v>34</v>
      </c>
      <c r="X537">
        <f t="shared" si="134"/>
        <v>1</v>
      </c>
      <c r="Y537" s="1" t="str" cm="1">
        <f t="array" ref="Y537">INDEX(Ratings!$B$2:$M$42,_xlfn.XMATCH(Base!F537,Ratings!$A$2:$A$42),_xlfn.XMATCH(YEAR(Base!K537),Ratings!$B$1:$M$1))</f>
        <v>BBB</v>
      </c>
      <c r="Z537">
        <f t="shared" si="135"/>
        <v>1</v>
      </c>
      <c r="AA537">
        <f>IFERROR(IFERROR(IFERROR(INDEX('EMBI+'!$B:$B,MATCH(Base!$K537,'EMBI+'!$A:$A,0)),INDEX('EMBI+'!$B:$B,MATCH(Base!$K537+1,'EMBI+'!$A:$A,0))),INDEX('EMBI+'!$B:$B,MATCH(Base!$K537+2,'EMBI+'!$A:$A,0))),INDEX('EMBI+'!$B:$B,MATCH(Base!$K537+3,'EMBI+'!$A:$A,0)))/100</f>
        <v>3.74</v>
      </c>
      <c r="AB537" s="9">
        <v>1869.59088</v>
      </c>
      <c r="AC537" s="9">
        <v>1016.0817</v>
      </c>
      <c r="AD537" s="9"/>
      <c r="AE537" s="9"/>
      <c r="AF537" s="2"/>
      <c r="AG537" s="2"/>
    </row>
    <row r="538" spans="1:33" x14ac:dyDescent="0.35">
      <c r="A538">
        <f t="shared" si="132"/>
        <v>536</v>
      </c>
      <c r="B538">
        <f>IF(G538="Bonds",COUNTIF($G$3:G538,"Bonds"),0)</f>
        <v>158</v>
      </c>
      <c r="C538" t="str">
        <f t="shared" si="136"/>
        <v>Vale4259210/08/2026</v>
      </c>
      <c r="D538">
        <f t="shared" si="137"/>
        <v>38</v>
      </c>
      <c r="E538" s="9" t="s">
        <v>626</v>
      </c>
      <c r="F538" s="9" t="s">
        <v>619</v>
      </c>
      <c r="G538" s="9" t="s">
        <v>37</v>
      </c>
      <c r="H538">
        <f t="shared" si="127"/>
        <v>1</v>
      </c>
      <c r="I538" s="9"/>
      <c r="J538" s="1">
        <f t="shared" si="128"/>
        <v>8</v>
      </c>
      <c r="K538" s="2">
        <v>42592</v>
      </c>
      <c r="L538" s="2" t="s">
        <v>628</v>
      </c>
      <c r="M538" s="10">
        <f t="shared" si="129"/>
        <v>10.005479452054795</v>
      </c>
      <c r="N538" s="11">
        <f t="shared" si="130"/>
        <v>1</v>
      </c>
      <c r="O538" s="9" t="s">
        <v>39</v>
      </c>
      <c r="P538" t="str">
        <f t="shared" si="133"/>
        <v>0</v>
      </c>
      <c r="Q538" s="9"/>
      <c r="R538" s="9"/>
      <c r="S538" s="1">
        <f>IF($V538="USD",INDEX('Dólar Spot'!$B:$B,MATCH(Base!$K538,'Dólar Spot'!$A:$A,0)),"")</f>
        <v>3.1295999999999999</v>
      </c>
      <c r="T538" s="12">
        <v>1000000000</v>
      </c>
      <c r="U538" s="13">
        <f t="shared" si="131"/>
        <v>31.295999999999999</v>
      </c>
      <c r="V538" s="9" t="s">
        <v>40</v>
      </c>
      <c r="W538" s="9" t="s">
        <v>35</v>
      </c>
      <c r="X538">
        <f t="shared" si="134"/>
        <v>0</v>
      </c>
      <c r="Y538" s="1" t="str" cm="1">
        <f t="array" ref="Y538">INDEX(Ratings!$B$2:$M$42,_xlfn.XMATCH(Base!F538,Ratings!$A$2:$A$42),_xlfn.XMATCH(YEAR(Base!K538),Ratings!$B$1:$M$1))</f>
        <v>BBB</v>
      </c>
      <c r="Z538">
        <f t="shared" si="135"/>
        <v>1</v>
      </c>
      <c r="AA538">
        <f>IFERROR(IFERROR(IFERROR(INDEX('EMBI+'!$B:$B,MATCH(Base!$K538,'EMBI+'!$A:$A,0)),INDEX('EMBI+'!$B:$B,MATCH(Base!$K538+1,'EMBI+'!$A:$A,0))),INDEX('EMBI+'!$B:$B,MATCH(Base!$K538+2,'EMBI+'!$A:$A,0))),INDEX('EMBI+'!$B:$B,MATCH(Base!$K538+3,'EMBI+'!$A:$A,0)))/100</f>
        <v>3.16</v>
      </c>
      <c r="AB538" s="9">
        <v>1263.7313099999999</v>
      </c>
      <c r="AC538" s="9">
        <v>1021.16117</v>
      </c>
      <c r="AD538" s="9"/>
      <c r="AE538" s="9"/>
      <c r="AF538" s="2"/>
      <c r="AG538" s="2"/>
    </row>
    <row r="539" spans="1:33" x14ac:dyDescent="0.35">
      <c r="A539">
        <f t="shared" si="132"/>
        <v>537</v>
      </c>
      <c r="B539">
        <f>IF(G539="Bonds",COUNTIF($G$3:G539,"Bonds"),0)</f>
        <v>159</v>
      </c>
      <c r="C539" t="str">
        <f t="shared" si="136"/>
        <v>Vale4253110/06/2021</v>
      </c>
      <c r="D539">
        <f t="shared" si="137"/>
        <v>38</v>
      </c>
      <c r="E539" s="9" t="s">
        <v>626</v>
      </c>
      <c r="F539" s="9" t="s">
        <v>619</v>
      </c>
      <c r="G539" s="9" t="s">
        <v>37</v>
      </c>
      <c r="H539">
        <f t="shared" si="127"/>
        <v>1</v>
      </c>
      <c r="I539" s="9"/>
      <c r="J539" s="1">
        <f t="shared" si="128"/>
        <v>9</v>
      </c>
      <c r="K539" s="2">
        <v>42531</v>
      </c>
      <c r="L539" s="2" t="s">
        <v>629</v>
      </c>
      <c r="M539" s="10">
        <f t="shared" si="129"/>
        <v>5.0027397260273974</v>
      </c>
      <c r="N539" s="11">
        <f t="shared" si="130"/>
        <v>1</v>
      </c>
      <c r="O539" s="9" t="s">
        <v>39</v>
      </c>
      <c r="P539" t="str">
        <f t="shared" si="133"/>
        <v>0</v>
      </c>
      <c r="Q539" s="9"/>
      <c r="R539" s="9"/>
      <c r="S539" s="1">
        <f>IF($V539="USD",INDEX('Dólar Spot'!$B:$B,MATCH(Base!$K539,'Dólar Spot'!$A:$A,0)),"")</f>
        <v>3.4255</v>
      </c>
      <c r="T539" s="12">
        <v>1250000000</v>
      </c>
      <c r="U539" s="13">
        <f t="shared" si="131"/>
        <v>42.818750000000001</v>
      </c>
      <c r="V539" s="9" t="s">
        <v>40</v>
      </c>
      <c r="W539" s="9" t="s">
        <v>35</v>
      </c>
      <c r="X539">
        <f t="shared" si="134"/>
        <v>0</v>
      </c>
      <c r="Y539" s="1" t="str" cm="1">
        <f t="array" ref="Y539">INDEX(Ratings!$B$2:$M$42,_xlfn.XMATCH(Base!F539,Ratings!$A$2:$A$42),_xlfn.XMATCH(YEAR(Base!K539),Ratings!$B$1:$M$1))</f>
        <v>BBB</v>
      </c>
      <c r="Z539">
        <f t="shared" si="135"/>
        <v>1</v>
      </c>
      <c r="AA539">
        <f>IFERROR(IFERROR(IFERROR(INDEX('EMBI+'!$B:$B,MATCH(Base!$K539,'EMBI+'!$A:$A,0)),INDEX('EMBI+'!$B:$B,MATCH(Base!$K539+1,'EMBI+'!$A:$A,0))),INDEX('EMBI+'!$B:$B,MATCH(Base!$K539+2,'EMBI+'!$A:$A,0))),INDEX('EMBI+'!$B:$B,MATCH(Base!$K539+3,'EMBI+'!$A:$A,0)))/100</f>
        <v>3.83</v>
      </c>
      <c r="AB539" s="9">
        <v>1263.7313099999999</v>
      </c>
      <c r="AC539" s="9">
        <v>1021.16117</v>
      </c>
      <c r="AD539" s="9"/>
      <c r="AE539" s="9"/>
      <c r="AF539" s="2"/>
      <c r="AG539" s="2"/>
    </row>
    <row r="540" spans="1:33" x14ac:dyDescent="0.35">
      <c r="A540">
        <f t="shared" si="132"/>
        <v>538</v>
      </c>
      <c r="B540">
        <f>IF(G540="Bonds",COUNTIF($G$3:G540,"Bonds"),0)</f>
        <v>160</v>
      </c>
      <c r="C540" t="str">
        <f t="shared" si="136"/>
        <v>Vale4091911/01/2022</v>
      </c>
      <c r="D540">
        <f t="shared" si="137"/>
        <v>38</v>
      </c>
      <c r="E540" s="9" t="s">
        <v>626</v>
      </c>
      <c r="F540" s="9" t="s">
        <v>619</v>
      </c>
      <c r="G540" s="9" t="s">
        <v>37</v>
      </c>
      <c r="H540">
        <f t="shared" si="127"/>
        <v>1</v>
      </c>
      <c r="I540" s="9"/>
      <c r="J540" s="1">
        <f t="shared" si="128"/>
        <v>10</v>
      </c>
      <c r="K540" s="2">
        <v>40919</v>
      </c>
      <c r="L540" s="2" t="s">
        <v>630</v>
      </c>
      <c r="M540" s="10">
        <f t="shared" si="129"/>
        <v>10.008219178082191</v>
      </c>
      <c r="N540" s="11">
        <f t="shared" si="130"/>
        <v>1</v>
      </c>
      <c r="O540" s="9" t="s">
        <v>39</v>
      </c>
      <c r="P540" t="str">
        <f t="shared" si="133"/>
        <v>0</v>
      </c>
      <c r="Q540" s="9"/>
      <c r="R540" s="9"/>
      <c r="S540" s="1">
        <f>IF($V540="USD",INDEX('Dólar Spot'!$B:$B,MATCH(Base!$K540,'Dólar Spot'!$A:$A,0)),"")</f>
        <v>1.8041</v>
      </c>
      <c r="T540" s="12">
        <v>2250000000</v>
      </c>
      <c r="U540" s="13">
        <f t="shared" si="131"/>
        <v>40.59225</v>
      </c>
      <c r="V540" s="9" t="s">
        <v>40</v>
      </c>
      <c r="W540" s="9" t="s">
        <v>35</v>
      </c>
      <c r="X540">
        <f t="shared" si="134"/>
        <v>0</v>
      </c>
      <c r="Y540" s="1" t="str" cm="1">
        <f t="array" ref="Y540">INDEX(Ratings!$B$2:$M$42,_xlfn.XMATCH(Base!F540,Ratings!$A$2:$A$42),_xlfn.XMATCH(YEAR(Base!K540),Ratings!$B$1:$M$1))</f>
        <v>BBB+</v>
      </c>
      <c r="Z540">
        <f t="shared" si="135"/>
        <v>1</v>
      </c>
      <c r="AA540">
        <f>IFERROR(IFERROR(IFERROR(INDEX('EMBI+'!$B:$B,MATCH(Base!$K540,'EMBI+'!$A:$A,0)),INDEX('EMBI+'!$B:$B,MATCH(Base!$K540+1,'EMBI+'!$A:$A,0))),INDEX('EMBI+'!$B:$B,MATCH(Base!$K540+2,'EMBI+'!$A:$A,0))),INDEX('EMBI+'!$B:$B,MATCH(Base!$K540+3,'EMBI+'!$A:$A,0)))/100</f>
        <v>2.33</v>
      </c>
      <c r="AB540" s="9">
        <v>1434.75398</v>
      </c>
      <c r="AC540" s="9">
        <v>466.24423999999999</v>
      </c>
      <c r="AD540" s="9"/>
      <c r="AE540" s="9"/>
      <c r="AF540" s="2"/>
      <c r="AG540" s="2"/>
    </row>
    <row r="541" spans="1:33" x14ac:dyDescent="0.35">
      <c r="A541">
        <f t="shared" si="132"/>
        <v>539</v>
      </c>
      <c r="B541">
        <f>IF(G541="Bonds",COUNTIF($G$3:G541,"Bonds"),0)</f>
        <v>161</v>
      </c>
      <c r="C541" t="str">
        <f t="shared" si="136"/>
        <v>Vale4116311/09/2042</v>
      </c>
      <c r="D541">
        <f t="shared" si="137"/>
        <v>38</v>
      </c>
      <c r="E541" s="9" t="s">
        <v>631</v>
      </c>
      <c r="F541" s="9" t="s">
        <v>619</v>
      </c>
      <c r="G541" s="9" t="s">
        <v>37</v>
      </c>
      <c r="H541">
        <f t="shared" si="127"/>
        <v>1</v>
      </c>
      <c r="I541" s="9"/>
      <c r="J541" s="1">
        <f t="shared" si="128"/>
        <v>11</v>
      </c>
      <c r="K541" s="2">
        <v>41163</v>
      </c>
      <c r="L541" s="2" t="s">
        <v>632</v>
      </c>
      <c r="M541" s="10">
        <f t="shared" si="129"/>
        <v>30.019178082191782</v>
      </c>
      <c r="N541" s="11">
        <f t="shared" si="130"/>
        <v>1</v>
      </c>
      <c r="O541" s="9" t="s">
        <v>33</v>
      </c>
      <c r="P541" t="str">
        <f t="shared" si="133"/>
        <v>0</v>
      </c>
      <c r="Q541" s="9"/>
      <c r="R541" s="9"/>
      <c r="S541" s="1">
        <f>IF($V541="USD",INDEX('Dólar Spot'!$B:$B,MATCH(Base!$K541,'Dólar Spot'!$A:$A,0)),"")</f>
        <v>2.0192000000000001</v>
      </c>
      <c r="T541" s="12">
        <v>1500000000</v>
      </c>
      <c r="U541" s="13">
        <f t="shared" si="131"/>
        <v>30.288</v>
      </c>
      <c r="V541" s="9" t="s">
        <v>40</v>
      </c>
      <c r="W541" s="9" t="s">
        <v>35</v>
      </c>
      <c r="X541">
        <f t="shared" si="134"/>
        <v>0</v>
      </c>
      <c r="Y541" s="1" t="str" cm="1">
        <f t="array" ref="Y541">INDEX(Ratings!$B$2:$M$42,_xlfn.XMATCH(Base!F541,Ratings!$A$2:$A$42),_xlfn.XMATCH(YEAR(Base!K541),Ratings!$B$1:$M$1))</f>
        <v>BBB+</v>
      </c>
      <c r="Z541">
        <f t="shared" si="135"/>
        <v>1</v>
      </c>
      <c r="AA541">
        <f>IFERROR(IFERROR(IFERROR(INDEX('EMBI+'!$B:$B,MATCH(Base!$K541,'EMBI+'!$A:$A,0)),INDEX('EMBI+'!$B:$B,MATCH(Base!$K541+1,'EMBI+'!$A:$A,0))),INDEX('EMBI+'!$B:$B,MATCH(Base!$K541+2,'EMBI+'!$A:$A,0))),INDEX('EMBI+'!$B:$B,MATCH(Base!$K541+3,'EMBI+'!$A:$A,0)))/100</f>
        <v>1.63</v>
      </c>
      <c r="AB541" s="9">
        <v>1635.0748900000001</v>
      </c>
      <c r="AC541" s="9">
        <v>586.22844999999995</v>
      </c>
      <c r="AD541" s="9"/>
      <c r="AE541" s="9"/>
      <c r="AF541" s="2"/>
      <c r="AG541" s="2"/>
    </row>
    <row r="542" spans="1:33" x14ac:dyDescent="0.35">
      <c r="A542">
        <f t="shared" si="132"/>
        <v>540</v>
      </c>
      <c r="B542">
        <f>IF(G542="Bonds",COUNTIF($G$3:G542,"Bonds"),0)</f>
        <v>0</v>
      </c>
      <c r="C542" t="str">
        <f t="shared" si="136"/>
        <v>Votorantim Cimentos4188343344</v>
      </c>
      <c r="D542">
        <f t="shared" si="137"/>
        <v>39</v>
      </c>
      <c r="E542" s="9" t="s">
        <v>633</v>
      </c>
      <c r="F542" s="9" t="s">
        <v>634</v>
      </c>
      <c r="G542" s="9" t="s">
        <v>29</v>
      </c>
      <c r="H542">
        <f t="shared" si="127"/>
        <v>0</v>
      </c>
      <c r="I542" s="9" t="s">
        <v>635</v>
      </c>
      <c r="J542" s="1">
        <f t="shared" si="128"/>
        <v>1</v>
      </c>
      <c r="K542" s="2">
        <v>41883</v>
      </c>
      <c r="L542" s="2">
        <v>43344</v>
      </c>
      <c r="M542" s="10">
        <f t="shared" si="129"/>
        <v>4.0027397260273974</v>
      </c>
      <c r="N542" s="11">
        <f t="shared" si="130"/>
        <v>0</v>
      </c>
      <c r="O542" s="9" t="s">
        <v>47</v>
      </c>
      <c r="P542" t="str">
        <f t="shared" si="133"/>
        <v>0</v>
      </c>
      <c r="Q542" s="12">
        <v>15000</v>
      </c>
      <c r="R542" s="9">
        <v>10000</v>
      </c>
      <c r="S542" s="1" t="str">
        <f>IF($V542="USD",INDEX('Dólar Spot'!$B:$B,MATCH(Base!$K542,'Dólar Spot'!$A:$A,0)),"")</f>
        <v/>
      </c>
      <c r="T542" s="11">
        <f t="shared" ref="T542:T555" si="140">Q542*R542</f>
        <v>150000000</v>
      </c>
      <c r="U542" s="13">
        <f t="shared" si="131"/>
        <v>1.5</v>
      </c>
      <c r="V542" s="9" t="s">
        <v>44</v>
      </c>
      <c r="W542" s="9" t="s">
        <v>34</v>
      </c>
      <c r="X542">
        <f t="shared" si="134"/>
        <v>1</v>
      </c>
      <c r="Y542" s="1" t="str" cm="1">
        <f t="array" ref="Y542">INDEX(Ratings!$B$2:$M$42,_xlfn.XMATCH(Base!F542,Ratings!$A$2:$A$42),_xlfn.XMATCH(YEAR(Base!K542),Ratings!$B$1:$M$1))</f>
        <v>BBB</v>
      </c>
      <c r="Z542">
        <f t="shared" si="135"/>
        <v>1</v>
      </c>
      <c r="AA542">
        <f>IFERROR(IFERROR(IFERROR(INDEX('EMBI+'!$B:$B,MATCH(Base!$K542,'EMBI+'!$A:$A,0)),INDEX('EMBI+'!$B:$B,MATCH(Base!$K542+1,'EMBI+'!$A:$A,0))),INDEX('EMBI+'!$B:$B,MATCH(Base!$K542+2,'EMBI+'!$A:$A,0))),INDEX('EMBI+'!$B:$B,MATCH(Base!$K542+3,'EMBI+'!$A:$A,0)))/100</f>
        <v>2.0499999999999998</v>
      </c>
      <c r="AB542" s="9">
        <v>58.187570000000001</v>
      </c>
      <c r="AC542" s="9">
        <f>8.1883+129.74723</f>
        <v>137.93553</v>
      </c>
      <c r="AD542" s="9"/>
      <c r="AE542" s="9"/>
      <c r="AF542" s="2"/>
      <c r="AG542" s="2"/>
    </row>
    <row r="543" spans="1:33" x14ac:dyDescent="0.35">
      <c r="A543">
        <f t="shared" si="132"/>
        <v>541</v>
      </c>
      <c r="B543">
        <f>IF(G543="Bonds",COUNTIF($G$3:G543,"Bonds"),0)</f>
        <v>0</v>
      </c>
      <c r="C543" t="str">
        <f t="shared" si="136"/>
        <v>Votorantim Cimentos4231345721</v>
      </c>
      <c r="D543">
        <f t="shared" si="137"/>
        <v>39</v>
      </c>
      <c r="E543" s="9" t="s">
        <v>633</v>
      </c>
      <c r="F543" s="9" t="s">
        <v>634</v>
      </c>
      <c r="G543" s="9" t="s">
        <v>29</v>
      </c>
      <c r="H543">
        <f t="shared" si="127"/>
        <v>0</v>
      </c>
      <c r="I543" s="9" t="s">
        <v>636</v>
      </c>
      <c r="J543" s="1">
        <f t="shared" si="128"/>
        <v>2</v>
      </c>
      <c r="K543" s="2">
        <v>42313</v>
      </c>
      <c r="L543" s="2">
        <v>45721</v>
      </c>
      <c r="M543" s="10">
        <f t="shared" si="129"/>
        <v>9.3369863013698637</v>
      </c>
      <c r="N543" s="11">
        <f t="shared" si="130"/>
        <v>1</v>
      </c>
      <c r="O543" s="9" t="s">
        <v>47</v>
      </c>
      <c r="P543" t="str">
        <f t="shared" si="133"/>
        <v>0</v>
      </c>
      <c r="Q543" s="12">
        <v>75000</v>
      </c>
      <c r="R543" s="9">
        <v>10000</v>
      </c>
      <c r="S543" s="1" t="str">
        <f>IF($V543="USD",INDEX('Dólar Spot'!$B:$B,MATCH(Base!$K543,'Dólar Spot'!$A:$A,0)),"")</f>
        <v/>
      </c>
      <c r="T543" s="11">
        <f t="shared" si="140"/>
        <v>750000000</v>
      </c>
      <c r="U543" s="13">
        <f t="shared" si="131"/>
        <v>7.5</v>
      </c>
      <c r="V543" s="9" t="s">
        <v>44</v>
      </c>
      <c r="W543" s="9" t="s">
        <v>34</v>
      </c>
      <c r="X543">
        <f t="shared" si="134"/>
        <v>1</v>
      </c>
      <c r="Y543" s="1" t="str" cm="1">
        <f t="array" ref="Y543">INDEX(Ratings!$B$2:$M$42,_xlfn.XMATCH(Base!F543,Ratings!$A$2:$A$42),_xlfn.XMATCH(YEAR(Base!K543),Ratings!$B$1:$M$1))</f>
        <v>BBB</v>
      </c>
      <c r="Z543">
        <f t="shared" si="135"/>
        <v>1</v>
      </c>
      <c r="AA543">
        <f>IFERROR(IFERROR(IFERROR(INDEX('EMBI+'!$B:$B,MATCH(Base!$K543,'EMBI+'!$A:$A,0)),INDEX('EMBI+'!$B:$B,MATCH(Base!$K543+1,'EMBI+'!$A:$A,0))),INDEX('EMBI+'!$B:$B,MATCH(Base!$K543+2,'EMBI+'!$A:$A,0))),INDEX('EMBI+'!$B:$B,MATCH(Base!$K543+3,'EMBI+'!$A:$A,0)))/100</f>
        <v>3.87</v>
      </c>
      <c r="AB543" s="9">
        <v>81.592550000000003</v>
      </c>
      <c r="AC543" s="9">
        <f>9.63446+178.03906</f>
        <v>187.67352</v>
      </c>
      <c r="AD543" s="9"/>
      <c r="AE543" s="9"/>
      <c r="AF543" s="2"/>
      <c r="AG543" s="2"/>
    </row>
    <row r="544" spans="1:33" x14ac:dyDescent="0.35">
      <c r="A544">
        <f t="shared" si="132"/>
        <v>542</v>
      </c>
      <c r="B544">
        <f>IF(G544="Bonds",COUNTIF($G$3:G544,"Bonds"),0)</f>
        <v>0</v>
      </c>
      <c r="C544" t="str">
        <f t="shared" si="136"/>
        <v>Votorantim Cimentos4274544571</v>
      </c>
      <c r="D544">
        <f t="shared" si="137"/>
        <v>39</v>
      </c>
      <c r="E544" s="9" t="s">
        <v>633</v>
      </c>
      <c r="F544" s="9" t="s">
        <v>634</v>
      </c>
      <c r="G544" s="9" t="s">
        <v>29</v>
      </c>
      <c r="H544">
        <f t="shared" si="127"/>
        <v>0</v>
      </c>
      <c r="I544" s="9" t="s">
        <v>637</v>
      </c>
      <c r="J544" s="1">
        <f t="shared" si="128"/>
        <v>3</v>
      </c>
      <c r="K544" s="2">
        <v>42745</v>
      </c>
      <c r="L544" s="2">
        <v>44571</v>
      </c>
      <c r="M544" s="10">
        <f t="shared" si="129"/>
        <v>5.0027397260273974</v>
      </c>
      <c r="N544" s="11">
        <f t="shared" si="130"/>
        <v>1</v>
      </c>
      <c r="O544" s="9" t="s">
        <v>47</v>
      </c>
      <c r="P544" t="str">
        <f t="shared" si="133"/>
        <v>0</v>
      </c>
      <c r="Q544" s="12">
        <v>500000000</v>
      </c>
      <c r="R544" s="9">
        <v>1</v>
      </c>
      <c r="S544" s="1" t="str">
        <f>IF($V544="USD",INDEX('Dólar Spot'!$B:$B,MATCH(Base!$K544,'Dólar Spot'!$A:$A,0)),"")</f>
        <v/>
      </c>
      <c r="T544" s="11">
        <f t="shared" si="140"/>
        <v>500000000</v>
      </c>
      <c r="U544" s="13">
        <f t="shared" si="131"/>
        <v>5</v>
      </c>
      <c r="V544" s="9" t="s">
        <v>44</v>
      </c>
      <c r="W544" s="9" t="s">
        <v>34</v>
      </c>
      <c r="X544">
        <f t="shared" si="134"/>
        <v>1</v>
      </c>
      <c r="Y544" s="1" t="str" cm="1">
        <f t="array" ref="Y544">INDEX(Ratings!$B$2:$M$42,_xlfn.XMATCH(Base!F544,Ratings!$A$2:$A$42),_xlfn.XMATCH(YEAR(Base!K544),Ratings!$B$1:$M$1))</f>
        <v>BBB-</v>
      </c>
      <c r="Z544">
        <f t="shared" si="135"/>
        <v>1</v>
      </c>
      <c r="AA544">
        <f>IFERROR(IFERROR(IFERROR(INDEX('EMBI+'!$B:$B,MATCH(Base!$K544,'EMBI+'!$A:$A,0)),INDEX('EMBI+'!$B:$B,MATCH(Base!$K544+1,'EMBI+'!$A:$A,0))),INDEX('EMBI+'!$B:$B,MATCH(Base!$K544+2,'EMBI+'!$A:$A,0))),INDEX('EMBI+'!$B:$B,MATCH(Base!$K544+3,'EMBI+'!$A:$A,0)))/100</f>
        <v>3.05</v>
      </c>
      <c r="AB544" s="9">
        <v>78.588639999999998</v>
      </c>
      <c r="AC544" s="9">
        <f>9.52164+145.28217</f>
        <v>154.80381</v>
      </c>
      <c r="AD544" s="9"/>
      <c r="AE544" s="9"/>
      <c r="AF544" s="2"/>
      <c r="AG544" s="2"/>
    </row>
    <row r="545" spans="1:33" x14ac:dyDescent="0.35">
      <c r="A545">
        <f t="shared" si="132"/>
        <v>543</v>
      </c>
      <c r="B545">
        <f>IF(G545="Bonds",COUNTIF($G$3:G545,"Bonds"),0)</f>
        <v>0</v>
      </c>
      <c r="C545" t="str">
        <f t="shared" si="136"/>
        <v>Votorantim Cimentos4188343709</v>
      </c>
      <c r="D545">
        <f t="shared" si="137"/>
        <v>39</v>
      </c>
      <c r="E545" s="9" t="s">
        <v>633</v>
      </c>
      <c r="F545" s="9" t="s">
        <v>634</v>
      </c>
      <c r="G545" s="9" t="s">
        <v>29</v>
      </c>
      <c r="H545">
        <f t="shared" si="127"/>
        <v>0</v>
      </c>
      <c r="I545" s="9" t="s">
        <v>638</v>
      </c>
      <c r="J545" s="1">
        <f t="shared" si="128"/>
        <v>4</v>
      </c>
      <c r="K545" s="2">
        <v>41883</v>
      </c>
      <c r="L545" s="2">
        <v>43709</v>
      </c>
      <c r="M545" s="10">
        <f t="shared" si="129"/>
        <v>5.0027397260273974</v>
      </c>
      <c r="N545" s="11">
        <f t="shared" si="130"/>
        <v>1</v>
      </c>
      <c r="O545" s="9" t="s">
        <v>47</v>
      </c>
      <c r="P545" t="str">
        <f t="shared" si="133"/>
        <v>0</v>
      </c>
      <c r="Q545" s="12">
        <v>30000</v>
      </c>
      <c r="R545" s="9">
        <v>10000</v>
      </c>
      <c r="S545" s="1" t="str">
        <f>IF($V545="USD",INDEX('Dólar Spot'!$B:$B,MATCH(Base!$K545,'Dólar Spot'!$A:$A,0)),"")</f>
        <v/>
      </c>
      <c r="T545" s="11">
        <f t="shared" si="140"/>
        <v>300000000</v>
      </c>
      <c r="U545" s="13">
        <f t="shared" si="131"/>
        <v>3</v>
      </c>
      <c r="V545" s="9" t="s">
        <v>44</v>
      </c>
      <c r="W545" s="9" t="s">
        <v>34</v>
      </c>
      <c r="X545">
        <f t="shared" si="134"/>
        <v>1</v>
      </c>
      <c r="Y545" s="1" t="str" cm="1">
        <f t="array" ref="Y545">INDEX(Ratings!$B$2:$M$42,_xlfn.XMATCH(Base!F545,Ratings!$A$2:$A$42),_xlfn.XMATCH(YEAR(Base!K545),Ratings!$B$1:$M$1))</f>
        <v>BBB</v>
      </c>
      <c r="Z545">
        <f t="shared" si="135"/>
        <v>1</v>
      </c>
      <c r="AA545">
        <f>IFERROR(IFERROR(IFERROR(INDEX('EMBI+'!$B:$B,MATCH(Base!$K545,'EMBI+'!$A:$A,0)),INDEX('EMBI+'!$B:$B,MATCH(Base!$K545+1,'EMBI+'!$A:$A,0))),INDEX('EMBI+'!$B:$B,MATCH(Base!$K545+2,'EMBI+'!$A:$A,0))),INDEX('EMBI+'!$B:$B,MATCH(Base!$K545+3,'EMBI+'!$A:$A,0)))/100</f>
        <v>2.0499999999999998</v>
      </c>
      <c r="AB545" s="9">
        <v>58.187570000000001</v>
      </c>
      <c r="AC545" s="9">
        <f>8.1883+129.74723</f>
        <v>137.93553</v>
      </c>
      <c r="AD545" s="9"/>
      <c r="AE545" s="9"/>
      <c r="AF545" s="2"/>
      <c r="AG545" s="2"/>
    </row>
    <row r="546" spans="1:33" x14ac:dyDescent="0.35">
      <c r="A546">
        <f t="shared" si="132"/>
        <v>544</v>
      </c>
      <c r="B546">
        <f>IF(G546="Bonds",COUNTIF($G$3:G546,"Bonds"),0)</f>
        <v>0</v>
      </c>
      <c r="C546" t="str">
        <f t="shared" si="136"/>
        <v>Votorantim Cimentos4188343709</v>
      </c>
      <c r="D546">
        <f t="shared" si="137"/>
        <v>39</v>
      </c>
      <c r="E546" s="9" t="s">
        <v>633</v>
      </c>
      <c r="F546" s="9" t="s">
        <v>634</v>
      </c>
      <c r="G546" s="9" t="s">
        <v>29</v>
      </c>
      <c r="H546">
        <f t="shared" si="127"/>
        <v>0</v>
      </c>
      <c r="I546" s="9" t="s">
        <v>639</v>
      </c>
      <c r="J546" s="1">
        <f t="shared" si="128"/>
        <v>5</v>
      </c>
      <c r="K546" s="2">
        <v>41883</v>
      </c>
      <c r="L546" s="2">
        <v>43709</v>
      </c>
      <c r="M546" s="10">
        <f t="shared" si="129"/>
        <v>5.0027397260273974</v>
      </c>
      <c r="N546" s="11">
        <f t="shared" si="130"/>
        <v>1</v>
      </c>
      <c r="O546" s="9" t="s">
        <v>47</v>
      </c>
      <c r="P546" t="str">
        <f t="shared" si="133"/>
        <v>0</v>
      </c>
      <c r="Q546" s="12">
        <v>15000</v>
      </c>
      <c r="R546" s="9">
        <v>10000</v>
      </c>
      <c r="S546" s="1" t="str">
        <f>IF($V546="USD",INDEX('Dólar Spot'!$B:$B,MATCH(Base!$K546,'Dólar Spot'!$A:$A,0)),"")</f>
        <v/>
      </c>
      <c r="T546" s="11">
        <f t="shared" si="140"/>
        <v>150000000</v>
      </c>
      <c r="U546" s="13">
        <f t="shared" si="131"/>
        <v>1.5</v>
      </c>
      <c r="V546" s="9" t="s">
        <v>44</v>
      </c>
      <c r="W546" s="9" t="s">
        <v>34</v>
      </c>
      <c r="X546">
        <f t="shared" si="134"/>
        <v>1</v>
      </c>
      <c r="Y546" s="1" t="str" cm="1">
        <f t="array" ref="Y546">INDEX(Ratings!$B$2:$M$42,_xlfn.XMATCH(Base!F546,Ratings!$A$2:$A$42),_xlfn.XMATCH(YEAR(Base!K546),Ratings!$B$1:$M$1))</f>
        <v>BBB</v>
      </c>
      <c r="Z546">
        <f t="shared" si="135"/>
        <v>1</v>
      </c>
      <c r="AA546">
        <f>IFERROR(IFERROR(IFERROR(INDEX('EMBI+'!$B:$B,MATCH(Base!$K546,'EMBI+'!$A:$A,0)),INDEX('EMBI+'!$B:$B,MATCH(Base!$K546+1,'EMBI+'!$A:$A,0))),INDEX('EMBI+'!$B:$B,MATCH(Base!$K546+2,'EMBI+'!$A:$A,0))),INDEX('EMBI+'!$B:$B,MATCH(Base!$K546+3,'EMBI+'!$A:$A,0)))/100</f>
        <v>2.0499999999999998</v>
      </c>
      <c r="AB546" s="9">
        <v>58.187570000000001</v>
      </c>
      <c r="AC546" s="9">
        <f>8.1883+129.74723</f>
        <v>137.93553</v>
      </c>
      <c r="AD546" s="9"/>
      <c r="AE546" s="9"/>
      <c r="AF546" s="2"/>
      <c r="AG546" s="2"/>
    </row>
    <row r="547" spans="1:33" x14ac:dyDescent="0.35">
      <c r="A547">
        <f t="shared" si="132"/>
        <v>545</v>
      </c>
      <c r="B547">
        <f>IF(G547="Bonds",COUNTIF($G$3:G547,"Bonds"),0)</f>
        <v>0</v>
      </c>
      <c r="C547" t="str">
        <f t="shared" si="136"/>
        <v>Votorantim Cimentos4424746073</v>
      </c>
      <c r="D547">
        <f t="shared" si="137"/>
        <v>39</v>
      </c>
      <c r="E547" s="9" t="s">
        <v>633</v>
      </c>
      <c r="F547" s="9" t="s">
        <v>634</v>
      </c>
      <c r="G547" s="9" t="s">
        <v>29</v>
      </c>
      <c r="H547">
        <f t="shared" si="127"/>
        <v>0</v>
      </c>
      <c r="I547" s="9" t="s">
        <v>640</v>
      </c>
      <c r="J547" s="1">
        <f t="shared" si="128"/>
        <v>6</v>
      </c>
      <c r="K547" s="2">
        <v>44247</v>
      </c>
      <c r="L547" s="2">
        <v>46073</v>
      </c>
      <c r="M547" s="10">
        <f t="shared" si="129"/>
        <v>5.0027397260273974</v>
      </c>
      <c r="N547" s="11">
        <f t="shared" si="130"/>
        <v>1</v>
      </c>
      <c r="O547" s="9" t="s">
        <v>47</v>
      </c>
      <c r="P547" t="str">
        <f t="shared" si="133"/>
        <v>0</v>
      </c>
      <c r="Q547" s="12">
        <v>450000</v>
      </c>
      <c r="R547" s="9">
        <v>1000</v>
      </c>
      <c r="S547" s="1" t="str">
        <f>IF($V547="USD",INDEX('Dólar Spot'!$B:$B,MATCH(Base!$K547,'Dólar Spot'!$A:$A,0)),"")</f>
        <v/>
      </c>
      <c r="T547" s="11">
        <f t="shared" si="140"/>
        <v>450000000</v>
      </c>
      <c r="U547" s="13">
        <f t="shared" si="131"/>
        <v>4.5</v>
      </c>
      <c r="V547" s="9" t="s">
        <v>44</v>
      </c>
      <c r="W547" s="9" t="s">
        <v>34</v>
      </c>
      <c r="X547">
        <f t="shared" si="134"/>
        <v>1</v>
      </c>
      <c r="Y547" s="1" t="str" cm="1">
        <f t="array" ref="Y547">INDEX(Ratings!$B$2:$M$42,_xlfn.XMATCH(Base!F547,Ratings!$A$2:$A$42),_xlfn.XMATCH(YEAR(Base!K547),Ratings!$B$1:$M$1))</f>
        <v>BBB-</v>
      </c>
      <c r="Z547">
        <f t="shared" si="135"/>
        <v>1</v>
      </c>
      <c r="AA547">
        <f>IFERROR(IFERROR(IFERROR(INDEX('EMBI+'!$B:$B,MATCH(Base!$K547,'EMBI+'!$A:$A,0)),INDEX('EMBI+'!$B:$B,MATCH(Base!$K547+1,'EMBI+'!$A:$A,0))),INDEX('EMBI+'!$B:$B,MATCH(Base!$K547+2,'EMBI+'!$A:$A,0))),INDEX('EMBI+'!$B:$B,MATCH(Base!$K547+3,'EMBI+'!$A:$A,0)))/100</f>
        <v>2.92</v>
      </c>
      <c r="AB547" s="9">
        <v>147.75908000000001</v>
      </c>
      <c r="AC547" s="9">
        <f>2.89736+124.93231</f>
        <v>127.82967000000001</v>
      </c>
      <c r="AD547" s="9"/>
      <c r="AE547" s="9"/>
      <c r="AF547" s="2"/>
      <c r="AG547" s="2"/>
    </row>
    <row r="548" spans="1:33" x14ac:dyDescent="0.35">
      <c r="A548">
        <f t="shared" si="132"/>
        <v>546</v>
      </c>
      <c r="B548">
        <f>IF(G548="Bonds",COUNTIF($G$3:G548,"Bonds"),0)</f>
        <v>0</v>
      </c>
      <c r="C548" t="str">
        <f t="shared" si="136"/>
        <v>Votorantim Cimentos4447447031</v>
      </c>
      <c r="D548">
        <f t="shared" si="137"/>
        <v>39</v>
      </c>
      <c r="E548" s="9" t="s">
        <v>633</v>
      </c>
      <c r="F548" s="9" t="s">
        <v>634</v>
      </c>
      <c r="G548" s="9" t="s">
        <v>29</v>
      </c>
      <c r="H548">
        <f t="shared" si="127"/>
        <v>0</v>
      </c>
      <c r="I548" s="9" t="s">
        <v>641</v>
      </c>
      <c r="J548" s="1">
        <f t="shared" si="128"/>
        <v>7</v>
      </c>
      <c r="K548" s="2">
        <v>44474</v>
      </c>
      <c r="L548" s="2">
        <v>47031</v>
      </c>
      <c r="M548" s="10">
        <f t="shared" si="129"/>
        <v>7.0054794520547947</v>
      </c>
      <c r="N548" s="11">
        <f t="shared" si="130"/>
        <v>1</v>
      </c>
      <c r="O548" s="9" t="s">
        <v>47</v>
      </c>
      <c r="P548" t="str">
        <f t="shared" si="133"/>
        <v>0</v>
      </c>
      <c r="Q548" s="12">
        <v>500000</v>
      </c>
      <c r="R548" s="9">
        <v>1000</v>
      </c>
      <c r="S548" s="1" t="str">
        <f>IF($V548="USD",INDEX('Dólar Spot'!$B:$B,MATCH(Base!$K548,'Dólar Spot'!$A:$A,0)),"")</f>
        <v/>
      </c>
      <c r="T548" s="11">
        <f t="shared" si="140"/>
        <v>500000000</v>
      </c>
      <c r="U548" s="13">
        <f t="shared" si="131"/>
        <v>5</v>
      </c>
      <c r="V548" s="9" t="s">
        <v>44</v>
      </c>
      <c r="W548" s="9" t="s">
        <v>34</v>
      </c>
      <c r="X548">
        <f t="shared" si="134"/>
        <v>1</v>
      </c>
      <c r="Y548" s="1" t="str" cm="1">
        <f t="array" ref="Y548">INDEX(Ratings!$B$2:$M$42,_xlfn.XMATCH(Base!F548,Ratings!$A$2:$A$42),_xlfn.XMATCH(YEAR(Base!K548),Ratings!$B$1:$M$1))</f>
        <v>BBB-</v>
      </c>
      <c r="Z548">
        <f t="shared" si="135"/>
        <v>1</v>
      </c>
      <c r="AA548">
        <f>IFERROR(IFERROR(IFERROR(INDEX('EMBI+'!$B:$B,MATCH(Base!$K548,'EMBI+'!$A:$A,0)),INDEX('EMBI+'!$B:$B,MATCH(Base!$K548+1,'EMBI+'!$A:$A,0))),INDEX('EMBI+'!$B:$B,MATCH(Base!$K548+2,'EMBI+'!$A:$A,0))),INDEX('EMBI+'!$B:$B,MATCH(Base!$K548+3,'EMBI+'!$A:$A,0)))/100</f>
        <v>3.32</v>
      </c>
      <c r="AB548" s="9">
        <v>165.18216000000001</v>
      </c>
      <c r="AC548" s="9">
        <f>2.80312+129.44347</f>
        <v>132.24659</v>
      </c>
      <c r="AD548" s="9"/>
      <c r="AE548" s="9"/>
      <c r="AF548" s="2"/>
      <c r="AG548" s="2"/>
    </row>
    <row r="549" spans="1:33" x14ac:dyDescent="0.35">
      <c r="A549">
        <f t="shared" si="132"/>
        <v>547</v>
      </c>
      <c r="B549">
        <f>IF(G549="Bonds",COUNTIF($G$3:G549,"Bonds"),0)</f>
        <v>0</v>
      </c>
      <c r="C549" t="str">
        <f t="shared" si="136"/>
        <v>Votorantim Cimentos4058844241</v>
      </c>
      <c r="D549">
        <f t="shared" si="137"/>
        <v>39</v>
      </c>
      <c r="E549" s="9" t="s">
        <v>633</v>
      </c>
      <c r="F549" s="9" t="s">
        <v>634</v>
      </c>
      <c r="G549" s="9" t="s">
        <v>29</v>
      </c>
      <c r="H549">
        <f t="shared" si="127"/>
        <v>0</v>
      </c>
      <c r="I549" s="9" t="s">
        <v>642</v>
      </c>
      <c r="J549" s="1">
        <f t="shared" si="128"/>
        <v>8</v>
      </c>
      <c r="K549" s="2">
        <v>40588</v>
      </c>
      <c r="L549" s="2">
        <v>44241</v>
      </c>
      <c r="M549" s="10">
        <f t="shared" si="129"/>
        <v>10.008219178082191</v>
      </c>
      <c r="N549" s="11">
        <f t="shared" si="130"/>
        <v>1</v>
      </c>
      <c r="O549" s="9" t="s">
        <v>47</v>
      </c>
      <c r="P549" t="str">
        <f t="shared" si="133"/>
        <v>0</v>
      </c>
      <c r="Q549" s="12">
        <v>60</v>
      </c>
      <c r="R549" s="9">
        <v>10000000</v>
      </c>
      <c r="S549" s="1" t="str">
        <f>IF($V549="USD",INDEX('Dólar Spot'!$B:$B,MATCH(Base!$K549,'Dólar Spot'!$A:$A,0)),"")</f>
        <v/>
      </c>
      <c r="T549" s="11">
        <f t="shared" si="140"/>
        <v>600000000</v>
      </c>
      <c r="U549" s="13">
        <f t="shared" si="131"/>
        <v>6</v>
      </c>
      <c r="V549" s="9" t="s">
        <v>44</v>
      </c>
      <c r="W549" s="9" t="s">
        <v>34</v>
      </c>
      <c r="X549">
        <f t="shared" si="134"/>
        <v>1</v>
      </c>
      <c r="Y549" s="1" t="str" cm="1">
        <f t="array" ref="Y549">INDEX(Ratings!$B$2:$M$42,_xlfn.XMATCH(Base!F549,Ratings!$A$2:$A$42),_xlfn.XMATCH(YEAR(Base!K549),Ratings!$B$1:$M$1))</f>
        <v>BBB-</v>
      </c>
      <c r="Z549">
        <f t="shared" si="135"/>
        <v>1</v>
      </c>
      <c r="AA549">
        <f>IFERROR(IFERROR(IFERROR(INDEX('EMBI+'!$B:$B,MATCH(Base!$K549,'EMBI+'!$A:$A,0)),INDEX('EMBI+'!$B:$B,MATCH(Base!$K549+1,'EMBI+'!$A:$A,0))),INDEX('EMBI+'!$B:$B,MATCH(Base!$K549+2,'EMBI+'!$A:$A,0))),INDEX('EMBI+'!$B:$B,MATCH(Base!$K549+3,'EMBI+'!$A:$A,0)))/100</f>
        <v>1.81</v>
      </c>
      <c r="AB549" s="9">
        <v>45.71275</v>
      </c>
      <c r="AC549" s="9">
        <f>2.20679+50.27644</f>
        <v>52.483229999999999</v>
      </c>
      <c r="AD549" s="9"/>
      <c r="AE549" s="9"/>
      <c r="AF549" s="2"/>
      <c r="AG549" s="2"/>
    </row>
    <row r="550" spans="1:33" x14ac:dyDescent="0.35">
      <c r="A550">
        <f t="shared" si="132"/>
        <v>548</v>
      </c>
      <c r="B550">
        <f>IF(G550="Bonds",COUNTIF($G$3:G550,"Bonds"),0)</f>
        <v>0</v>
      </c>
      <c r="C550" t="str">
        <f t="shared" si="136"/>
        <v>Votorantim Cimentos4092843251</v>
      </c>
      <c r="D550">
        <f t="shared" si="137"/>
        <v>39</v>
      </c>
      <c r="E550" s="9" t="s">
        <v>633</v>
      </c>
      <c r="F550" s="9" t="s">
        <v>634</v>
      </c>
      <c r="G550" s="9" t="s">
        <v>29</v>
      </c>
      <c r="H550">
        <f t="shared" si="127"/>
        <v>0</v>
      </c>
      <c r="I550" s="9" t="s">
        <v>643</v>
      </c>
      <c r="J550" s="1">
        <f t="shared" si="128"/>
        <v>9</v>
      </c>
      <c r="K550" s="2">
        <v>40928</v>
      </c>
      <c r="L550" s="2">
        <v>43251</v>
      </c>
      <c r="M550" s="10">
        <f t="shared" si="129"/>
        <v>6.3643835616438356</v>
      </c>
      <c r="N550" s="11">
        <f t="shared" si="130"/>
        <v>1</v>
      </c>
      <c r="O550" s="9" t="s">
        <v>47</v>
      </c>
      <c r="P550" t="str">
        <f t="shared" si="133"/>
        <v>0</v>
      </c>
      <c r="Q550" s="12">
        <v>500</v>
      </c>
      <c r="R550" s="9">
        <v>1000000</v>
      </c>
      <c r="S550" s="1" t="str">
        <f>IF($V550="USD",INDEX('Dólar Spot'!$B:$B,MATCH(Base!$K550,'Dólar Spot'!$A:$A,0)),"")</f>
        <v/>
      </c>
      <c r="T550" s="11">
        <f t="shared" si="140"/>
        <v>500000000</v>
      </c>
      <c r="U550" s="13">
        <f t="shared" si="131"/>
        <v>5</v>
      </c>
      <c r="V550" s="9" t="s">
        <v>44</v>
      </c>
      <c r="W550" s="9" t="s">
        <v>34</v>
      </c>
      <c r="X550">
        <f t="shared" si="134"/>
        <v>1</v>
      </c>
      <c r="Y550" s="1" t="str" cm="1">
        <f t="array" ref="Y550">INDEX(Ratings!$B$2:$M$42,_xlfn.XMATCH(Base!F550,Ratings!$A$2:$A$42),_xlfn.XMATCH(YEAR(Base!K550),Ratings!$B$1:$M$1))</f>
        <v>BBB</v>
      </c>
      <c r="Z550">
        <f t="shared" si="135"/>
        <v>1</v>
      </c>
      <c r="AA550">
        <f>IFERROR(IFERROR(IFERROR(INDEX('EMBI+'!$B:$B,MATCH(Base!$K550,'EMBI+'!$A:$A,0)),INDEX('EMBI+'!$B:$B,MATCH(Base!$K550+1,'EMBI+'!$A:$A,0))),INDEX('EMBI+'!$B:$B,MATCH(Base!$K550+2,'EMBI+'!$A:$A,0))),INDEX('EMBI+'!$B:$B,MATCH(Base!$K550+3,'EMBI+'!$A:$A,0)))/100</f>
        <v>2.13</v>
      </c>
      <c r="AB550" s="9">
        <v>53.253329999999998</v>
      </c>
      <c r="AC550" s="9">
        <f>4.13551+76.43161</f>
        <v>80.567120000000003</v>
      </c>
      <c r="AD550" s="9"/>
      <c r="AE550" s="9"/>
      <c r="AF550" s="2"/>
      <c r="AG550" s="2"/>
    </row>
    <row r="551" spans="1:33" x14ac:dyDescent="0.35">
      <c r="A551">
        <f t="shared" si="132"/>
        <v>549</v>
      </c>
      <c r="B551">
        <f>IF(G551="Bonds",COUNTIF($G$3:G551,"Bonds"),0)</f>
        <v>0</v>
      </c>
      <c r="C551" t="str">
        <f t="shared" si="136"/>
        <v>Votorantim Cimentos4124845356</v>
      </c>
      <c r="D551">
        <f t="shared" si="137"/>
        <v>39</v>
      </c>
      <c r="E551" s="9" t="s">
        <v>633</v>
      </c>
      <c r="F551" s="9" t="s">
        <v>634</v>
      </c>
      <c r="G551" s="9" t="s">
        <v>29</v>
      </c>
      <c r="H551">
        <f t="shared" si="127"/>
        <v>0</v>
      </c>
      <c r="I551" s="9" t="s">
        <v>644</v>
      </c>
      <c r="J551" s="1">
        <f t="shared" si="128"/>
        <v>10</v>
      </c>
      <c r="K551" s="2">
        <v>41248</v>
      </c>
      <c r="L551" s="2">
        <v>45356</v>
      </c>
      <c r="M551" s="10">
        <f t="shared" si="129"/>
        <v>11.254794520547945</v>
      </c>
      <c r="N551" s="11">
        <f t="shared" si="130"/>
        <v>1</v>
      </c>
      <c r="O551" s="9" t="s">
        <v>47</v>
      </c>
      <c r="P551" t="str">
        <f t="shared" si="133"/>
        <v>0</v>
      </c>
      <c r="Q551" s="12">
        <v>120000</v>
      </c>
      <c r="R551" s="9">
        <v>10000</v>
      </c>
      <c r="S551" s="1" t="str">
        <f>IF($V551="USD",INDEX('Dólar Spot'!$B:$B,MATCH(Base!$K551,'Dólar Spot'!$A:$A,0)),"")</f>
        <v/>
      </c>
      <c r="T551" s="11">
        <f t="shared" si="140"/>
        <v>1200000000</v>
      </c>
      <c r="U551" s="13">
        <f t="shared" si="131"/>
        <v>12</v>
      </c>
      <c r="V551" s="9" t="s">
        <v>44</v>
      </c>
      <c r="W551" s="9" t="s">
        <v>34</v>
      </c>
      <c r="X551">
        <f t="shared" si="134"/>
        <v>1</v>
      </c>
      <c r="Y551" s="1" t="str" cm="1">
        <f t="array" ref="Y551">INDEX(Ratings!$B$2:$M$42,_xlfn.XMATCH(Base!F551,Ratings!$A$2:$A$42),_xlfn.XMATCH(YEAR(Base!K551),Ratings!$B$1:$M$1))</f>
        <v>BBB</v>
      </c>
      <c r="Z551">
        <f t="shared" si="135"/>
        <v>1</v>
      </c>
      <c r="AA551">
        <f>IFERROR(IFERROR(IFERROR(INDEX('EMBI+'!$B:$B,MATCH(Base!$K551,'EMBI+'!$A:$A,0)),INDEX('EMBI+'!$B:$B,MATCH(Base!$K551+1,'EMBI+'!$A:$A,0))),INDEX('EMBI+'!$B:$B,MATCH(Base!$K551+2,'EMBI+'!$A:$A,0))),INDEX('EMBI+'!$B:$B,MATCH(Base!$K551+3,'EMBI+'!$A:$A,0)))/100</f>
        <v>1.56</v>
      </c>
      <c r="AB551" s="9">
        <v>49.102499999999999</v>
      </c>
      <c r="AC551" s="9">
        <f>6.06875+121.77174</f>
        <v>127.84048999999999</v>
      </c>
      <c r="AD551" s="9"/>
      <c r="AE551" s="9"/>
      <c r="AF551" s="2"/>
      <c r="AG551" s="2"/>
    </row>
    <row r="552" spans="1:33" x14ac:dyDescent="0.35">
      <c r="A552">
        <f t="shared" si="132"/>
        <v>550</v>
      </c>
      <c r="B552">
        <f>IF(G552="Bonds",COUNTIF($G$3:G552,"Bonds"),0)</f>
        <v>0</v>
      </c>
      <c r="C552" t="str">
        <f t="shared" si="136"/>
        <v>Votorantim Cimentos4161345721</v>
      </c>
      <c r="D552">
        <f t="shared" si="137"/>
        <v>39</v>
      </c>
      <c r="E552" s="9" t="s">
        <v>633</v>
      </c>
      <c r="F552" s="9" t="s">
        <v>634</v>
      </c>
      <c r="G552" s="9" t="s">
        <v>29</v>
      </c>
      <c r="H552">
        <f t="shared" si="127"/>
        <v>0</v>
      </c>
      <c r="I552" s="9" t="s">
        <v>645</v>
      </c>
      <c r="J552" s="1">
        <f t="shared" si="128"/>
        <v>11</v>
      </c>
      <c r="K552" s="2">
        <v>41613</v>
      </c>
      <c r="L552" s="2">
        <v>45721</v>
      </c>
      <c r="M552" s="10">
        <f t="shared" si="129"/>
        <v>11.254794520547945</v>
      </c>
      <c r="N552" s="11">
        <f t="shared" si="130"/>
        <v>1</v>
      </c>
      <c r="O552" s="9" t="s">
        <v>47</v>
      </c>
      <c r="P552" t="str">
        <f t="shared" si="133"/>
        <v>0</v>
      </c>
      <c r="Q552" s="12">
        <v>50000</v>
      </c>
      <c r="R552" s="9">
        <v>10000</v>
      </c>
      <c r="S552" s="1" t="str">
        <f>IF($V552="USD",INDEX('Dólar Spot'!$B:$B,MATCH(Base!$K552,'Dólar Spot'!$A:$A,0)),"")</f>
        <v/>
      </c>
      <c r="T552" s="11">
        <f t="shared" si="140"/>
        <v>500000000</v>
      </c>
      <c r="U552" s="13">
        <f t="shared" si="131"/>
        <v>5</v>
      </c>
      <c r="V552" s="9" t="s">
        <v>44</v>
      </c>
      <c r="W552" s="9" t="s">
        <v>34</v>
      </c>
      <c r="X552">
        <f t="shared" si="134"/>
        <v>1</v>
      </c>
      <c r="Y552" s="1" t="str" cm="1">
        <f t="array" ref="Y552">INDEX(Ratings!$B$2:$M$42,_xlfn.XMATCH(Base!F552,Ratings!$A$2:$A$42),_xlfn.XMATCH(YEAR(Base!K552),Ratings!$B$1:$M$1))</f>
        <v>BBB</v>
      </c>
      <c r="Z552">
        <f t="shared" si="135"/>
        <v>1</v>
      </c>
      <c r="AA552">
        <f>IFERROR(IFERROR(IFERROR(INDEX('EMBI+'!$B:$B,MATCH(Base!$K552,'EMBI+'!$A:$A,0)),INDEX('EMBI+'!$B:$B,MATCH(Base!$K552+1,'EMBI+'!$A:$A,0))),INDEX('EMBI+'!$B:$B,MATCH(Base!$K552+2,'EMBI+'!$A:$A,0))),INDEX('EMBI+'!$B:$B,MATCH(Base!$K552+3,'EMBI+'!$A:$A,0)))/100</f>
        <v>2.5499999999999998</v>
      </c>
      <c r="AB552" s="9">
        <v>56.128320000000002</v>
      </c>
      <c r="AC552" s="9">
        <f>7.21745+127.79596</f>
        <v>135.01340999999999</v>
      </c>
      <c r="AD552" s="9"/>
      <c r="AE552" s="9"/>
      <c r="AF552" s="2"/>
      <c r="AG552" s="2"/>
    </row>
    <row r="553" spans="1:33" x14ac:dyDescent="0.35">
      <c r="A553">
        <f t="shared" si="132"/>
        <v>551</v>
      </c>
      <c r="B553">
        <f>IF(G553="Bonds",COUNTIF($G$3:G553,"Bonds"),0)</f>
        <v>0</v>
      </c>
      <c r="C553" t="str">
        <f t="shared" si="136"/>
        <v>Votorantim Cimentos4092843251</v>
      </c>
      <c r="D553">
        <f t="shared" si="137"/>
        <v>39</v>
      </c>
      <c r="E553" s="9" t="s">
        <v>633</v>
      </c>
      <c r="F553" s="9" t="s">
        <v>634</v>
      </c>
      <c r="G553" s="9" t="s">
        <v>29</v>
      </c>
      <c r="H553">
        <f t="shared" si="127"/>
        <v>0</v>
      </c>
      <c r="I553" s="9" t="s">
        <v>646</v>
      </c>
      <c r="J553" s="1">
        <f t="shared" si="128"/>
        <v>12</v>
      </c>
      <c r="K553" s="2">
        <v>40928</v>
      </c>
      <c r="L553" s="2">
        <v>43251</v>
      </c>
      <c r="M553" s="10">
        <f t="shared" si="129"/>
        <v>6.3643835616438356</v>
      </c>
      <c r="N553" s="11">
        <f t="shared" si="130"/>
        <v>1</v>
      </c>
      <c r="O553" s="9" t="s">
        <v>47</v>
      </c>
      <c r="P553" t="str">
        <f t="shared" si="133"/>
        <v>0</v>
      </c>
      <c r="Q553" s="12">
        <v>500</v>
      </c>
      <c r="R553" s="9">
        <v>1000000</v>
      </c>
      <c r="S553" s="1" t="str">
        <f>IF($V553="USD",INDEX('Dólar Spot'!$B:$B,MATCH(Base!$K553,'Dólar Spot'!$A:$A,0)),"")</f>
        <v/>
      </c>
      <c r="T553" s="11">
        <f t="shared" si="140"/>
        <v>500000000</v>
      </c>
      <c r="U553" s="13">
        <f t="shared" si="131"/>
        <v>5</v>
      </c>
      <c r="V553" s="9" t="s">
        <v>44</v>
      </c>
      <c r="W553" s="9" t="s">
        <v>34</v>
      </c>
      <c r="X553">
        <f t="shared" si="134"/>
        <v>1</v>
      </c>
      <c r="Y553" s="1" t="str" cm="1">
        <f t="array" ref="Y553">INDEX(Ratings!$B$2:$M$42,_xlfn.XMATCH(Base!F553,Ratings!$A$2:$A$42),_xlfn.XMATCH(YEAR(Base!K553),Ratings!$B$1:$M$1))</f>
        <v>BBB</v>
      </c>
      <c r="Z553">
        <f t="shared" si="135"/>
        <v>1</v>
      </c>
      <c r="AA553">
        <f>IFERROR(IFERROR(IFERROR(INDEX('EMBI+'!$B:$B,MATCH(Base!$K553,'EMBI+'!$A:$A,0)),INDEX('EMBI+'!$B:$B,MATCH(Base!$K553+1,'EMBI+'!$A:$A,0))),INDEX('EMBI+'!$B:$B,MATCH(Base!$K553+2,'EMBI+'!$A:$A,0))),INDEX('EMBI+'!$B:$B,MATCH(Base!$K553+3,'EMBI+'!$A:$A,0)))/100</f>
        <v>2.13</v>
      </c>
      <c r="AB553" s="9">
        <v>53.253329999999998</v>
      </c>
      <c r="AC553" s="9">
        <f>4.13551+76.43161</f>
        <v>80.567120000000003</v>
      </c>
      <c r="AD553" s="9"/>
      <c r="AE553" s="9"/>
      <c r="AF553" s="2"/>
      <c r="AG553" s="2"/>
    </row>
    <row r="554" spans="1:33" x14ac:dyDescent="0.35">
      <c r="A554">
        <f t="shared" si="132"/>
        <v>552</v>
      </c>
      <c r="B554">
        <f>IF(G554="Bonds",COUNTIF($G$3:G554,"Bonds"),0)</f>
        <v>0</v>
      </c>
      <c r="C554" t="str">
        <f t="shared" si="136"/>
        <v>Votorantim Cimentos4172342819</v>
      </c>
      <c r="D554">
        <f t="shared" si="137"/>
        <v>39</v>
      </c>
      <c r="E554" s="9" t="s">
        <v>647</v>
      </c>
      <c r="F554" s="9" t="s">
        <v>634</v>
      </c>
      <c r="G554" s="9" t="s">
        <v>29</v>
      </c>
      <c r="H554">
        <f t="shared" si="127"/>
        <v>0</v>
      </c>
      <c r="I554" s="9" t="s">
        <v>648</v>
      </c>
      <c r="J554" s="1">
        <f t="shared" si="128"/>
        <v>13</v>
      </c>
      <c r="K554" s="2">
        <v>41723</v>
      </c>
      <c r="L554" s="2">
        <v>42819</v>
      </c>
      <c r="M554" s="10">
        <f t="shared" si="129"/>
        <v>3.0027397260273974</v>
      </c>
      <c r="N554" s="11">
        <f t="shared" si="130"/>
        <v>0</v>
      </c>
      <c r="O554" s="9" t="s">
        <v>47</v>
      </c>
      <c r="P554" t="str">
        <f t="shared" si="133"/>
        <v>0</v>
      </c>
      <c r="Q554" s="12">
        <v>45000</v>
      </c>
      <c r="R554" s="9">
        <v>10000</v>
      </c>
      <c r="S554" s="1" t="str">
        <f>IF($V554="USD",INDEX('Dólar Spot'!$B:$B,MATCH(Base!$K554,'Dólar Spot'!$A:$A,0)),"")</f>
        <v/>
      </c>
      <c r="T554" s="11">
        <f t="shared" si="140"/>
        <v>450000000</v>
      </c>
      <c r="U554" s="13">
        <f t="shared" si="131"/>
        <v>4.5</v>
      </c>
      <c r="V554" s="9" t="s">
        <v>44</v>
      </c>
      <c r="W554" s="9" t="s">
        <v>34</v>
      </c>
      <c r="X554">
        <f t="shared" si="134"/>
        <v>1</v>
      </c>
      <c r="Y554" s="1" t="str" cm="1">
        <f t="array" ref="Y554">INDEX(Ratings!$B$2:$M$42,_xlfn.XMATCH(Base!F554,Ratings!$A$2:$A$42),_xlfn.XMATCH(YEAR(Base!K554),Ratings!$B$1:$M$1))</f>
        <v>BBB</v>
      </c>
      <c r="Z554">
        <f t="shared" si="135"/>
        <v>1</v>
      </c>
      <c r="AA554">
        <f>IFERROR(IFERROR(IFERROR(INDEX('EMBI+'!$B:$B,MATCH(Base!$K554,'EMBI+'!$A:$A,0)),INDEX('EMBI+'!$B:$B,MATCH(Base!$K554+1,'EMBI+'!$A:$A,0))),INDEX('EMBI+'!$B:$B,MATCH(Base!$K554+2,'EMBI+'!$A:$A,0))),INDEX('EMBI+'!$B:$B,MATCH(Base!$K554+3,'EMBI+'!$A:$A,0)))/100</f>
        <v>2.2999999999999998</v>
      </c>
      <c r="AB554" s="9">
        <v>54.077240000000003</v>
      </c>
      <c r="AC554" s="9">
        <f>12.789+120.50108</f>
        <v>133.29007999999999</v>
      </c>
      <c r="AD554" s="9"/>
      <c r="AE554" s="9"/>
      <c r="AF554" s="2"/>
      <c r="AG554" s="2"/>
    </row>
    <row r="555" spans="1:33" x14ac:dyDescent="0.35">
      <c r="A555">
        <f t="shared" si="132"/>
        <v>553</v>
      </c>
      <c r="B555">
        <f>IF(G555="Bonds",COUNTIF($G$3:G555,"Bonds"),0)</f>
        <v>0</v>
      </c>
      <c r="C555" t="str">
        <f t="shared" si="136"/>
        <v>Votorantim Cimentos4470047257</v>
      </c>
      <c r="D555">
        <f t="shared" si="137"/>
        <v>39</v>
      </c>
      <c r="E555" s="9" t="s">
        <v>633</v>
      </c>
      <c r="F555" s="9" t="s">
        <v>634</v>
      </c>
      <c r="G555" s="9" t="s">
        <v>29</v>
      </c>
      <c r="H555">
        <f t="shared" si="127"/>
        <v>0</v>
      </c>
      <c r="I555" s="9"/>
      <c r="J555" s="1">
        <f t="shared" si="128"/>
        <v>14</v>
      </c>
      <c r="K555" s="2">
        <v>44700</v>
      </c>
      <c r="L555" s="2">
        <v>47257</v>
      </c>
      <c r="M555" s="10">
        <f t="shared" si="129"/>
        <v>7.0054794520547947</v>
      </c>
      <c r="N555" s="11">
        <f t="shared" si="130"/>
        <v>1</v>
      </c>
      <c r="O555" s="9" t="s">
        <v>47</v>
      </c>
      <c r="P555" t="str">
        <f t="shared" si="133"/>
        <v>0</v>
      </c>
      <c r="Q555" s="12">
        <v>1000000</v>
      </c>
      <c r="R555" s="9">
        <v>1000</v>
      </c>
      <c r="S555" s="1" t="str">
        <f>IF($V555="USD",INDEX('Dólar Spot'!$B:$B,MATCH(Base!$K555,'Dólar Spot'!$A:$A,0)),"")</f>
        <v/>
      </c>
      <c r="T555" s="11">
        <f t="shared" si="140"/>
        <v>1000000000</v>
      </c>
      <c r="U555" s="13">
        <f t="shared" si="131"/>
        <v>10</v>
      </c>
      <c r="V555" s="9" t="s">
        <v>44</v>
      </c>
      <c r="W555" s="9" t="s">
        <v>34</v>
      </c>
      <c r="X555">
        <f t="shared" si="134"/>
        <v>1</v>
      </c>
      <c r="Y555" s="1" t="str" cm="1">
        <f t="array" ref="Y555">INDEX(Ratings!$B$2:$M$42,_xlfn.XMATCH(Base!F555,Ratings!$A$2:$A$42),_xlfn.XMATCH(YEAR(Base!K555),Ratings!$B$1:$M$1))</f>
        <v>BBB-</v>
      </c>
      <c r="Z555">
        <f t="shared" si="135"/>
        <v>1</v>
      </c>
      <c r="AA555">
        <f>IFERROR(IFERROR(IFERROR(INDEX('EMBI+'!$B:$B,MATCH(Base!$K555,'EMBI+'!$A:$A,0)),INDEX('EMBI+'!$B:$B,MATCH(Base!$K555+1,'EMBI+'!$A:$A,0))),INDEX('EMBI+'!$B:$B,MATCH(Base!$K555+2,'EMBI+'!$A:$A,0))),INDEX('EMBI+'!$B:$B,MATCH(Base!$K555+3,'EMBI+'!$A:$A,0)))/100</f>
        <v>3.26</v>
      </c>
      <c r="AB555" s="9">
        <v>156.51921999999999</v>
      </c>
      <c r="AC555" s="9">
        <f>2.55253+108.14672</f>
        <v>110.69925000000001</v>
      </c>
      <c r="AD555" s="9"/>
      <c r="AE555" s="9"/>
      <c r="AF555" s="2"/>
      <c r="AG555" s="2"/>
    </row>
    <row r="556" spans="1:33" x14ac:dyDescent="0.35">
      <c r="A556">
        <f t="shared" si="132"/>
        <v>554</v>
      </c>
      <c r="B556">
        <f>IF(G556="Bonds",COUNTIF($G$3:G556,"Bonds"),0)</f>
        <v>162</v>
      </c>
      <c r="C556" t="str">
        <f t="shared" si="136"/>
        <v>Votorantim Cimentos4063805/04/2041</v>
      </c>
      <c r="D556">
        <f t="shared" si="137"/>
        <v>39</v>
      </c>
      <c r="E556" s="9" t="s">
        <v>649</v>
      </c>
      <c r="F556" s="9" t="s">
        <v>634</v>
      </c>
      <c r="G556" s="9" t="s">
        <v>37</v>
      </c>
      <c r="H556">
        <f t="shared" si="127"/>
        <v>1</v>
      </c>
      <c r="I556" s="9"/>
      <c r="J556" s="1">
        <f t="shared" si="128"/>
        <v>15</v>
      </c>
      <c r="K556" s="2">
        <v>40638</v>
      </c>
      <c r="L556" s="2" t="s">
        <v>650</v>
      </c>
      <c r="M556" s="10">
        <f t="shared" si="129"/>
        <v>30.021917808219179</v>
      </c>
      <c r="N556" s="11">
        <f t="shared" si="130"/>
        <v>1</v>
      </c>
      <c r="O556" s="9" t="s">
        <v>39</v>
      </c>
      <c r="P556" t="str">
        <f t="shared" si="133"/>
        <v>0</v>
      </c>
      <c r="S556" s="1">
        <f>IF($V556="USD",INDEX('Dólar Spot'!$B:$B,MATCH(Base!$K556,'Dólar Spot'!$A:$A,0)),"")</f>
        <v>1.6079000000000001</v>
      </c>
      <c r="T556" s="12">
        <v>750000000</v>
      </c>
      <c r="U556" s="13">
        <f t="shared" si="131"/>
        <v>12.05925</v>
      </c>
      <c r="V556" s="9" t="s">
        <v>40</v>
      </c>
      <c r="W556" s="9" t="s">
        <v>35</v>
      </c>
      <c r="X556">
        <f t="shared" si="134"/>
        <v>0</v>
      </c>
      <c r="Y556" s="1" t="str" cm="1">
        <f t="array" ref="Y556">INDEX(Ratings!$B$2:$M$42,_xlfn.XMATCH(Base!F556,Ratings!$A$2:$A$42),_xlfn.XMATCH(YEAR(Base!K556),Ratings!$B$1:$M$1))</f>
        <v>BBB-</v>
      </c>
      <c r="Z556">
        <f t="shared" si="135"/>
        <v>1</v>
      </c>
      <c r="AA556">
        <f>IFERROR(IFERROR(IFERROR(INDEX('EMBI+'!$B:$B,MATCH(Base!$K556,'EMBI+'!$A:$A,0)),INDEX('EMBI+'!$B:$B,MATCH(Base!$K556+1,'EMBI+'!$A:$A,0))),INDEX('EMBI+'!$B:$B,MATCH(Base!$K556+2,'EMBI+'!$A:$A,0))),INDEX('EMBI+'!$B:$B,MATCH(Base!$K556+3,'EMBI+'!$A:$A,0)))/100</f>
        <v>1.68</v>
      </c>
      <c r="AB556" s="9">
        <v>47.750819999999997</v>
      </c>
      <c r="AC556" s="9">
        <f>3.56061+57.73051</f>
        <v>61.291119999999999</v>
      </c>
      <c r="AD556" s="9"/>
      <c r="AE556" s="9"/>
      <c r="AF556" s="2"/>
      <c r="AG556" s="2"/>
    </row>
    <row r="557" spans="1:33" x14ac:dyDescent="0.35">
      <c r="A557">
        <f t="shared" si="132"/>
        <v>555</v>
      </c>
      <c r="B557">
        <f>IF(G557="Bonds",COUNTIF($G$3:G557,"Bonds"),0)</f>
        <v>163</v>
      </c>
      <c r="C557" t="str">
        <f t="shared" si="136"/>
        <v>Votorantim Cimentos4094805/04/2041</v>
      </c>
      <c r="D557">
        <f t="shared" si="137"/>
        <v>39</v>
      </c>
      <c r="E557" s="9" t="s">
        <v>651</v>
      </c>
      <c r="F557" s="9" t="s">
        <v>634</v>
      </c>
      <c r="G557" s="9" t="s">
        <v>37</v>
      </c>
      <c r="H557">
        <f t="shared" si="127"/>
        <v>1</v>
      </c>
      <c r="I557" s="9"/>
      <c r="J557" s="1">
        <f t="shared" si="128"/>
        <v>16</v>
      </c>
      <c r="K557" s="2">
        <v>40948</v>
      </c>
      <c r="L557" s="2" t="s">
        <v>650</v>
      </c>
      <c r="M557" s="10">
        <f t="shared" si="129"/>
        <v>29.172602739726027</v>
      </c>
      <c r="N557" s="11">
        <f t="shared" si="130"/>
        <v>1</v>
      </c>
      <c r="O557" s="9" t="s">
        <v>39</v>
      </c>
      <c r="P557" t="str">
        <f t="shared" si="133"/>
        <v>0</v>
      </c>
      <c r="S557" s="1">
        <f>IF($V557="USD",INDEX('Dólar Spot'!$B:$B,MATCH(Base!$K557,'Dólar Spot'!$A:$A,0)),"")</f>
        <v>1.7219</v>
      </c>
      <c r="T557" s="12">
        <v>500000000</v>
      </c>
      <c r="U557" s="13">
        <f t="shared" si="131"/>
        <v>8.6095000000000006</v>
      </c>
      <c r="V557" s="9" t="s">
        <v>40</v>
      </c>
      <c r="W557" s="9" t="s">
        <v>34</v>
      </c>
      <c r="X557">
        <f t="shared" si="134"/>
        <v>1</v>
      </c>
      <c r="Y557" s="1" t="str" cm="1">
        <f t="array" ref="Y557">INDEX(Ratings!$B$2:$M$42,_xlfn.XMATCH(Base!F557,Ratings!$A$2:$A$42),_xlfn.XMATCH(YEAR(Base!K557),Ratings!$B$1:$M$1))</f>
        <v>BBB</v>
      </c>
      <c r="Z557">
        <f t="shared" si="135"/>
        <v>1</v>
      </c>
      <c r="AA557">
        <f>IFERROR(IFERROR(IFERROR(INDEX('EMBI+'!$B:$B,MATCH(Base!$K557,'EMBI+'!$A:$A,0)),INDEX('EMBI+'!$B:$B,MATCH(Base!$K557+1,'EMBI+'!$A:$A,0))),INDEX('EMBI+'!$B:$B,MATCH(Base!$K557+2,'EMBI+'!$A:$A,0))),INDEX('EMBI+'!$B:$B,MATCH(Base!$K557+3,'EMBI+'!$A:$A,0)))/100</f>
        <v>1.96</v>
      </c>
      <c r="AB557" s="9">
        <v>53.253329999999998</v>
      </c>
      <c r="AC557" s="9">
        <f>4.13551+76.43161</f>
        <v>80.567120000000003</v>
      </c>
      <c r="AD557" s="9"/>
      <c r="AE557" s="9"/>
      <c r="AF557" s="2"/>
      <c r="AG557" s="2"/>
    </row>
    <row r="558" spans="1:33" x14ac:dyDescent="0.35">
      <c r="AD558" s="9"/>
    </row>
    <row r="559" spans="1:33" x14ac:dyDescent="0.35">
      <c r="AD559" s="9"/>
    </row>
    <row r="560" spans="1:33" x14ac:dyDescent="0.35">
      <c r="AD560" s="9"/>
    </row>
    <row r="561" spans="30:30" x14ac:dyDescent="0.35">
      <c r="AD561" s="9"/>
    </row>
    <row r="562" spans="30:30" x14ac:dyDescent="0.35">
      <c r="AD562" s="9"/>
    </row>
    <row r="563" spans="30:30" x14ac:dyDescent="0.35">
      <c r="AD563" s="9"/>
    </row>
    <row r="564" spans="30:30" x14ac:dyDescent="0.35">
      <c r="AD564" s="9"/>
    </row>
    <row r="565" spans="30:30" x14ac:dyDescent="0.35">
      <c r="AD565" s="9"/>
    </row>
    <row r="566" spans="30:30" x14ac:dyDescent="0.35">
      <c r="AD566" s="9"/>
    </row>
    <row r="567" spans="30:30" x14ac:dyDescent="0.35">
      <c r="AD567" s="9"/>
    </row>
    <row r="568" spans="30:30" x14ac:dyDescent="0.35">
      <c r="AD568" s="9"/>
    </row>
    <row r="569" spans="30:30" x14ac:dyDescent="0.35">
      <c r="AD569" s="9"/>
    </row>
    <row r="570" spans="30:30" x14ac:dyDescent="0.35">
      <c r="AD570" s="9"/>
    </row>
    <row r="571" spans="30:30" x14ac:dyDescent="0.35">
      <c r="AD571" s="9"/>
    </row>
    <row r="572" spans="30:30" x14ac:dyDescent="0.35">
      <c r="AD572" s="9"/>
    </row>
    <row r="573" spans="30:30" x14ac:dyDescent="0.35">
      <c r="AD573" s="9"/>
    </row>
    <row r="574" spans="30:30" x14ac:dyDescent="0.35">
      <c r="AD574" s="9"/>
    </row>
    <row r="575" spans="30:30" x14ac:dyDescent="0.35">
      <c r="AD575" s="9"/>
    </row>
    <row r="576" spans="30:30" x14ac:dyDescent="0.35">
      <c r="AD576" s="9"/>
    </row>
    <row r="577" spans="30:30" x14ac:dyDescent="0.35">
      <c r="AD577" s="9"/>
    </row>
    <row r="578" spans="30:30" x14ac:dyDescent="0.35">
      <c r="AD578" s="9"/>
    </row>
    <row r="579" spans="30:30" x14ac:dyDescent="0.35">
      <c r="AD579" s="9"/>
    </row>
    <row r="580" spans="30:30" x14ac:dyDescent="0.35">
      <c r="AD580" s="9"/>
    </row>
    <row r="581" spans="30:30" x14ac:dyDescent="0.35">
      <c r="AD581" s="9"/>
    </row>
    <row r="582" spans="30:30" x14ac:dyDescent="0.35">
      <c r="AD582" s="9"/>
    </row>
    <row r="583" spans="30:30" x14ac:dyDescent="0.35">
      <c r="AD583" s="9"/>
    </row>
    <row r="584" spans="30:30" x14ac:dyDescent="0.35">
      <c r="AD584" s="9"/>
    </row>
    <row r="585" spans="30:30" x14ac:dyDescent="0.35">
      <c r="AD585" s="9"/>
    </row>
    <row r="586" spans="30:30" x14ac:dyDescent="0.35">
      <c r="AD586" s="9"/>
    </row>
    <row r="587" spans="30:30" x14ac:dyDescent="0.35">
      <c r="AD587" s="9"/>
    </row>
    <row r="588" spans="30:30" x14ac:dyDescent="0.35">
      <c r="AD588" s="9"/>
    </row>
    <row r="589" spans="30:30" x14ac:dyDescent="0.35">
      <c r="AD589" s="9"/>
    </row>
    <row r="590" spans="30:30" x14ac:dyDescent="0.35">
      <c r="AD590" s="9"/>
    </row>
    <row r="591" spans="30:30" x14ac:dyDescent="0.35">
      <c r="AD591" s="9"/>
    </row>
    <row r="592" spans="30:30" x14ac:dyDescent="0.35">
      <c r="AD592" s="9"/>
    </row>
    <row r="593" spans="30:30" x14ac:dyDescent="0.35">
      <c r="AD593" s="9"/>
    </row>
    <row r="594" spans="30:30" x14ac:dyDescent="0.35">
      <c r="AD594" s="9"/>
    </row>
    <row r="595" spans="30:30" x14ac:dyDescent="0.35">
      <c r="AD595" s="9"/>
    </row>
    <row r="596" spans="30:30" x14ac:dyDescent="0.35">
      <c r="AD596" s="9"/>
    </row>
    <row r="597" spans="30:30" x14ac:dyDescent="0.35">
      <c r="AD597" s="9"/>
    </row>
    <row r="598" spans="30:30" x14ac:dyDescent="0.35">
      <c r="AD598" s="9"/>
    </row>
    <row r="599" spans="30:30" x14ac:dyDescent="0.35">
      <c r="AD599" s="9"/>
    </row>
  </sheetData>
  <autoFilter ref="B2:AA557" xr:uid="{6F628197-EB48-4179-8186-C2F7B2176C43}"/>
  <pageMargins left="0.511811024" right="0.511811024" top="0.78740157499999996" bottom="0.78740157499999996" header="0.31496062000000002" footer="0.31496062000000002"/>
  <pageSetup paperSize="9" orientation="portrait" r:id="rId1"/>
  <ignoredErrors>
    <ignoredError sqref="AC440:AC442 AC41 AC207 AC422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DBBA4-FE25-4A47-999B-8AE3011B42EC}">
  <dimension ref="A1:AD40"/>
  <sheetViews>
    <sheetView showGridLines="0" workbookViewId="0">
      <pane ySplit="1" topLeftCell="A2" activePane="bottomLeft" state="frozen"/>
      <selection activeCell="M10" sqref="M10"/>
      <selection pane="bottomLeft" activeCell="B1" sqref="B1"/>
    </sheetView>
  </sheetViews>
  <sheetFormatPr defaultRowHeight="14.5" x14ac:dyDescent="0.35"/>
  <cols>
    <col min="1" max="1" width="33.6328125" customWidth="1"/>
    <col min="2" max="12" width="8.7265625" style="3"/>
    <col min="14" max="14" width="11.7265625" bestFit="1" customWidth="1"/>
  </cols>
  <sheetData>
    <row r="1" spans="1:30" x14ac:dyDescent="0.35">
      <c r="A1" t="s">
        <v>673</v>
      </c>
      <c r="B1" s="3">
        <v>2011</v>
      </c>
      <c r="C1" s="3">
        <f>+B1+1</f>
        <v>2012</v>
      </c>
      <c r="D1" s="3">
        <f t="shared" ref="D1:M1" si="0">+C1+1</f>
        <v>2013</v>
      </c>
      <c r="E1" s="3">
        <f t="shared" si="0"/>
        <v>2014</v>
      </c>
      <c r="F1" s="3">
        <f t="shared" si="0"/>
        <v>2015</v>
      </c>
      <c r="G1" s="3">
        <f t="shared" si="0"/>
        <v>2016</v>
      </c>
      <c r="H1" s="3">
        <f t="shared" si="0"/>
        <v>2017</v>
      </c>
      <c r="I1" s="3">
        <f t="shared" si="0"/>
        <v>2018</v>
      </c>
      <c r="J1" s="3">
        <f t="shared" si="0"/>
        <v>2019</v>
      </c>
      <c r="K1" s="3">
        <f t="shared" si="0"/>
        <v>2020</v>
      </c>
      <c r="L1" s="3">
        <f t="shared" si="0"/>
        <v>2021</v>
      </c>
      <c r="M1" s="3">
        <f t="shared" si="0"/>
        <v>2022</v>
      </c>
      <c r="AB1" s="34" t="s">
        <v>674</v>
      </c>
      <c r="AC1" s="34" t="s">
        <v>675</v>
      </c>
      <c r="AD1" s="34" t="s">
        <v>676</v>
      </c>
    </row>
    <row r="2" spans="1:30" x14ac:dyDescent="0.35">
      <c r="A2" t="s">
        <v>28</v>
      </c>
      <c r="B2" s="3" t="s">
        <v>677</v>
      </c>
      <c r="C2" s="3" t="s">
        <v>677</v>
      </c>
      <c r="D2" s="3" t="s">
        <v>677</v>
      </c>
      <c r="E2" s="3" t="s">
        <v>677</v>
      </c>
      <c r="F2" s="3" t="s">
        <v>677</v>
      </c>
      <c r="G2" s="3" t="s">
        <v>677</v>
      </c>
      <c r="H2" s="3" t="s">
        <v>678</v>
      </c>
      <c r="I2" s="3" t="s">
        <v>678</v>
      </c>
      <c r="J2" s="3" t="s">
        <v>678</v>
      </c>
      <c r="K2" s="3" t="s">
        <v>678</v>
      </c>
      <c r="L2" s="3" t="s">
        <v>678</v>
      </c>
      <c r="M2" s="3" t="s">
        <v>678</v>
      </c>
      <c r="AB2" t="s">
        <v>679</v>
      </c>
      <c r="AC2" t="s">
        <v>680</v>
      </c>
      <c r="AD2" t="s">
        <v>679</v>
      </c>
    </row>
    <row r="3" spans="1:30" x14ac:dyDescent="0.35">
      <c r="A3" t="s">
        <v>42</v>
      </c>
      <c r="B3" s="3" t="s">
        <v>677</v>
      </c>
      <c r="C3" s="3" t="s">
        <v>677</v>
      </c>
      <c r="D3" s="3" t="s">
        <v>677</v>
      </c>
      <c r="E3" s="3" t="s">
        <v>677</v>
      </c>
      <c r="F3" s="3" t="s">
        <v>677</v>
      </c>
      <c r="G3" s="3" t="s">
        <v>677</v>
      </c>
      <c r="H3" s="3" t="s">
        <v>678</v>
      </c>
      <c r="I3" s="3" t="s">
        <v>678</v>
      </c>
      <c r="J3" s="3" t="s">
        <v>678</v>
      </c>
      <c r="K3" s="3" t="s">
        <v>678</v>
      </c>
      <c r="L3" s="3" t="s">
        <v>678</v>
      </c>
      <c r="M3" s="3" t="s">
        <v>678</v>
      </c>
      <c r="AB3" t="s">
        <v>681</v>
      </c>
      <c r="AC3" t="s">
        <v>682</v>
      </c>
      <c r="AD3" t="s">
        <v>681</v>
      </c>
    </row>
    <row r="4" spans="1:30" x14ac:dyDescent="0.35">
      <c r="A4" t="s">
        <v>83</v>
      </c>
      <c r="B4" s="3" t="s">
        <v>683</v>
      </c>
      <c r="C4" s="3" t="s">
        <v>683</v>
      </c>
      <c r="D4" s="3" t="s">
        <v>683</v>
      </c>
      <c r="E4" s="3" t="s">
        <v>683</v>
      </c>
      <c r="F4" s="3" t="s">
        <v>684</v>
      </c>
      <c r="G4" s="3" t="s">
        <v>685</v>
      </c>
      <c r="H4" s="3" t="s">
        <v>685</v>
      </c>
      <c r="I4" s="3" t="s">
        <v>686</v>
      </c>
      <c r="J4" s="3" t="s">
        <v>686</v>
      </c>
      <c r="K4" s="3" t="s">
        <v>686</v>
      </c>
      <c r="L4" s="3" t="s">
        <v>687</v>
      </c>
      <c r="M4" s="3" t="s">
        <v>687</v>
      </c>
      <c r="AB4" t="s">
        <v>688</v>
      </c>
      <c r="AC4" t="s">
        <v>689</v>
      </c>
      <c r="AD4" t="s">
        <v>688</v>
      </c>
    </row>
    <row r="5" spans="1:30" x14ac:dyDescent="0.35">
      <c r="A5" t="s">
        <v>100</v>
      </c>
      <c r="B5" s="3" t="s">
        <v>677</v>
      </c>
      <c r="C5" s="3" t="s">
        <v>677</v>
      </c>
      <c r="D5" s="3" t="s">
        <v>677</v>
      </c>
      <c r="E5" s="3" t="s">
        <v>677</v>
      </c>
      <c r="F5" s="3" t="s">
        <v>677</v>
      </c>
      <c r="G5" s="3" t="s">
        <v>677</v>
      </c>
      <c r="H5" s="3" t="s">
        <v>677</v>
      </c>
      <c r="I5" s="3" t="s">
        <v>677</v>
      </c>
      <c r="J5" s="3" t="s">
        <v>690</v>
      </c>
      <c r="K5" s="3" t="s">
        <v>685</v>
      </c>
      <c r="L5" s="3" t="s">
        <v>691</v>
      </c>
      <c r="M5" s="3" t="s">
        <v>686</v>
      </c>
      <c r="AB5" t="s">
        <v>692</v>
      </c>
      <c r="AC5" t="s">
        <v>693</v>
      </c>
      <c r="AD5" t="s">
        <v>692</v>
      </c>
    </row>
    <row r="6" spans="1:30" x14ac:dyDescent="0.35">
      <c r="A6" t="s">
        <v>56</v>
      </c>
      <c r="B6" s="3" t="s">
        <v>677</v>
      </c>
      <c r="C6" s="3" t="s">
        <v>677</v>
      </c>
      <c r="D6" s="3" t="s">
        <v>677</v>
      </c>
      <c r="E6" s="3" t="s">
        <v>677</v>
      </c>
      <c r="F6" s="3" t="s">
        <v>677</v>
      </c>
      <c r="G6" s="3" t="s">
        <v>677</v>
      </c>
      <c r="H6" s="3" t="s">
        <v>677</v>
      </c>
      <c r="I6" s="3" t="s">
        <v>677</v>
      </c>
      <c r="J6" s="3" t="s">
        <v>677</v>
      </c>
      <c r="K6" s="3" t="s">
        <v>678</v>
      </c>
      <c r="L6" s="3" t="s">
        <v>678</v>
      </c>
      <c r="M6" s="3" t="s">
        <v>678</v>
      </c>
      <c r="AB6" t="s">
        <v>694</v>
      </c>
      <c r="AC6" t="s">
        <v>695</v>
      </c>
      <c r="AD6" t="s">
        <v>694</v>
      </c>
    </row>
    <row r="7" spans="1:30" x14ac:dyDescent="0.35">
      <c r="A7" t="s">
        <v>114</v>
      </c>
      <c r="B7" s="3" t="s">
        <v>684</v>
      </c>
      <c r="C7" s="3" t="s">
        <v>683</v>
      </c>
      <c r="D7" s="3" t="s">
        <v>683</v>
      </c>
      <c r="E7" s="3" t="s">
        <v>683</v>
      </c>
      <c r="F7" s="3" t="s">
        <v>683</v>
      </c>
      <c r="G7" s="3" t="s">
        <v>683</v>
      </c>
      <c r="H7" s="3" t="s">
        <v>683</v>
      </c>
      <c r="I7" s="3" t="s">
        <v>683</v>
      </c>
      <c r="J7" s="3" t="s">
        <v>683</v>
      </c>
      <c r="K7" s="3" t="s">
        <v>684</v>
      </c>
      <c r="L7" s="3" t="s">
        <v>684</v>
      </c>
      <c r="M7" s="3" t="s">
        <v>683</v>
      </c>
      <c r="AB7" t="s">
        <v>696</v>
      </c>
      <c r="AC7" t="s">
        <v>697</v>
      </c>
      <c r="AD7" t="s">
        <v>696</v>
      </c>
    </row>
    <row r="8" spans="1:30" x14ac:dyDescent="0.35">
      <c r="A8" t="s">
        <v>128</v>
      </c>
      <c r="B8" s="3" t="s">
        <v>683</v>
      </c>
      <c r="C8" s="3" t="s">
        <v>683</v>
      </c>
      <c r="D8" s="3" t="s">
        <v>683</v>
      </c>
      <c r="E8" s="3" t="s">
        <v>683</v>
      </c>
      <c r="F8" s="3" t="s">
        <v>698</v>
      </c>
      <c r="G8" s="3" t="s">
        <v>698</v>
      </c>
      <c r="H8" s="3" t="s">
        <v>698</v>
      </c>
      <c r="I8" s="3" t="s">
        <v>683</v>
      </c>
      <c r="J8" s="3" t="s">
        <v>678</v>
      </c>
      <c r="K8" s="3" t="s">
        <v>678</v>
      </c>
      <c r="L8" s="3" t="s">
        <v>678</v>
      </c>
      <c r="M8" s="3" t="s">
        <v>690</v>
      </c>
      <c r="AB8" t="s">
        <v>683</v>
      </c>
      <c r="AC8" t="s">
        <v>699</v>
      </c>
      <c r="AD8" t="s">
        <v>683</v>
      </c>
    </row>
    <row r="9" spans="1:30" x14ac:dyDescent="0.35">
      <c r="A9" t="s">
        <v>141</v>
      </c>
      <c r="B9" s="3" t="s">
        <v>677</v>
      </c>
      <c r="C9" s="3" t="s">
        <v>677</v>
      </c>
      <c r="D9" s="3" t="s">
        <v>677</v>
      </c>
      <c r="E9" s="3" t="s">
        <v>677</v>
      </c>
      <c r="F9" s="3" t="s">
        <v>677</v>
      </c>
      <c r="G9" s="3" t="s">
        <v>677</v>
      </c>
      <c r="H9" s="3" t="s">
        <v>700</v>
      </c>
      <c r="I9" s="3" t="s">
        <v>701</v>
      </c>
      <c r="J9" s="3" t="s">
        <v>700</v>
      </c>
      <c r="K9" s="3" t="s">
        <v>690</v>
      </c>
      <c r="L9" s="3" t="s">
        <v>690</v>
      </c>
      <c r="M9" s="3" t="s">
        <v>690</v>
      </c>
      <c r="AB9" t="s">
        <v>684</v>
      </c>
      <c r="AC9" t="s">
        <v>702</v>
      </c>
      <c r="AD9" t="s">
        <v>684</v>
      </c>
    </row>
    <row r="10" spans="1:30" x14ac:dyDescent="0.35">
      <c r="A10" t="s">
        <v>211</v>
      </c>
      <c r="B10" s="3" t="s">
        <v>698</v>
      </c>
      <c r="C10" s="3" t="s">
        <v>698</v>
      </c>
      <c r="D10" s="3" t="s">
        <v>678</v>
      </c>
      <c r="E10" s="3" t="s">
        <v>678</v>
      </c>
      <c r="F10" s="3" t="s">
        <v>678</v>
      </c>
      <c r="G10" s="3" t="s">
        <v>690</v>
      </c>
      <c r="H10" s="3" t="s">
        <v>690</v>
      </c>
      <c r="I10" s="3" t="s">
        <v>700</v>
      </c>
      <c r="J10" s="3" t="s">
        <v>690</v>
      </c>
      <c r="K10" s="3" t="s">
        <v>690</v>
      </c>
      <c r="L10" s="3" t="s">
        <v>690</v>
      </c>
      <c r="M10" s="3" t="s">
        <v>690</v>
      </c>
      <c r="AB10" t="s">
        <v>678</v>
      </c>
      <c r="AC10" t="s">
        <v>703</v>
      </c>
      <c r="AD10" t="s">
        <v>678</v>
      </c>
    </row>
    <row r="11" spans="1:30" x14ac:dyDescent="0.35">
      <c r="A11" t="s">
        <v>166</v>
      </c>
      <c r="B11" s="3" t="s">
        <v>683</v>
      </c>
      <c r="C11" s="3" t="s">
        <v>698</v>
      </c>
      <c r="D11" s="3" t="s">
        <v>698</v>
      </c>
      <c r="E11" s="3" t="s">
        <v>698</v>
      </c>
      <c r="F11" s="3" t="s">
        <v>677</v>
      </c>
      <c r="G11" s="3" t="s">
        <v>677</v>
      </c>
      <c r="H11" s="3" t="s">
        <v>677</v>
      </c>
      <c r="I11" s="3" t="s">
        <v>677</v>
      </c>
      <c r="J11" s="3" t="s">
        <v>677</v>
      </c>
      <c r="K11" s="3" t="s">
        <v>677</v>
      </c>
      <c r="L11" s="3" t="s">
        <v>677</v>
      </c>
      <c r="M11" s="3" t="s">
        <v>677</v>
      </c>
      <c r="AB11" t="s">
        <v>690</v>
      </c>
      <c r="AC11" t="s">
        <v>704</v>
      </c>
      <c r="AD11" t="s">
        <v>690</v>
      </c>
    </row>
    <row r="12" spans="1:30" x14ac:dyDescent="0.35">
      <c r="A12" t="s">
        <v>171</v>
      </c>
      <c r="B12" s="3" t="s">
        <v>677</v>
      </c>
      <c r="C12" s="3" t="s">
        <v>705</v>
      </c>
      <c r="D12" s="3" t="s">
        <v>705</v>
      </c>
      <c r="E12" s="3" t="s">
        <v>705</v>
      </c>
      <c r="F12" s="3" t="s">
        <v>705</v>
      </c>
      <c r="G12" s="3" t="s">
        <v>683</v>
      </c>
      <c r="H12" s="3" t="s">
        <v>684</v>
      </c>
      <c r="I12" s="3" t="s">
        <v>684</v>
      </c>
      <c r="J12" s="3" t="s">
        <v>684</v>
      </c>
      <c r="K12" s="3" t="s">
        <v>678</v>
      </c>
      <c r="L12" s="3" t="s">
        <v>678</v>
      </c>
      <c r="M12" s="3" t="s">
        <v>678</v>
      </c>
      <c r="AB12" t="s">
        <v>700</v>
      </c>
      <c r="AC12" t="s">
        <v>706</v>
      </c>
      <c r="AD12" t="s">
        <v>700</v>
      </c>
    </row>
    <row r="13" spans="1:30" x14ac:dyDescent="0.35">
      <c r="A13" t="s">
        <v>178</v>
      </c>
      <c r="B13" s="3" t="s">
        <v>678</v>
      </c>
      <c r="C13" s="3" t="s">
        <v>684</v>
      </c>
      <c r="D13" s="3" t="s">
        <v>684</v>
      </c>
      <c r="E13" s="3" t="s">
        <v>684</v>
      </c>
      <c r="F13" s="3" t="s">
        <v>684</v>
      </c>
      <c r="G13" s="3" t="s">
        <v>684</v>
      </c>
      <c r="H13" s="3" t="s">
        <v>684</v>
      </c>
      <c r="I13" s="3" t="s">
        <v>678</v>
      </c>
      <c r="J13" s="3" t="s">
        <v>678</v>
      </c>
      <c r="K13" s="3" t="s">
        <v>678</v>
      </c>
      <c r="L13" s="3" t="s">
        <v>678</v>
      </c>
      <c r="M13" s="3" t="s">
        <v>678</v>
      </c>
      <c r="AB13" t="s">
        <v>685</v>
      </c>
      <c r="AC13" t="s">
        <v>707</v>
      </c>
      <c r="AD13" t="s">
        <v>685</v>
      </c>
    </row>
    <row r="14" spans="1:30" x14ac:dyDescent="0.35">
      <c r="A14" t="s">
        <v>194</v>
      </c>
      <c r="B14" s="3" t="s">
        <v>683</v>
      </c>
      <c r="C14" s="3" t="s">
        <v>683</v>
      </c>
      <c r="D14" s="3" t="s">
        <v>684</v>
      </c>
      <c r="E14" s="3" t="s">
        <v>684</v>
      </c>
      <c r="F14" s="3" t="s">
        <v>678</v>
      </c>
      <c r="G14" s="3" t="s">
        <v>685</v>
      </c>
      <c r="H14" s="3" t="s">
        <v>685</v>
      </c>
      <c r="I14" s="3" t="s">
        <v>685</v>
      </c>
      <c r="J14" s="3" t="s">
        <v>701</v>
      </c>
      <c r="K14" s="3" t="s">
        <v>701</v>
      </c>
      <c r="L14" s="3" t="s">
        <v>678</v>
      </c>
      <c r="M14" s="3" t="s">
        <v>678</v>
      </c>
      <c r="AB14" t="s">
        <v>708</v>
      </c>
      <c r="AC14" t="s">
        <v>709</v>
      </c>
      <c r="AD14" t="s">
        <v>686</v>
      </c>
    </row>
    <row r="15" spans="1:30" x14ac:dyDescent="0.35">
      <c r="A15" t="s">
        <v>205</v>
      </c>
      <c r="B15" s="3" t="s">
        <v>677</v>
      </c>
      <c r="C15" s="3" t="s">
        <v>677</v>
      </c>
      <c r="D15" s="3" t="s">
        <v>677</v>
      </c>
      <c r="E15" s="3" t="s">
        <v>677</v>
      </c>
      <c r="F15" s="3" t="s">
        <v>677</v>
      </c>
      <c r="G15" s="3" t="s">
        <v>700</v>
      </c>
      <c r="H15" s="3" t="s">
        <v>701</v>
      </c>
      <c r="I15" s="3" t="s">
        <v>701</v>
      </c>
      <c r="J15" s="3" t="s">
        <v>690</v>
      </c>
      <c r="K15" s="3" t="s">
        <v>690</v>
      </c>
      <c r="L15" s="3" t="s">
        <v>690</v>
      </c>
      <c r="M15" s="3" t="s">
        <v>690</v>
      </c>
      <c r="AB15" t="s">
        <v>710</v>
      </c>
      <c r="AC15" t="s">
        <v>708</v>
      </c>
      <c r="AD15" t="s">
        <v>708</v>
      </c>
    </row>
    <row r="16" spans="1:30" x14ac:dyDescent="0.35">
      <c r="A16" t="s">
        <v>223</v>
      </c>
      <c r="B16" s="3" t="s">
        <v>701</v>
      </c>
      <c r="C16" s="3" t="s">
        <v>710</v>
      </c>
      <c r="D16" s="3" t="s">
        <v>685</v>
      </c>
      <c r="E16" s="3" t="s">
        <v>685</v>
      </c>
      <c r="F16" s="3" t="s">
        <v>677</v>
      </c>
      <c r="G16" s="3" t="s">
        <v>677</v>
      </c>
      <c r="H16" s="3" t="s">
        <v>677</v>
      </c>
      <c r="I16" s="3" t="s">
        <v>677</v>
      </c>
      <c r="J16" s="3" t="s">
        <v>677</v>
      </c>
      <c r="K16" s="3" t="s">
        <v>677</v>
      </c>
      <c r="L16" s="3" t="s">
        <v>677</v>
      </c>
      <c r="M16" s="3" t="s">
        <v>677</v>
      </c>
      <c r="AB16" t="s">
        <v>711</v>
      </c>
      <c r="AC16" t="s">
        <v>712</v>
      </c>
      <c r="AD16" t="s">
        <v>33</v>
      </c>
    </row>
    <row r="17" spans="1:30" x14ac:dyDescent="0.35">
      <c r="A17" t="s">
        <v>230</v>
      </c>
      <c r="B17" s="3" t="s">
        <v>683</v>
      </c>
      <c r="C17" s="3" t="s">
        <v>683</v>
      </c>
      <c r="D17" s="3" t="s">
        <v>683</v>
      </c>
      <c r="E17" s="3" t="s">
        <v>683</v>
      </c>
      <c r="F17" s="3" t="s">
        <v>683</v>
      </c>
      <c r="G17" s="3" t="s">
        <v>683</v>
      </c>
      <c r="H17" s="3" t="s">
        <v>683</v>
      </c>
      <c r="I17" s="3" t="s">
        <v>683</v>
      </c>
      <c r="J17" s="3" t="s">
        <v>683</v>
      </c>
      <c r="K17" s="3" t="s">
        <v>683</v>
      </c>
      <c r="L17" s="3" t="s">
        <v>683</v>
      </c>
      <c r="M17" s="3" t="s">
        <v>698</v>
      </c>
      <c r="AB17" t="s">
        <v>713</v>
      </c>
      <c r="AC17" t="s">
        <v>33</v>
      </c>
      <c r="AD17" t="s">
        <v>33</v>
      </c>
    </row>
    <row r="18" spans="1:30" x14ac:dyDescent="0.35">
      <c r="A18" t="s">
        <v>244</v>
      </c>
      <c r="B18" s="3" t="s">
        <v>690</v>
      </c>
      <c r="C18" s="3" t="s">
        <v>700</v>
      </c>
      <c r="D18" s="3" t="s">
        <v>685</v>
      </c>
      <c r="E18" s="3" t="s">
        <v>685</v>
      </c>
      <c r="F18" s="3" t="s">
        <v>685</v>
      </c>
      <c r="G18" s="3" t="s">
        <v>714</v>
      </c>
      <c r="H18" s="3" t="s">
        <v>715</v>
      </c>
      <c r="I18" s="3" t="s">
        <v>701</v>
      </c>
      <c r="J18" s="3" t="s">
        <v>700</v>
      </c>
      <c r="K18" s="3" t="s">
        <v>701</v>
      </c>
      <c r="L18" s="3" t="s">
        <v>691</v>
      </c>
      <c r="M18" s="3" t="s">
        <v>685</v>
      </c>
    </row>
    <row r="19" spans="1:30" x14ac:dyDescent="0.35">
      <c r="A19" t="s">
        <v>258</v>
      </c>
      <c r="B19" s="3" t="s">
        <v>677</v>
      </c>
      <c r="C19" s="3" t="s">
        <v>677</v>
      </c>
      <c r="D19" s="3" t="s">
        <v>677</v>
      </c>
      <c r="E19" s="3" t="s">
        <v>677</v>
      </c>
      <c r="F19" s="3" t="s">
        <v>677</v>
      </c>
      <c r="G19" s="3" t="s">
        <v>677</v>
      </c>
      <c r="H19" s="3" t="s">
        <v>677</v>
      </c>
      <c r="I19" s="3" t="s">
        <v>678</v>
      </c>
      <c r="J19" s="3" t="s">
        <v>678</v>
      </c>
      <c r="K19" s="3" t="s">
        <v>678</v>
      </c>
      <c r="L19" s="3" t="s">
        <v>678</v>
      </c>
      <c r="M19" s="3" t="s">
        <v>690</v>
      </c>
    </row>
    <row r="20" spans="1:30" x14ac:dyDescent="0.35">
      <c r="A20" t="s">
        <v>265</v>
      </c>
      <c r="B20" s="3" t="s">
        <v>690</v>
      </c>
      <c r="C20" s="3" t="s">
        <v>690</v>
      </c>
      <c r="D20" s="3" t="s">
        <v>690</v>
      </c>
      <c r="E20" s="3" t="s">
        <v>678</v>
      </c>
      <c r="F20" s="3" t="s">
        <v>678</v>
      </c>
      <c r="G20" s="3" t="s">
        <v>684</v>
      </c>
      <c r="H20" s="3" t="s">
        <v>684</v>
      </c>
      <c r="I20" s="3" t="s">
        <v>684</v>
      </c>
      <c r="J20" s="3" t="s">
        <v>684</v>
      </c>
      <c r="K20" s="3" t="s">
        <v>684</v>
      </c>
      <c r="L20" s="3" t="s">
        <v>684</v>
      </c>
      <c r="M20" s="3" t="s">
        <v>684</v>
      </c>
    </row>
    <row r="21" spans="1:30" x14ac:dyDescent="0.35">
      <c r="A21" t="s">
        <v>279</v>
      </c>
      <c r="B21" s="3" t="s">
        <v>677</v>
      </c>
      <c r="C21" s="3" t="s">
        <v>677</v>
      </c>
      <c r="D21" s="3" t="s">
        <v>677</v>
      </c>
      <c r="E21" s="3" t="s">
        <v>678</v>
      </c>
      <c r="F21" s="3" t="s">
        <v>678</v>
      </c>
      <c r="G21" s="3" t="s">
        <v>690</v>
      </c>
      <c r="H21" s="3" t="s">
        <v>700</v>
      </c>
      <c r="I21" s="3" t="s">
        <v>690</v>
      </c>
      <c r="J21" s="3" t="s">
        <v>701</v>
      </c>
      <c r="K21" s="3" t="s">
        <v>708</v>
      </c>
      <c r="L21" s="3" t="s">
        <v>715</v>
      </c>
      <c r="M21" s="3" t="s">
        <v>685</v>
      </c>
    </row>
    <row r="22" spans="1:30" x14ac:dyDescent="0.35">
      <c r="A22" t="s">
        <v>314</v>
      </c>
      <c r="B22" s="3" t="s">
        <v>677</v>
      </c>
      <c r="C22" s="3" t="s">
        <v>677</v>
      </c>
      <c r="D22" s="3" t="s">
        <v>677</v>
      </c>
      <c r="E22" s="3" t="s">
        <v>677</v>
      </c>
      <c r="F22" s="3" t="s">
        <v>677</v>
      </c>
      <c r="G22" s="3" t="s">
        <v>677</v>
      </c>
      <c r="H22" s="3" t="s">
        <v>677</v>
      </c>
      <c r="I22" s="3" t="s">
        <v>677</v>
      </c>
      <c r="J22" s="3" t="s">
        <v>677</v>
      </c>
      <c r="K22" s="3" t="s">
        <v>677</v>
      </c>
      <c r="L22" s="3" t="s">
        <v>690</v>
      </c>
      <c r="M22" s="3" t="s">
        <v>690</v>
      </c>
    </row>
    <row r="23" spans="1:30" x14ac:dyDescent="0.35">
      <c r="A23" t="s">
        <v>325</v>
      </c>
      <c r="B23" s="3" t="s">
        <v>677</v>
      </c>
      <c r="C23" s="3" t="s">
        <v>683</v>
      </c>
      <c r="D23" s="3" t="s">
        <v>683</v>
      </c>
      <c r="E23" s="3" t="s">
        <v>683</v>
      </c>
      <c r="F23" s="3" t="s">
        <v>683</v>
      </c>
      <c r="G23" s="3" t="s">
        <v>683</v>
      </c>
      <c r="H23" s="3" t="s">
        <v>684</v>
      </c>
      <c r="I23" s="3" t="s">
        <v>684</v>
      </c>
      <c r="J23" s="3" t="s">
        <v>684</v>
      </c>
      <c r="K23" s="3" t="s">
        <v>684</v>
      </c>
      <c r="L23" s="3" t="s">
        <v>684</v>
      </c>
      <c r="M23" s="3" t="s">
        <v>684</v>
      </c>
    </row>
    <row r="24" spans="1:30" x14ac:dyDescent="0.35">
      <c r="A24" t="s">
        <v>334</v>
      </c>
      <c r="B24" s="3" t="s">
        <v>677</v>
      </c>
      <c r="C24" s="3" t="s">
        <v>677</v>
      </c>
      <c r="D24" s="3" t="s">
        <v>677</v>
      </c>
      <c r="E24" s="3" t="s">
        <v>677</v>
      </c>
      <c r="F24" s="3" t="s">
        <v>677</v>
      </c>
      <c r="G24" s="3" t="s">
        <v>677</v>
      </c>
      <c r="H24" s="3" t="s">
        <v>677</v>
      </c>
      <c r="I24" s="3" t="s">
        <v>690</v>
      </c>
      <c r="J24" s="3" t="s">
        <v>690</v>
      </c>
      <c r="K24" s="3" t="s">
        <v>690</v>
      </c>
      <c r="L24" s="3" t="s">
        <v>690</v>
      </c>
      <c r="M24" s="3" t="s">
        <v>690</v>
      </c>
    </row>
    <row r="25" spans="1:30" x14ac:dyDescent="0.35">
      <c r="A25" t="s">
        <v>372</v>
      </c>
      <c r="B25" s="3" t="s">
        <v>700</v>
      </c>
      <c r="C25" s="3" t="s">
        <v>700</v>
      </c>
      <c r="D25" s="3" t="s">
        <v>701</v>
      </c>
      <c r="E25" s="3" t="s">
        <v>701</v>
      </c>
      <c r="F25" s="3" t="s">
        <v>700</v>
      </c>
      <c r="G25" s="3" t="s">
        <v>700</v>
      </c>
      <c r="H25" s="3" t="s">
        <v>690</v>
      </c>
      <c r="I25" s="3" t="s">
        <v>690</v>
      </c>
      <c r="J25" s="3" t="s">
        <v>690</v>
      </c>
      <c r="K25" s="3" t="s">
        <v>690</v>
      </c>
      <c r="L25" s="3" t="s">
        <v>678</v>
      </c>
      <c r="M25" s="3" t="s">
        <v>678</v>
      </c>
    </row>
    <row r="26" spans="1:30" x14ac:dyDescent="0.35">
      <c r="A26" t="s">
        <v>389</v>
      </c>
      <c r="B26" s="3" t="s">
        <v>700</v>
      </c>
      <c r="C26" s="3" t="s">
        <v>700</v>
      </c>
      <c r="D26" s="3" t="s">
        <v>700</v>
      </c>
      <c r="E26" s="3" t="s">
        <v>690</v>
      </c>
      <c r="F26" s="3" t="s">
        <v>690</v>
      </c>
      <c r="G26" s="3" t="s">
        <v>690</v>
      </c>
      <c r="H26" s="3" t="s">
        <v>690</v>
      </c>
      <c r="I26" s="3" t="s">
        <v>690</v>
      </c>
      <c r="J26" s="3" t="s">
        <v>690</v>
      </c>
      <c r="K26" s="3" t="s">
        <v>690</v>
      </c>
      <c r="L26" s="3" t="s">
        <v>678</v>
      </c>
      <c r="M26" s="3" t="s">
        <v>678</v>
      </c>
    </row>
    <row r="27" spans="1:30" x14ac:dyDescent="0.35">
      <c r="A27" t="s">
        <v>400</v>
      </c>
      <c r="B27" s="3" t="s">
        <v>677</v>
      </c>
      <c r="C27" s="3" t="s">
        <v>677</v>
      </c>
      <c r="D27" s="3" t="s">
        <v>677</v>
      </c>
      <c r="E27" s="3" t="s">
        <v>677</v>
      </c>
      <c r="F27" s="3" t="s">
        <v>677</v>
      </c>
      <c r="G27" s="3" t="s">
        <v>677</v>
      </c>
      <c r="H27" s="3" t="s">
        <v>677</v>
      </c>
      <c r="I27" s="3" t="s">
        <v>677</v>
      </c>
      <c r="J27" s="3" t="s">
        <v>677</v>
      </c>
      <c r="K27" s="3" t="s">
        <v>677</v>
      </c>
      <c r="L27" s="3" t="s">
        <v>690</v>
      </c>
      <c r="M27" s="3" t="s">
        <v>678</v>
      </c>
    </row>
    <row r="28" spans="1:30" x14ac:dyDescent="0.35">
      <c r="A28" t="s">
        <v>433</v>
      </c>
      <c r="B28" s="3" t="s">
        <v>698</v>
      </c>
      <c r="C28" s="3" t="s">
        <v>698</v>
      </c>
      <c r="D28" s="3" t="s">
        <v>698</v>
      </c>
      <c r="E28" s="3" t="s">
        <v>698</v>
      </c>
      <c r="F28" s="3" t="s">
        <v>698</v>
      </c>
      <c r="G28" s="3" t="s">
        <v>677</v>
      </c>
      <c r="H28" s="3" t="s">
        <v>677</v>
      </c>
      <c r="I28" s="3" t="s">
        <v>678</v>
      </c>
      <c r="J28" s="3" t="s">
        <v>678</v>
      </c>
      <c r="K28" s="3" t="s">
        <v>678</v>
      </c>
      <c r="L28" s="3" t="s">
        <v>678</v>
      </c>
      <c r="M28" s="3" t="s">
        <v>678</v>
      </c>
    </row>
    <row r="29" spans="1:30" x14ac:dyDescent="0.35">
      <c r="A29" t="s">
        <v>454</v>
      </c>
      <c r="B29" s="3" t="s">
        <v>698</v>
      </c>
      <c r="C29" s="3" t="s">
        <v>698</v>
      </c>
      <c r="D29" s="3" t="s">
        <v>683</v>
      </c>
      <c r="E29" s="3" t="s">
        <v>684</v>
      </c>
      <c r="F29" s="3" t="s">
        <v>678</v>
      </c>
      <c r="G29" s="3" t="s">
        <v>710</v>
      </c>
      <c r="H29" s="3" t="s">
        <v>710</v>
      </c>
      <c r="I29" s="3" t="s">
        <v>710</v>
      </c>
      <c r="J29" s="3" t="s">
        <v>685</v>
      </c>
      <c r="K29" s="3" t="s">
        <v>691</v>
      </c>
      <c r="L29" s="3" t="s">
        <v>691</v>
      </c>
      <c r="M29" s="3" t="s">
        <v>691</v>
      </c>
    </row>
    <row r="30" spans="1:30" x14ac:dyDescent="0.35">
      <c r="A30" t="s">
        <v>465</v>
      </c>
      <c r="B30" s="3" t="s">
        <v>698</v>
      </c>
      <c r="C30" s="3" t="s">
        <v>698</v>
      </c>
      <c r="D30" s="3" t="s">
        <v>698</v>
      </c>
      <c r="E30" s="3" t="s">
        <v>698</v>
      </c>
      <c r="F30" s="3" t="s">
        <v>683</v>
      </c>
      <c r="G30" s="3" t="s">
        <v>678</v>
      </c>
      <c r="H30" s="3" t="s">
        <v>678</v>
      </c>
      <c r="I30" s="3" t="s">
        <v>690</v>
      </c>
      <c r="J30" s="3" t="s">
        <v>690</v>
      </c>
      <c r="K30" s="3" t="s">
        <v>690</v>
      </c>
      <c r="L30" s="3" t="s">
        <v>690</v>
      </c>
      <c r="M30" s="3" t="s">
        <v>690</v>
      </c>
    </row>
    <row r="31" spans="1:30" x14ac:dyDescent="0.35">
      <c r="A31" t="s">
        <v>501</v>
      </c>
      <c r="B31" s="3" t="s">
        <v>677</v>
      </c>
      <c r="C31" s="3" t="s">
        <v>677</v>
      </c>
      <c r="D31" s="3" t="s">
        <v>677</v>
      </c>
      <c r="E31" s="3" t="s">
        <v>677</v>
      </c>
      <c r="F31" s="3" t="s">
        <v>677</v>
      </c>
      <c r="G31" s="3" t="s">
        <v>677</v>
      </c>
      <c r="H31" s="3" t="s">
        <v>677</v>
      </c>
      <c r="I31" s="3" t="s">
        <v>677</v>
      </c>
      <c r="J31" s="3" t="s">
        <v>677</v>
      </c>
      <c r="K31" s="3" t="s">
        <v>677</v>
      </c>
      <c r="L31" s="3" t="s">
        <v>677</v>
      </c>
      <c r="M31" s="3" t="s">
        <v>677</v>
      </c>
    </row>
    <row r="32" spans="1:30" x14ac:dyDescent="0.35">
      <c r="A32" t="s">
        <v>518</v>
      </c>
      <c r="B32" s="3" t="s">
        <v>684</v>
      </c>
      <c r="C32" s="3" t="s">
        <v>698</v>
      </c>
      <c r="D32" s="3" t="s">
        <v>698</v>
      </c>
      <c r="E32" s="3" t="s">
        <v>698</v>
      </c>
      <c r="F32" s="3" t="s">
        <v>698</v>
      </c>
      <c r="G32" s="3" t="s">
        <v>698</v>
      </c>
      <c r="H32" s="3" t="s">
        <v>698</v>
      </c>
      <c r="I32" s="3" t="s">
        <v>698</v>
      </c>
      <c r="J32" s="3" t="s">
        <v>698</v>
      </c>
      <c r="K32" s="3" t="s">
        <v>698</v>
      </c>
      <c r="L32" s="3" t="s">
        <v>698</v>
      </c>
      <c r="M32" s="3" t="s">
        <v>698</v>
      </c>
    </row>
    <row r="33" spans="1:13" x14ac:dyDescent="0.35">
      <c r="A33" t="s">
        <v>526</v>
      </c>
      <c r="B33" s="3" t="s">
        <v>677</v>
      </c>
      <c r="C33" s="3" t="s">
        <v>677</v>
      </c>
      <c r="D33" s="3" t="s">
        <v>677</v>
      </c>
      <c r="E33" s="3" t="s">
        <v>677</v>
      </c>
      <c r="F33" s="3" t="s">
        <v>684</v>
      </c>
      <c r="G33" s="3" t="s">
        <v>684</v>
      </c>
      <c r="H33" s="3" t="s">
        <v>684</v>
      </c>
      <c r="I33" s="3" t="s">
        <v>678</v>
      </c>
      <c r="J33" s="3" t="s">
        <v>678</v>
      </c>
      <c r="K33" s="3" t="s">
        <v>678</v>
      </c>
      <c r="L33" s="3" t="s">
        <v>678</v>
      </c>
      <c r="M33" s="3" t="s">
        <v>678</v>
      </c>
    </row>
    <row r="34" spans="1:13" x14ac:dyDescent="0.35">
      <c r="A34" t="s">
        <v>550</v>
      </c>
      <c r="B34" s="3" t="s">
        <v>690</v>
      </c>
      <c r="C34" s="3" t="s">
        <v>690</v>
      </c>
      <c r="D34" s="3" t="s">
        <v>690</v>
      </c>
      <c r="E34" s="3" t="s">
        <v>690</v>
      </c>
      <c r="F34" s="3" t="s">
        <v>690</v>
      </c>
      <c r="G34" s="3" t="s">
        <v>690</v>
      </c>
      <c r="H34" s="3" t="s">
        <v>690</v>
      </c>
      <c r="I34" s="3" t="s">
        <v>678</v>
      </c>
      <c r="J34" s="3" t="s">
        <v>678</v>
      </c>
      <c r="K34" s="3" t="s">
        <v>678</v>
      </c>
      <c r="L34" s="3" t="s">
        <v>678</v>
      </c>
      <c r="M34" s="3" t="s">
        <v>678</v>
      </c>
    </row>
    <row r="35" spans="1:13" x14ac:dyDescent="0.35">
      <c r="A35" t="s">
        <v>568</v>
      </c>
      <c r="B35" s="3" t="s">
        <v>690</v>
      </c>
      <c r="C35" s="3" t="s">
        <v>678</v>
      </c>
      <c r="D35" s="3" t="s">
        <v>678</v>
      </c>
      <c r="E35" s="3" t="s">
        <v>678</v>
      </c>
      <c r="F35" s="3" t="s">
        <v>678</v>
      </c>
      <c r="G35" s="3" t="s">
        <v>678</v>
      </c>
      <c r="H35" s="3" t="s">
        <v>678</v>
      </c>
      <c r="I35" s="3" t="s">
        <v>678</v>
      </c>
      <c r="J35" s="3" t="s">
        <v>678</v>
      </c>
      <c r="K35" s="3" t="s">
        <v>690</v>
      </c>
      <c r="L35" s="3" t="s">
        <v>690</v>
      </c>
      <c r="M35" s="3" t="s">
        <v>678</v>
      </c>
    </row>
    <row r="36" spans="1:13" x14ac:dyDescent="0.35">
      <c r="A36" t="s">
        <v>592</v>
      </c>
      <c r="B36" s="3" t="s">
        <v>678</v>
      </c>
      <c r="C36" s="3" t="s">
        <v>678</v>
      </c>
      <c r="D36" s="3" t="s">
        <v>690</v>
      </c>
      <c r="E36" s="3" t="s">
        <v>690</v>
      </c>
      <c r="F36" s="3" t="s">
        <v>678</v>
      </c>
      <c r="G36" s="3" t="s">
        <v>684</v>
      </c>
      <c r="H36" s="3" t="s">
        <v>684</v>
      </c>
      <c r="I36" s="3" t="s">
        <v>683</v>
      </c>
      <c r="J36" s="3" t="s">
        <v>683</v>
      </c>
      <c r="K36" s="3" t="s">
        <v>683</v>
      </c>
      <c r="L36" s="3" t="s">
        <v>683</v>
      </c>
      <c r="M36" s="3" t="s">
        <v>683</v>
      </c>
    </row>
    <row r="37" spans="1:13" x14ac:dyDescent="0.35">
      <c r="A37" t="s">
        <v>604</v>
      </c>
      <c r="B37" s="3" t="s">
        <v>683</v>
      </c>
      <c r="C37" s="3" t="s">
        <v>683</v>
      </c>
      <c r="D37" s="3" t="s">
        <v>698</v>
      </c>
      <c r="E37" s="3" t="s">
        <v>698</v>
      </c>
      <c r="F37" s="3" t="s">
        <v>698</v>
      </c>
      <c r="G37" s="3" t="s">
        <v>684</v>
      </c>
      <c r="H37" s="3" t="s">
        <v>684</v>
      </c>
      <c r="I37" s="3" t="s">
        <v>684</v>
      </c>
      <c r="J37" s="3" t="s">
        <v>684</v>
      </c>
      <c r="K37" s="3" t="s">
        <v>684</v>
      </c>
      <c r="L37" s="3" t="s">
        <v>684</v>
      </c>
      <c r="M37" s="3" t="s">
        <v>684</v>
      </c>
    </row>
    <row r="38" spans="1:13" x14ac:dyDescent="0.35">
      <c r="A38" t="s">
        <v>612</v>
      </c>
      <c r="B38" s="3" t="s">
        <v>683</v>
      </c>
      <c r="C38" s="3" t="s">
        <v>684</v>
      </c>
      <c r="D38" s="3" t="s">
        <v>684</v>
      </c>
      <c r="E38" s="3" t="s">
        <v>684</v>
      </c>
      <c r="F38" s="3" t="s">
        <v>678</v>
      </c>
      <c r="G38" s="3" t="s">
        <v>708</v>
      </c>
      <c r="H38" s="3" t="s">
        <v>715</v>
      </c>
      <c r="I38" s="3" t="s">
        <v>700</v>
      </c>
      <c r="J38" s="3" t="s">
        <v>690</v>
      </c>
      <c r="K38" s="3" t="s">
        <v>690</v>
      </c>
      <c r="L38" s="3" t="s">
        <v>678</v>
      </c>
      <c r="M38" s="3" t="s">
        <v>678</v>
      </c>
    </row>
    <row r="39" spans="1:13" x14ac:dyDescent="0.35">
      <c r="A39" t="s">
        <v>619</v>
      </c>
      <c r="B39" s="3" t="s">
        <v>705</v>
      </c>
      <c r="C39" s="3" t="s">
        <v>705</v>
      </c>
      <c r="D39" s="3" t="s">
        <v>705</v>
      </c>
      <c r="E39" s="3" t="s">
        <v>705</v>
      </c>
      <c r="F39" s="3" t="s">
        <v>705</v>
      </c>
      <c r="G39" s="3" t="s">
        <v>698</v>
      </c>
      <c r="H39" s="3" t="s">
        <v>698</v>
      </c>
      <c r="I39" s="3" t="s">
        <v>705</v>
      </c>
      <c r="J39" s="3" t="s">
        <v>683</v>
      </c>
      <c r="K39" s="3" t="s">
        <v>698</v>
      </c>
      <c r="L39" s="3" t="s">
        <v>698</v>
      </c>
      <c r="M39" s="3" t="s">
        <v>698</v>
      </c>
    </row>
    <row r="40" spans="1:13" x14ac:dyDescent="0.35">
      <c r="A40" t="s">
        <v>634</v>
      </c>
      <c r="B40" s="3" t="s">
        <v>683</v>
      </c>
      <c r="C40" s="3" t="s">
        <v>698</v>
      </c>
      <c r="D40" s="3" t="s">
        <v>698</v>
      </c>
      <c r="E40" s="3" t="s">
        <v>698</v>
      </c>
      <c r="F40" s="3" t="s">
        <v>698</v>
      </c>
      <c r="G40" s="3" t="s">
        <v>683</v>
      </c>
      <c r="H40" s="3" t="s">
        <v>683</v>
      </c>
      <c r="I40" s="3" t="s">
        <v>683</v>
      </c>
      <c r="J40" s="3" t="s">
        <v>683</v>
      </c>
      <c r="K40" s="3" t="s">
        <v>683</v>
      </c>
      <c r="L40" s="3" t="s">
        <v>683</v>
      </c>
      <c r="M40" s="3" t="s">
        <v>683</v>
      </c>
    </row>
  </sheetData>
  <autoFilter ref="A1:M1" xr:uid="{2F0F8964-E254-4418-B50D-1B5192CA28D9}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D3D4E-ED0B-400A-9E04-441ED8F3D38A}">
  <dimension ref="A1:Y3102"/>
  <sheetViews>
    <sheetView showGridLines="0" workbookViewId="0">
      <selection activeCell="F179" sqref="F179"/>
    </sheetView>
  </sheetViews>
  <sheetFormatPr defaultRowHeight="14.5" x14ac:dyDescent="0.35"/>
  <cols>
    <col min="1" max="1" width="10.453125" bestFit="1" customWidth="1"/>
    <col min="2" max="2" width="11.1796875" bestFit="1" customWidth="1"/>
    <col min="6" max="6" width="8.26953125" customWidth="1"/>
    <col min="7" max="12" width="11.36328125" customWidth="1"/>
    <col min="15" max="15" width="17.26953125" bestFit="1" customWidth="1"/>
    <col min="16" max="16" width="18.6328125" bestFit="1" customWidth="1"/>
    <col min="17" max="17" width="24" bestFit="1" customWidth="1"/>
    <col min="19" max="19" width="17.26953125" bestFit="1" customWidth="1"/>
    <col min="20" max="20" width="18.6328125" bestFit="1" customWidth="1"/>
    <col min="21" max="21" width="24" bestFit="1" customWidth="1"/>
    <col min="23" max="23" width="17.26953125" bestFit="1" customWidth="1"/>
    <col min="24" max="24" width="18.6328125" bestFit="1" customWidth="1"/>
    <col min="25" max="25" width="24" bestFit="1" customWidth="1"/>
  </cols>
  <sheetData>
    <row r="1" spans="1:25" x14ac:dyDescent="0.35">
      <c r="A1" t="s">
        <v>652</v>
      </c>
      <c r="B1" t="s">
        <v>653</v>
      </c>
    </row>
    <row r="2" spans="1:25" x14ac:dyDescent="0.35">
      <c r="A2" s="16">
        <v>44929</v>
      </c>
      <c r="B2" s="9">
        <v>257</v>
      </c>
      <c r="C2">
        <f>YEAR(A2)</f>
        <v>2023</v>
      </c>
    </row>
    <row r="3" spans="1:25" x14ac:dyDescent="0.35">
      <c r="A3" s="16">
        <v>44925</v>
      </c>
      <c r="B3" s="9">
        <v>256</v>
      </c>
      <c r="C3">
        <f t="shared" ref="C3:C66" si="0">YEAR(A3)</f>
        <v>2022</v>
      </c>
      <c r="M3" s="17" t="s">
        <v>654</v>
      </c>
    </row>
    <row r="4" spans="1:25" x14ac:dyDescent="0.35">
      <c r="A4" s="16">
        <v>44924</v>
      </c>
      <c r="B4" s="9">
        <v>260</v>
      </c>
      <c r="C4">
        <f t="shared" si="0"/>
        <v>2022</v>
      </c>
    </row>
    <row r="5" spans="1:25" x14ac:dyDescent="0.35">
      <c r="A5" s="16">
        <v>44923</v>
      </c>
      <c r="B5" s="9">
        <v>255</v>
      </c>
      <c r="C5">
        <f t="shared" si="0"/>
        <v>2022</v>
      </c>
    </row>
    <row r="6" spans="1:25" x14ac:dyDescent="0.35">
      <c r="A6" s="16">
        <v>44922</v>
      </c>
      <c r="B6" s="9">
        <v>258</v>
      </c>
      <c r="C6">
        <f t="shared" si="0"/>
        <v>2022</v>
      </c>
    </row>
    <row r="7" spans="1:25" x14ac:dyDescent="0.35">
      <c r="A7" s="16">
        <v>44918</v>
      </c>
      <c r="B7" s="9">
        <v>263</v>
      </c>
      <c r="C7">
        <f t="shared" si="0"/>
        <v>2022</v>
      </c>
    </row>
    <row r="8" spans="1:25" x14ac:dyDescent="0.35">
      <c r="A8" s="16">
        <v>44917</v>
      </c>
      <c r="B8" s="9">
        <v>265</v>
      </c>
      <c r="C8">
        <f t="shared" si="0"/>
        <v>2022</v>
      </c>
      <c r="O8" t="s">
        <v>6</v>
      </c>
      <c r="P8" t="s">
        <v>29</v>
      </c>
      <c r="S8" t="s">
        <v>6</v>
      </c>
      <c r="T8" t="s">
        <v>37</v>
      </c>
    </row>
    <row r="9" spans="1:25" x14ac:dyDescent="0.35">
      <c r="A9" s="16">
        <v>44916</v>
      </c>
      <c r="B9" s="9">
        <v>267</v>
      </c>
      <c r="C9">
        <f t="shared" si="0"/>
        <v>2022</v>
      </c>
    </row>
    <row r="10" spans="1:25" x14ac:dyDescent="0.35">
      <c r="A10" s="16">
        <v>44915</v>
      </c>
      <c r="B10" s="9">
        <v>275</v>
      </c>
      <c r="C10">
        <f t="shared" si="0"/>
        <v>2022</v>
      </c>
      <c r="O10" t="s">
        <v>655</v>
      </c>
      <c r="P10" t="s">
        <v>656</v>
      </c>
      <c r="Q10" t="s">
        <v>657</v>
      </c>
      <c r="S10" t="s">
        <v>655</v>
      </c>
      <c r="T10" t="s">
        <v>656</v>
      </c>
      <c r="U10" t="s">
        <v>657</v>
      </c>
      <c r="W10" t="s">
        <v>655</v>
      </c>
      <c r="X10" t="s">
        <v>656</v>
      </c>
      <c r="Y10" t="s">
        <v>657</v>
      </c>
    </row>
    <row r="11" spans="1:25" x14ac:dyDescent="0.35">
      <c r="A11" s="16">
        <v>44914</v>
      </c>
      <c r="B11" s="9">
        <v>276</v>
      </c>
      <c r="C11">
        <f t="shared" si="0"/>
        <v>2022</v>
      </c>
      <c r="O11" s="18" t="s">
        <v>658</v>
      </c>
      <c r="P11" s="14">
        <v>1.9708044443907492E-2</v>
      </c>
      <c r="Q11" s="11">
        <v>22</v>
      </c>
      <c r="S11" s="18" t="s">
        <v>658</v>
      </c>
      <c r="T11" s="14">
        <v>2.1951690174985359E-2</v>
      </c>
      <c r="U11" s="11">
        <v>11</v>
      </c>
      <c r="W11" s="18" t="s">
        <v>658</v>
      </c>
      <c r="X11" s="14">
        <v>2.0455926354266782E-2</v>
      </c>
      <c r="Y11" s="11">
        <v>33</v>
      </c>
    </row>
    <row r="12" spans="1:25" x14ac:dyDescent="0.35">
      <c r="A12" s="16">
        <v>44911</v>
      </c>
      <c r="B12" s="9">
        <v>274</v>
      </c>
      <c r="C12">
        <f t="shared" si="0"/>
        <v>2022</v>
      </c>
      <c r="O12" s="19">
        <v>1.64</v>
      </c>
      <c r="P12" s="14">
        <v>1.4499999999999999E-2</v>
      </c>
      <c r="Q12" s="11">
        <v>1</v>
      </c>
      <c r="S12" s="19">
        <v>1.56</v>
      </c>
      <c r="T12" s="14">
        <v>9.0513681464847728E-3</v>
      </c>
      <c r="U12" s="11">
        <v>1</v>
      </c>
      <c r="W12" s="19">
        <v>1.56</v>
      </c>
      <c r="X12" s="14">
        <v>9.0513681464847728E-3</v>
      </c>
      <c r="Y12" s="11">
        <v>1</v>
      </c>
    </row>
    <row r="13" spans="1:25" x14ac:dyDescent="0.35">
      <c r="A13" s="16">
        <v>44910</v>
      </c>
      <c r="B13" s="9">
        <v>267</v>
      </c>
      <c r="C13">
        <f t="shared" si="0"/>
        <v>2022</v>
      </c>
      <c r="O13" s="19">
        <v>1.65</v>
      </c>
      <c r="P13" s="14">
        <v>1.3500000000000002E-2</v>
      </c>
      <c r="Q13" s="11">
        <v>1</v>
      </c>
      <c r="S13" s="19">
        <v>1.63</v>
      </c>
      <c r="T13" s="14">
        <v>3.1506175639021139E-2</v>
      </c>
      <c r="U13" s="11">
        <v>1</v>
      </c>
      <c r="W13" s="19">
        <v>1.63</v>
      </c>
      <c r="X13" s="14">
        <v>3.1506175639021139E-2</v>
      </c>
      <c r="Y13" s="11">
        <v>1</v>
      </c>
    </row>
    <row r="14" spans="1:25" x14ac:dyDescent="0.35">
      <c r="A14" s="16">
        <v>44909</v>
      </c>
      <c r="B14" s="9">
        <v>260</v>
      </c>
      <c r="C14">
        <f t="shared" si="0"/>
        <v>2022</v>
      </c>
      <c r="O14" s="19">
        <v>1.67</v>
      </c>
      <c r="P14" s="14">
        <v>3.2268739043169389E-2</v>
      </c>
      <c r="Q14" s="11">
        <v>2</v>
      </c>
      <c r="S14" s="19">
        <v>1.68</v>
      </c>
      <c r="T14" s="14">
        <v>3.4402015156534849E-2</v>
      </c>
      <c r="U14" s="11">
        <v>2</v>
      </c>
      <c r="W14" s="19">
        <v>1.64</v>
      </c>
      <c r="X14" s="14">
        <v>1.4499999999999999E-2</v>
      </c>
      <c r="Y14" s="11">
        <v>1</v>
      </c>
    </row>
    <row r="15" spans="1:25" x14ac:dyDescent="0.35">
      <c r="A15" s="16">
        <v>44908</v>
      </c>
      <c r="B15" s="9">
        <v>251</v>
      </c>
      <c r="C15">
        <f t="shared" si="0"/>
        <v>2022</v>
      </c>
      <c r="O15" s="19">
        <v>1.7</v>
      </c>
      <c r="P15" s="14">
        <v>1.4113794056904994E-2</v>
      </c>
      <c r="Q15" s="11">
        <v>2</v>
      </c>
      <c r="S15" s="19">
        <v>1.74</v>
      </c>
      <c r="T15" s="14">
        <v>1.3764071088895621E-2</v>
      </c>
      <c r="U15" s="11">
        <v>3</v>
      </c>
      <c r="W15" s="19">
        <v>1.65</v>
      </c>
      <c r="X15" s="14">
        <v>1.3500000000000002E-2</v>
      </c>
      <c r="Y15" s="11">
        <v>1</v>
      </c>
    </row>
    <row r="16" spans="1:25" x14ac:dyDescent="0.35">
      <c r="A16" s="16">
        <v>44907</v>
      </c>
      <c r="B16" s="9">
        <v>254</v>
      </c>
      <c r="C16">
        <f t="shared" si="0"/>
        <v>2022</v>
      </c>
      <c r="O16" s="19">
        <v>1.73</v>
      </c>
      <c r="P16" s="14">
        <v>1.6500000000000001E-2</v>
      </c>
      <c r="Q16" s="11">
        <v>2</v>
      </c>
      <c r="S16" s="19">
        <v>1.75</v>
      </c>
      <c r="T16" s="14">
        <v>3.4752467849390567E-2</v>
      </c>
      <c r="U16" s="11">
        <v>2</v>
      </c>
      <c r="W16" s="19">
        <v>1.67</v>
      </c>
      <c r="X16" s="14">
        <v>3.2268739043169389E-2</v>
      </c>
      <c r="Y16" s="11">
        <v>2</v>
      </c>
    </row>
    <row r="17" spans="1:25" x14ac:dyDescent="0.35">
      <c r="A17" s="16">
        <v>44904</v>
      </c>
      <c r="B17" s="9">
        <v>244</v>
      </c>
      <c r="C17">
        <f t="shared" si="0"/>
        <v>2022</v>
      </c>
      <c r="O17" s="19">
        <v>1.74</v>
      </c>
      <c r="P17" s="14">
        <v>2.959836153967476E-2</v>
      </c>
      <c r="Q17" s="11">
        <v>1</v>
      </c>
      <c r="S17" s="19">
        <v>1.76</v>
      </c>
      <c r="T17" s="14">
        <v>1.1553595392548743E-2</v>
      </c>
      <c r="U17" s="11">
        <v>1</v>
      </c>
      <c r="W17" s="19">
        <v>1.68</v>
      </c>
      <c r="X17" s="14">
        <v>3.4402015156534849E-2</v>
      </c>
      <c r="Y17" s="11">
        <v>2</v>
      </c>
    </row>
    <row r="18" spans="1:25" x14ac:dyDescent="0.35">
      <c r="A18" s="16">
        <v>44903</v>
      </c>
      <c r="B18" s="9">
        <v>252</v>
      </c>
      <c r="C18">
        <f t="shared" si="0"/>
        <v>2022</v>
      </c>
      <c r="O18" s="19">
        <v>1.75</v>
      </c>
      <c r="P18" s="14">
        <v>1.921851896337547E-2</v>
      </c>
      <c r="Q18" s="11">
        <v>3</v>
      </c>
      <c r="S18" s="19">
        <v>1.97</v>
      </c>
      <c r="T18" s="14">
        <v>9.7562734682465901E-3</v>
      </c>
      <c r="U18" s="11">
        <v>1</v>
      </c>
      <c r="W18" s="19">
        <v>1.7</v>
      </c>
      <c r="X18" s="14">
        <v>1.4113794056904994E-2</v>
      </c>
      <c r="Y18" s="11">
        <v>2</v>
      </c>
    </row>
    <row r="19" spans="1:25" x14ac:dyDescent="0.35">
      <c r="A19" s="16">
        <v>44902</v>
      </c>
      <c r="B19" s="9">
        <v>260</v>
      </c>
      <c r="C19">
        <f t="shared" si="0"/>
        <v>2022</v>
      </c>
      <c r="O19" s="19">
        <v>1.76</v>
      </c>
      <c r="P19" s="14">
        <v>2.3E-2</v>
      </c>
      <c r="Q19" s="11">
        <v>1</v>
      </c>
      <c r="S19" s="18" t="s">
        <v>659</v>
      </c>
      <c r="T19" s="14">
        <v>2.5070410595335553E-2</v>
      </c>
      <c r="U19" s="11">
        <v>16</v>
      </c>
      <c r="W19" s="19">
        <v>1.73</v>
      </c>
      <c r="X19" s="14">
        <v>1.6500000000000001E-2</v>
      </c>
      <c r="Y19" s="11">
        <v>2</v>
      </c>
    </row>
    <row r="20" spans="1:25" x14ac:dyDescent="0.35">
      <c r="A20" s="16">
        <v>44901</v>
      </c>
      <c r="B20" s="9">
        <v>256</v>
      </c>
      <c r="C20">
        <f t="shared" si="0"/>
        <v>2022</v>
      </c>
      <c r="O20" s="19">
        <v>1.77</v>
      </c>
      <c r="P20" s="14">
        <v>3.3896976234699429E-2</v>
      </c>
      <c r="Q20" s="11">
        <v>1</v>
      </c>
      <c r="S20" s="19">
        <v>1.63</v>
      </c>
      <c r="T20" s="14">
        <v>2.5937831332745409E-2</v>
      </c>
      <c r="U20" s="11">
        <v>1</v>
      </c>
      <c r="W20" s="19">
        <v>1.74</v>
      </c>
      <c r="X20" s="14">
        <v>1.7722643701590407E-2</v>
      </c>
      <c r="Y20" s="11">
        <v>4</v>
      </c>
    </row>
    <row r="21" spans="1:25" x14ac:dyDescent="0.35">
      <c r="A21" s="16">
        <v>44900</v>
      </c>
      <c r="B21" s="9">
        <v>244</v>
      </c>
      <c r="C21">
        <f t="shared" si="0"/>
        <v>2022</v>
      </c>
      <c r="O21" s="19">
        <v>1.81</v>
      </c>
      <c r="P21" s="14">
        <v>1.7597398896003959E-2</v>
      </c>
      <c r="Q21" s="11">
        <v>1</v>
      </c>
      <c r="S21" s="19">
        <v>1.65</v>
      </c>
      <c r="T21" s="14">
        <v>1.4076687668435506E-2</v>
      </c>
      <c r="U21" s="11">
        <v>2</v>
      </c>
      <c r="W21" s="19">
        <v>1.75</v>
      </c>
      <c r="X21" s="14">
        <v>2.5432098517781509E-2</v>
      </c>
      <c r="Y21" s="11">
        <v>5</v>
      </c>
    </row>
    <row r="22" spans="1:25" x14ac:dyDescent="0.35">
      <c r="A22" s="16">
        <v>44897</v>
      </c>
      <c r="B22" s="9">
        <v>248</v>
      </c>
      <c r="C22">
        <f t="shared" si="0"/>
        <v>2022</v>
      </c>
      <c r="O22" s="19">
        <v>2.11</v>
      </c>
      <c r="P22" s="14">
        <v>2.2499999999999999E-2</v>
      </c>
      <c r="Q22" s="11">
        <v>2</v>
      </c>
      <c r="S22" s="19">
        <v>1.83</v>
      </c>
      <c r="T22" s="14">
        <v>4.6449956257304081E-2</v>
      </c>
      <c r="U22" s="11">
        <v>2</v>
      </c>
      <c r="W22" s="19">
        <v>1.76</v>
      </c>
      <c r="X22" s="14">
        <v>1.7276797696274371E-2</v>
      </c>
      <c r="Y22" s="11">
        <v>2</v>
      </c>
    </row>
    <row r="23" spans="1:25" x14ac:dyDescent="0.35">
      <c r="A23" s="16">
        <v>44896</v>
      </c>
      <c r="B23" s="9">
        <v>253</v>
      </c>
      <c r="C23">
        <f t="shared" si="0"/>
        <v>2022</v>
      </c>
      <c r="O23" s="19">
        <v>2.12</v>
      </c>
      <c r="P23" s="14">
        <v>1.4999999999999999E-2</v>
      </c>
      <c r="Q23" s="11">
        <v>2</v>
      </c>
      <c r="S23" s="19">
        <v>1.96</v>
      </c>
      <c r="T23" s="14">
        <v>3.7635157834776889E-2</v>
      </c>
      <c r="U23" s="11">
        <v>1</v>
      </c>
      <c r="W23" s="19">
        <v>1.77</v>
      </c>
      <c r="X23" s="14">
        <v>3.3896976234699429E-2</v>
      </c>
      <c r="Y23" s="11">
        <v>1</v>
      </c>
    </row>
    <row r="24" spans="1:25" x14ac:dyDescent="0.35">
      <c r="A24" s="16">
        <v>44895</v>
      </c>
      <c r="B24" s="9">
        <v>251</v>
      </c>
      <c r="C24">
        <f t="shared" si="0"/>
        <v>2022</v>
      </c>
      <c r="F24" s="20"/>
      <c r="G24" s="35" t="s">
        <v>29</v>
      </c>
      <c r="H24" s="36"/>
      <c r="I24" s="35" t="s">
        <v>37</v>
      </c>
      <c r="J24" s="36"/>
      <c r="K24" s="35" t="s">
        <v>660</v>
      </c>
      <c r="L24" s="36"/>
      <c r="O24" s="19">
        <v>2.14</v>
      </c>
      <c r="P24" s="14">
        <v>1.9763618005311328E-2</v>
      </c>
      <c r="Q24" s="11">
        <v>1</v>
      </c>
      <c r="S24" s="19">
        <v>2.0099999999999998</v>
      </c>
      <c r="T24" s="14">
        <v>4.9572591876259953E-2</v>
      </c>
      <c r="U24" s="11">
        <v>2</v>
      </c>
      <c r="W24" s="19">
        <v>1.81</v>
      </c>
      <c r="X24" s="14">
        <v>1.7597398896003959E-2</v>
      </c>
      <c r="Y24" s="11">
        <v>1</v>
      </c>
    </row>
    <row r="25" spans="1:25" ht="29" x14ac:dyDescent="0.35">
      <c r="A25" s="16">
        <v>44894</v>
      </c>
      <c r="B25" s="9">
        <v>251</v>
      </c>
      <c r="C25">
        <f t="shared" si="0"/>
        <v>2022</v>
      </c>
      <c r="F25" s="21"/>
      <c r="G25" s="22" t="s">
        <v>661</v>
      </c>
      <c r="H25" s="23" t="s">
        <v>662</v>
      </c>
      <c r="I25" s="22" t="s">
        <v>661</v>
      </c>
      <c r="J25" s="23" t="s">
        <v>662</v>
      </c>
      <c r="K25" s="22" t="s">
        <v>661</v>
      </c>
      <c r="L25" s="23" t="s">
        <v>662</v>
      </c>
      <c r="O25" s="19">
        <v>2.2000000000000002</v>
      </c>
      <c r="P25" s="14">
        <v>1.15E-2</v>
      </c>
      <c r="Q25" s="11">
        <v>1</v>
      </c>
      <c r="S25" s="19">
        <v>2.0499999999999998</v>
      </c>
      <c r="T25" s="14">
        <v>4.015736044542062E-2</v>
      </c>
      <c r="U25" s="11">
        <v>1</v>
      </c>
      <c r="W25" s="19">
        <v>1.97</v>
      </c>
      <c r="X25" s="14">
        <v>9.7562734682465901E-3</v>
      </c>
      <c r="Y25" s="11">
        <v>1</v>
      </c>
    </row>
    <row r="26" spans="1:25" x14ac:dyDescent="0.35">
      <c r="A26" s="16">
        <v>44893</v>
      </c>
      <c r="B26" s="9">
        <v>270</v>
      </c>
      <c r="C26">
        <f t="shared" si="0"/>
        <v>2022</v>
      </c>
      <c r="F26" s="3">
        <v>2011</v>
      </c>
      <c r="G26" s="24">
        <f t="shared" ref="G26:G36" si="1">+GETPIVOTDATA("Contagem de RiscoPaís (%)",$O$10,"Anos",$F26)</f>
        <v>22</v>
      </c>
      <c r="H26" s="25">
        <f t="shared" ref="H26:H36" si="2">+GETPIVOTDATA("Média de Spread DI+",$O$10,"Anos",$F26)</f>
        <v>1.9708044443907492E-2</v>
      </c>
      <c r="I26" s="24">
        <f>+GETPIVOTDATA("Contagem de RiscoPaís (%)",$S$10,"Anos",$F26)</f>
        <v>11</v>
      </c>
      <c r="J26" s="26">
        <f>+GETPIVOTDATA("Média de Spread DI+",$S$10,"Anos",$F26)</f>
        <v>2.1951690174985359E-2</v>
      </c>
      <c r="K26" s="24">
        <f t="shared" ref="K26:K36" si="3">+GETPIVOTDATA("Contagem de RiscoPaís (%)",$W$10,"Anos",$F26)</f>
        <v>33</v>
      </c>
      <c r="L26" s="26">
        <f t="shared" ref="L26:L36" si="4">+GETPIVOTDATA("Média de Spread DI+",$W$10,"Anos",$F26)</f>
        <v>2.0455926354266782E-2</v>
      </c>
      <c r="O26" s="19">
        <v>2.23</v>
      </c>
      <c r="P26" s="14">
        <v>1.18E-2</v>
      </c>
      <c r="Q26" s="11">
        <v>1</v>
      </c>
      <c r="S26" s="19">
        <v>2.0699999999999998</v>
      </c>
      <c r="T26" s="14">
        <v>2.3966635794522739E-2</v>
      </c>
      <c r="U26" s="11">
        <v>1</v>
      </c>
      <c r="W26" s="19">
        <v>2.11</v>
      </c>
      <c r="X26" s="14">
        <v>2.2499999999999999E-2</v>
      </c>
      <c r="Y26" s="11">
        <v>2</v>
      </c>
    </row>
    <row r="27" spans="1:25" x14ac:dyDescent="0.35">
      <c r="A27" s="16">
        <v>44890</v>
      </c>
      <c r="B27" s="9">
        <v>270</v>
      </c>
      <c r="C27">
        <f t="shared" si="0"/>
        <v>2022</v>
      </c>
      <c r="F27" s="3">
        <f>+F26+1</f>
        <v>2012</v>
      </c>
      <c r="G27" s="27">
        <f t="shared" si="1"/>
        <v>30</v>
      </c>
      <c r="H27" s="28">
        <f t="shared" si="2"/>
        <v>1.7604535686037977E-2</v>
      </c>
      <c r="I27" s="27">
        <f>+GETPIVOTDATA("Contagem de RiscoPaís (%)",$S$10,"Anos",$F27)</f>
        <v>16</v>
      </c>
      <c r="J27" s="29">
        <f>+GETPIVOTDATA("Média de Spread DI+",$S$10,"Anos",$F27)</f>
        <v>2.5070410595335553E-2</v>
      </c>
      <c r="K27" s="27">
        <f t="shared" si="3"/>
        <v>46</v>
      </c>
      <c r="L27" s="29">
        <f t="shared" si="4"/>
        <v>2.0201361741445833E-2</v>
      </c>
      <c r="O27" s="18" t="s">
        <v>659</v>
      </c>
      <c r="P27" s="14">
        <v>1.7604535686037977E-2</v>
      </c>
      <c r="Q27" s="11">
        <v>30</v>
      </c>
      <c r="S27" s="19">
        <v>2.1</v>
      </c>
      <c r="T27" s="14">
        <v>-1.6560968277125609E-3</v>
      </c>
      <c r="U27" s="11">
        <v>2</v>
      </c>
      <c r="W27" s="19">
        <v>2.12</v>
      </c>
      <c r="X27" s="14">
        <v>1.4999999999999999E-2</v>
      </c>
      <c r="Y27" s="11">
        <v>2</v>
      </c>
    </row>
    <row r="28" spans="1:25" x14ac:dyDescent="0.35">
      <c r="A28" s="16">
        <v>44888</v>
      </c>
      <c r="B28" s="9">
        <v>269</v>
      </c>
      <c r="C28">
        <f t="shared" si="0"/>
        <v>2022</v>
      </c>
      <c r="F28" s="3">
        <f t="shared" ref="F28:F36" si="5">+F27+1</f>
        <v>2013</v>
      </c>
      <c r="G28" s="27">
        <f t="shared" si="1"/>
        <v>30</v>
      </c>
      <c r="H28" s="28">
        <f t="shared" si="2"/>
        <v>1.4150084750291067E-2</v>
      </c>
      <c r="I28" s="27">
        <f>+GETPIVOTDATA("Contagem de RiscoPaís (%)",$S$10,"Anos",$F28)</f>
        <v>9</v>
      </c>
      <c r="J28" s="29">
        <f>+GETPIVOTDATA("Média de Spread DI+",$S$10,"Anos",$F28)</f>
        <v>3.4964969937233588E-2</v>
      </c>
      <c r="K28" s="27">
        <f t="shared" si="3"/>
        <v>39</v>
      </c>
      <c r="L28" s="29">
        <f t="shared" si="4"/>
        <v>1.8953519793431649E-2</v>
      </c>
      <c r="O28" s="19">
        <v>1.43</v>
      </c>
      <c r="P28" s="14">
        <v>1.2730955404316341E-2</v>
      </c>
      <c r="Q28" s="11">
        <v>3</v>
      </c>
      <c r="S28" s="19">
        <v>2.13</v>
      </c>
      <c r="T28" s="14">
        <v>1.8972618106170458E-2</v>
      </c>
      <c r="U28" s="11">
        <v>1</v>
      </c>
      <c r="W28" s="19">
        <v>2.14</v>
      </c>
      <c r="X28" s="14">
        <v>1.9763618005311328E-2</v>
      </c>
      <c r="Y28" s="11">
        <v>1</v>
      </c>
    </row>
    <row r="29" spans="1:25" x14ac:dyDescent="0.35">
      <c r="A29" s="16">
        <v>44887</v>
      </c>
      <c r="B29" s="9">
        <v>265</v>
      </c>
      <c r="C29">
        <f t="shared" si="0"/>
        <v>2022</v>
      </c>
      <c r="F29" s="3">
        <f t="shared" si="5"/>
        <v>2014</v>
      </c>
      <c r="G29" s="27">
        <f t="shared" si="1"/>
        <v>33</v>
      </c>
      <c r="H29" s="28">
        <f t="shared" si="2"/>
        <v>1.615333971844329E-2</v>
      </c>
      <c r="I29" s="27">
        <f>+GETPIVOTDATA("Contagem de RiscoPaís (%)",$S$10,"Anos",$F29)</f>
        <v>15</v>
      </c>
      <c r="J29" s="29">
        <f>+GETPIVOTDATA("Média de Spread DI+",$S$10,"Anos",$F29)</f>
        <v>2.058334377644826E-2</v>
      </c>
      <c r="K29" s="27">
        <f t="shared" si="3"/>
        <v>48</v>
      </c>
      <c r="L29" s="29">
        <f t="shared" si="4"/>
        <v>1.7537715986569839E-2</v>
      </c>
      <c r="O29" s="19">
        <v>1.55</v>
      </c>
      <c r="P29" s="14">
        <v>2.0470889916603629E-2</v>
      </c>
      <c r="Q29" s="11">
        <v>2</v>
      </c>
      <c r="S29" s="19">
        <v>2.1800000000000002</v>
      </c>
      <c r="T29" s="14">
        <v>1.6699915905651563E-2</v>
      </c>
      <c r="U29" s="11">
        <v>1</v>
      </c>
      <c r="W29" s="19">
        <v>2.2000000000000002</v>
      </c>
      <c r="X29" s="14">
        <v>1.15E-2</v>
      </c>
      <c r="Y29" s="11">
        <v>1</v>
      </c>
    </row>
    <row r="30" spans="1:25" x14ac:dyDescent="0.35">
      <c r="A30" s="16">
        <v>44886</v>
      </c>
      <c r="B30" s="9">
        <v>268</v>
      </c>
      <c r="C30">
        <f t="shared" si="0"/>
        <v>2022</v>
      </c>
      <c r="F30" s="3">
        <f t="shared" si="5"/>
        <v>2015</v>
      </c>
      <c r="G30" s="27">
        <f t="shared" si="1"/>
        <v>16</v>
      </c>
      <c r="H30" s="28">
        <f t="shared" si="2"/>
        <v>1.8462085991510654E-2</v>
      </c>
      <c r="I30" s="27">
        <v>0</v>
      </c>
      <c r="J30" s="29">
        <v>0</v>
      </c>
      <c r="K30" s="27">
        <f t="shared" si="3"/>
        <v>16</v>
      </c>
      <c r="L30" s="29">
        <f t="shared" si="4"/>
        <v>1.8462085991510658E-2</v>
      </c>
      <c r="O30" s="19">
        <v>1.56</v>
      </c>
      <c r="P30" s="14">
        <v>1.7820376526369006E-2</v>
      </c>
      <c r="Q30" s="11">
        <v>1</v>
      </c>
      <c r="S30" s="19">
        <v>2.21</v>
      </c>
      <c r="T30" s="14">
        <v>1.9452624262604967E-2</v>
      </c>
      <c r="U30" s="11">
        <v>1</v>
      </c>
      <c r="W30" s="19">
        <v>2.23</v>
      </c>
      <c r="X30" s="14">
        <v>1.18E-2</v>
      </c>
      <c r="Y30" s="11">
        <v>1</v>
      </c>
    </row>
    <row r="31" spans="1:25" x14ac:dyDescent="0.35">
      <c r="A31" s="16">
        <v>44883</v>
      </c>
      <c r="B31" s="9">
        <v>271</v>
      </c>
      <c r="C31">
        <f t="shared" si="0"/>
        <v>2022</v>
      </c>
      <c r="F31" s="3">
        <f t="shared" si="5"/>
        <v>2016</v>
      </c>
      <c r="G31" s="27">
        <f t="shared" si="1"/>
        <v>13</v>
      </c>
      <c r="H31" s="28">
        <f t="shared" si="2"/>
        <v>2.4552226082105187E-2</v>
      </c>
      <c r="I31" s="27">
        <f t="shared" ref="I31:I36" si="6">+GETPIVOTDATA("Contagem de RiscoPaís (%)",$S$10,"Anos",$F31)</f>
        <v>12</v>
      </c>
      <c r="J31" s="29">
        <f t="shared" ref="J31:J36" si="7">+GETPIVOTDATA("Média de Spread DI+",$S$10,"Anos",$F31)</f>
        <v>2.042055115885107E-2</v>
      </c>
      <c r="K31" s="27">
        <f t="shared" si="3"/>
        <v>25</v>
      </c>
      <c r="L31" s="29">
        <f t="shared" si="4"/>
        <v>2.2569022118943211E-2</v>
      </c>
      <c r="O31" s="19">
        <v>1.57</v>
      </c>
      <c r="P31" s="14">
        <v>0.03</v>
      </c>
      <c r="Q31" s="11">
        <v>1</v>
      </c>
      <c r="S31" s="19">
        <v>2.33</v>
      </c>
      <c r="T31" s="14">
        <v>1.4181478949022441E-3</v>
      </c>
      <c r="U31" s="11">
        <v>1</v>
      </c>
      <c r="W31" s="18" t="s">
        <v>659</v>
      </c>
      <c r="X31" s="14">
        <v>2.0201361741445833E-2</v>
      </c>
      <c r="Y31" s="11">
        <v>46</v>
      </c>
    </row>
    <row r="32" spans="1:25" x14ac:dyDescent="0.35">
      <c r="A32" s="16">
        <v>44882</v>
      </c>
      <c r="B32" s="9">
        <v>278</v>
      </c>
      <c r="C32">
        <f t="shared" si="0"/>
        <v>2022</v>
      </c>
      <c r="F32" s="3">
        <f t="shared" si="5"/>
        <v>2017</v>
      </c>
      <c r="G32" s="27">
        <f t="shared" si="1"/>
        <v>24</v>
      </c>
      <c r="H32" s="28">
        <f t="shared" si="2"/>
        <v>2.2018620519072746E-2</v>
      </c>
      <c r="I32" s="27">
        <f t="shared" si="6"/>
        <v>22</v>
      </c>
      <c r="J32" s="29">
        <f t="shared" si="7"/>
        <v>2.2778585488238249E-2</v>
      </c>
      <c r="K32" s="27">
        <f t="shared" si="3"/>
        <v>46</v>
      </c>
      <c r="L32" s="29">
        <f t="shared" si="4"/>
        <v>2.238208202606495E-2</v>
      </c>
      <c r="O32" s="19">
        <v>1.62</v>
      </c>
      <c r="P32" s="14">
        <v>1.8931863397624652E-2</v>
      </c>
      <c r="Q32" s="11">
        <v>3</v>
      </c>
      <c r="S32" s="18" t="s">
        <v>663</v>
      </c>
      <c r="T32" s="14">
        <v>3.4964969937233588E-2</v>
      </c>
      <c r="U32" s="11">
        <v>9</v>
      </c>
      <c r="W32" s="19">
        <v>1.43</v>
      </c>
      <c r="X32" s="14">
        <v>1.2730955404316341E-2</v>
      </c>
      <c r="Y32" s="11">
        <v>3</v>
      </c>
    </row>
    <row r="33" spans="1:25" x14ac:dyDescent="0.35">
      <c r="A33" s="16">
        <v>44881</v>
      </c>
      <c r="B33" s="9">
        <v>270</v>
      </c>
      <c r="C33">
        <f t="shared" si="0"/>
        <v>2022</v>
      </c>
      <c r="F33" s="3">
        <f t="shared" si="5"/>
        <v>2018</v>
      </c>
      <c r="G33" s="27">
        <f t="shared" si="1"/>
        <v>33</v>
      </c>
      <c r="H33" s="28">
        <f t="shared" si="2"/>
        <v>1.9371953400028976E-2</v>
      </c>
      <c r="I33" s="27">
        <f t="shared" si="6"/>
        <v>14</v>
      </c>
      <c r="J33" s="29">
        <f t="shared" si="7"/>
        <v>2.9291172480376222E-2</v>
      </c>
      <c r="K33" s="27">
        <f t="shared" si="3"/>
        <v>47</v>
      </c>
      <c r="L33" s="29">
        <f t="shared" si="4"/>
        <v>2.2326614402685598E-2</v>
      </c>
      <c r="O33" s="19">
        <v>1.64</v>
      </c>
      <c r="P33" s="14">
        <v>2.343930710942525E-2</v>
      </c>
      <c r="Q33" s="11">
        <v>1</v>
      </c>
      <c r="S33" s="19">
        <v>1.51</v>
      </c>
      <c r="T33" s="14">
        <v>7.405760536218442E-2</v>
      </c>
      <c r="U33" s="11">
        <v>1</v>
      </c>
      <c r="W33" s="19">
        <v>1.55</v>
      </c>
      <c r="X33" s="14">
        <v>2.0470889916603629E-2</v>
      </c>
      <c r="Y33" s="11">
        <v>2</v>
      </c>
    </row>
    <row r="34" spans="1:25" x14ac:dyDescent="0.35">
      <c r="A34" s="16">
        <v>44880</v>
      </c>
      <c r="B34" s="9">
        <v>265</v>
      </c>
      <c r="C34">
        <f t="shared" si="0"/>
        <v>2022</v>
      </c>
      <c r="F34" s="3">
        <f t="shared" si="5"/>
        <v>2019</v>
      </c>
      <c r="G34" s="27">
        <f t="shared" si="1"/>
        <v>58</v>
      </c>
      <c r="H34" s="28">
        <f t="shared" si="2"/>
        <v>1.1767801835272805E-2</v>
      </c>
      <c r="I34" s="27">
        <f t="shared" si="6"/>
        <v>22</v>
      </c>
      <c r="J34" s="29">
        <f t="shared" si="7"/>
        <v>3.1931242670229773E-2</v>
      </c>
      <c r="K34" s="27">
        <f t="shared" si="3"/>
        <v>80</v>
      </c>
      <c r="L34" s="29">
        <f t="shared" si="4"/>
        <v>1.7312748064885971E-2</v>
      </c>
      <c r="O34" s="19">
        <v>1.69</v>
      </c>
      <c r="P34" s="14">
        <v>1.525815947977135E-2</v>
      </c>
      <c r="Q34" s="11">
        <v>3</v>
      </c>
      <c r="S34" s="19">
        <v>1.55</v>
      </c>
      <c r="T34" s="14">
        <v>5.5562967942878738E-2</v>
      </c>
      <c r="U34" s="11">
        <v>2</v>
      </c>
      <c r="W34" s="19">
        <v>1.56</v>
      </c>
      <c r="X34" s="14">
        <v>1.7820376526369006E-2</v>
      </c>
      <c r="Y34" s="11">
        <v>1</v>
      </c>
    </row>
    <row r="35" spans="1:25" x14ac:dyDescent="0.35">
      <c r="A35" s="16">
        <v>44879</v>
      </c>
      <c r="B35" s="9">
        <v>277</v>
      </c>
      <c r="C35">
        <f t="shared" si="0"/>
        <v>2022</v>
      </c>
      <c r="F35" s="3">
        <f t="shared" si="5"/>
        <v>2020</v>
      </c>
      <c r="G35" s="27">
        <f t="shared" si="1"/>
        <v>48</v>
      </c>
      <c r="H35" s="28">
        <f t="shared" si="2"/>
        <v>3.0044816770591481E-2</v>
      </c>
      <c r="I35" s="27">
        <f t="shared" si="6"/>
        <v>20</v>
      </c>
      <c r="J35" s="29">
        <f t="shared" si="7"/>
        <v>3.5289143011228999E-2</v>
      </c>
      <c r="K35" s="27">
        <f t="shared" si="3"/>
        <v>68</v>
      </c>
      <c r="L35" s="29">
        <f t="shared" si="4"/>
        <v>3.1587265664896641E-2</v>
      </c>
      <c r="O35" s="19">
        <v>1.71</v>
      </c>
      <c r="P35" s="14">
        <v>8.52775741801645E-3</v>
      </c>
      <c r="Q35" s="11">
        <v>1</v>
      </c>
      <c r="S35" s="19">
        <v>1.74</v>
      </c>
      <c r="T35" s="14">
        <v>1.3971262331763379E-2</v>
      </c>
      <c r="U35" s="11">
        <v>2</v>
      </c>
      <c r="W35" s="19">
        <v>1.57</v>
      </c>
      <c r="X35" s="14">
        <v>0.03</v>
      </c>
      <c r="Y35" s="11">
        <v>1</v>
      </c>
    </row>
    <row r="36" spans="1:25" x14ac:dyDescent="0.35">
      <c r="A36" s="16">
        <v>44875</v>
      </c>
      <c r="B36" s="9">
        <v>286</v>
      </c>
      <c r="C36">
        <f t="shared" si="0"/>
        <v>2022</v>
      </c>
      <c r="F36" s="20">
        <f t="shared" si="5"/>
        <v>2021</v>
      </c>
      <c r="G36" s="30">
        <f t="shared" si="1"/>
        <v>46</v>
      </c>
      <c r="H36" s="31">
        <f t="shared" si="2"/>
        <v>2.3518189576395999E-2</v>
      </c>
      <c r="I36" s="30">
        <f t="shared" si="6"/>
        <v>19</v>
      </c>
      <c r="J36" s="32">
        <f t="shared" si="7"/>
        <v>3.1187036337008988E-2</v>
      </c>
      <c r="K36" s="30">
        <f t="shared" si="3"/>
        <v>65</v>
      </c>
      <c r="L36" s="32">
        <f t="shared" si="4"/>
        <v>2.5759852475652115E-2</v>
      </c>
      <c r="O36" s="19">
        <v>1.81</v>
      </c>
      <c r="P36" s="14">
        <v>1.6247324630025539E-2</v>
      </c>
      <c r="Q36" s="11">
        <v>2</v>
      </c>
      <c r="S36" s="19">
        <v>1.76</v>
      </c>
      <c r="T36" s="14">
        <v>1.5936850257503465E-2</v>
      </c>
      <c r="U36" s="11">
        <v>2</v>
      </c>
      <c r="W36" s="19">
        <v>1.62</v>
      </c>
      <c r="X36" s="14">
        <v>1.8931863397624652E-2</v>
      </c>
      <c r="Y36" s="11">
        <v>3</v>
      </c>
    </row>
    <row r="37" spans="1:25" x14ac:dyDescent="0.35">
      <c r="A37" s="16">
        <v>44874</v>
      </c>
      <c r="B37" s="9">
        <v>279</v>
      </c>
      <c r="C37">
        <f t="shared" si="0"/>
        <v>2022</v>
      </c>
      <c r="F37" s="3" t="s">
        <v>660</v>
      </c>
      <c r="G37" s="24">
        <f>+GETPIVOTDATA("Contagem de RiscoPaís (%)",$O$10)</f>
        <v>353</v>
      </c>
      <c r="H37" s="29">
        <f>+GETPIVOTDATA("Média de Spread DI+",$O$10)</f>
        <v>1.9569659782161831E-2</v>
      </c>
      <c r="I37" s="33">
        <f>+GETPIVOTDATA("Contagem de RiscoPaís (%)",$S$10)</f>
        <v>160</v>
      </c>
      <c r="J37" s="29">
        <f>+GETPIVOTDATA("Média de Spread DI+",$S$10)</f>
        <v>2.7644411539234758E-2</v>
      </c>
      <c r="K37" s="33">
        <f>+GETPIVOTDATA("Contagem de RiscoPaís (%)",$W$10)</f>
        <v>513</v>
      </c>
      <c r="L37" s="29">
        <f>+GETPIVOTDATA("Média de Spread DI+",$W$10)</f>
        <v>2.2088100875985749E-2</v>
      </c>
      <c r="O37" s="19">
        <v>2.0299999999999998</v>
      </c>
      <c r="P37" s="14">
        <v>3.6207747256298294E-2</v>
      </c>
      <c r="Q37" s="11">
        <v>3</v>
      </c>
      <c r="S37" s="19">
        <v>1.78</v>
      </c>
      <c r="T37" s="14">
        <v>4.1188055372809451E-4</v>
      </c>
      <c r="U37" s="11">
        <v>1</v>
      </c>
      <c r="W37" s="19">
        <v>1.63</v>
      </c>
      <c r="X37" s="14">
        <v>2.5937831332745409E-2</v>
      </c>
      <c r="Y37" s="11">
        <v>1</v>
      </c>
    </row>
    <row r="38" spans="1:25" x14ac:dyDescent="0.35">
      <c r="A38" s="16">
        <v>44873</v>
      </c>
      <c r="B38" s="9">
        <v>264</v>
      </c>
      <c r="C38">
        <f t="shared" si="0"/>
        <v>2022</v>
      </c>
      <c r="O38" s="19">
        <v>2.0499999999999998</v>
      </c>
      <c r="P38" s="14">
        <v>9.3934705331873373E-3</v>
      </c>
      <c r="Q38" s="11">
        <v>4</v>
      </c>
      <c r="S38" s="19">
        <v>2.13</v>
      </c>
      <c r="T38" s="14">
        <v>6.9273082454898605E-2</v>
      </c>
      <c r="U38" s="11">
        <v>1</v>
      </c>
      <c r="W38" s="19">
        <v>1.64</v>
      </c>
      <c r="X38" s="14">
        <v>2.343930710942525E-2</v>
      </c>
      <c r="Y38" s="11">
        <v>1</v>
      </c>
    </row>
    <row r="39" spans="1:25" x14ac:dyDescent="0.35">
      <c r="A39" s="16">
        <v>44872</v>
      </c>
      <c r="B39" s="9">
        <v>252</v>
      </c>
      <c r="C39">
        <f t="shared" si="0"/>
        <v>2022</v>
      </c>
      <c r="O39" s="19">
        <v>2.13</v>
      </c>
      <c r="P39" s="14">
        <v>1.1600929832616116E-2</v>
      </c>
      <c r="Q39" s="11">
        <v>2</v>
      </c>
      <c r="S39" s="18" t="s">
        <v>664</v>
      </c>
      <c r="T39" s="14">
        <v>2.058334377644826E-2</v>
      </c>
      <c r="U39" s="11">
        <v>15</v>
      </c>
      <c r="W39" s="19">
        <v>1.65</v>
      </c>
      <c r="X39" s="14">
        <v>1.4076687668435506E-2</v>
      </c>
      <c r="Y39" s="11">
        <v>2</v>
      </c>
    </row>
    <row r="40" spans="1:25" x14ac:dyDescent="0.35">
      <c r="A40" s="16">
        <v>44869</v>
      </c>
      <c r="B40" s="9">
        <v>259</v>
      </c>
      <c r="C40">
        <f t="shared" si="0"/>
        <v>2022</v>
      </c>
      <c r="O40" s="19">
        <v>2.14</v>
      </c>
      <c r="P40" s="14">
        <v>1.9581088218107286E-2</v>
      </c>
      <c r="Q40" s="11">
        <v>1</v>
      </c>
      <c r="S40" s="19">
        <v>2.0499999999999998</v>
      </c>
      <c r="T40" s="14">
        <v>1.4190824862453599E-2</v>
      </c>
      <c r="U40" s="11">
        <v>1</v>
      </c>
      <c r="W40" s="19">
        <v>1.69</v>
      </c>
      <c r="X40" s="14">
        <v>1.525815947977135E-2</v>
      </c>
      <c r="Y40" s="11">
        <v>3</v>
      </c>
    </row>
    <row r="41" spans="1:25" x14ac:dyDescent="0.35">
      <c r="A41" s="16">
        <v>44868</v>
      </c>
      <c r="B41" s="9">
        <v>263</v>
      </c>
      <c r="C41">
        <f t="shared" si="0"/>
        <v>2022</v>
      </c>
      <c r="O41" s="19">
        <v>2.1800000000000002</v>
      </c>
      <c r="P41" s="14">
        <v>1.3334596901974803E-2</v>
      </c>
      <c r="Q41" s="11">
        <v>2</v>
      </c>
      <c r="S41" s="19">
        <v>2.0699999999999998</v>
      </c>
      <c r="T41" s="14">
        <v>2.0028542206127042E-2</v>
      </c>
      <c r="U41" s="11">
        <v>2</v>
      </c>
      <c r="W41" s="19">
        <v>1.71</v>
      </c>
      <c r="X41" s="14">
        <v>8.52775741801645E-3</v>
      </c>
      <c r="Y41" s="11">
        <v>1</v>
      </c>
    </row>
    <row r="42" spans="1:25" x14ac:dyDescent="0.35">
      <c r="A42" s="16">
        <v>44867</v>
      </c>
      <c r="B42" s="9">
        <v>260</v>
      </c>
      <c r="C42">
        <f t="shared" si="0"/>
        <v>2022</v>
      </c>
      <c r="O42" s="19">
        <v>2.29</v>
      </c>
      <c r="P42" s="14">
        <v>1.8500000000000003E-2</v>
      </c>
      <c r="Q42" s="11">
        <v>1</v>
      </c>
      <c r="S42" s="19">
        <v>2.13</v>
      </c>
      <c r="T42" s="14">
        <v>3.7178928481767404E-2</v>
      </c>
      <c r="U42" s="11">
        <v>1</v>
      </c>
      <c r="W42" s="19">
        <v>1.81</v>
      </c>
      <c r="X42" s="14">
        <v>1.6247324630025539E-2</v>
      </c>
      <c r="Y42" s="11">
        <v>2</v>
      </c>
    </row>
    <row r="43" spans="1:25" x14ac:dyDescent="0.35">
      <c r="A43" s="16">
        <v>44866</v>
      </c>
      <c r="B43" s="9">
        <v>261</v>
      </c>
      <c r="C43">
        <f t="shared" si="0"/>
        <v>2022</v>
      </c>
      <c r="O43" s="18" t="s">
        <v>663</v>
      </c>
      <c r="P43" s="14">
        <v>1.4150084750291067E-2</v>
      </c>
      <c r="Q43" s="11">
        <v>30</v>
      </c>
      <c r="S43" s="19">
        <v>2.14</v>
      </c>
      <c r="T43" s="14">
        <v>1.2104777773477515E-2</v>
      </c>
      <c r="U43" s="11">
        <v>2</v>
      </c>
      <c r="W43" s="19">
        <v>1.83</v>
      </c>
      <c r="X43" s="14">
        <v>4.6449956257304081E-2</v>
      </c>
      <c r="Y43" s="11">
        <v>2</v>
      </c>
    </row>
    <row r="44" spans="1:25" x14ac:dyDescent="0.35">
      <c r="A44" s="16">
        <v>44862</v>
      </c>
      <c r="B44" s="9">
        <v>255</v>
      </c>
      <c r="C44">
        <f t="shared" si="0"/>
        <v>2022</v>
      </c>
      <c r="O44" s="19">
        <v>1.53</v>
      </c>
      <c r="P44" s="14">
        <v>0.03</v>
      </c>
      <c r="Q44" s="11">
        <v>1</v>
      </c>
      <c r="S44" s="19">
        <v>2.15</v>
      </c>
      <c r="T44" s="14">
        <v>3.0723252824105263E-3</v>
      </c>
      <c r="U44" s="11">
        <v>1</v>
      </c>
      <c r="W44" s="19">
        <v>1.96</v>
      </c>
      <c r="X44" s="14">
        <v>3.7635157834776889E-2</v>
      </c>
      <c r="Y44" s="11">
        <v>1</v>
      </c>
    </row>
    <row r="45" spans="1:25" x14ac:dyDescent="0.35">
      <c r="A45" s="16">
        <v>44861</v>
      </c>
      <c r="B45" s="9">
        <v>272</v>
      </c>
      <c r="C45">
        <f t="shared" si="0"/>
        <v>2022</v>
      </c>
      <c r="O45" s="19">
        <v>1.58</v>
      </c>
      <c r="P45" s="14">
        <v>8.6412575531910011E-3</v>
      </c>
      <c r="Q45" s="11">
        <v>3</v>
      </c>
      <c r="S45" s="19">
        <v>2.1800000000000002</v>
      </c>
      <c r="T45" s="14">
        <v>4.9276563587330902E-2</v>
      </c>
      <c r="U45" s="11">
        <v>1</v>
      </c>
      <c r="W45" s="19">
        <v>2.0099999999999998</v>
      </c>
      <c r="X45" s="14">
        <v>4.9572591876259953E-2</v>
      </c>
      <c r="Y45" s="11">
        <v>2</v>
      </c>
    </row>
    <row r="46" spans="1:25" x14ac:dyDescent="0.35">
      <c r="A46" s="16">
        <v>44860</v>
      </c>
      <c r="B46" s="9">
        <v>259</v>
      </c>
      <c r="C46">
        <f t="shared" si="0"/>
        <v>2022</v>
      </c>
      <c r="O46" s="19">
        <v>1.69</v>
      </c>
      <c r="P46" s="14">
        <v>1.0154394942621438E-2</v>
      </c>
      <c r="Q46" s="11">
        <v>1</v>
      </c>
      <c r="S46" s="19">
        <v>2.19</v>
      </c>
      <c r="T46" s="14">
        <v>1.6306716609078009E-2</v>
      </c>
      <c r="U46" s="11">
        <v>1</v>
      </c>
      <c r="W46" s="19">
        <v>2.0299999999999998</v>
      </c>
      <c r="X46" s="14">
        <v>3.6207747256298294E-2</v>
      </c>
      <c r="Y46" s="11">
        <v>3</v>
      </c>
    </row>
    <row r="47" spans="1:25" x14ac:dyDescent="0.35">
      <c r="A47" s="16">
        <v>44859</v>
      </c>
      <c r="B47" s="9">
        <v>253</v>
      </c>
      <c r="C47">
        <f t="shared" si="0"/>
        <v>2022</v>
      </c>
      <c r="O47" s="19">
        <v>1.79</v>
      </c>
      <c r="P47" s="14">
        <v>0.03</v>
      </c>
      <c r="Q47" s="11">
        <v>1</v>
      </c>
      <c r="S47" s="19">
        <v>2.21</v>
      </c>
      <c r="T47" s="14">
        <v>3.5467931354284499E-2</v>
      </c>
      <c r="U47" s="11">
        <v>1</v>
      </c>
      <c r="W47" s="19">
        <v>2.0499999999999998</v>
      </c>
      <c r="X47" s="14">
        <v>1.5546248515633996E-2</v>
      </c>
      <c r="Y47" s="11">
        <v>5</v>
      </c>
    </row>
    <row r="48" spans="1:25" x14ac:dyDescent="0.35">
      <c r="A48" s="16">
        <v>44858</v>
      </c>
      <c r="B48" s="9">
        <v>246</v>
      </c>
      <c r="C48">
        <f t="shared" si="0"/>
        <v>2022</v>
      </c>
      <c r="O48" s="19">
        <v>1.89</v>
      </c>
      <c r="P48" s="14">
        <v>7.4999999999999997E-3</v>
      </c>
      <c r="Q48" s="11">
        <v>1</v>
      </c>
      <c r="S48" s="19">
        <v>2.4</v>
      </c>
      <c r="T48" s="14">
        <v>1.8333647565602296E-2</v>
      </c>
      <c r="U48" s="11">
        <v>4</v>
      </c>
      <c r="W48" s="19">
        <v>2.0699999999999998</v>
      </c>
      <c r="X48" s="14">
        <v>2.3966635794522739E-2</v>
      </c>
      <c r="Y48" s="11">
        <v>1</v>
      </c>
    </row>
    <row r="49" spans="1:25" x14ac:dyDescent="0.35">
      <c r="A49" s="16">
        <v>44856</v>
      </c>
      <c r="B49" s="9">
        <v>246</v>
      </c>
      <c r="C49">
        <f t="shared" si="0"/>
        <v>2022</v>
      </c>
      <c r="O49" s="19">
        <v>1.91</v>
      </c>
      <c r="P49" s="14">
        <v>1.6241191687475311E-2</v>
      </c>
      <c r="Q49" s="11">
        <v>2</v>
      </c>
      <c r="S49" s="19">
        <v>2.78</v>
      </c>
      <c r="T49" s="14">
        <v>1.5655636247780658E-2</v>
      </c>
      <c r="U49" s="11">
        <v>1</v>
      </c>
      <c r="W49" s="19">
        <v>2.1</v>
      </c>
      <c r="X49" s="14">
        <v>-1.6560968277125609E-3</v>
      </c>
      <c r="Y49" s="11">
        <v>2</v>
      </c>
    </row>
    <row r="50" spans="1:25" x14ac:dyDescent="0.35">
      <c r="A50" s="16">
        <v>44855</v>
      </c>
      <c r="B50" s="9">
        <v>255</v>
      </c>
      <c r="C50">
        <f t="shared" si="0"/>
        <v>2022</v>
      </c>
      <c r="O50" s="19">
        <v>2.0699999999999998</v>
      </c>
      <c r="P50" s="14">
        <v>8.5093875999187104E-3</v>
      </c>
      <c r="Q50" s="11">
        <v>3</v>
      </c>
      <c r="S50" s="18" t="s">
        <v>665</v>
      </c>
      <c r="T50" s="14">
        <v>2.042055115885107E-2</v>
      </c>
      <c r="U50" s="11">
        <v>12</v>
      </c>
      <c r="W50" s="19">
        <v>2.13</v>
      </c>
      <c r="X50" s="14">
        <v>1.4058159257134231E-2</v>
      </c>
      <c r="Y50" s="11">
        <v>3</v>
      </c>
    </row>
    <row r="51" spans="1:25" x14ac:dyDescent="0.35">
      <c r="A51" s="16">
        <v>44854</v>
      </c>
      <c r="B51" s="9">
        <v>264</v>
      </c>
      <c r="C51">
        <f t="shared" si="0"/>
        <v>2022</v>
      </c>
      <c r="O51" s="19">
        <v>2.15</v>
      </c>
      <c r="P51" s="14">
        <v>2.0465598430974351E-2</v>
      </c>
      <c r="Q51" s="11">
        <v>1</v>
      </c>
      <c r="S51" s="19">
        <v>3.16</v>
      </c>
      <c r="T51" s="14">
        <v>1.2194609831299053E-2</v>
      </c>
      <c r="U51" s="11">
        <v>1</v>
      </c>
      <c r="W51" s="19">
        <v>2.14</v>
      </c>
      <c r="X51" s="14">
        <v>1.9581088218107286E-2</v>
      </c>
      <c r="Y51" s="11">
        <v>1</v>
      </c>
    </row>
    <row r="52" spans="1:25" x14ac:dyDescent="0.35">
      <c r="A52" s="16">
        <v>44853</v>
      </c>
      <c r="B52" s="9">
        <v>276</v>
      </c>
      <c r="C52">
        <f t="shared" si="0"/>
        <v>2022</v>
      </c>
      <c r="O52" s="19">
        <v>2.16</v>
      </c>
      <c r="P52" s="14">
        <v>1.0762774016311602E-2</v>
      </c>
      <c r="Q52" s="11">
        <v>3</v>
      </c>
      <c r="S52" s="19">
        <v>3.17</v>
      </c>
      <c r="T52" s="14">
        <v>8.3817677559336889E-3</v>
      </c>
      <c r="U52" s="11">
        <v>1</v>
      </c>
      <c r="W52" s="19">
        <v>2.1800000000000002</v>
      </c>
      <c r="X52" s="14">
        <v>1.4456369903200391E-2</v>
      </c>
      <c r="Y52" s="11">
        <v>3</v>
      </c>
    </row>
    <row r="53" spans="1:25" x14ac:dyDescent="0.35">
      <c r="A53" s="16">
        <v>44852</v>
      </c>
      <c r="B53" s="9">
        <v>278</v>
      </c>
      <c r="C53">
        <f t="shared" si="0"/>
        <v>2022</v>
      </c>
      <c r="O53" s="19">
        <v>2.19</v>
      </c>
      <c r="P53" s="14">
        <v>2.3E-2</v>
      </c>
      <c r="Q53" s="11">
        <v>1</v>
      </c>
      <c r="S53" s="19">
        <v>3.18</v>
      </c>
      <c r="T53" s="14">
        <v>-3.8286906505957674E-4</v>
      </c>
      <c r="U53" s="11">
        <v>1</v>
      </c>
      <c r="W53" s="19">
        <v>2.21</v>
      </c>
      <c r="X53" s="14">
        <v>1.9452624262604967E-2</v>
      </c>
      <c r="Y53" s="11">
        <v>1</v>
      </c>
    </row>
    <row r="54" spans="1:25" x14ac:dyDescent="0.35">
      <c r="A54" s="16">
        <v>44851</v>
      </c>
      <c r="B54" s="9">
        <v>283</v>
      </c>
      <c r="C54">
        <f t="shared" si="0"/>
        <v>2022</v>
      </c>
      <c r="O54" s="19">
        <v>2.2400000000000002</v>
      </c>
      <c r="P54" s="14">
        <v>1.6886565366395979E-2</v>
      </c>
      <c r="Q54" s="11">
        <v>6</v>
      </c>
      <c r="S54" s="19">
        <v>3.28</v>
      </c>
      <c r="T54" s="14">
        <v>1.7976200985041269E-2</v>
      </c>
      <c r="U54" s="11">
        <v>1</v>
      </c>
      <c r="W54" s="19">
        <v>2.29</v>
      </c>
      <c r="X54" s="14">
        <v>1.8500000000000003E-2</v>
      </c>
      <c r="Y54" s="11">
        <v>1</v>
      </c>
    </row>
    <row r="55" spans="1:25" x14ac:dyDescent="0.35">
      <c r="A55" s="16">
        <v>44848</v>
      </c>
      <c r="B55" s="9">
        <v>288</v>
      </c>
      <c r="C55">
        <f t="shared" si="0"/>
        <v>2022</v>
      </c>
      <c r="O55" s="19">
        <v>2.29</v>
      </c>
      <c r="P55" s="14">
        <v>8.5000000000000006E-3</v>
      </c>
      <c r="Q55" s="11">
        <v>1</v>
      </c>
      <c r="S55" s="19">
        <v>3.31</v>
      </c>
      <c r="T55" s="14">
        <v>6.5381578677621288E-3</v>
      </c>
      <c r="U55" s="11">
        <v>1</v>
      </c>
      <c r="W55" s="19">
        <v>2.33</v>
      </c>
      <c r="X55" s="14">
        <v>1.4181478949022441E-3</v>
      </c>
      <c r="Y55" s="11">
        <v>1</v>
      </c>
    </row>
    <row r="56" spans="1:25" x14ac:dyDescent="0.35">
      <c r="A56" s="16">
        <v>44847</v>
      </c>
      <c r="B56" s="9">
        <v>291</v>
      </c>
      <c r="C56">
        <f t="shared" si="0"/>
        <v>2022</v>
      </c>
      <c r="O56" s="19">
        <v>2.33</v>
      </c>
      <c r="P56" s="14">
        <v>7.5441064164305741E-3</v>
      </c>
      <c r="Q56" s="11">
        <v>1</v>
      </c>
      <c r="S56" s="19">
        <v>3.32</v>
      </c>
      <c r="T56" s="14">
        <v>1.4865820908918748E-2</v>
      </c>
      <c r="U56" s="11">
        <v>1</v>
      </c>
      <c r="W56" s="18" t="s">
        <v>663</v>
      </c>
      <c r="X56" s="14">
        <v>1.8953519793431649E-2</v>
      </c>
      <c r="Y56" s="11">
        <v>39</v>
      </c>
    </row>
    <row r="57" spans="1:25" x14ac:dyDescent="0.35">
      <c r="A57" s="16">
        <v>44846</v>
      </c>
      <c r="B57" s="9">
        <v>288</v>
      </c>
      <c r="C57">
        <f t="shared" si="0"/>
        <v>2022</v>
      </c>
      <c r="O57" s="19">
        <v>2.36</v>
      </c>
      <c r="P57" s="14">
        <v>1.0989691938876599E-2</v>
      </c>
      <c r="Q57" s="11">
        <v>1</v>
      </c>
      <c r="S57" s="19">
        <v>3.71</v>
      </c>
      <c r="T57" s="14">
        <v>3.2679352680916152E-2</v>
      </c>
      <c r="U57" s="11">
        <v>1</v>
      </c>
      <c r="W57" s="19">
        <v>1.51</v>
      </c>
      <c r="X57" s="14">
        <v>7.405760536218442E-2</v>
      </c>
      <c r="Y57" s="11">
        <v>1</v>
      </c>
    </row>
    <row r="58" spans="1:25" x14ac:dyDescent="0.35">
      <c r="A58" s="16">
        <v>44845</v>
      </c>
      <c r="B58" s="9">
        <v>282</v>
      </c>
      <c r="C58">
        <f t="shared" si="0"/>
        <v>2022</v>
      </c>
      <c r="O58" s="19">
        <v>2.38</v>
      </c>
      <c r="P58" s="14">
        <v>9.840006657273942E-3</v>
      </c>
      <c r="Q58" s="11">
        <v>1</v>
      </c>
      <c r="S58" s="19">
        <v>3.8</v>
      </c>
      <c r="T58" s="14">
        <v>1.8362899748158856E-2</v>
      </c>
      <c r="U58" s="11">
        <v>1</v>
      </c>
      <c r="W58" s="19">
        <v>1.53</v>
      </c>
      <c r="X58" s="14">
        <v>0.03</v>
      </c>
      <c r="Y58" s="11">
        <v>1</v>
      </c>
    </row>
    <row r="59" spans="1:25" x14ac:dyDescent="0.35">
      <c r="A59" s="16">
        <v>44841</v>
      </c>
      <c r="B59" s="9">
        <v>276</v>
      </c>
      <c r="C59">
        <f t="shared" si="0"/>
        <v>2022</v>
      </c>
      <c r="O59" s="19">
        <v>2.42</v>
      </c>
      <c r="P59" s="14">
        <v>1.3258711060067339E-2</v>
      </c>
      <c r="Q59" s="11">
        <v>1</v>
      </c>
      <c r="S59" s="19">
        <v>3.83</v>
      </c>
      <c r="T59" s="14">
        <v>1.8286108583573712E-2</v>
      </c>
      <c r="U59" s="11">
        <v>1</v>
      </c>
      <c r="W59" s="19">
        <v>1.55</v>
      </c>
      <c r="X59" s="14">
        <v>5.5562967942878738E-2</v>
      </c>
      <c r="Y59" s="11">
        <v>2</v>
      </c>
    </row>
    <row r="60" spans="1:25" x14ac:dyDescent="0.35">
      <c r="A60" s="16">
        <v>44840</v>
      </c>
      <c r="B60" s="9">
        <v>271</v>
      </c>
      <c r="C60">
        <f t="shared" si="0"/>
        <v>2022</v>
      </c>
      <c r="O60" s="19">
        <v>2.4700000000000002</v>
      </c>
      <c r="P60" s="14">
        <v>0.02</v>
      </c>
      <c r="Q60" s="11">
        <v>1</v>
      </c>
      <c r="S60" s="19">
        <v>3.97</v>
      </c>
      <c r="T60" s="14">
        <v>3.810395056627236E-2</v>
      </c>
      <c r="U60" s="11">
        <v>2</v>
      </c>
      <c r="W60" s="19">
        <v>1.58</v>
      </c>
      <c r="X60" s="14">
        <v>8.6412575531910011E-3</v>
      </c>
      <c r="Y60" s="11">
        <v>3</v>
      </c>
    </row>
    <row r="61" spans="1:25" x14ac:dyDescent="0.35">
      <c r="A61" s="16">
        <v>44839</v>
      </c>
      <c r="B61" s="9">
        <v>272</v>
      </c>
      <c r="C61">
        <f t="shared" si="0"/>
        <v>2022</v>
      </c>
      <c r="O61" s="19">
        <v>2.5499999999999998</v>
      </c>
      <c r="P61" s="14">
        <v>1.5707999980897322E-2</v>
      </c>
      <c r="Q61" s="11">
        <v>1</v>
      </c>
      <c r="S61" s="19">
        <v>3.99</v>
      </c>
      <c r="T61" s="14">
        <v>3.9936663477124101E-2</v>
      </c>
      <c r="U61" s="11">
        <v>1</v>
      </c>
      <c r="W61" s="19">
        <v>1.69</v>
      </c>
      <c r="X61" s="14">
        <v>1.0154394942621438E-2</v>
      </c>
      <c r="Y61" s="11">
        <v>1</v>
      </c>
    </row>
    <row r="62" spans="1:25" x14ac:dyDescent="0.35">
      <c r="A62" s="16">
        <v>44838</v>
      </c>
      <c r="B62" s="9">
        <v>266</v>
      </c>
      <c r="C62">
        <f t="shared" si="0"/>
        <v>2022</v>
      </c>
      <c r="O62" s="18" t="s">
        <v>664</v>
      </c>
      <c r="P62" s="14">
        <v>1.615333971844329E-2</v>
      </c>
      <c r="Q62" s="11">
        <v>33</v>
      </c>
      <c r="S62" s="18" t="s">
        <v>666</v>
      </c>
      <c r="T62" s="14">
        <v>2.2778585488238249E-2</v>
      </c>
      <c r="U62" s="11">
        <v>22</v>
      </c>
      <c r="W62" s="19">
        <v>1.74</v>
      </c>
      <c r="X62" s="14">
        <v>1.3971262331763379E-2</v>
      </c>
      <c r="Y62" s="11">
        <v>2</v>
      </c>
    </row>
    <row r="63" spans="1:25" x14ac:dyDescent="0.35">
      <c r="A63" s="16">
        <v>44837</v>
      </c>
      <c r="B63" s="9">
        <v>280</v>
      </c>
      <c r="C63">
        <f t="shared" si="0"/>
        <v>2022</v>
      </c>
      <c r="O63" s="19">
        <v>2.0299999999999998</v>
      </c>
      <c r="P63" s="14">
        <v>1.8268855625225067E-2</v>
      </c>
      <c r="Q63" s="11">
        <v>2</v>
      </c>
      <c r="S63" s="19">
        <v>2.34</v>
      </c>
      <c r="T63" s="14">
        <v>1.4292337371786923E-2</v>
      </c>
      <c r="U63" s="11">
        <v>2</v>
      </c>
      <c r="W63" s="19">
        <v>1.76</v>
      </c>
      <c r="X63" s="14">
        <v>1.5936850257503465E-2</v>
      </c>
      <c r="Y63" s="11">
        <v>2</v>
      </c>
    </row>
    <row r="64" spans="1:25" x14ac:dyDescent="0.35">
      <c r="A64" s="16">
        <v>44834</v>
      </c>
      <c r="B64" s="9">
        <v>288</v>
      </c>
      <c r="C64">
        <f t="shared" si="0"/>
        <v>2022</v>
      </c>
      <c r="O64" s="19">
        <v>2.0499999999999998</v>
      </c>
      <c r="P64" s="14">
        <v>1.1446510668741812E-2</v>
      </c>
      <c r="Q64" s="11">
        <v>4</v>
      </c>
      <c r="S64" s="19">
        <v>2.36</v>
      </c>
      <c r="T64" s="14">
        <v>5.5905388633823883E-2</v>
      </c>
      <c r="U64" s="11">
        <v>1</v>
      </c>
      <c r="W64" s="19">
        <v>1.78</v>
      </c>
      <c r="X64" s="14">
        <v>4.1188055372809451E-4</v>
      </c>
      <c r="Y64" s="11">
        <v>1</v>
      </c>
    </row>
    <row r="65" spans="1:25" x14ac:dyDescent="0.35">
      <c r="A65" s="16">
        <v>44833</v>
      </c>
      <c r="B65" s="9">
        <v>301</v>
      </c>
      <c r="C65">
        <f t="shared" si="0"/>
        <v>2022</v>
      </c>
      <c r="O65" s="19">
        <v>2.08</v>
      </c>
      <c r="P65" s="14">
        <v>1.9469587161062892E-2</v>
      </c>
      <c r="Q65" s="11">
        <v>4</v>
      </c>
      <c r="S65" s="19">
        <v>2.39</v>
      </c>
      <c r="T65" s="14">
        <v>3.3622968399086073E-2</v>
      </c>
      <c r="U65" s="11">
        <v>1</v>
      </c>
      <c r="W65" s="19">
        <v>1.79</v>
      </c>
      <c r="X65" s="14">
        <v>0.03</v>
      </c>
      <c r="Y65" s="11">
        <v>1</v>
      </c>
    </row>
    <row r="66" spans="1:25" x14ac:dyDescent="0.35">
      <c r="A66" s="16">
        <v>44832</v>
      </c>
      <c r="B66" s="9">
        <v>299</v>
      </c>
      <c r="C66">
        <f t="shared" si="0"/>
        <v>2022</v>
      </c>
      <c r="O66" s="19">
        <v>2.12</v>
      </c>
      <c r="P66" s="14">
        <v>3.1475868118271078E-2</v>
      </c>
      <c r="Q66" s="11">
        <v>1</v>
      </c>
      <c r="S66" s="19">
        <v>2.42</v>
      </c>
      <c r="T66" s="14">
        <v>4.7873274823730716E-2</v>
      </c>
      <c r="U66" s="11">
        <v>1</v>
      </c>
      <c r="W66" s="19">
        <v>1.89</v>
      </c>
      <c r="X66" s="14">
        <v>7.4999999999999997E-3</v>
      </c>
      <c r="Y66" s="11">
        <v>1</v>
      </c>
    </row>
    <row r="67" spans="1:25" x14ac:dyDescent="0.35">
      <c r="A67" s="16">
        <v>44831</v>
      </c>
      <c r="B67" s="9">
        <v>297</v>
      </c>
      <c r="C67">
        <f t="shared" ref="C67:C130" si="8">YEAR(A67)</f>
        <v>2022</v>
      </c>
      <c r="O67" s="19">
        <v>2.16</v>
      </c>
      <c r="P67" s="14">
        <v>5.5261974590611537E-3</v>
      </c>
      <c r="Q67" s="11">
        <v>1</v>
      </c>
      <c r="S67" s="19">
        <v>2.48</v>
      </c>
      <c r="T67" s="14">
        <v>8.780983649368931E-3</v>
      </c>
      <c r="U67" s="11">
        <v>3</v>
      </c>
      <c r="W67" s="19">
        <v>1.91</v>
      </c>
      <c r="X67" s="14">
        <v>1.6241191687475311E-2</v>
      </c>
      <c r="Y67" s="11">
        <v>2</v>
      </c>
    </row>
    <row r="68" spans="1:25" x14ac:dyDescent="0.35">
      <c r="A68" s="16">
        <v>44830</v>
      </c>
      <c r="B68" s="9">
        <v>292</v>
      </c>
      <c r="C68">
        <f t="shared" si="8"/>
        <v>2022</v>
      </c>
      <c r="O68" s="19">
        <v>2.2000000000000002</v>
      </c>
      <c r="P68" s="14">
        <v>1.2548325769659373E-2</v>
      </c>
      <c r="Q68" s="11">
        <v>1</v>
      </c>
      <c r="S68" s="19">
        <v>2.52</v>
      </c>
      <c r="T68" s="14">
        <v>7.9904938668893255E-3</v>
      </c>
      <c r="U68" s="11">
        <v>1</v>
      </c>
      <c r="W68" s="19">
        <v>2.0699999999999998</v>
      </c>
      <c r="X68" s="14">
        <v>8.5093875999187104E-3</v>
      </c>
      <c r="Y68" s="11">
        <v>3</v>
      </c>
    </row>
    <row r="69" spans="1:25" x14ac:dyDescent="0.35">
      <c r="A69" s="16">
        <v>44827</v>
      </c>
      <c r="B69" s="9">
        <v>278</v>
      </c>
      <c r="C69">
        <f t="shared" si="8"/>
        <v>2022</v>
      </c>
      <c r="O69" s="19">
        <v>2.2200000000000002</v>
      </c>
      <c r="P69" s="14">
        <v>9.3593869528827093E-3</v>
      </c>
      <c r="Q69" s="11">
        <v>2</v>
      </c>
      <c r="S69" s="19">
        <v>2.54</v>
      </c>
      <c r="T69" s="14">
        <v>2.2628024356858401E-2</v>
      </c>
      <c r="U69" s="11">
        <v>1</v>
      </c>
      <c r="W69" s="19">
        <v>2.13</v>
      </c>
      <c r="X69" s="14">
        <v>6.9273082454898605E-2</v>
      </c>
      <c r="Y69" s="11">
        <v>1</v>
      </c>
    </row>
    <row r="70" spans="1:25" x14ac:dyDescent="0.35">
      <c r="A70" s="16">
        <v>44826</v>
      </c>
      <c r="B70" s="9">
        <v>266</v>
      </c>
      <c r="C70">
        <f t="shared" si="8"/>
        <v>2022</v>
      </c>
      <c r="O70" s="19">
        <v>2.2999999999999998</v>
      </c>
      <c r="P70" s="14">
        <v>8.79967786004659E-3</v>
      </c>
      <c r="Q70" s="11">
        <v>1</v>
      </c>
      <c r="S70" s="19">
        <v>2.5499999999999998</v>
      </c>
      <c r="T70" s="14">
        <v>1.8243284135623039E-2</v>
      </c>
      <c r="U70" s="11">
        <v>1</v>
      </c>
      <c r="W70" s="19">
        <v>2.15</v>
      </c>
      <c r="X70" s="14">
        <v>2.0465598430974351E-2</v>
      </c>
      <c r="Y70" s="11">
        <v>1</v>
      </c>
    </row>
    <row r="71" spans="1:25" x14ac:dyDescent="0.35">
      <c r="A71" s="16">
        <v>44825</v>
      </c>
      <c r="B71" s="9">
        <v>270</v>
      </c>
      <c r="C71">
        <f t="shared" si="8"/>
        <v>2022</v>
      </c>
      <c r="O71" s="19">
        <v>2.33</v>
      </c>
      <c r="P71" s="14">
        <v>3.5820001863068891E-2</v>
      </c>
      <c r="Q71" s="11">
        <v>1</v>
      </c>
      <c r="S71" s="19">
        <v>2.56</v>
      </c>
      <c r="T71" s="14">
        <v>2.4523133066644442E-2</v>
      </c>
      <c r="U71" s="11">
        <v>2</v>
      </c>
      <c r="W71" s="19">
        <v>2.16</v>
      </c>
      <c r="X71" s="14">
        <v>1.0762774016311602E-2</v>
      </c>
      <c r="Y71" s="11">
        <v>3</v>
      </c>
    </row>
    <row r="72" spans="1:25" x14ac:dyDescent="0.35">
      <c r="A72" s="16">
        <v>44824</v>
      </c>
      <c r="B72" s="9">
        <v>270</v>
      </c>
      <c r="C72">
        <f t="shared" si="8"/>
        <v>2022</v>
      </c>
      <c r="O72" s="19">
        <v>2.37</v>
      </c>
      <c r="P72" s="14">
        <v>1.9018154910432673E-2</v>
      </c>
      <c r="Q72" s="11">
        <v>1</v>
      </c>
      <c r="S72" s="19">
        <v>2.6</v>
      </c>
      <c r="T72" s="14">
        <v>2.5456269519021468E-2</v>
      </c>
      <c r="U72" s="11">
        <v>2</v>
      </c>
      <c r="W72" s="19">
        <v>2.19</v>
      </c>
      <c r="X72" s="14">
        <v>2.3E-2</v>
      </c>
      <c r="Y72" s="11">
        <v>1</v>
      </c>
    </row>
    <row r="73" spans="1:25" x14ac:dyDescent="0.35">
      <c r="A73" s="16">
        <v>44823</v>
      </c>
      <c r="B73" s="9">
        <v>266</v>
      </c>
      <c r="C73">
        <f t="shared" si="8"/>
        <v>2022</v>
      </c>
      <c r="O73" s="19">
        <v>2.4300000000000002</v>
      </c>
      <c r="P73" s="14">
        <v>9.6483163046282017E-4</v>
      </c>
      <c r="Q73" s="11">
        <v>4</v>
      </c>
      <c r="S73" s="19">
        <v>2.69</v>
      </c>
      <c r="T73" s="14">
        <v>3.5294796357836722E-2</v>
      </c>
      <c r="U73" s="11">
        <v>1</v>
      </c>
      <c r="W73" s="19">
        <v>2.2400000000000002</v>
      </c>
      <c r="X73" s="14">
        <v>1.6886565366395979E-2</v>
      </c>
      <c r="Y73" s="11">
        <v>6</v>
      </c>
    </row>
    <row r="74" spans="1:25" x14ac:dyDescent="0.35">
      <c r="A74" s="16">
        <v>44820</v>
      </c>
      <c r="B74" s="9">
        <v>269</v>
      </c>
      <c r="C74">
        <f t="shared" si="8"/>
        <v>2022</v>
      </c>
      <c r="O74" s="19">
        <v>2.44</v>
      </c>
      <c r="P74" s="14">
        <v>9.2276265571988644E-3</v>
      </c>
      <c r="Q74" s="11">
        <v>3</v>
      </c>
      <c r="S74" s="19">
        <v>2.74</v>
      </c>
      <c r="T74" s="14">
        <v>3.1304109926429291E-2</v>
      </c>
      <c r="U74" s="11">
        <v>1</v>
      </c>
      <c r="W74" s="19">
        <v>2.29</v>
      </c>
      <c r="X74" s="14">
        <v>8.5000000000000006E-3</v>
      </c>
      <c r="Y74" s="11">
        <v>1</v>
      </c>
    </row>
    <row r="75" spans="1:25" x14ac:dyDescent="0.35">
      <c r="A75" s="16">
        <v>44819</v>
      </c>
      <c r="B75" s="9">
        <v>261</v>
      </c>
      <c r="C75">
        <f t="shared" si="8"/>
        <v>2022</v>
      </c>
      <c r="O75" s="19">
        <v>2.4500000000000002</v>
      </c>
      <c r="P75" s="14">
        <v>3.2994459263425861E-2</v>
      </c>
      <c r="Q75" s="11">
        <v>3</v>
      </c>
      <c r="S75" s="19">
        <v>2.82</v>
      </c>
      <c r="T75" s="14">
        <v>2.3935428779805406E-2</v>
      </c>
      <c r="U75" s="11">
        <v>3</v>
      </c>
      <c r="W75" s="19">
        <v>2.33</v>
      </c>
      <c r="X75" s="14">
        <v>7.5441064164305741E-3</v>
      </c>
      <c r="Y75" s="11">
        <v>1</v>
      </c>
    </row>
    <row r="76" spans="1:25" x14ac:dyDescent="0.35">
      <c r="A76" s="16">
        <v>44818</v>
      </c>
      <c r="B76" s="9">
        <v>263</v>
      </c>
      <c r="C76">
        <f t="shared" si="8"/>
        <v>2022</v>
      </c>
      <c r="O76" s="19">
        <v>2.5499999999999998</v>
      </c>
      <c r="P76" s="14">
        <v>3.0202927202235993E-2</v>
      </c>
      <c r="Q76" s="11">
        <v>1</v>
      </c>
      <c r="S76" s="19">
        <v>2.86</v>
      </c>
      <c r="T76" s="14">
        <v>1.8719447467970385E-2</v>
      </c>
      <c r="U76" s="11">
        <v>1</v>
      </c>
      <c r="W76" s="19">
        <v>2.36</v>
      </c>
      <c r="X76" s="14">
        <v>1.0989691938876599E-2</v>
      </c>
      <c r="Y76" s="11">
        <v>1</v>
      </c>
    </row>
    <row r="77" spans="1:25" x14ac:dyDescent="0.35">
      <c r="A77" s="16">
        <v>44817</v>
      </c>
      <c r="B77" s="9">
        <v>259</v>
      </c>
      <c r="C77">
        <f t="shared" si="8"/>
        <v>2022</v>
      </c>
      <c r="O77" s="19">
        <v>2.8</v>
      </c>
      <c r="P77" s="14">
        <v>1.7000000000000001E-2</v>
      </c>
      <c r="Q77" s="11">
        <v>1</v>
      </c>
      <c r="S77" s="19">
        <v>2.94</v>
      </c>
      <c r="T77" s="14">
        <v>2.8543755705650042E-3</v>
      </c>
      <c r="U77" s="11">
        <v>1</v>
      </c>
      <c r="W77" s="19">
        <v>2.38</v>
      </c>
      <c r="X77" s="14">
        <v>9.840006657273942E-3</v>
      </c>
      <c r="Y77" s="11">
        <v>1</v>
      </c>
    </row>
    <row r="78" spans="1:25" x14ac:dyDescent="0.35">
      <c r="A78" s="16">
        <v>44816</v>
      </c>
      <c r="B78" s="9">
        <v>255</v>
      </c>
      <c r="C78">
        <f t="shared" si="8"/>
        <v>2022</v>
      </c>
      <c r="O78" s="19">
        <v>3.12</v>
      </c>
      <c r="P78" s="14">
        <v>2.1074199022230969E-2</v>
      </c>
      <c r="Q78" s="11">
        <v>3</v>
      </c>
      <c r="S78" s="18" t="s">
        <v>667</v>
      </c>
      <c r="T78" s="14">
        <v>2.9291172480376222E-2</v>
      </c>
      <c r="U78" s="11">
        <v>14</v>
      </c>
      <c r="W78" s="19">
        <v>2.42</v>
      </c>
      <c r="X78" s="14">
        <v>1.3258711060067339E-2</v>
      </c>
      <c r="Y78" s="11">
        <v>1</v>
      </c>
    </row>
    <row r="79" spans="1:25" x14ac:dyDescent="0.35">
      <c r="A79" s="16">
        <v>44813</v>
      </c>
      <c r="B79" s="9">
        <v>259</v>
      </c>
      <c r="C79">
        <f t="shared" si="8"/>
        <v>2022</v>
      </c>
      <c r="O79" s="18" t="s">
        <v>668</v>
      </c>
      <c r="P79" s="14">
        <v>1.8462085991510654E-2</v>
      </c>
      <c r="Q79" s="11">
        <v>16</v>
      </c>
      <c r="S79" s="19">
        <v>2.2599999999999998</v>
      </c>
      <c r="T79" s="14">
        <v>3.3176874275576695E-2</v>
      </c>
      <c r="U79" s="11">
        <v>2</v>
      </c>
      <c r="W79" s="19">
        <v>2.4700000000000002</v>
      </c>
      <c r="X79" s="14">
        <v>0.02</v>
      </c>
      <c r="Y79" s="11">
        <v>1</v>
      </c>
    </row>
    <row r="80" spans="1:25" x14ac:dyDescent="0.35">
      <c r="A80" s="16">
        <v>44812</v>
      </c>
      <c r="B80" s="9">
        <v>264</v>
      </c>
      <c r="C80">
        <f t="shared" si="8"/>
        <v>2022</v>
      </c>
      <c r="O80" s="19">
        <v>2.8</v>
      </c>
      <c r="P80" s="14">
        <v>2.5499999999999998E-2</v>
      </c>
      <c r="Q80" s="11">
        <v>1</v>
      </c>
      <c r="S80" s="19">
        <v>2.27</v>
      </c>
      <c r="T80" s="14">
        <v>1.8037046509238541E-2</v>
      </c>
      <c r="U80" s="11">
        <v>2</v>
      </c>
      <c r="W80" s="19">
        <v>2.5499999999999998</v>
      </c>
      <c r="X80" s="14">
        <v>1.5707999980897322E-2</v>
      </c>
      <c r="Y80" s="11">
        <v>1</v>
      </c>
    </row>
    <row r="81" spans="1:25" x14ac:dyDescent="0.35">
      <c r="A81" s="16">
        <v>44811</v>
      </c>
      <c r="B81" s="9">
        <v>273</v>
      </c>
      <c r="C81">
        <f t="shared" si="8"/>
        <v>2022</v>
      </c>
      <c r="O81" s="19">
        <v>2.86</v>
      </c>
      <c r="P81" s="14">
        <v>1.8500000000000003E-2</v>
      </c>
      <c r="Q81" s="11">
        <v>1</v>
      </c>
      <c r="S81" s="19">
        <v>2.2799999999999998</v>
      </c>
      <c r="T81" s="14">
        <v>1.3810003622565459E-2</v>
      </c>
      <c r="U81" s="11">
        <v>1</v>
      </c>
      <c r="W81" s="18" t="s">
        <v>664</v>
      </c>
      <c r="X81" s="14">
        <v>1.7537715986569839E-2</v>
      </c>
      <c r="Y81" s="11">
        <v>48</v>
      </c>
    </row>
    <row r="82" spans="1:25" x14ac:dyDescent="0.35">
      <c r="A82" s="16">
        <v>44810</v>
      </c>
      <c r="B82" s="9">
        <v>274</v>
      </c>
      <c r="C82">
        <f t="shared" si="8"/>
        <v>2022</v>
      </c>
      <c r="O82" s="19">
        <v>2.91</v>
      </c>
      <c r="P82" s="14">
        <v>7.4582735496095606E-3</v>
      </c>
      <c r="Q82" s="11">
        <v>1</v>
      </c>
      <c r="S82" s="19">
        <v>2.29</v>
      </c>
      <c r="T82" s="14">
        <v>3.1322493570187238E-2</v>
      </c>
      <c r="U82" s="11">
        <v>1</v>
      </c>
      <c r="W82" s="19">
        <v>2.0299999999999998</v>
      </c>
      <c r="X82" s="14">
        <v>1.8268855625225067E-2</v>
      </c>
      <c r="Y82" s="11">
        <v>2</v>
      </c>
    </row>
    <row r="83" spans="1:25" x14ac:dyDescent="0.35">
      <c r="A83" s="16">
        <v>44809</v>
      </c>
      <c r="B83" s="9">
        <v>281</v>
      </c>
      <c r="C83">
        <f t="shared" si="8"/>
        <v>2022</v>
      </c>
      <c r="O83" s="19">
        <v>3.06</v>
      </c>
      <c r="P83" s="14">
        <v>1.5237624156874012E-2</v>
      </c>
      <c r="Q83" s="11">
        <v>2</v>
      </c>
      <c r="S83" s="19">
        <v>2.31</v>
      </c>
      <c r="T83" s="14">
        <v>3.3068475659474794E-2</v>
      </c>
      <c r="U83" s="11">
        <v>1</v>
      </c>
      <c r="W83" s="19">
        <v>2.0499999999999998</v>
      </c>
      <c r="X83" s="14">
        <v>1.1995373507484169E-2</v>
      </c>
      <c r="Y83" s="11">
        <v>5</v>
      </c>
    </row>
    <row r="84" spans="1:25" x14ac:dyDescent="0.35">
      <c r="A84" s="16">
        <v>44806</v>
      </c>
      <c r="B84" s="9">
        <v>281</v>
      </c>
      <c r="C84">
        <f t="shared" si="8"/>
        <v>2022</v>
      </c>
      <c r="O84" s="19">
        <v>3.16</v>
      </c>
      <c r="P84" s="14">
        <v>7.6102451594485254E-3</v>
      </c>
      <c r="Q84" s="11">
        <v>2</v>
      </c>
      <c r="S84" s="19">
        <v>2.54</v>
      </c>
      <c r="T84" s="14">
        <v>3.5770224885680824E-2</v>
      </c>
      <c r="U84" s="11">
        <v>1</v>
      </c>
      <c r="W84" s="19">
        <v>2.0699999999999998</v>
      </c>
      <c r="X84" s="14">
        <v>2.0028542206127042E-2</v>
      </c>
      <c r="Y84" s="11">
        <v>2</v>
      </c>
    </row>
    <row r="85" spans="1:25" x14ac:dyDescent="0.35">
      <c r="A85" s="16">
        <v>44805</v>
      </c>
      <c r="B85" s="9">
        <v>281</v>
      </c>
      <c r="C85">
        <f t="shared" si="8"/>
        <v>2022</v>
      </c>
      <c r="O85" s="19">
        <v>3.18</v>
      </c>
      <c r="P85" s="14">
        <v>2.4094206287527543E-2</v>
      </c>
      <c r="Q85" s="11">
        <v>1</v>
      </c>
      <c r="S85" s="19">
        <v>2.56</v>
      </c>
      <c r="T85" s="14">
        <v>3.3949403813250512E-2</v>
      </c>
      <c r="U85" s="11">
        <v>2</v>
      </c>
      <c r="W85" s="19">
        <v>2.08</v>
      </c>
      <c r="X85" s="14">
        <v>1.9469587161062892E-2</v>
      </c>
      <c r="Y85" s="11">
        <v>4</v>
      </c>
    </row>
    <row r="86" spans="1:25" x14ac:dyDescent="0.35">
      <c r="A86" s="16">
        <v>44804</v>
      </c>
      <c r="B86" s="9">
        <v>285</v>
      </c>
      <c r="C86">
        <f t="shared" si="8"/>
        <v>2022</v>
      </c>
      <c r="O86" s="19">
        <v>3.44</v>
      </c>
      <c r="P86" s="14">
        <v>1.0947420096164801E-2</v>
      </c>
      <c r="Q86" s="11">
        <v>4</v>
      </c>
      <c r="S86" s="19">
        <v>2.64</v>
      </c>
      <c r="T86" s="14">
        <v>5.3772411338334658E-2</v>
      </c>
      <c r="U86" s="11">
        <v>1</v>
      </c>
      <c r="W86" s="19">
        <v>2.12</v>
      </c>
      <c r="X86" s="14">
        <v>3.1475868118271078E-2</v>
      </c>
      <c r="Y86" s="11">
        <v>1</v>
      </c>
    </row>
    <row r="87" spans="1:25" x14ac:dyDescent="0.35">
      <c r="A87" s="16">
        <v>44803</v>
      </c>
      <c r="B87" s="9">
        <v>293</v>
      </c>
      <c r="C87">
        <f t="shared" si="8"/>
        <v>2022</v>
      </c>
      <c r="O87" s="19">
        <v>3.87</v>
      </c>
      <c r="P87" s="14">
        <v>1.8736446205041373E-2</v>
      </c>
      <c r="Q87" s="11">
        <v>1</v>
      </c>
      <c r="S87" s="19">
        <v>2.92</v>
      </c>
      <c r="T87" s="14">
        <v>4.5432526897638104E-2</v>
      </c>
      <c r="U87" s="11">
        <v>1</v>
      </c>
      <c r="W87" s="19">
        <v>2.13</v>
      </c>
      <c r="X87" s="14">
        <v>3.7178928481767404E-2</v>
      </c>
      <c r="Y87" s="11">
        <v>1</v>
      </c>
    </row>
    <row r="88" spans="1:25" x14ac:dyDescent="0.35">
      <c r="A88" s="16">
        <v>44802</v>
      </c>
      <c r="B88" s="9">
        <v>297</v>
      </c>
      <c r="C88">
        <f t="shared" si="8"/>
        <v>2022</v>
      </c>
      <c r="O88" s="19">
        <v>4.5</v>
      </c>
      <c r="P88" s="14">
        <v>1.9299999999999998E-2</v>
      </c>
      <c r="Q88" s="11">
        <v>1</v>
      </c>
      <c r="S88" s="19">
        <v>3.09</v>
      </c>
      <c r="T88" s="14">
        <v>1.3286814777627276E-2</v>
      </c>
      <c r="U88" s="11">
        <v>2</v>
      </c>
      <c r="W88" s="19">
        <v>2.14</v>
      </c>
      <c r="X88" s="14">
        <v>1.2104777773477515E-2</v>
      </c>
      <c r="Y88" s="11">
        <v>2</v>
      </c>
    </row>
    <row r="89" spans="1:25" x14ac:dyDescent="0.35">
      <c r="A89" s="16">
        <v>44799</v>
      </c>
      <c r="B89" s="9">
        <v>291</v>
      </c>
      <c r="C89">
        <f t="shared" si="8"/>
        <v>2022</v>
      </c>
      <c r="O89" s="19">
        <v>4.6500000000000004</v>
      </c>
      <c r="P89" s="14">
        <v>4.0500000000000001E-2</v>
      </c>
      <c r="Q89" s="11">
        <v>1</v>
      </c>
      <c r="S89" s="18" t="s">
        <v>669</v>
      </c>
      <c r="T89" s="14">
        <v>3.1931242670229773E-2</v>
      </c>
      <c r="U89" s="11">
        <v>22</v>
      </c>
      <c r="W89" s="19">
        <v>2.15</v>
      </c>
      <c r="X89" s="14">
        <v>3.0723252824105263E-3</v>
      </c>
      <c r="Y89" s="11">
        <v>1</v>
      </c>
    </row>
    <row r="90" spans="1:25" x14ac:dyDescent="0.35">
      <c r="A90" s="16">
        <v>44798</v>
      </c>
      <c r="B90" s="9">
        <v>288</v>
      </c>
      <c r="C90">
        <f t="shared" si="8"/>
        <v>2022</v>
      </c>
      <c r="O90" s="19">
        <v>4.8499999999999996</v>
      </c>
      <c r="P90" s="14">
        <v>5.1819030804687721E-2</v>
      </c>
      <c r="Q90" s="11">
        <v>1</v>
      </c>
      <c r="S90" s="19">
        <v>2.12</v>
      </c>
      <c r="T90" s="14">
        <v>2.7610563309885761E-2</v>
      </c>
      <c r="U90" s="11">
        <v>1</v>
      </c>
      <c r="W90" s="19">
        <v>2.16</v>
      </c>
      <c r="X90" s="14">
        <v>5.5261974590611537E-3</v>
      </c>
      <c r="Y90" s="11">
        <v>1</v>
      </c>
    </row>
    <row r="91" spans="1:25" x14ac:dyDescent="0.35">
      <c r="A91" s="16">
        <v>44797</v>
      </c>
      <c r="B91" s="9">
        <v>288</v>
      </c>
      <c r="C91">
        <f t="shared" si="8"/>
        <v>2022</v>
      </c>
      <c r="O91" s="18" t="s">
        <v>665</v>
      </c>
      <c r="P91" s="14">
        <v>2.4552226082105187E-2</v>
      </c>
      <c r="Q91" s="11">
        <v>13</v>
      </c>
      <c r="S91" s="19">
        <v>2.1800000000000002</v>
      </c>
      <c r="T91" s="14">
        <v>2.7905437766002184E-2</v>
      </c>
      <c r="U91" s="11">
        <v>1</v>
      </c>
      <c r="W91" s="19">
        <v>2.1800000000000002</v>
      </c>
      <c r="X91" s="14">
        <v>4.9276563587330902E-2</v>
      </c>
      <c r="Y91" s="11">
        <v>1</v>
      </c>
    </row>
    <row r="92" spans="1:25" x14ac:dyDescent="0.35">
      <c r="A92" s="16">
        <v>44796</v>
      </c>
      <c r="B92" s="9">
        <v>299</v>
      </c>
      <c r="C92">
        <f t="shared" si="8"/>
        <v>2022</v>
      </c>
      <c r="O92" s="19">
        <v>3.25</v>
      </c>
      <c r="P92" s="14">
        <v>4.6189209405952517E-2</v>
      </c>
      <c r="Q92" s="11">
        <v>1</v>
      </c>
      <c r="S92" s="19">
        <v>2.2200000000000002</v>
      </c>
      <c r="T92" s="14">
        <v>3.2106564280990568E-2</v>
      </c>
      <c r="U92" s="11">
        <v>1</v>
      </c>
      <c r="W92" s="19">
        <v>2.19</v>
      </c>
      <c r="X92" s="14">
        <v>1.6306716609078009E-2</v>
      </c>
      <c r="Y92" s="11">
        <v>1</v>
      </c>
    </row>
    <row r="93" spans="1:25" x14ac:dyDescent="0.35">
      <c r="A93" s="16">
        <v>44795</v>
      </c>
      <c r="B93" s="9">
        <v>303</v>
      </c>
      <c r="C93">
        <f t="shared" si="8"/>
        <v>2022</v>
      </c>
      <c r="O93" s="19">
        <v>3.27</v>
      </c>
      <c r="P93" s="14">
        <v>2.8500000000000001E-2</v>
      </c>
      <c r="Q93" s="11">
        <v>1</v>
      </c>
      <c r="S93" s="19">
        <v>2.25</v>
      </c>
      <c r="T93" s="14">
        <v>2.3698309243131543E-2</v>
      </c>
      <c r="U93" s="11">
        <v>1</v>
      </c>
      <c r="W93" s="19">
        <v>2.2000000000000002</v>
      </c>
      <c r="X93" s="14">
        <v>1.2548325769659373E-2</v>
      </c>
      <c r="Y93" s="11">
        <v>1</v>
      </c>
    </row>
    <row r="94" spans="1:25" x14ac:dyDescent="0.35">
      <c r="A94" s="16">
        <v>44792</v>
      </c>
      <c r="B94" s="9">
        <v>297</v>
      </c>
      <c r="C94">
        <f t="shared" si="8"/>
        <v>2022</v>
      </c>
      <c r="O94" s="19">
        <v>3.29</v>
      </c>
      <c r="P94" s="14">
        <v>0.04</v>
      </c>
      <c r="Q94" s="11">
        <v>1</v>
      </c>
      <c r="S94" s="19">
        <v>2.31</v>
      </c>
      <c r="T94" s="14">
        <v>3.9031697000703337E-2</v>
      </c>
      <c r="U94" s="11">
        <v>3</v>
      </c>
      <c r="W94" s="19">
        <v>2.21</v>
      </c>
      <c r="X94" s="14">
        <v>3.5467931354284499E-2</v>
      </c>
      <c r="Y94" s="11">
        <v>1</v>
      </c>
    </row>
    <row r="95" spans="1:25" x14ac:dyDescent="0.35">
      <c r="A95" s="16">
        <v>44791</v>
      </c>
      <c r="B95" s="9">
        <v>292</v>
      </c>
      <c r="C95">
        <f t="shared" si="8"/>
        <v>2022</v>
      </c>
      <c r="O95" s="19">
        <v>3.31</v>
      </c>
      <c r="P95" s="14">
        <v>0.02</v>
      </c>
      <c r="Q95" s="11">
        <v>3</v>
      </c>
      <c r="S95" s="19">
        <v>2.3199999999999998</v>
      </c>
      <c r="T95" s="14">
        <v>2.2161454320951623E-2</v>
      </c>
      <c r="U95" s="11">
        <v>1</v>
      </c>
      <c r="W95" s="19">
        <v>2.2200000000000002</v>
      </c>
      <c r="X95" s="14">
        <v>9.3593869528827093E-3</v>
      </c>
      <c r="Y95" s="11">
        <v>2</v>
      </c>
    </row>
    <row r="96" spans="1:25" x14ac:dyDescent="0.35">
      <c r="A96" s="16">
        <v>44790</v>
      </c>
      <c r="B96" s="9">
        <v>295</v>
      </c>
      <c r="C96">
        <f t="shared" si="8"/>
        <v>2022</v>
      </c>
      <c r="O96" s="19">
        <v>3.32</v>
      </c>
      <c r="P96" s="14">
        <v>1.5972770357019987E-2</v>
      </c>
      <c r="Q96" s="11">
        <v>4</v>
      </c>
      <c r="S96" s="19">
        <v>2.33</v>
      </c>
      <c r="T96" s="14">
        <v>4.1031330001819244E-2</v>
      </c>
      <c r="U96" s="11">
        <v>1</v>
      </c>
      <c r="W96" s="19">
        <v>2.2999999999999998</v>
      </c>
      <c r="X96" s="14">
        <v>8.79967786004659E-3</v>
      </c>
      <c r="Y96" s="11">
        <v>1</v>
      </c>
    </row>
    <row r="97" spans="1:25" x14ac:dyDescent="0.35">
      <c r="A97" s="16">
        <v>44789</v>
      </c>
      <c r="B97" s="9">
        <v>291</v>
      </c>
      <c r="C97">
        <f t="shared" si="8"/>
        <v>2022</v>
      </c>
      <c r="O97" s="19">
        <v>3.33</v>
      </c>
      <c r="P97" s="14">
        <v>1.4098648233335002E-2</v>
      </c>
      <c r="Q97" s="11">
        <v>1</v>
      </c>
      <c r="S97" s="19">
        <v>2.38</v>
      </c>
      <c r="T97" s="14">
        <v>5.0095109176576447E-2</v>
      </c>
      <c r="U97" s="11">
        <v>1</v>
      </c>
      <c r="W97" s="19">
        <v>2.33</v>
      </c>
      <c r="X97" s="14">
        <v>3.5820001863068891E-2</v>
      </c>
      <c r="Y97" s="11">
        <v>1</v>
      </c>
    </row>
    <row r="98" spans="1:25" x14ac:dyDescent="0.35">
      <c r="A98" s="16">
        <v>44788</v>
      </c>
      <c r="B98" s="9">
        <v>286</v>
      </c>
      <c r="C98">
        <f t="shared" si="8"/>
        <v>2022</v>
      </c>
      <c r="O98" s="19">
        <v>3.37</v>
      </c>
      <c r="P98" s="14">
        <v>2.6000000000000002E-2</v>
      </c>
      <c r="Q98" s="11">
        <v>1</v>
      </c>
      <c r="S98" s="19">
        <v>2.4</v>
      </c>
      <c r="T98" s="14">
        <v>3.8369561739408864E-2</v>
      </c>
      <c r="U98" s="11">
        <v>1</v>
      </c>
      <c r="W98" s="19">
        <v>2.37</v>
      </c>
      <c r="X98" s="14">
        <v>1.9018154910432673E-2</v>
      </c>
      <c r="Y98" s="11">
        <v>1</v>
      </c>
    </row>
    <row r="99" spans="1:25" x14ac:dyDescent="0.35">
      <c r="A99" s="16">
        <v>44785</v>
      </c>
      <c r="B99" s="9">
        <v>285</v>
      </c>
      <c r="C99">
        <f t="shared" si="8"/>
        <v>2022</v>
      </c>
      <c r="O99" s="19">
        <v>3.89</v>
      </c>
      <c r="P99" s="14">
        <v>4.0500000000000001E-2</v>
      </c>
      <c r="Q99" s="11">
        <v>1</v>
      </c>
      <c r="S99" s="19">
        <v>2.4300000000000002</v>
      </c>
      <c r="T99" s="14">
        <v>2.11059573457959E-2</v>
      </c>
      <c r="U99" s="11">
        <v>1</v>
      </c>
      <c r="W99" s="19">
        <v>2.4</v>
      </c>
      <c r="X99" s="14">
        <v>1.8333647565602296E-2</v>
      </c>
      <c r="Y99" s="11">
        <v>4</v>
      </c>
    </row>
    <row r="100" spans="1:25" x14ac:dyDescent="0.35">
      <c r="A100" s="16">
        <v>44784</v>
      </c>
      <c r="B100" s="9">
        <v>282</v>
      </c>
      <c r="C100">
        <f t="shared" si="8"/>
        <v>2022</v>
      </c>
      <c r="O100" s="18" t="s">
        <v>666</v>
      </c>
      <c r="P100" s="14">
        <v>2.2018620519072746E-2</v>
      </c>
      <c r="Q100" s="11">
        <v>24</v>
      </c>
      <c r="S100" s="19">
        <v>2.44</v>
      </c>
      <c r="T100" s="14">
        <v>3.6085786666145925E-2</v>
      </c>
      <c r="U100" s="11">
        <v>1</v>
      </c>
      <c r="W100" s="19">
        <v>2.4300000000000002</v>
      </c>
      <c r="X100" s="14">
        <v>9.6483163046282017E-4</v>
      </c>
      <c r="Y100" s="11">
        <v>4</v>
      </c>
    </row>
    <row r="101" spans="1:25" x14ac:dyDescent="0.35">
      <c r="A101" s="16">
        <v>44783</v>
      </c>
      <c r="B101" s="9">
        <v>290</v>
      </c>
      <c r="C101">
        <f t="shared" si="8"/>
        <v>2022</v>
      </c>
      <c r="O101" s="19">
        <v>2.42</v>
      </c>
      <c r="P101" s="14">
        <v>2.8072431015108812E-2</v>
      </c>
      <c r="Q101" s="11">
        <v>1</v>
      </c>
      <c r="S101" s="19">
        <v>2.4500000000000002</v>
      </c>
      <c r="T101" s="14">
        <v>1.2190923266410802E-2</v>
      </c>
      <c r="U101" s="11">
        <v>1</v>
      </c>
      <c r="W101" s="19">
        <v>2.44</v>
      </c>
      <c r="X101" s="14">
        <v>9.2276265571988644E-3</v>
      </c>
      <c r="Y101" s="11">
        <v>3</v>
      </c>
    </row>
    <row r="102" spans="1:25" x14ac:dyDescent="0.35">
      <c r="A102" s="16">
        <v>44782</v>
      </c>
      <c r="B102" s="9">
        <v>305</v>
      </c>
      <c r="C102">
        <f t="shared" si="8"/>
        <v>2022</v>
      </c>
      <c r="O102" s="19">
        <v>2.4300000000000002</v>
      </c>
      <c r="P102" s="14">
        <v>3.5000000000000003E-2</v>
      </c>
      <c r="Q102" s="11">
        <v>1</v>
      </c>
      <c r="S102" s="19">
        <v>2.4900000000000002</v>
      </c>
      <c r="T102" s="14">
        <v>3.4785462377686649E-2</v>
      </c>
      <c r="U102" s="11">
        <v>4</v>
      </c>
      <c r="W102" s="19">
        <v>2.4500000000000002</v>
      </c>
      <c r="X102" s="14">
        <v>3.2994459263425861E-2</v>
      </c>
      <c r="Y102" s="11">
        <v>3</v>
      </c>
    </row>
    <row r="103" spans="1:25" x14ac:dyDescent="0.35">
      <c r="A103" s="16">
        <v>44781</v>
      </c>
      <c r="B103" s="9">
        <v>294</v>
      </c>
      <c r="C103">
        <f t="shared" si="8"/>
        <v>2022</v>
      </c>
      <c r="O103" s="19">
        <v>2.44</v>
      </c>
      <c r="P103" s="14">
        <v>4.6923739593280958E-2</v>
      </c>
      <c r="Q103" s="11">
        <v>1</v>
      </c>
      <c r="S103" s="19">
        <v>2.5499999999999998</v>
      </c>
      <c r="T103" s="14">
        <v>2.0824236100700722E-2</v>
      </c>
      <c r="U103" s="11">
        <v>1</v>
      </c>
      <c r="W103" s="19">
        <v>2.5499999999999998</v>
      </c>
      <c r="X103" s="14">
        <v>3.0202927202235993E-2</v>
      </c>
      <c r="Y103" s="11">
        <v>1</v>
      </c>
    </row>
    <row r="104" spans="1:25" x14ac:dyDescent="0.35">
      <c r="A104" s="16">
        <v>44778</v>
      </c>
      <c r="B104" s="9">
        <v>297</v>
      </c>
      <c r="C104">
        <f t="shared" si="8"/>
        <v>2022</v>
      </c>
      <c r="O104" s="19">
        <v>2.57</v>
      </c>
      <c r="P104" s="14">
        <v>1.575E-2</v>
      </c>
      <c r="Q104" s="11">
        <v>2</v>
      </c>
      <c r="S104" s="19">
        <v>2.56</v>
      </c>
      <c r="T104" s="14">
        <v>3.3568350216095499E-2</v>
      </c>
      <c r="U104" s="11">
        <v>1</v>
      </c>
      <c r="W104" s="19">
        <v>2.78</v>
      </c>
      <c r="X104" s="14">
        <v>1.5655636247780658E-2</v>
      </c>
      <c r="Y104" s="11">
        <v>1</v>
      </c>
    </row>
    <row r="105" spans="1:25" x14ac:dyDescent="0.35">
      <c r="A105" s="16">
        <v>44777</v>
      </c>
      <c r="B105" s="9">
        <v>300</v>
      </c>
      <c r="C105">
        <f t="shared" si="8"/>
        <v>2022</v>
      </c>
      <c r="O105" s="19">
        <v>2.63</v>
      </c>
      <c r="P105" s="14">
        <v>1.7791867690857319E-2</v>
      </c>
      <c r="Q105" s="11">
        <v>3</v>
      </c>
      <c r="S105" s="19">
        <v>2.69</v>
      </c>
      <c r="T105" s="14">
        <v>2.9748407399141641E-2</v>
      </c>
      <c r="U105" s="11">
        <v>2</v>
      </c>
      <c r="W105" s="19">
        <v>2.8</v>
      </c>
      <c r="X105" s="14">
        <v>1.7000000000000001E-2</v>
      </c>
      <c r="Y105" s="11">
        <v>1</v>
      </c>
    </row>
    <row r="106" spans="1:25" x14ac:dyDescent="0.35">
      <c r="A106" s="16">
        <v>44776</v>
      </c>
      <c r="B106" s="9">
        <v>311</v>
      </c>
      <c r="C106">
        <f t="shared" si="8"/>
        <v>2022</v>
      </c>
      <c r="O106" s="19">
        <v>2.64</v>
      </c>
      <c r="P106" s="14">
        <v>2.5918275031720832E-2</v>
      </c>
      <c r="Q106" s="11">
        <v>1</v>
      </c>
      <c r="S106" s="18" t="s">
        <v>670</v>
      </c>
      <c r="T106" s="14">
        <v>3.5289143011228999E-2</v>
      </c>
      <c r="U106" s="11">
        <v>20</v>
      </c>
      <c r="W106" s="19">
        <v>3.12</v>
      </c>
      <c r="X106" s="14">
        <v>2.1074199022230965E-2</v>
      </c>
      <c r="Y106" s="11">
        <v>3</v>
      </c>
    </row>
    <row r="107" spans="1:25" x14ac:dyDescent="0.35">
      <c r="A107" s="16">
        <v>44775</v>
      </c>
      <c r="B107" s="9">
        <v>307</v>
      </c>
      <c r="C107">
        <f t="shared" si="8"/>
        <v>2022</v>
      </c>
      <c r="O107" s="19">
        <v>2.69</v>
      </c>
      <c r="P107" s="14">
        <v>2.3120136101614092E-3</v>
      </c>
      <c r="Q107" s="11">
        <v>4</v>
      </c>
      <c r="S107" s="19">
        <v>2.0299999999999998</v>
      </c>
      <c r="T107" s="14">
        <v>1.7587056110925259E-2</v>
      </c>
      <c r="U107" s="11">
        <v>1</v>
      </c>
      <c r="W107" s="18" t="s">
        <v>668</v>
      </c>
      <c r="X107" s="14">
        <v>1.8462085991510658E-2</v>
      </c>
      <c r="Y107" s="11">
        <v>16</v>
      </c>
    </row>
    <row r="108" spans="1:25" x14ac:dyDescent="0.35">
      <c r="A108" s="16">
        <v>44774</v>
      </c>
      <c r="B108" s="9">
        <v>312</v>
      </c>
      <c r="C108">
        <f t="shared" si="8"/>
        <v>2022</v>
      </c>
      <c r="O108" s="19">
        <v>2.7</v>
      </c>
      <c r="P108" s="14">
        <v>1.6216355387961068E-2</v>
      </c>
      <c r="Q108" s="11">
        <v>2</v>
      </c>
      <c r="S108" s="19">
        <v>2.14</v>
      </c>
      <c r="T108" s="14">
        <v>4.6014971236980839E-2</v>
      </c>
      <c r="U108" s="11">
        <v>1</v>
      </c>
      <c r="W108" s="19">
        <v>2.8</v>
      </c>
      <c r="X108" s="14">
        <v>2.5499999999999998E-2</v>
      </c>
      <c r="Y108" s="11">
        <v>1</v>
      </c>
    </row>
    <row r="109" spans="1:25" x14ac:dyDescent="0.35">
      <c r="A109" s="16">
        <v>44771</v>
      </c>
      <c r="B109" s="9">
        <v>305</v>
      </c>
      <c r="C109">
        <f t="shared" si="8"/>
        <v>2022</v>
      </c>
      <c r="O109" s="19">
        <v>2.73</v>
      </c>
      <c r="P109" s="14">
        <v>2.1250000000000002E-2</v>
      </c>
      <c r="Q109" s="11">
        <v>2</v>
      </c>
      <c r="S109" s="19">
        <v>2.16</v>
      </c>
      <c r="T109" s="14">
        <v>1.7567539926467424E-2</v>
      </c>
      <c r="U109" s="11">
        <v>1</v>
      </c>
      <c r="W109" s="19">
        <v>2.86</v>
      </c>
      <c r="X109" s="14">
        <v>1.8500000000000003E-2</v>
      </c>
      <c r="Y109" s="11">
        <v>1</v>
      </c>
    </row>
    <row r="110" spans="1:25" x14ac:dyDescent="0.35">
      <c r="A110" s="16">
        <v>44770</v>
      </c>
      <c r="B110" s="9">
        <v>317</v>
      </c>
      <c r="C110">
        <f t="shared" si="8"/>
        <v>2022</v>
      </c>
      <c r="O110" s="19">
        <v>2.75</v>
      </c>
      <c r="P110" s="14">
        <v>4.0999999999999995E-2</v>
      </c>
      <c r="Q110" s="11">
        <v>1</v>
      </c>
      <c r="S110" s="19">
        <v>2.19</v>
      </c>
      <c r="T110" s="14">
        <v>1.6907627011258031E-2</v>
      </c>
      <c r="U110" s="11">
        <v>2</v>
      </c>
      <c r="W110" s="19">
        <v>2.91</v>
      </c>
      <c r="X110" s="14">
        <v>7.4582735496095606E-3</v>
      </c>
      <c r="Y110" s="11">
        <v>1</v>
      </c>
    </row>
    <row r="111" spans="1:25" x14ac:dyDescent="0.35">
      <c r="A111" s="16">
        <v>44769</v>
      </c>
      <c r="B111" s="9">
        <v>329</v>
      </c>
      <c r="C111">
        <f t="shared" si="8"/>
        <v>2022</v>
      </c>
      <c r="O111" s="19">
        <v>2.93</v>
      </c>
      <c r="P111" s="14">
        <v>3.9380971324916816E-2</v>
      </c>
      <c r="Q111" s="11">
        <v>3</v>
      </c>
      <c r="S111" s="19">
        <v>2.27</v>
      </c>
      <c r="T111" s="14">
        <v>4.1526636118506266E-2</v>
      </c>
      <c r="U111" s="11">
        <v>1</v>
      </c>
      <c r="W111" s="19">
        <v>3.06</v>
      </c>
      <c r="X111" s="14">
        <v>1.5237624156874012E-2</v>
      </c>
      <c r="Y111" s="11">
        <v>2</v>
      </c>
    </row>
    <row r="112" spans="1:25" x14ac:dyDescent="0.35">
      <c r="A112" s="16">
        <v>44768</v>
      </c>
      <c r="B112" s="9">
        <v>334</v>
      </c>
      <c r="C112">
        <f t="shared" si="8"/>
        <v>2022</v>
      </c>
      <c r="O112" s="19">
        <v>2.99</v>
      </c>
      <c r="P112" s="14">
        <v>2.1000000000000001E-2</v>
      </c>
      <c r="Q112" s="11">
        <v>2</v>
      </c>
      <c r="S112" s="19">
        <v>2.59</v>
      </c>
      <c r="T112" s="14">
        <v>6.8343820082715778E-2</v>
      </c>
      <c r="U112" s="11">
        <v>1</v>
      </c>
      <c r="W112" s="19">
        <v>3.16</v>
      </c>
      <c r="X112" s="14">
        <v>7.6102451594485254E-3</v>
      </c>
      <c r="Y112" s="11">
        <v>2</v>
      </c>
    </row>
    <row r="113" spans="1:25" x14ac:dyDescent="0.35">
      <c r="A113" s="16">
        <v>44767</v>
      </c>
      <c r="B113" s="9">
        <v>332</v>
      </c>
      <c r="C113">
        <f t="shared" si="8"/>
        <v>2022</v>
      </c>
      <c r="O113" s="19">
        <v>3.05</v>
      </c>
      <c r="P113" s="14">
        <v>2.233316455374515E-2</v>
      </c>
      <c r="Q113" s="11">
        <v>1</v>
      </c>
      <c r="S113" s="19">
        <v>2.72</v>
      </c>
      <c r="T113" s="14">
        <v>2.7650555444061808E-2</v>
      </c>
      <c r="U113" s="11">
        <v>1</v>
      </c>
      <c r="W113" s="19">
        <v>3.18</v>
      </c>
      <c r="X113" s="14">
        <v>2.4094206287527543E-2</v>
      </c>
      <c r="Y113" s="11">
        <v>1</v>
      </c>
    </row>
    <row r="114" spans="1:25" x14ac:dyDescent="0.35">
      <c r="A114" s="16">
        <v>44764</v>
      </c>
      <c r="B114" s="9">
        <v>339</v>
      </c>
      <c r="C114">
        <f t="shared" si="8"/>
        <v>2022</v>
      </c>
      <c r="O114" s="18" t="s">
        <v>667</v>
      </c>
      <c r="P114" s="14">
        <v>1.9371953400028976E-2</v>
      </c>
      <c r="Q114" s="11">
        <v>33</v>
      </c>
      <c r="S114" s="19">
        <v>2.76</v>
      </c>
      <c r="T114" s="14">
        <v>4.9964836445694827E-2</v>
      </c>
      <c r="U114" s="11">
        <v>1</v>
      </c>
      <c r="W114" s="19">
        <v>3.44</v>
      </c>
      <c r="X114" s="14">
        <v>1.0947420096164801E-2</v>
      </c>
      <c r="Y114" s="11">
        <v>4</v>
      </c>
    </row>
    <row r="115" spans="1:25" x14ac:dyDescent="0.35">
      <c r="A115" s="16">
        <v>44763</v>
      </c>
      <c r="B115" s="9">
        <v>337</v>
      </c>
      <c r="C115">
        <f t="shared" si="8"/>
        <v>2022</v>
      </c>
      <c r="O115" s="19">
        <v>2.37</v>
      </c>
      <c r="P115" s="14">
        <v>4.8186262296113719E-3</v>
      </c>
      <c r="Q115" s="11">
        <v>1</v>
      </c>
      <c r="S115" s="19">
        <v>3.1</v>
      </c>
      <c r="T115" s="14">
        <v>1.958697356956085E-2</v>
      </c>
      <c r="U115" s="11">
        <v>1</v>
      </c>
      <c r="W115" s="19">
        <v>3.87</v>
      </c>
      <c r="X115" s="14">
        <v>1.8736446205041373E-2</v>
      </c>
      <c r="Y115" s="11">
        <v>1</v>
      </c>
    </row>
    <row r="116" spans="1:25" x14ac:dyDescent="0.35">
      <c r="A116" s="16">
        <v>44762</v>
      </c>
      <c r="B116" s="9">
        <v>331</v>
      </c>
      <c r="C116">
        <f t="shared" si="8"/>
        <v>2022</v>
      </c>
      <c r="O116" s="19">
        <v>2.4300000000000002</v>
      </c>
      <c r="P116" s="14">
        <v>-3.0742053006371835E-3</v>
      </c>
      <c r="Q116" s="11">
        <v>2</v>
      </c>
      <c r="S116" s="19">
        <v>3.17</v>
      </c>
      <c r="T116" s="14">
        <v>3.9972371689434905E-2</v>
      </c>
      <c r="U116" s="11">
        <v>1</v>
      </c>
      <c r="W116" s="19">
        <v>4.5</v>
      </c>
      <c r="X116" s="14">
        <v>1.9299999999999998E-2</v>
      </c>
      <c r="Y116" s="11">
        <v>1</v>
      </c>
    </row>
    <row r="117" spans="1:25" x14ac:dyDescent="0.35">
      <c r="A117" s="16">
        <v>44761</v>
      </c>
      <c r="B117" s="9">
        <v>345</v>
      </c>
      <c r="C117">
        <f t="shared" si="8"/>
        <v>2022</v>
      </c>
      <c r="O117" s="19">
        <v>2.48</v>
      </c>
      <c r="P117" s="14">
        <v>2.3166666666666669E-2</v>
      </c>
      <c r="Q117" s="11">
        <v>3</v>
      </c>
      <c r="S117" s="19">
        <v>3.27</v>
      </c>
      <c r="T117" s="14">
        <v>4.023753387741702E-2</v>
      </c>
      <c r="U117" s="11">
        <v>1</v>
      </c>
      <c r="W117" s="19">
        <v>4.6500000000000004</v>
      </c>
      <c r="X117" s="14">
        <v>4.0500000000000001E-2</v>
      </c>
      <c r="Y117" s="11">
        <v>1</v>
      </c>
    </row>
    <row r="118" spans="1:25" x14ac:dyDescent="0.35">
      <c r="A118" s="16">
        <v>44760</v>
      </c>
      <c r="B118" s="9">
        <v>364</v>
      </c>
      <c r="C118">
        <f t="shared" si="8"/>
        <v>2022</v>
      </c>
      <c r="O118" s="19">
        <v>2.4900000000000002</v>
      </c>
      <c r="P118" s="14">
        <v>7.4150203878619323E-3</v>
      </c>
      <c r="Q118" s="11">
        <v>1</v>
      </c>
      <c r="S118" s="19">
        <v>3.28</v>
      </c>
      <c r="T118" s="14">
        <v>3.0171006128791644E-2</v>
      </c>
      <c r="U118" s="11">
        <v>1</v>
      </c>
      <c r="W118" s="19">
        <v>4.8499999999999996</v>
      </c>
      <c r="X118" s="14">
        <v>5.1819030804687721E-2</v>
      </c>
      <c r="Y118" s="11">
        <v>1</v>
      </c>
    </row>
    <row r="119" spans="1:25" x14ac:dyDescent="0.35">
      <c r="A119" s="16">
        <v>44757</v>
      </c>
      <c r="B119" s="9">
        <v>376</v>
      </c>
      <c r="C119">
        <f t="shared" si="8"/>
        <v>2022</v>
      </c>
      <c r="O119" s="19">
        <v>2.61</v>
      </c>
      <c r="P119" s="14">
        <v>1.8671425196458806E-2</v>
      </c>
      <c r="Q119" s="11">
        <v>2</v>
      </c>
      <c r="S119" s="19">
        <v>3.51</v>
      </c>
      <c r="T119" s="14">
        <v>4.9707713700886634E-2</v>
      </c>
      <c r="U119" s="11">
        <v>3</v>
      </c>
      <c r="W119" s="18" t="s">
        <v>665</v>
      </c>
      <c r="X119" s="14">
        <v>2.2569022118943211E-2</v>
      </c>
      <c r="Y119" s="11">
        <v>25</v>
      </c>
    </row>
    <row r="120" spans="1:25" x14ac:dyDescent="0.35">
      <c r="A120" s="16">
        <v>44755</v>
      </c>
      <c r="B120" s="9">
        <v>376</v>
      </c>
      <c r="C120">
        <f t="shared" si="8"/>
        <v>2022</v>
      </c>
      <c r="O120" s="19">
        <v>2.67</v>
      </c>
      <c r="P120" s="14">
        <v>3.5833333333333335E-2</v>
      </c>
      <c r="Q120" s="11">
        <v>3</v>
      </c>
      <c r="S120" s="19">
        <v>3.55</v>
      </c>
      <c r="T120" s="14">
        <v>3.5403578924644963E-2</v>
      </c>
      <c r="U120" s="11">
        <v>1</v>
      </c>
      <c r="W120" s="19">
        <v>3.16</v>
      </c>
      <c r="X120" s="14">
        <v>1.2194609831299053E-2</v>
      </c>
      <c r="Y120" s="11">
        <v>1</v>
      </c>
    </row>
    <row r="121" spans="1:25" x14ac:dyDescent="0.35">
      <c r="A121" s="16">
        <v>44754</v>
      </c>
      <c r="B121" s="9">
        <v>367</v>
      </c>
      <c r="C121">
        <f t="shared" si="8"/>
        <v>2022</v>
      </c>
      <c r="O121" s="19">
        <v>2.68</v>
      </c>
      <c r="P121" s="14">
        <v>3.1666666666666669E-2</v>
      </c>
      <c r="Q121" s="11">
        <v>3</v>
      </c>
      <c r="S121" s="19">
        <v>3.74</v>
      </c>
      <c r="T121" s="14">
        <v>1.803324538990414E-2</v>
      </c>
      <c r="U121" s="11">
        <v>1</v>
      </c>
      <c r="W121" s="19">
        <v>3.17</v>
      </c>
      <c r="X121" s="14">
        <v>8.3817677559336889E-3</v>
      </c>
      <c r="Y121" s="11">
        <v>1</v>
      </c>
    </row>
    <row r="122" spans="1:25" x14ac:dyDescent="0.35">
      <c r="A122" s="16">
        <v>44753</v>
      </c>
      <c r="B122" s="9">
        <v>359</v>
      </c>
      <c r="C122">
        <f t="shared" si="8"/>
        <v>2022</v>
      </c>
      <c r="O122" s="19">
        <v>2.69</v>
      </c>
      <c r="P122" s="14">
        <v>6.2943663344020183E-3</v>
      </c>
      <c r="Q122" s="11">
        <v>1</v>
      </c>
      <c r="S122" s="19">
        <v>3.75</v>
      </c>
      <c r="T122" s="14">
        <v>3.5874829767077676E-2</v>
      </c>
      <c r="U122" s="11">
        <v>1</v>
      </c>
      <c r="W122" s="19">
        <v>3.18</v>
      </c>
      <c r="X122" s="14">
        <v>-3.8286906505957674E-4</v>
      </c>
      <c r="Y122" s="11">
        <v>1</v>
      </c>
    </row>
    <row r="123" spans="1:25" x14ac:dyDescent="0.35">
      <c r="A123" s="16">
        <v>44750</v>
      </c>
      <c r="B123" s="9">
        <v>349</v>
      </c>
      <c r="C123">
        <f t="shared" si="8"/>
        <v>2022</v>
      </c>
      <c r="O123" s="19">
        <v>2.71</v>
      </c>
      <c r="P123" s="14">
        <v>1.2954133071070939E-2</v>
      </c>
      <c r="Q123" s="11">
        <v>2</v>
      </c>
      <c r="S123" s="19">
        <v>3.82</v>
      </c>
      <c r="T123" s="14">
        <v>3.4909510387220566E-2</v>
      </c>
      <c r="U123" s="11">
        <v>1</v>
      </c>
      <c r="W123" s="19">
        <v>3.25</v>
      </c>
      <c r="X123" s="14">
        <v>4.6189209405952517E-2</v>
      </c>
      <c r="Y123" s="11">
        <v>1</v>
      </c>
    </row>
    <row r="124" spans="1:25" x14ac:dyDescent="0.35">
      <c r="A124" s="16">
        <v>44749</v>
      </c>
      <c r="B124" s="9">
        <v>352</v>
      </c>
      <c r="C124">
        <f t="shared" si="8"/>
        <v>2022</v>
      </c>
      <c r="O124" s="19">
        <v>2.74</v>
      </c>
      <c r="P124" s="14">
        <v>1.9833333333333331E-2</v>
      </c>
      <c r="Q124" s="11">
        <v>3</v>
      </c>
      <c r="S124" s="18" t="s">
        <v>671</v>
      </c>
      <c r="T124" s="14">
        <v>3.1187036337008988E-2</v>
      </c>
      <c r="U124" s="11">
        <v>19</v>
      </c>
      <c r="W124" s="19">
        <v>3.27</v>
      </c>
      <c r="X124" s="14">
        <v>2.8500000000000001E-2</v>
      </c>
      <c r="Y124" s="11">
        <v>1</v>
      </c>
    </row>
    <row r="125" spans="1:25" x14ac:dyDescent="0.35">
      <c r="A125" s="16">
        <v>44748</v>
      </c>
      <c r="B125" s="9">
        <v>357</v>
      </c>
      <c r="C125">
        <f t="shared" si="8"/>
        <v>2022</v>
      </c>
      <c r="O125" s="19">
        <v>2.87</v>
      </c>
      <c r="P125" s="14">
        <v>1.0940811033707086E-2</v>
      </c>
      <c r="Q125" s="11">
        <v>3</v>
      </c>
      <c r="S125" s="19">
        <v>2.56</v>
      </c>
      <c r="T125" s="14">
        <v>6.2383573989025498E-2</v>
      </c>
      <c r="U125" s="11">
        <v>1</v>
      </c>
      <c r="W125" s="19">
        <v>3.28</v>
      </c>
      <c r="X125" s="14">
        <v>1.7976200985041269E-2</v>
      </c>
      <c r="Y125" s="11">
        <v>1</v>
      </c>
    </row>
    <row r="126" spans="1:25" x14ac:dyDescent="0.35">
      <c r="A126" s="16">
        <v>44747</v>
      </c>
      <c r="B126" s="9">
        <v>369</v>
      </c>
      <c r="C126">
        <f t="shared" si="8"/>
        <v>2022</v>
      </c>
      <c r="O126" s="19">
        <v>2.95</v>
      </c>
      <c r="P126" s="14">
        <v>1.2964235217602919E-2</v>
      </c>
      <c r="Q126" s="11">
        <v>2</v>
      </c>
      <c r="S126" s="19">
        <v>2.61</v>
      </c>
      <c r="T126" s="14">
        <v>3.0748646073593067E-2</v>
      </c>
      <c r="U126" s="11">
        <v>1</v>
      </c>
      <c r="W126" s="19">
        <v>3.29</v>
      </c>
      <c r="X126" s="14">
        <v>0.04</v>
      </c>
      <c r="Y126" s="11">
        <v>1</v>
      </c>
    </row>
    <row r="127" spans="1:25" x14ac:dyDescent="0.35">
      <c r="A127" s="16">
        <v>44746</v>
      </c>
      <c r="B127" s="9">
        <v>362</v>
      </c>
      <c r="C127">
        <f t="shared" si="8"/>
        <v>2022</v>
      </c>
      <c r="O127" s="19">
        <v>3.06</v>
      </c>
      <c r="P127" s="14">
        <v>4.0417528558939264E-2</v>
      </c>
      <c r="Q127" s="11">
        <v>1</v>
      </c>
      <c r="S127" s="19">
        <v>2.66</v>
      </c>
      <c r="T127" s="14">
        <v>4.0004898846055591E-2</v>
      </c>
      <c r="U127" s="11">
        <v>3</v>
      </c>
      <c r="W127" s="19">
        <v>3.31</v>
      </c>
      <c r="X127" s="14">
        <v>1.6634539466940532E-2</v>
      </c>
      <c r="Y127" s="11">
        <v>4</v>
      </c>
    </row>
    <row r="128" spans="1:25" x14ac:dyDescent="0.35">
      <c r="A128" s="16">
        <v>44743</v>
      </c>
      <c r="B128" s="9">
        <v>362</v>
      </c>
      <c r="C128">
        <f t="shared" si="8"/>
        <v>2022</v>
      </c>
      <c r="O128" s="19">
        <v>3.29</v>
      </c>
      <c r="P128" s="14">
        <v>1.0200000000000001E-2</v>
      </c>
      <c r="Q128" s="11">
        <v>1</v>
      </c>
      <c r="S128" s="19">
        <v>2.67</v>
      </c>
      <c r="T128" s="14">
        <v>3.0281665583921757E-2</v>
      </c>
      <c r="U128" s="11">
        <v>1</v>
      </c>
      <c r="W128" s="19">
        <v>3.32</v>
      </c>
      <c r="X128" s="14">
        <v>1.5751380467399739E-2</v>
      </c>
      <c r="Y128" s="11">
        <v>5</v>
      </c>
    </row>
    <row r="129" spans="1:25" x14ac:dyDescent="0.35">
      <c r="A129" s="16">
        <v>44742</v>
      </c>
      <c r="B129" s="9">
        <v>364</v>
      </c>
      <c r="C129">
        <f t="shared" si="8"/>
        <v>2022</v>
      </c>
      <c r="O129" s="19">
        <v>3.3</v>
      </c>
      <c r="P129" s="14">
        <v>1.9333333333333338E-2</v>
      </c>
      <c r="Q129" s="11">
        <v>3</v>
      </c>
      <c r="S129" s="19">
        <v>2.68</v>
      </c>
      <c r="T129" s="14">
        <v>3.3033702389179354E-2</v>
      </c>
      <c r="U129" s="11">
        <v>2</v>
      </c>
      <c r="W129" s="19">
        <v>3.33</v>
      </c>
      <c r="X129" s="14">
        <v>1.4098648233335002E-2</v>
      </c>
      <c r="Y129" s="11">
        <v>1</v>
      </c>
    </row>
    <row r="130" spans="1:25" x14ac:dyDescent="0.35">
      <c r="A130" s="16">
        <v>44741</v>
      </c>
      <c r="B130" s="9">
        <v>365</v>
      </c>
      <c r="C130">
        <f t="shared" si="8"/>
        <v>2022</v>
      </c>
      <c r="O130" s="19">
        <v>3.32</v>
      </c>
      <c r="P130" s="14">
        <v>1.4775311220029147E-2</v>
      </c>
      <c r="Q130" s="11">
        <v>1</v>
      </c>
      <c r="S130" s="19">
        <v>2.73</v>
      </c>
      <c r="T130" s="14">
        <v>1.6201249241704074E-2</v>
      </c>
      <c r="U130" s="11">
        <v>1</v>
      </c>
      <c r="W130" s="19">
        <v>3.37</v>
      </c>
      <c r="X130" s="14">
        <v>2.6000000000000002E-2</v>
      </c>
      <c r="Y130" s="11">
        <v>1</v>
      </c>
    </row>
    <row r="131" spans="1:25" x14ac:dyDescent="0.35">
      <c r="A131" s="16">
        <v>44740</v>
      </c>
      <c r="B131" s="9">
        <v>356</v>
      </c>
      <c r="C131">
        <f t="shared" ref="C131:C194" si="9">YEAR(A131)</f>
        <v>2022</v>
      </c>
      <c r="O131" s="19">
        <v>3.43</v>
      </c>
      <c r="P131" s="14">
        <v>0.05</v>
      </c>
      <c r="Q131" s="11">
        <v>1</v>
      </c>
      <c r="S131" s="19">
        <v>2.76</v>
      </c>
      <c r="T131" s="14">
        <v>1.2449799526929706E-2</v>
      </c>
      <c r="U131" s="11">
        <v>1</v>
      </c>
      <c r="W131" s="19">
        <v>3.71</v>
      </c>
      <c r="X131" s="14">
        <v>3.2679352680916152E-2</v>
      </c>
      <c r="Y131" s="11">
        <v>1</v>
      </c>
    </row>
    <row r="132" spans="1:25" x14ac:dyDescent="0.35">
      <c r="A132" s="16">
        <v>44739</v>
      </c>
      <c r="B132" s="9">
        <v>340</v>
      </c>
      <c r="C132">
        <f t="shared" si="9"/>
        <v>2022</v>
      </c>
      <c r="O132" s="18" t="s">
        <v>669</v>
      </c>
      <c r="P132" s="14">
        <v>1.1767801835272805E-2</v>
      </c>
      <c r="Q132" s="11">
        <v>58</v>
      </c>
      <c r="S132" s="19">
        <v>2.77</v>
      </c>
      <c r="T132" s="14">
        <v>2.1758156496881842E-2</v>
      </c>
      <c r="U132" s="11">
        <v>1</v>
      </c>
      <c r="W132" s="19">
        <v>3.8</v>
      </c>
      <c r="X132" s="14">
        <v>1.8362899748158856E-2</v>
      </c>
      <c r="Y132" s="11">
        <v>1</v>
      </c>
    </row>
    <row r="133" spans="1:25" x14ac:dyDescent="0.35">
      <c r="A133" s="16">
        <v>44736</v>
      </c>
      <c r="B133" s="9">
        <v>343</v>
      </c>
      <c r="C133">
        <f t="shared" si="9"/>
        <v>2022</v>
      </c>
      <c r="O133" s="19">
        <v>2.12</v>
      </c>
      <c r="P133" s="14">
        <v>1.29E-2</v>
      </c>
      <c r="Q133" s="11">
        <v>1</v>
      </c>
      <c r="S133" s="19">
        <v>2.83</v>
      </c>
      <c r="T133" s="14">
        <v>3.6943968404894223E-2</v>
      </c>
      <c r="U133" s="11">
        <v>1</v>
      </c>
      <c r="W133" s="19">
        <v>3.83</v>
      </c>
      <c r="X133" s="14">
        <v>1.8286108583573712E-2</v>
      </c>
      <c r="Y133" s="11">
        <v>1</v>
      </c>
    </row>
    <row r="134" spans="1:25" x14ac:dyDescent="0.35">
      <c r="A134" s="16">
        <v>44735</v>
      </c>
      <c r="B134" s="9">
        <v>347</v>
      </c>
      <c r="C134">
        <f t="shared" si="9"/>
        <v>2022</v>
      </c>
      <c r="O134" s="19">
        <v>2.2400000000000002</v>
      </c>
      <c r="P134" s="14">
        <v>9.75E-3</v>
      </c>
      <c r="Q134" s="11">
        <v>2</v>
      </c>
      <c r="S134" s="19">
        <v>2.85</v>
      </c>
      <c r="T134" s="14">
        <v>2.5288359312976905E-2</v>
      </c>
      <c r="U134" s="11">
        <v>1</v>
      </c>
      <c r="W134" s="19">
        <v>3.89</v>
      </c>
      <c r="X134" s="14">
        <v>4.0500000000000001E-2</v>
      </c>
      <c r="Y134" s="11">
        <v>1</v>
      </c>
    </row>
    <row r="135" spans="1:25" x14ac:dyDescent="0.35">
      <c r="A135" s="16">
        <v>44734</v>
      </c>
      <c r="B135" s="9">
        <v>347</v>
      </c>
      <c r="C135">
        <f t="shared" si="9"/>
        <v>2022</v>
      </c>
      <c r="O135" s="19">
        <v>2.31</v>
      </c>
      <c r="P135" s="14">
        <v>5.4000000000000006E-2</v>
      </c>
      <c r="Q135" s="11">
        <v>1</v>
      </c>
      <c r="S135" s="19">
        <v>2.88</v>
      </c>
      <c r="T135" s="14">
        <v>2.424881051711214E-2</v>
      </c>
      <c r="U135" s="11">
        <v>1</v>
      </c>
      <c r="W135" s="19">
        <v>3.97</v>
      </c>
      <c r="X135" s="14">
        <v>3.810395056627236E-2</v>
      </c>
      <c r="Y135" s="11">
        <v>2</v>
      </c>
    </row>
    <row r="136" spans="1:25" x14ac:dyDescent="0.35">
      <c r="A136" s="16">
        <v>44733</v>
      </c>
      <c r="B136" s="9">
        <v>342</v>
      </c>
      <c r="C136">
        <f t="shared" si="9"/>
        <v>2022</v>
      </c>
      <c r="O136" s="19">
        <v>2.35</v>
      </c>
      <c r="P136" s="14">
        <v>4.3576180954415858E-3</v>
      </c>
      <c r="Q136" s="11">
        <v>1</v>
      </c>
      <c r="S136" s="19">
        <v>2.89</v>
      </c>
      <c r="T136" s="14">
        <v>2.143565323755614E-2</v>
      </c>
      <c r="U136" s="11">
        <v>1</v>
      </c>
      <c r="W136" s="19">
        <v>3.99</v>
      </c>
      <c r="X136" s="14">
        <v>3.9936663477124101E-2</v>
      </c>
      <c r="Y136" s="11">
        <v>1</v>
      </c>
    </row>
    <row r="137" spans="1:25" x14ac:dyDescent="0.35">
      <c r="A137" s="16">
        <v>44732</v>
      </c>
      <c r="B137" s="9">
        <v>346</v>
      </c>
      <c r="C137">
        <f t="shared" si="9"/>
        <v>2022</v>
      </c>
      <c r="O137" s="19">
        <v>2.37</v>
      </c>
      <c r="P137" s="14">
        <v>1.2874278389202036E-2</v>
      </c>
      <c r="Q137" s="11">
        <v>7</v>
      </c>
      <c r="S137" s="19">
        <v>3.14</v>
      </c>
      <c r="T137" s="14">
        <v>2.0337728899228025E-2</v>
      </c>
      <c r="U137" s="11">
        <v>2</v>
      </c>
      <c r="W137" s="18" t="s">
        <v>666</v>
      </c>
      <c r="X137" s="14">
        <v>2.238208202606495E-2</v>
      </c>
      <c r="Y137" s="11">
        <v>46</v>
      </c>
    </row>
    <row r="138" spans="1:25" x14ac:dyDescent="0.35">
      <c r="A138" s="16">
        <v>44729</v>
      </c>
      <c r="B138" s="9">
        <v>346</v>
      </c>
      <c r="C138">
        <f t="shared" si="9"/>
        <v>2022</v>
      </c>
      <c r="O138" s="19">
        <v>2.38</v>
      </c>
      <c r="P138" s="14">
        <v>1.7504339791911697E-2</v>
      </c>
      <c r="Q138" s="11">
        <v>4</v>
      </c>
      <c r="S138" s="19">
        <v>3.18</v>
      </c>
      <c r="T138" s="14">
        <v>2.1179202871856706E-2</v>
      </c>
      <c r="U138" s="11">
        <v>1</v>
      </c>
      <c r="W138" s="19">
        <v>2.34</v>
      </c>
      <c r="X138" s="14">
        <v>1.4292337371786923E-2</v>
      </c>
      <c r="Y138" s="11">
        <v>2</v>
      </c>
    </row>
    <row r="139" spans="1:25" x14ac:dyDescent="0.35">
      <c r="A139" s="16">
        <v>44728</v>
      </c>
      <c r="B139" s="9">
        <v>348</v>
      </c>
      <c r="C139">
        <f t="shared" si="9"/>
        <v>2022</v>
      </c>
      <c r="O139" s="19">
        <v>2.39</v>
      </c>
      <c r="P139" s="14">
        <v>1.6E-2</v>
      </c>
      <c r="Q139" s="11">
        <v>1</v>
      </c>
      <c r="S139" s="19">
        <v>3.25</v>
      </c>
      <c r="T139" s="14">
        <v>6.287704603173716E-2</v>
      </c>
      <c r="U139" s="11">
        <v>1</v>
      </c>
      <c r="W139" s="19">
        <v>2.36</v>
      </c>
      <c r="X139" s="14">
        <v>5.5905388633823883E-2</v>
      </c>
      <c r="Y139" s="11">
        <v>1</v>
      </c>
    </row>
    <row r="140" spans="1:25" x14ac:dyDescent="0.35">
      <c r="A140" s="16">
        <v>44727</v>
      </c>
      <c r="B140" s="9">
        <v>336</v>
      </c>
      <c r="C140">
        <f t="shared" si="9"/>
        <v>2022</v>
      </c>
      <c r="O140" s="19">
        <v>2.4</v>
      </c>
      <c r="P140" s="14">
        <v>1.3197724978515095E-2</v>
      </c>
      <c r="Q140" s="11">
        <v>1</v>
      </c>
      <c r="S140" s="18" t="s">
        <v>672</v>
      </c>
      <c r="T140" s="14">
        <v>2.7644411539234758E-2</v>
      </c>
      <c r="U140" s="11">
        <v>160</v>
      </c>
      <c r="W140" s="19">
        <v>2.39</v>
      </c>
      <c r="X140" s="14">
        <v>3.3622968399086073E-2</v>
      </c>
      <c r="Y140" s="11">
        <v>1</v>
      </c>
    </row>
    <row r="141" spans="1:25" x14ac:dyDescent="0.35">
      <c r="A141" s="16">
        <v>44726</v>
      </c>
      <c r="B141" s="9">
        <v>338</v>
      </c>
      <c r="C141">
        <f t="shared" si="9"/>
        <v>2022</v>
      </c>
      <c r="O141" s="19">
        <v>2.41</v>
      </c>
      <c r="P141" s="14">
        <v>1.2331886793079949E-3</v>
      </c>
      <c r="Q141" s="11">
        <v>1</v>
      </c>
      <c r="W141" s="19">
        <v>2.42</v>
      </c>
      <c r="X141" s="14">
        <v>3.7972852919419764E-2</v>
      </c>
      <c r="Y141" s="11">
        <v>2</v>
      </c>
    </row>
    <row r="142" spans="1:25" x14ac:dyDescent="0.35">
      <c r="A142" s="16">
        <v>44725</v>
      </c>
      <c r="B142" s="9">
        <v>338</v>
      </c>
      <c r="C142">
        <f t="shared" si="9"/>
        <v>2022</v>
      </c>
      <c r="O142" s="19">
        <v>2.42</v>
      </c>
      <c r="P142" s="14">
        <v>1.6333333333333335E-2</v>
      </c>
      <c r="Q142" s="11">
        <v>3</v>
      </c>
      <c r="W142" s="19">
        <v>2.4300000000000002</v>
      </c>
      <c r="X142" s="14">
        <v>3.5000000000000003E-2</v>
      </c>
      <c r="Y142" s="11">
        <v>1</v>
      </c>
    </row>
    <row r="143" spans="1:25" x14ac:dyDescent="0.35">
      <c r="A143" s="16">
        <v>44722</v>
      </c>
      <c r="B143" s="9">
        <v>325</v>
      </c>
      <c r="C143">
        <f t="shared" si="9"/>
        <v>2022</v>
      </c>
      <c r="O143" s="19">
        <v>2.44</v>
      </c>
      <c r="P143" s="14">
        <v>1.2500000000000001E-2</v>
      </c>
      <c r="Q143" s="11">
        <v>1</v>
      </c>
      <c r="W143" s="19">
        <v>2.44</v>
      </c>
      <c r="X143" s="14">
        <v>4.6923739593280958E-2</v>
      </c>
      <c r="Y143" s="11">
        <v>1</v>
      </c>
    </row>
    <row r="144" spans="1:25" x14ac:dyDescent="0.35">
      <c r="A144" s="16">
        <v>44721</v>
      </c>
      <c r="B144" s="9">
        <v>318</v>
      </c>
      <c r="C144">
        <f t="shared" si="9"/>
        <v>2022</v>
      </c>
      <c r="O144" s="19">
        <v>2.4500000000000002</v>
      </c>
      <c r="P144" s="14">
        <v>1.1124999999999999E-2</v>
      </c>
      <c r="Q144" s="11">
        <v>4</v>
      </c>
      <c r="W144" s="19">
        <v>2.48</v>
      </c>
      <c r="X144" s="14">
        <v>8.780983649368931E-3</v>
      </c>
      <c r="Y144" s="11">
        <v>3</v>
      </c>
    </row>
    <row r="145" spans="1:25" x14ac:dyDescent="0.35">
      <c r="A145" s="16">
        <v>44720</v>
      </c>
      <c r="B145" s="9">
        <v>312</v>
      </c>
      <c r="C145">
        <f t="shared" si="9"/>
        <v>2022</v>
      </c>
      <c r="O145" s="19">
        <v>2.4700000000000002</v>
      </c>
      <c r="P145" s="14">
        <v>1.3466876383921756E-2</v>
      </c>
      <c r="Q145" s="11">
        <v>3</v>
      </c>
      <c r="W145" s="19">
        <v>2.52</v>
      </c>
      <c r="X145" s="14">
        <v>7.9904938668893255E-3</v>
      </c>
      <c r="Y145" s="11">
        <v>1</v>
      </c>
    </row>
    <row r="146" spans="1:25" x14ac:dyDescent="0.35">
      <c r="A146" s="16">
        <v>44719</v>
      </c>
      <c r="B146" s="9">
        <v>311</v>
      </c>
      <c r="C146">
        <f t="shared" si="9"/>
        <v>2022</v>
      </c>
      <c r="O146" s="19">
        <v>2.4900000000000002</v>
      </c>
      <c r="P146" s="14">
        <v>9.4818592281103488E-3</v>
      </c>
      <c r="Q146" s="11">
        <v>1</v>
      </c>
      <c r="W146" s="19">
        <v>2.54</v>
      </c>
      <c r="X146" s="14">
        <v>2.2628024356858401E-2</v>
      </c>
      <c r="Y146" s="11">
        <v>1</v>
      </c>
    </row>
    <row r="147" spans="1:25" x14ac:dyDescent="0.35">
      <c r="A147" s="16">
        <v>44718</v>
      </c>
      <c r="B147" s="9">
        <v>307</v>
      </c>
      <c r="C147">
        <f t="shared" si="9"/>
        <v>2022</v>
      </c>
      <c r="O147" s="19">
        <v>2.5</v>
      </c>
      <c r="P147" s="14">
        <v>6.9978904557808728E-3</v>
      </c>
      <c r="Q147" s="11">
        <v>4</v>
      </c>
      <c r="W147" s="19">
        <v>2.5499999999999998</v>
      </c>
      <c r="X147" s="14">
        <v>1.8243284135623039E-2</v>
      </c>
      <c r="Y147" s="11">
        <v>1</v>
      </c>
    </row>
    <row r="148" spans="1:25" x14ac:dyDescent="0.35">
      <c r="A148" s="16">
        <v>44715</v>
      </c>
      <c r="B148" s="9">
        <v>309</v>
      </c>
      <c r="C148">
        <f t="shared" si="9"/>
        <v>2022</v>
      </c>
      <c r="O148" s="19">
        <v>2.5099999999999998</v>
      </c>
      <c r="P148" s="14">
        <v>9.1066736086919953E-4</v>
      </c>
      <c r="Q148" s="11">
        <v>2</v>
      </c>
      <c r="W148" s="19">
        <v>2.56</v>
      </c>
      <c r="X148" s="14">
        <v>2.4523133066644442E-2</v>
      </c>
      <c r="Y148" s="11">
        <v>2</v>
      </c>
    </row>
    <row r="149" spans="1:25" x14ac:dyDescent="0.35">
      <c r="A149" s="16">
        <v>44714</v>
      </c>
      <c r="B149" s="9">
        <v>305</v>
      </c>
      <c r="C149">
        <f t="shared" si="9"/>
        <v>2022</v>
      </c>
      <c r="O149" s="19">
        <v>2.52</v>
      </c>
      <c r="P149" s="14">
        <v>1.0970717390029023E-2</v>
      </c>
      <c r="Q149" s="11">
        <v>9</v>
      </c>
      <c r="W149" s="19">
        <v>2.57</v>
      </c>
      <c r="X149" s="14">
        <v>1.575E-2</v>
      </c>
      <c r="Y149" s="11">
        <v>2</v>
      </c>
    </row>
    <row r="150" spans="1:25" x14ac:dyDescent="0.35">
      <c r="A150" s="16">
        <v>44713</v>
      </c>
      <c r="B150" s="9">
        <v>302</v>
      </c>
      <c r="C150">
        <f t="shared" si="9"/>
        <v>2022</v>
      </c>
      <c r="O150" s="19">
        <v>2.54</v>
      </c>
      <c r="P150" s="14">
        <v>1.2559225958004884E-2</v>
      </c>
      <c r="Q150" s="11">
        <v>4</v>
      </c>
      <c r="W150" s="19">
        <v>2.6</v>
      </c>
      <c r="X150" s="14">
        <v>2.5456269519021468E-2</v>
      </c>
      <c r="Y150" s="11">
        <v>2</v>
      </c>
    </row>
    <row r="151" spans="1:25" x14ac:dyDescent="0.35">
      <c r="A151" s="16">
        <v>44712</v>
      </c>
      <c r="B151" s="9">
        <v>300</v>
      </c>
      <c r="C151">
        <f t="shared" si="9"/>
        <v>2022</v>
      </c>
      <c r="O151" s="19">
        <v>2.5499999999999998</v>
      </c>
      <c r="P151" s="14">
        <v>-6.4606305034115941E-4</v>
      </c>
      <c r="Q151" s="11">
        <v>3</v>
      </c>
      <c r="W151" s="19">
        <v>2.63</v>
      </c>
      <c r="X151" s="14">
        <v>1.7791867690857319E-2</v>
      </c>
      <c r="Y151" s="11">
        <v>3</v>
      </c>
    </row>
    <row r="152" spans="1:25" x14ac:dyDescent="0.35">
      <c r="A152" s="16">
        <v>44711</v>
      </c>
      <c r="B152" s="9">
        <v>305</v>
      </c>
      <c r="C152">
        <f t="shared" si="9"/>
        <v>2022</v>
      </c>
      <c r="O152" s="19">
        <v>2.56</v>
      </c>
      <c r="P152" s="14">
        <v>1.9761106845022744E-3</v>
      </c>
      <c r="Q152" s="11">
        <v>1</v>
      </c>
      <c r="W152" s="19">
        <v>2.64</v>
      </c>
      <c r="X152" s="14">
        <v>2.5918275031720832E-2</v>
      </c>
      <c r="Y152" s="11">
        <v>1</v>
      </c>
    </row>
    <row r="153" spans="1:25" x14ac:dyDescent="0.35">
      <c r="A153" s="16">
        <v>44708</v>
      </c>
      <c r="B153" s="9">
        <v>305</v>
      </c>
      <c r="C153">
        <f t="shared" si="9"/>
        <v>2022</v>
      </c>
      <c r="O153" s="19">
        <v>2.6</v>
      </c>
      <c r="P153" s="14">
        <v>1.9666666666666669E-2</v>
      </c>
      <c r="Q153" s="11">
        <v>3</v>
      </c>
      <c r="W153" s="19">
        <v>2.69</v>
      </c>
      <c r="X153" s="14">
        <v>8.9085701596964724E-3</v>
      </c>
      <c r="Y153" s="11">
        <v>5</v>
      </c>
    </row>
    <row r="154" spans="1:25" x14ac:dyDescent="0.35">
      <c r="A154" s="16">
        <v>44707</v>
      </c>
      <c r="B154" s="9">
        <v>310</v>
      </c>
      <c r="C154">
        <f t="shared" si="9"/>
        <v>2022</v>
      </c>
      <c r="O154" s="19">
        <v>2.76</v>
      </c>
      <c r="P154" s="14">
        <v>7.4999999999999997E-3</v>
      </c>
      <c r="Q154" s="11">
        <v>1</v>
      </c>
      <c r="W154" s="19">
        <v>2.7</v>
      </c>
      <c r="X154" s="14">
        <v>1.6216355387961068E-2</v>
      </c>
      <c r="Y154" s="11">
        <v>2</v>
      </c>
    </row>
    <row r="155" spans="1:25" x14ac:dyDescent="0.35">
      <c r="A155" s="16">
        <v>44706</v>
      </c>
      <c r="B155" s="9">
        <v>316</v>
      </c>
      <c r="C155">
        <f t="shared" si="9"/>
        <v>2022</v>
      </c>
      <c r="O155" s="18" t="s">
        <v>670</v>
      </c>
      <c r="P155" s="14">
        <v>3.0044816770591481E-2</v>
      </c>
      <c r="Q155" s="11">
        <v>48</v>
      </c>
      <c r="W155" s="19">
        <v>2.73</v>
      </c>
      <c r="X155" s="14">
        <v>2.1250000000000002E-2</v>
      </c>
      <c r="Y155" s="11">
        <v>2</v>
      </c>
    </row>
    <row r="156" spans="1:25" x14ac:dyDescent="0.35">
      <c r="A156" s="16">
        <v>44705</v>
      </c>
      <c r="B156" s="9">
        <v>330</v>
      </c>
      <c r="C156">
        <f t="shared" si="9"/>
        <v>2022</v>
      </c>
      <c r="O156" s="19">
        <v>2.14</v>
      </c>
      <c r="P156" s="14">
        <v>1.8000000000000002E-2</v>
      </c>
      <c r="Q156" s="11">
        <v>1</v>
      </c>
      <c r="W156" s="19">
        <v>2.74</v>
      </c>
      <c r="X156" s="14">
        <v>3.1304109926429291E-2</v>
      </c>
      <c r="Y156" s="11">
        <v>1</v>
      </c>
    </row>
    <row r="157" spans="1:25" x14ac:dyDescent="0.35">
      <c r="A157" s="16">
        <v>44704</v>
      </c>
      <c r="B157" s="9">
        <v>325</v>
      </c>
      <c r="C157">
        <f t="shared" si="9"/>
        <v>2022</v>
      </c>
      <c r="O157" s="19">
        <v>2.63</v>
      </c>
      <c r="P157" s="14">
        <v>1.2072144319930487E-2</v>
      </c>
      <c r="Q157" s="11">
        <v>3</v>
      </c>
      <c r="W157" s="19">
        <v>2.75</v>
      </c>
      <c r="X157" s="14">
        <v>4.0999999999999995E-2</v>
      </c>
      <c r="Y157" s="11">
        <v>1</v>
      </c>
    </row>
    <row r="158" spans="1:25" x14ac:dyDescent="0.35">
      <c r="A158" s="16">
        <v>44701</v>
      </c>
      <c r="B158" s="9">
        <v>332</v>
      </c>
      <c r="C158">
        <f t="shared" si="9"/>
        <v>2022</v>
      </c>
      <c r="O158" s="19">
        <v>2.68</v>
      </c>
      <c r="P158" s="14">
        <v>3.7000000000000005E-2</v>
      </c>
      <c r="Q158" s="11">
        <v>1</v>
      </c>
      <c r="W158" s="19">
        <v>2.82</v>
      </c>
      <c r="X158" s="14">
        <v>2.3935428779805406E-2</v>
      </c>
      <c r="Y158" s="11">
        <v>3</v>
      </c>
    </row>
    <row r="159" spans="1:25" x14ac:dyDescent="0.35">
      <c r="A159" s="16">
        <v>44700</v>
      </c>
      <c r="B159" s="9">
        <v>326</v>
      </c>
      <c r="C159">
        <f t="shared" si="9"/>
        <v>2022</v>
      </c>
      <c r="O159" s="19">
        <v>2.75</v>
      </c>
      <c r="P159" s="14">
        <v>2.75E-2</v>
      </c>
      <c r="Q159" s="11">
        <v>1</v>
      </c>
      <c r="W159" s="19">
        <v>2.86</v>
      </c>
      <c r="X159" s="14">
        <v>1.8719447467970385E-2</v>
      </c>
      <c r="Y159" s="11">
        <v>1</v>
      </c>
    </row>
    <row r="160" spans="1:25" x14ac:dyDescent="0.35">
      <c r="A160" s="16">
        <v>44699</v>
      </c>
      <c r="B160" s="9">
        <v>328</v>
      </c>
      <c r="C160">
        <f t="shared" si="9"/>
        <v>2022</v>
      </c>
      <c r="O160" s="19">
        <v>2.76</v>
      </c>
      <c r="P160" s="14">
        <v>2.1318332956751007E-2</v>
      </c>
      <c r="Q160" s="11">
        <v>2</v>
      </c>
      <c r="W160" s="19">
        <v>2.93</v>
      </c>
      <c r="X160" s="14">
        <v>3.9380971324916816E-2</v>
      </c>
      <c r="Y160" s="11">
        <v>3</v>
      </c>
    </row>
    <row r="161" spans="1:25" x14ac:dyDescent="0.35">
      <c r="A161" s="16">
        <v>44698</v>
      </c>
      <c r="B161" s="9">
        <v>315</v>
      </c>
      <c r="C161">
        <f t="shared" si="9"/>
        <v>2022</v>
      </c>
      <c r="O161" s="19">
        <v>3.07</v>
      </c>
      <c r="P161" s="14">
        <v>3.0466079431821658E-2</v>
      </c>
      <c r="Q161" s="11">
        <v>3</v>
      </c>
      <c r="W161" s="19">
        <v>2.94</v>
      </c>
      <c r="X161" s="14">
        <v>2.8543755705650042E-3</v>
      </c>
      <c r="Y161" s="11">
        <v>1</v>
      </c>
    </row>
    <row r="162" spans="1:25" x14ac:dyDescent="0.35">
      <c r="A162" s="16">
        <v>44697</v>
      </c>
      <c r="B162" s="9">
        <v>319</v>
      </c>
      <c r="C162">
        <f t="shared" si="9"/>
        <v>2022</v>
      </c>
      <c r="O162" s="19">
        <v>3.1</v>
      </c>
      <c r="P162" s="14">
        <v>2.7250000000000003E-2</v>
      </c>
      <c r="Q162" s="11">
        <v>2</v>
      </c>
      <c r="W162" s="19">
        <v>2.99</v>
      </c>
      <c r="X162" s="14">
        <v>2.1000000000000001E-2</v>
      </c>
      <c r="Y162" s="11">
        <v>2</v>
      </c>
    </row>
    <row r="163" spans="1:25" x14ac:dyDescent="0.35">
      <c r="A163" s="16">
        <v>44694</v>
      </c>
      <c r="B163" s="9">
        <v>314</v>
      </c>
      <c r="C163">
        <f t="shared" si="9"/>
        <v>2022</v>
      </c>
      <c r="O163" s="19">
        <v>3.11</v>
      </c>
      <c r="P163" s="14">
        <v>0.03</v>
      </c>
      <c r="Q163" s="11">
        <v>1</v>
      </c>
      <c r="W163" s="19">
        <v>3.05</v>
      </c>
      <c r="X163" s="14">
        <v>2.233316455374515E-2</v>
      </c>
      <c r="Y163" s="11">
        <v>1</v>
      </c>
    </row>
    <row r="164" spans="1:25" x14ac:dyDescent="0.35">
      <c r="A164" s="16">
        <v>44693</v>
      </c>
      <c r="B164" s="9">
        <v>318</v>
      </c>
      <c r="C164">
        <f t="shared" si="9"/>
        <v>2022</v>
      </c>
      <c r="O164" s="19">
        <v>3.14</v>
      </c>
      <c r="P164" s="14">
        <v>1.7500000000000002E-2</v>
      </c>
      <c r="Q164" s="11">
        <v>2</v>
      </c>
      <c r="W164" s="18" t="s">
        <v>667</v>
      </c>
      <c r="X164" s="14">
        <v>2.2326614402685598E-2</v>
      </c>
      <c r="Y164" s="11">
        <v>47</v>
      </c>
    </row>
    <row r="165" spans="1:25" x14ac:dyDescent="0.35">
      <c r="A165" s="16">
        <v>44692</v>
      </c>
      <c r="B165" s="9">
        <v>316</v>
      </c>
      <c r="C165">
        <f t="shared" si="9"/>
        <v>2022</v>
      </c>
      <c r="O165" s="19">
        <v>3.21</v>
      </c>
      <c r="P165" s="14">
        <v>2.8884797597171996E-2</v>
      </c>
      <c r="Q165" s="11">
        <v>1</v>
      </c>
      <c r="W165" s="19">
        <v>2.2599999999999998</v>
      </c>
      <c r="X165" s="14">
        <v>3.3176874275576695E-2</v>
      </c>
      <c r="Y165" s="11">
        <v>2</v>
      </c>
    </row>
    <row r="166" spans="1:25" x14ac:dyDescent="0.35">
      <c r="A166" s="16">
        <v>44691</v>
      </c>
      <c r="B166" s="9">
        <v>315</v>
      </c>
      <c r="C166">
        <f t="shared" si="9"/>
        <v>2022</v>
      </c>
      <c r="O166" s="19">
        <v>3.32</v>
      </c>
      <c r="P166" s="14">
        <v>3.7499999999999992E-2</v>
      </c>
      <c r="Q166" s="11">
        <v>18</v>
      </c>
      <c r="W166" s="19">
        <v>2.27</v>
      </c>
      <c r="X166" s="14">
        <v>1.8037046509238541E-2</v>
      </c>
      <c r="Y166" s="11">
        <v>2</v>
      </c>
    </row>
    <row r="167" spans="1:25" x14ac:dyDescent="0.35">
      <c r="A167" s="16">
        <v>44690</v>
      </c>
      <c r="B167" s="9">
        <v>323</v>
      </c>
      <c r="C167">
        <f t="shared" si="9"/>
        <v>2022</v>
      </c>
      <c r="O167" s="19">
        <v>3.34</v>
      </c>
      <c r="P167" s="14">
        <v>2.6499999999999999E-2</v>
      </c>
      <c r="Q167" s="11">
        <v>1</v>
      </c>
      <c r="W167" s="19">
        <v>2.2799999999999998</v>
      </c>
      <c r="X167" s="14">
        <v>1.3810003622565459E-2</v>
      </c>
      <c r="Y167" s="11">
        <v>1</v>
      </c>
    </row>
    <row r="168" spans="1:25" x14ac:dyDescent="0.35">
      <c r="A168" s="16">
        <v>44687</v>
      </c>
      <c r="B168" s="9">
        <v>301</v>
      </c>
      <c r="C168">
        <f t="shared" si="9"/>
        <v>2022</v>
      </c>
      <c r="O168" s="19">
        <v>3.49</v>
      </c>
      <c r="P168" s="14">
        <v>3.9040698438589816E-2</v>
      </c>
      <c r="Q168" s="11">
        <v>1</v>
      </c>
      <c r="W168" s="19">
        <v>2.29</v>
      </c>
      <c r="X168" s="14">
        <v>3.1322493570187238E-2</v>
      </c>
      <c r="Y168" s="11">
        <v>1</v>
      </c>
    </row>
    <row r="169" spans="1:25" x14ac:dyDescent="0.35">
      <c r="A169" s="16">
        <v>44686</v>
      </c>
      <c r="B169" s="9">
        <v>299</v>
      </c>
      <c r="C169">
        <f t="shared" si="9"/>
        <v>2022</v>
      </c>
      <c r="O169" s="19">
        <v>3.74</v>
      </c>
      <c r="P169" s="14">
        <v>1.9E-2</v>
      </c>
      <c r="Q169" s="11">
        <v>2</v>
      </c>
      <c r="W169" s="19">
        <v>2.31</v>
      </c>
      <c r="X169" s="14">
        <v>3.3068475659474794E-2</v>
      </c>
      <c r="Y169" s="11">
        <v>1</v>
      </c>
    </row>
    <row r="170" spans="1:25" x14ac:dyDescent="0.35">
      <c r="A170" s="16">
        <v>44685</v>
      </c>
      <c r="B170" s="9">
        <v>300</v>
      </c>
      <c r="C170">
        <f t="shared" si="9"/>
        <v>2022</v>
      </c>
      <c r="O170" s="19">
        <v>3.75</v>
      </c>
      <c r="P170" s="14">
        <v>0.03</v>
      </c>
      <c r="Q170" s="11">
        <v>1</v>
      </c>
      <c r="W170" s="19">
        <v>2.37</v>
      </c>
      <c r="X170" s="14">
        <v>4.8186262296113719E-3</v>
      </c>
      <c r="Y170" s="11">
        <v>1</v>
      </c>
    </row>
    <row r="171" spans="1:25" x14ac:dyDescent="0.35">
      <c r="A171" s="16">
        <v>44684</v>
      </c>
      <c r="B171" s="9">
        <v>302</v>
      </c>
      <c r="C171">
        <f t="shared" si="9"/>
        <v>2022</v>
      </c>
      <c r="O171" s="19">
        <v>3.87</v>
      </c>
      <c r="P171" s="14">
        <v>2.1297387243117472E-2</v>
      </c>
      <c r="Q171" s="11">
        <v>1</v>
      </c>
      <c r="W171" s="19">
        <v>2.4300000000000002</v>
      </c>
      <c r="X171" s="14">
        <v>-3.0742053006371835E-3</v>
      </c>
      <c r="Y171" s="11">
        <v>2</v>
      </c>
    </row>
    <row r="172" spans="1:25" x14ac:dyDescent="0.35">
      <c r="A172" s="16">
        <v>44683</v>
      </c>
      <c r="B172" s="9">
        <v>310</v>
      </c>
      <c r="C172">
        <f t="shared" si="9"/>
        <v>2022</v>
      </c>
      <c r="O172" s="19">
        <v>3.92</v>
      </c>
      <c r="P172" s="14">
        <v>4.0500000000000001E-2</v>
      </c>
      <c r="Q172" s="11">
        <v>1</v>
      </c>
      <c r="W172" s="19">
        <v>2.48</v>
      </c>
      <c r="X172" s="14">
        <v>2.3166666666666669E-2</v>
      </c>
      <c r="Y172" s="11">
        <v>3</v>
      </c>
    </row>
    <row r="173" spans="1:25" x14ac:dyDescent="0.35">
      <c r="A173" s="16">
        <v>44680</v>
      </c>
      <c r="B173" s="9">
        <v>306</v>
      </c>
      <c r="C173">
        <f t="shared" si="9"/>
        <v>2022</v>
      </c>
      <c r="O173" s="19">
        <v>3.94</v>
      </c>
      <c r="P173" s="14">
        <v>2.6838492270376872E-2</v>
      </c>
      <c r="Q173" s="11">
        <v>2</v>
      </c>
      <c r="W173" s="19">
        <v>2.4900000000000002</v>
      </c>
      <c r="X173" s="14">
        <v>7.4150203878619323E-3</v>
      </c>
      <c r="Y173" s="11">
        <v>1</v>
      </c>
    </row>
    <row r="174" spans="1:25" x14ac:dyDescent="0.35">
      <c r="A174" s="16">
        <v>44679</v>
      </c>
      <c r="B174" s="9">
        <v>303</v>
      </c>
      <c r="C174">
        <f t="shared" si="9"/>
        <v>2022</v>
      </c>
      <c r="O174" s="19">
        <v>4.22</v>
      </c>
      <c r="P174" s="14">
        <v>4.2000000000000003E-2</v>
      </c>
      <c r="Q174" s="11">
        <v>1</v>
      </c>
      <c r="W174" s="19">
        <v>2.54</v>
      </c>
      <c r="X174" s="14">
        <v>3.5770224885680824E-2</v>
      </c>
      <c r="Y174" s="11">
        <v>1</v>
      </c>
    </row>
    <row r="175" spans="1:25" x14ac:dyDescent="0.35">
      <c r="A175" s="16">
        <v>44678</v>
      </c>
      <c r="B175" s="9">
        <v>297</v>
      </c>
      <c r="C175">
        <f t="shared" si="9"/>
        <v>2022</v>
      </c>
      <c r="O175" s="19">
        <v>4.2699999999999996</v>
      </c>
      <c r="P175" s="14">
        <v>0.03</v>
      </c>
      <c r="Q175" s="11">
        <v>1</v>
      </c>
      <c r="W175" s="19">
        <v>2.56</v>
      </c>
      <c r="X175" s="14">
        <v>3.3949403813250512E-2</v>
      </c>
      <c r="Y175" s="11">
        <v>2</v>
      </c>
    </row>
    <row r="176" spans="1:25" x14ac:dyDescent="0.35">
      <c r="A176" s="16">
        <v>44677</v>
      </c>
      <c r="B176" s="9">
        <v>298</v>
      </c>
      <c r="C176">
        <f t="shared" si="9"/>
        <v>2022</v>
      </c>
      <c r="O176" s="19">
        <v>4.45</v>
      </c>
      <c r="P176" s="14">
        <v>1.4999999999999999E-2</v>
      </c>
      <c r="Q176" s="11">
        <v>1</v>
      </c>
      <c r="W176" s="19">
        <v>2.61</v>
      </c>
      <c r="X176" s="14">
        <v>1.8671425196458806E-2</v>
      </c>
      <c r="Y176" s="11">
        <v>2</v>
      </c>
    </row>
    <row r="177" spans="1:25" x14ac:dyDescent="0.35">
      <c r="A177" s="16">
        <v>44676</v>
      </c>
      <c r="B177" s="9">
        <v>295</v>
      </c>
      <c r="C177">
        <f t="shared" si="9"/>
        <v>2022</v>
      </c>
      <c r="O177" s="19">
        <v>4.7</v>
      </c>
      <c r="P177" s="14">
        <v>0.03</v>
      </c>
      <c r="Q177" s="11">
        <v>1</v>
      </c>
      <c r="W177" s="19">
        <v>2.64</v>
      </c>
      <c r="X177" s="14">
        <v>5.3772411338334658E-2</v>
      </c>
      <c r="Y177" s="11">
        <v>1</v>
      </c>
    </row>
    <row r="178" spans="1:25" x14ac:dyDescent="0.35">
      <c r="A178" s="16">
        <v>44673</v>
      </c>
      <c r="B178" s="9">
        <v>293</v>
      </c>
      <c r="C178">
        <f t="shared" si="9"/>
        <v>2022</v>
      </c>
      <c r="O178" s="18" t="s">
        <v>671</v>
      </c>
      <c r="P178" s="14">
        <v>2.3518189576395999E-2</v>
      </c>
      <c r="Q178" s="11">
        <v>46</v>
      </c>
      <c r="W178" s="19">
        <v>2.67</v>
      </c>
      <c r="X178" s="14">
        <v>3.5833333333333335E-2</v>
      </c>
      <c r="Y178" s="11">
        <v>3</v>
      </c>
    </row>
    <row r="179" spans="1:25" x14ac:dyDescent="0.35">
      <c r="A179" s="16">
        <v>44672</v>
      </c>
      <c r="B179" s="9">
        <v>288</v>
      </c>
      <c r="C179">
        <f t="shared" si="9"/>
        <v>2022</v>
      </c>
      <c r="O179" s="19">
        <v>2.66</v>
      </c>
      <c r="P179" s="14">
        <v>7.1937326853990236E-3</v>
      </c>
      <c r="Q179" s="11">
        <v>2</v>
      </c>
      <c r="W179" s="19">
        <v>2.68</v>
      </c>
      <c r="X179" s="14">
        <v>3.1666666666666669E-2</v>
      </c>
      <c r="Y179" s="11">
        <v>3</v>
      </c>
    </row>
    <row r="180" spans="1:25" x14ac:dyDescent="0.35">
      <c r="A180" s="16">
        <v>44671</v>
      </c>
      <c r="B180" s="9">
        <v>283</v>
      </c>
      <c r="C180">
        <f t="shared" si="9"/>
        <v>2022</v>
      </c>
      <c r="O180" s="19">
        <v>2.76</v>
      </c>
      <c r="P180" s="14">
        <v>1.95E-2</v>
      </c>
      <c r="Q180" s="11">
        <v>1</v>
      </c>
      <c r="W180" s="19">
        <v>2.69</v>
      </c>
      <c r="X180" s="14">
        <v>6.2943663344020183E-3</v>
      </c>
      <c r="Y180" s="11">
        <v>1</v>
      </c>
    </row>
    <row r="181" spans="1:25" x14ac:dyDescent="0.35">
      <c r="A181" s="16">
        <v>44670</v>
      </c>
      <c r="B181" s="9">
        <v>283</v>
      </c>
      <c r="C181">
        <f t="shared" si="9"/>
        <v>2022</v>
      </c>
      <c r="O181" s="19">
        <v>2.8</v>
      </c>
      <c r="P181" s="14">
        <v>2.6000000000000002E-2</v>
      </c>
      <c r="Q181" s="11">
        <v>1</v>
      </c>
      <c r="W181" s="19">
        <v>2.71</v>
      </c>
      <c r="X181" s="14">
        <v>1.2954133071070939E-2</v>
      </c>
      <c r="Y181" s="11">
        <v>2</v>
      </c>
    </row>
    <row r="182" spans="1:25" x14ac:dyDescent="0.35">
      <c r="A182" s="16">
        <v>44669</v>
      </c>
      <c r="B182" s="9">
        <v>284</v>
      </c>
      <c r="C182">
        <f t="shared" si="9"/>
        <v>2022</v>
      </c>
      <c r="O182" s="19">
        <v>2.9</v>
      </c>
      <c r="P182" s="14">
        <v>2.1444010806730859E-2</v>
      </c>
      <c r="Q182" s="11">
        <v>5</v>
      </c>
      <c r="W182" s="19">
        <v>2.74</v>
      </c>
      <c r="X182" s="14">
        <v>1.9833333333333331E-2</v>
      </c>
      <c r="Y182" s="11">
        <v>3</v>
      </c>
    </row>
    <row r="183" spans="1:25" x14ac:dyDescent="0.35">
      <c r="A183" s="16">
        <v>44665</v>
      </c>
      <c r="B183" s="9">
        <v>284</v>
      </c>
      <c r="C183">
        <f t="shared" si="9"/>
        <v>2022</v>
      </c>
      <c r="O183" s="19">
        <v>2.92</v>
      </c>
      <c r="P183" s="14">
        <v>1.6647394850279305E-2</v>
      </c>
      <c r="Q183" s="11">
        <v>10</v>
      </c>
      <c r="W183" s="19">
        <v>2.87</v>
      </c>
      <c r="X183" s="14">
        <v>1.0940811033707086E-2</v>
      </c>
      <c r="Y183" s="11">
        <v>3</v>
      </c>
    </row>
    <row r="184" spans="1:25" x14ac:dyDescent="0.35">
      <c r="A184" s="16">
        <v>44664</v>
      </c>
      <c r="B184" s="9">
        <v>296</v>
      </c>
      <c r="C184">
        <f t="shared" si="9"/>
        <v>2022</v>
      </c>
      <c r="O184" s="19">
        <v>3.14</v>
      </c>
      <c r="P184" s="14">
        <v>2.8208591941211086E-2</v>
      </c>
      <c r="Q184" s="11">
        <v>5</v>
      </c>
      <c r="W184" s="19">
        <v>2.92</v>
      </c>
      <c r="X184" s="14">
        <v>4.5432526897638104E-2</v>
      </c>
      <c r="Y184" s="11">
        <v>1</v>
      </c>
    </row>
    <row r="185" spans="1:25" x14ac:dyDescent="0.35">
      <c r="A185" s="16">
        <v>44663</v>
      </c>
      <c r="B185" s="9">
        <v>301</v>
      </c>
      <c r="C185">
        <f t="shared" si="9"/>
        <v>2022</v>
      </c>
      <c r="O185" s="19">
        <v>3.17</v>
      </c>
      <c r="P185" s="14">
        <v>1.4499999999999999E-2</v>
      </c>
      <c r="Q185" s="11">
        <v>1</v>
      </c>
      <c r="W185" s="19">
        <v>2.95</v>
      </c>
      <c r="X185" s="14">
        <v>1.2964235217602919E-2</v>
      </c>
      <c r="Y185" s="11">
        <v>2</v>
      </c>
    </row>
    <row r="186" spans="1:25" x14ac:dyDescent="0.35">
      <c r="A186" s="16">
        <v>44662</v>
      </c>
      <c r="B186" s="9">
        <v>300</v>
      </c>
      <c r="C186">
        <f t="shared" si="9"/>
        <v>2022</v>
      </c>
      <c r="O186" s="19">
        <v>3.2</v>
      </c>
      <c r="P186" s="14">
        <v>3.7499999999999999E-2</v>
      </c>
      <c r="Q186" s="11">
        <v>9</v>
      </c>
      <c r="W186" s="19">
        <v>3.06</v>
      </c>
      <c r="X186" s="14">
        <v>4.0417528558939264E-2</v>
      </c>
      <c r="Y186" s="11">
        <v>1</v>
      </c>
    </row>
    <row r="187" spans="1:25" x14ac:dyDescent="0.35">
      <c r="A187" s="16">
        <v>44659</v>
      </c>
      <c r="B187" s="9">
        <v>294</v>
      </c>
      <c r="C187">
        <f t="shared" si="9"/>
        <v>2022</v>
      </c>
      <c r="O187" s="19">
        <v>3.22</v>
      </c>
      <c r="P187" s="14">
        <v>0.03</v>
      </c>
      <c r="Q187" s="11">
        <v>1</v>
      </c>
      <c r="W187" s="19">
        <v>3.09</v>
      </c>
      <c r="X187" s="14">
        <v>1.3286814777627276E-2</v>
      </c>
      <c r="Y187" s="11">
        <v>2</v>
      </c>
    </row>
    <row r="188" spans="1:25" x14ac:dyDescent="0.35">
      <c r="A188" s="16">
        <v>44658</v>
      </c>
      <c r="B188" s="9">
        <v>291</v>
      </c>
      <c r="C188">
        <f t="shared" si="9"/>
        <v>2022</v>
      </c>
      <c r="O188" s="19">
        <v>3.24</v>
      </c>
      <c r="P188" s="14">
        <v>1.5442458580183019E-2</v>
      </c>
      <c r="Q188" s="11">
        <v>5</v>
      </c>
      <c r="W188" s="19">
        <v>3.29</v>
      </c>
      <c r="X188" s="14">
        <v>1.0200000000000001E-2</v>
      </c>
      <c r="Y188" s="11">
        <v>1</v>
      </c>
    </row>
    <row r="189" spans="1:25" x14ac:dyDescent="0.35">
      <c r="A189" s="16">
        <v>44657</v>
      </c>
      <c r="B189" s="9">
        <v>292</v>
      </c>
      <c r="C189">
        <f t="shared" si="9"/>
        <v>2022</v>
      </c>
      <c r="O189" s="19">
        <v>3.32</v>
      </c>
      <c r="P189" s="14">
        <v>1.55E-2</v>
      </c>
      <c r="Q189" s="11">
        <v>1</v>
      </c>
      <c r="W189" s="19">
        <v>3.3</v>
      </c>
      <c r="X189" s="14">
        <v>1.9333333333333338E-2</v>
      </c>
      <c r="Y189" s="11">
        <v>3</v>
      </c>
    </row>
    <row r="190" spans="1:25" x14ac:dyDescent="0.35">
      <c r="A190" s="16">
        <v>44656</v>
      </c>
      <c r="B190" s="9">
        <v>283</v>
      </c>
      <c r="C190">
        <f t="shared" si="9"/>
        <v>2022</v>
      </c>
      <c r="O190" s="19">
        <v>3.34</v>
      </c>
      <c r="P190" s="14">
        <v>1.9E-2</v>
      </c>
      <c r="Q190" s="11">
        <v>1</v>
      </c>
      <c r="W190" s="19">
        <v>3.32</v>
      </c>
      <c r="X190" s="14">
        <v>1.4775311220029147E-2</v>
      </c>
      <c r="Y190" s="11">
        <v>1</v>
      </c>
    </row>
    <row r="191" spans="1:25" x14ac:dyDescent="0.35">
      <c r="A191" s="16">
        <v>44655</v>
      </c>
      <c r="B191" s="9">
        <v>290</v>
      </c>
      <c r="C191">
        <f t="shared" si="9"/>
        <v>2022</v>
      </c>
      <c r="O191" s="19">
        <v>3.36</v>
      </c>
      <c r="P191" s="14">
        <v>2.7000000000000003E-2</v>
      </c>
      <c r="Q191" s="11">
        <v>1</v>
      </c>
      <c r="W191" s="19">
        <v>3.43</v>
      </c>
      <c r="X191" s="14">
        <v>0.05</v>
      </c>
      <c r="Y191" s="11">
        <v>1</v>
      </c>
    </row>
    <row r="192" spans="1:25" x14ac:dyDescent="0.35">
      <c r="A192" s="16">
        <v>44652</v>
      </c>
      <c r="B192" s="9">
        <v>295</v>
      </c>
      <c r="C192">
        <f t="shared" si="9"/>
        <v>2022</v>
      </c>
      <c r="O192" s="19">
        <v>3.39</v>
      </c>
      <c r="P192" s="14">
        <v>1.55E-2</v>
      </c>
      <c r="Q192" s="11">
        <v>1</v>
      </c>
      <c r="W192" s="18" t="s">
        <v>669</v>
      </c>
      <c r="X192" s="14">
        <v>1.7312748064885971E-2</v>
      </c>
      <c r="Y192" s="11">
        <v>80</v>
      </c>
    </row>
    <row r="193" spans="1:25" x14ac:dyDescent="0.35">
      <c r="A193" s="16">
        <v>44651</v>
      </c>
      <c r="B193" s="9">
        <v>294</v>
      </c>
      <c r="C193">
        <f t="shared" si="9"/>
        <v>2022</v>
      </c>
      <c r="O193" s="19">
        <v>3.46</v>
      </c>
      <c r="P193" s="14">
        <v>4.4999999999999998E-2</v>
      </c>
      <c r="Q193" s="11">
        <v>1</v>
      </c>
      <c r="W193" s="19">
        <v>2.12</v>
      </c>
      <c r="X193" s="14">
        <v>2.0255281654942881E-2</v>
      </c>
      <c r="Y193" s="11">
        <v>2</v>
      </c>
    </row>
    <row r="194" spans="1:25" x14ac:dyDescent="0.35">
      <c r="A194" s="16">
        <v>44650</v>
      </c>
      <c r="B194" s="9">
        <v>294</v>
      </c>
      <c r="C194">
        <f t="shared" si="9"/>
        <v>2022</v>
      </c>
      <c r="O194" s="19">
        <v>3.66</v>
      </c>
      <c r="P194" s="14">
        <v>2.6000000000000002E-2</v>
      </c>
      <c r="Q194" s="11">
        <v>1</v>
      </c>
      <c r="W194" s="19">
        <v>2.1800000000000002</v>
      </c>
      <c r="X194" s="14">
        <v>2.7905437766002184E-2</v>
      </c>
      <c r="Y194" s="11">
        <v>1</v>
      </c>
    </row>
    <row r="195" spans="1:25" x14ac:dyDescent="0.35">
      <c r="A195" s="16">
        <v>44649</v>
      </c>
      <c r="B195" s="9">
        <v>300</v>
      </c>
      <c r="C195">
        <f t="shared" ref="C195:C258" si="10">YEAR(A195)</f>
        <v>2022</v>
      </c>
      <c r="O195" s="18" t="s">
        <v>672</v>
      </c>
      <c r="P195" s="14">
        <v>1.9569659782161831E-2</v>
      </c>
      <c r="Q195" s="11">
        <v>353</v>
      </c>
      <c r="W195" s="19">
        <v>2.2200000000000002</v>
      </c>
      <c r="X195" s="14">
        <v>3.2106564280990568E-2</v>
      </c>
      <c r="Y195" s="11">
        <v>1</v>
      </c>
    </row>
    <row r="196" spans="1:25" x14ac:dyDescent="0.35">
      <c r="A196" s="16">
        <v>44648</v>
      </c>
      <c r="B196" s="9">
        <v>301</v>
      </c>
      <c r="C196">
        <f t="shared" si="10"/>
        <v>2022</v>
      </c>
      <c r="W196" s="19">
        <v>2.2400000000000002</v>
      </c>
      <c r="X196" s="14">
        <v>9.75E-3</v>
      </c>
      <c r="Y196" s="11">
        <v>2</v>
      </c>
    </row>
    <row r="197" spans="1:25" x14ac:dyDescent="0.35">
      <c r="A197" s="16">
        <v>44645</v>
      </c>
      <c r="B197" s="9">
        <v>301</v>
      </c>
      <c r="C197">
        <f t="shared" si="10"/>
        <v>2022</v>
      </c>
      <c r="W197" s="19">
        <v>2.25</v>
      </c>
      <c r="X197" s="14">
        <v>2.3698309243131543E-2</v>
      </c>
      <c r="Y197" s="11">
        <v>1</v>
      </c>
    </row>
    <row r="198" spans="1:25" x14ac:dyDescent="0.35">
      <c r="A198" s="16">
        <v>44644</v>
      </c>
      <c r="B198" s="9">
        <v>313</v>
      </c>
      <c r="C198">
        <f t="shared" si="10"/>
        <v>2022</v>
      </c>
      <c r="W198" s="19">
        <v>2.31</v>
      </c>
      <c r="X198" s="14">
        <v>4.2773772750527503E-2</v>
      </c>
      <c r="Y198" s="11">
        <v>4</v>
      </c>
    </row>
    <row r="199" spans="1:25" x14ac:dyDescent="0.35">
      <c r="A199" s="16">
        <v>44643</v>
      </c>
      <c r="B199" s="9">
        <v>320</v>
      </c>
      <c r="C199">
        <f t="shared" si="10"/>
        <v>2022</v>
      </c>
      <c r="W199" s="19">
        <v>2.3199999999999998</v>
      </c>
      <c r="X199" s="14">
        <v>2.2161454320951623E-2</v>
      </c>
      <c r="Y199" s="11">
        <v>1</v>
      </c>
    </row>
    <row r="200" spans="1:25" x14ac:dyDescent="0.35">
      <c r="A200" s="16">
        <v>44642</v>
      </c>
      <c r="B200" s="9">
        <v>309</v>
      </c>
      <c r="C200">
        <f t="shared" si="10"/>
        <v>2022</v>
      </c>
      <c r="W200" s="19">
        <v>2.33</v>
      </c>
      <c r="X200" s="14">
        <v>4.1031330001819244E-2</v>
      </c>
      <c r="Y200" s="11">
        <v>1</v>
      </c>
    </row>
    <row r="201" spans="1:25" x14ac:dyDescent="0.35">
      <c r="A201" s="16">
        <v>44641</v>
      </c>
      <c r="B201" s="9">
        <v>309</v>
      </c>
      <c r="C201">
        <f t="shared" si="10"/>
        <v>2022</v>
      </c>
      <c r="W201" s="19">
        <v>2.35</v>
      </c>
      <c r="X201" s="14">
        <v>4.3576180954415858E-3</v>
      </c>
      <c r="Y201" s="11">
        <v>1</v>
      </c>
    </row>
    <row r="202" spans="1:25" x14ac:dyDescent="0.35">
      <c r="A202" s="16">
        <v>44638</v>
      </c>
      <c r="B202" s="9">
        <v>313</v>
      </c>
      <c r="C202">
        <f t="shared" si="10"/>
        <v>2022</v>
      </c>
      <c r="W202" s="19">
        <v>2.37</v>
      </c>
      <c r="X202" s="14">
        <v>1.2874278389202036E-2</v>
      </c>
      <c r="Y202" s="11">
        <v>7</v>
      </c>
    </row>
    <row r="203" spans="1:25" x14ac:dyDescent="0.35">
      <c r="A203" s="16">
        <v>44637</v>
      </c>
      <c r="B203" s="9">
        <v>310</v>
      </c>
      <c r="C203">
        <f t="shared" si="10"/>
        <v>2022</v>
      </c>
      <c r="W203" s="19">
        <v>2.38</v>
      </c>
      <c r="X203" s="14">
        <v>2.4022493668844649E-2</v>
      </c>
      <c r="Y203" s="11">
        <v>5</v>
      </c>
    </row>
    <row r="204" spans="1:25" x14ac:dyDescent="0.35">
      <c r="A204" s="16">
        <v>44636</v>
      </c>
      <c r="B204" s="9">
        <v>324</v>
      </c>
      <c r="C204">
        <f t="shared" si="10"/>
        <v>2022</v>
      </c>
      <c r="W204" s="19">
        <v>2.39</v>
      </c>
      <c r="X204" s="14">
        <v>1.6E-2</v>
      </c>
      <c r="Y204" s="11">
        <v>1</v>
      </c>
    </row>
    <row r="205" spans="1:25" x14ac:dyDescent="0.35">
      <c r="A205" s="16">
        <v>44635</v>
      </c>
      <c r="B205" s="9">
        <v>331</v>
      </c>
      <c r="C205">
        <f t="shared" si="10"/>
        <v>2022</v>
      </c>
      <c r="W205" s="19">
        <v>2.4</v>
      </c>
      <c r="X205" s="14">
        <v>2.578364335896198E-2</v>
      </c>
      <c r="Y205" s="11">
        <v>2</v>
      </c>
    </row>
    <row r="206" spans="1:25" x14ac:dyDescent="0.35">
      <c r="A206" s="16">
        <v>44634</v>
      </c>
      <c r="B206" s="9">
        <v>331</v>
      </c>
      <c r="C206">
        <f t="shared" si="10"/>
        <v>2022</v>
      </c>
      <c r="W206" s="19">
        <v>2.41</v>
      </c>
      <c r="X206" s="14">
        <v>1.2331886793079949E-3</v>
      </c>
      <c r="Y206" s="11">
        <v>1</v>
      </c>
    </row>
    <row r="207" spans="1:25" x14ac:dyDescent="0.35">
      <c r="A207" s="16">
        <v>44631</v>
      </c>
      <c r="B207" s="9">
        <v>330</v>
      </c>
      <c r="C207">
        <f t="shared" si="10"/>
        <v>2022</v>
      </c>
      <c r="W207" s="19">
        <v>2.42</v>
      </c>
      <c r="X207" s="14">
        <v>1.6333333333333335E-2</v>
      </c>
      <c r="Y207" s="11">
        <v>3</v>
      </c>
    </row>
    <row r="208" spans="1:25" x14ac:dyDescent="0.35">
      <c r="A208" s="16">
        <v>44630</v>
      </c>
      <c r="B208" s="9">
        <v>332</v>
      </c>
      <c r="C208">
        <f t="shared" si="10"/>
        <v>2022</v>
      </c>
      <c r="W208" s="19">
        <v>2.4300000000000002</v>
      </c>
      <c r="X208" s="14">
        <v>2.11059573457959E-2</v>
      </c>
      <c r="Y208" s="11">
        <v>1</v>
      </c>
    </row>
    <row r="209" spans="1:25" x14ac:dyDescent="0.35">
      <c r="A209" s="16">
        <v>44629</v>
      </c>
      <c r="B209" s="9">
        <v>332</v>
      </c>
      <c r="C209">
        <f t="shared" si="10"/>
        <v>2022</v>
      </c>
      <c r="W209" s="19">
        <v>2.44</v>
      </c>
      <c r="X209" s="14">
        <v>2.4292893333072961E-2</v>
      </c>
      <c r="Y209" s="11">
        <v>2</v>
      </c>
    </row>
    <row r="210" spans="1:25" x14ac:dyDescent="0.35">
      <c r="A210" s="16">
        <v>44628</v>
      </c>
      <c r="B210" s="9">
        <v>346</v>
      </c>
      <c r="C210">
        <f t="shared" si="10"/>
        <v>2022</v>
      </c>
      <c r="W210" s="19">
        <v>2.4500000000000002</v>
      </c>
      <c r="X210" s="14">
        <v>1.133818465328216E-2</v>
      </c>
      <c r="Y210" s="11">
        <v>5</v>
      </c>
    </row>
    <row r="211" spans="1:25" x14ac:dyDescent="0.35">
      <c r="A211" s="16">
        <v>44627</v>
      </c>
      <c r="B211" s="9">
        <v>347</v>
      </c>
      <c r="C211">
        <f t="shared" si="10"/>
        <v>2022</v>
      </c>
      <c r="W211" s="19">
        <v>2.4700000000000002</v>
      </c>
      <c r="X211" s="14">
        <v>1.3466876383921753E-2</v>
      </c>
      <c r="Y211" s="11">
        <v>3</v>
      </c>
    </row>
    <row r="212" spans="1:25" x14ac:dyDescent="0.35">
      <c r="A212" s="16">
        <v>44624</v>
      </c>
      <c r="B212" s="9">
        <v>343</v>
      </c>
      <c r="C212">
        <f t="shared" si="10"/>
        <v>2022</v>
      </c>
      <c r="W212" s="19">
        <v>2.4900000000000002</v>
      </c>
      <c r="X212" s="14">
        <v>2.9724741747771389E-2</v>
      </c>
      <c r="Y212" s="11">
        <v>5</v>
      </c>
    </row>
    <row r="213" spans="1:25" x14ac:dyDescent="0.35">
      <c r="A213" s="16">
        <v>44623</v>
      </c>
      <c r="B213" s="9">
        <v>330</v>
      </c>
      <c r="C213">
        <f t="shared" si="10"/>
        <v>2022</v>
      </c>
      <c r="W213" s="19">
        <v>2.5</v>
      </c>
      <c r="X213" s="14">
        <v>6.9978904557808728E-3</v>
      </c>
      <c r="Y213" s="11">
        <v>4</v>
      </c>
    </row>
    <row r="214" spans="1:25" x14ac:dyDescent="0.35">
      <c r="A214" s="16">
        <v>44622</v>
      </c>
      <c r="B214" s="9">
        <v>327</v>
      </c>
      <c r="C214">
        <f t="shared" si="10"/>
        <v>2022</v>
      </c>
      <c r="W214" s="19">
        <v>2.5099999999999998</v>
      </c>
      <c r="X214" s="14">
        <v>9.1066736086919953E-4</v>
      </c>
      <c r="Y214" s="11">
        <v>2</v>
      </c>
    </row>
    <row r="215" spans="1:25" x14ac:dyDescent="0.35">
      <c r="A215" s="16">
        <v>44621</v>
      </c>
      <c r="B215" s="9">
        <v>339</v>
      </c>
      <c r="C215">
        <f t="shared" si="10"/>
        <v>2022</v>
      </c>
      <c r="W215" s="19">
        <v>2.52</v>
      </c>
      <c r="X215" s="14">
        <v>1.0970717390029023E-2</v>
      </c>
      <c r="Y215" s="11">
        <v>9</v>
      </c>
    </row>
    <row r="216" spans="1:25" x14ac:dyDescent="0.35">
      <c r="A216" s="16">
        <v>44620</v>
      </c>
      <c r="B216" s="9">
        <v>338</v>
      </c>
      <c r="C216">
        <f t="shared" si="10"/>
        <v>2022</v>
      </c>
      <c r="W216" s="19">
        <v>2.54</v>
      </c>
      <c r="X216" s="14">
        <v>1.2559225958004884E-2</v>
      </c>
      <c r="Y216" s="11">
        <v>4</v>
      </c>
    </row>
    <row r="217" spans="1:25" x14ac:dyDescent="0.35">
      <c r="A217" s="16">
        <v>44617</v>
      </c>
      <c r="B217" s="9">
        <v>328</v>
      </c>
      <c r="C217">
        <f t="shared" si="10"/>
        <v>2022</v>
      </c>
      <c r="W217" s="19">
        <v>2.5499999999999998</v>
      </c>
      <c r="X217" s="14">
        <v>4.7215117374193108E-3</v>
      </c>
      <c r="Y217" s="11">
        <v>4</v>
      </c>
    </row>
    <row r="218" spans="1:25" x14ac:dyDescent="0.35">
      <c r="A218" s="16">
        <v>44616</v>
      </c>
      <c r="B218" s="9">
        <v>338</v>
      </c>
      <c r="C218">
        <f t="shared" si="10"/>
        <v>2022</v>
      </c>
      <c r="W218" s="19">
        <v>2.56</v>
      </c>
      <c r="X218" s="14">
        <v>1.7772230450298888E-2</v>
      </c>
      <c r="Y218" s="11">
        <v>2</v>
      </c>
    </row>
    <row r="219" spans="1:25" x14ac:dyDescent="0.35">
      <c r="A219" s="16">
        <v>44615</v>
      </c>
      <c r="B219" s="9">
        <v>340</v>
      </c>
      <c r="C219">
        <f t="shared" si="10"/>
        <v>2022</v>
      </c>
      <c r="W219" s="19">
        <v>2.6</v>
      </c>
      <c r="X219" s="14">
        <v>1.9666666666666669E-2</v>
      </c>
      <c r="Y219" s="11">
        <v>3</v>
      </c>
    </row>
    <row r="220" spans="1:25" x14ac:dyDescent="0.35">
      <c r="A220" s="16">
        <v>44614</v>
      </c>
      <c r="B220" s="9">
        <v>341</v>
      </c>
      <c r="C220">
        <f t="shared" si="10"/>
        <v>2022</v>
      </c>
      <c r="W220" s="19">
        <v>2.69</v>
      </c>
      <c r="X220" s="14">
        <v>2.9748407399141641E-2</v>
      </c>
      <c r="Y220" s="11">
        <v>2</v>
      </c>
    </row>
    <row r="221" spans="1:25" x14ac:dyDescent="0.35">
      <c r="A221" s="16">
        <v>44610</v>
      </c>
      <c r="B221" s="9">
        <v>340</v>
      </c>
      <c r="C221">
        <f t="shared" si="10"/>
        <v>2022</v>
      </c>
      <c r="W221" s="19">
        <v>2.76</v>
      </c>
      <c r="X221" s="14">
        <v>7.4999999999999997E-3</v>
      </c>
      <c r="Y221" s="11">
        <v>1</v>
      </c>
    </row>
    <row r="222" spans="1:25" x14ac:dyDescent="0.35">
      <c r="A222" s="16">
        <v>44609</v>
      </c>
      <c r="B222" s="9">
        <v>335</v>
      </c>
      <c r="C222">
        <f t="shared" si="10"/>
        <v>2022</v>
      </c>
      <c r="W222" s="18" t="s">
        <v>670</v>
      </c>
      <c r="X222" s="14">
        <v>3.1587265664896641E-2</v>
      </c>
      <c r="Y222" s="11">
        <v>68</v>
      </c>
    </row>
    <row r="223" spans="1:25" x14ac:dyDescent="0.35">
      <c r="A223" s="16">
        <v>44608</v>
      </c>
      <c r="B223" s="9">
        <v>328</v>
      </c>
      <c r="C223">
        <f t="shared" si="10"/>
        <v>2022</v>
      </c>
      <c r="W223" s="19">
        <v>2.0299999999999998</v>
      </c>
      <c r="X223" s="14">
        <v>1.7587056110925259E-2</v>
      </c>
      <c r="Y223" s="11">
        <v>1</v>
      </c>
    </row>
    <row r="224" spans="1:25" x14ac:dyDescent="0.35">
      <c r="A224" s="16">
        <v>44607</v>
      </c>
      <c r="B224" s="9">
        <v>325</v>
      </c>
      <c r="C224">
        <f t="shared" si="10"/>
        <v>2022</v>
      </c>
      <c r="W224" s="19">
        <v>2.14</v>
      </c>
      <c r="X224" s="14">
        <v>3.2007485618490421E-2</v>
      </c>
      <c r="Y224" s="11">
        <v>2</v>
      </c>
    </row>
    <row r="225" spans="1:25" x14ac:dyDescent="0.35">
      <c r="A225" s="16">
        <v>44606</v>
      </c>
      <c r="B225" s="9">
        <v>335</v>
      </c>
      <c r="C225">
        <f t="shared" si="10"/>
        <v>2022</v>
      </c>
      <c r="W225" s="19">
        <v>2.16</v>
      </c>
      <c r="X225" s="14">
        <v>1.7567539926467424E-2</v>
      </c>
      <c r="Y225" s="11">
        <v>1</v>
      </c>
    </row>
    <row r="226" spans="1:25" x14ac:dyDescent="0.35">
      <c r="A226" s="16">
        <v>44603</v>
      </c>
      <c r="B226" s="9">
        <v>337</v>
      </c>
      <c r="C226">
        <f t="shared" si="10"/>
        <v>2022</v>
      </c>
      <c r="W226" s="19">
        <v>2.19</v>
      </c>
      <c r="X226" s="14">
        <v>1.6907627011258031E-2</v>
      </c>
      <c r="Y226" s="11">
        <v>2</v>
      </c>
    </row>
    <row r="227" spans="1:25" x14ac:dyDescent="0.35">
      <c r="A227" s="16">
        <v>44602</v>
      </c>
      <c r="B227" s="9">
        <v>318</v>
      </c>
      <c r="C227">
        <f t="shared" si="10"/>
        <v>2022</v>
      </c>
      <c r="W227" s="19">
        <v>2.27</v>
      </c>
      <c r="X227" s="14">
        <v>4.1526636118506266E-2</v>
      </c>
      <c r="Y227" s="11">
        <v>1</v>
      </c>
    </row>
    <row r="228" spans="1:25" x14ac:dyDescent="0.35">
      <c r="A228" s="16">
        <v>44601</v>
      </c>
      <c r="B228" s="9">
        <v>318</v>
      </c>
      <c r="C228">
        <f t="shared" si="10"/>
        <v>2022</v>
      </c>
      <c r="W228" s="19">
        <v>2.59</v>
      </c>
      <c r="X228" s="14">
        <v>6.8343820082715778E-2</v>
      </c>
      <c r="Y228" s="11">
        <v>1</v>
      </c>
    </row>
    <row r="229" spans="1:25" x14ac:dyDescent="0.35">
      <c r="A229" s="16">
        <v>44600</v>
      </c>
      <c r="B229" s="9">
        <v>325</v>
      </c>
      <c r="C229">
        <f t="shared" si="10"/>
        <v>2022</v>
      </c>
      <c r="W229" s="19">
        <v>2.63</v>
      </c>
      <c r="X229" s="14">
        <v>1.2072144319930487E-2</v>
      </c>
      <c r="Y229" s="11">
        <v>3</v>
      </c>
    </row>
    <row r="230" spans="1:25" x14ac:dyDescent="0.35">
      <c r="A230" s="16">
        <v>44599</v>
      </c>
      <c r="B230" s="9">
        <v>328</v>
      </c>
      <c r="C230">
        <f t="shared" si="10"/>
        <v>2022</v>
      </c>
      <c r="W230" s="19">
        <v>2.68</v>
      </c>
      <c r="X230" s="14">
        <v>3.7000000000000005E-2</v>
      </c>
      <c r="Y230" s="11">
        <v>1</v>
      </c>
    </row>
    <row r="231" spans="1:25" x14ac:dyDescent="0.35">
      <c r="A231" s="16">
        <v>44596</v>
      </c>
      <c r="B231" s="9">
        <v>326</v>
      </c>
      <c r="C231">
        <f t="shared" si="10"/>
        <v>2022</v>
      </c>
      <c r="W231" s="19">
        <v>2.72</v>
      </c>
      <c r="X231" s="14">
        <v>2.7650555444061808E-2</v>
      </c>
      <c r="Y231" s="11">
        <v>1</v>
      </c>
    </row>
    <row r="232" spans="1:25" x14ac:dyDescent="0.35">
      <c r="A232" s="16">
        <v>44595</v>
      </c>
      <c r="B232" s="9">
        <v>325</v>
      </c>
      <c r="C232">
        <f t="shared" si="10"/>
        <v>2022</v>
      </c>
      <c r="W232" s="19">
        <v>2.75</v>
      </c>
      <c r="X232" s="14">
        <v>2.75E-2</v>
      </c>
      <c r="Y232" s="11">
        <v>1</v>
      </c>
    </row>
    <row r="233" spans="1:25" x14ac:dyDescent="0.35">
      <c r="A233" s="16">
        <v>44594</v>
      </c>
      <c r="B233" s="9">
        <v>327</v>
      </c>
      <c r="C233">
        <f t="shared" si="10"/>
        <v>2022</v>
      </c>
      <c r="W233" s="19">
        <v>2.76</v>
      </c>
      <c r="X233" s="14">
        <v>3.0867167453065614E-2</v>
      </c>
      <c r="Y233" s="11">
        <v>3</v>
      </c>
    </row>
    <row r="234" spans="1:25" x14ac:dyDescent="0.35">
      <c r="A234" s="16">
        <v>44593</v>
      </c>
      <c r="B234" s="9">
        <v>331</v>
      </c>
      <c r="C234">
        <f t="shared" si="10"/>
        <v>2022</v>
      </c>
      <c r="W234" s="19">
        <v>3.07</v>
      </c>
      <c r="X234" s="14">
        <v>3.0466079431821658E-2</v>
      </c>
      <c r="Y234" s="11">
        <v>3</v>
      </c>
    </row>
    <row r="235" spans="1:25" x14ac:dyDescent="0.35">
      <c r="A235" s="16">
        <v>44592</v>
      </c>
      <c r="B235" s="9">
        <v>334</v>
      </c>
      <c r="C235">
        <f t="shared" si="10"/>
        <v>2022</v>
      </c>
      <c r="W235" s="19">
        <v>3.1</v>
      </c>
      <c r="X235" s="14">
        <v>2.4695657856520285E-2</v>
      </c>
      <c r="Y235" s="11">
        <v>3</v>
      </c>
    </row>
    <row r="236" spans="1:25" x14ac:dyDescent="0.35">
      <c r="A236" s="16">
        <v>44589</v>
      </c>
      <c r="B236" s="9">
        <v>339</v>
      </c>
      <c r="C236">
        <f t="shared" si="10"/>
        <v>2022</v>
      </c>
      <c r="W236" s="19">
        <v>3.11</v>
      </c>
      <c r="X236" s="14">
        <v>0.03</v>
      </c>
      <c r="Y236" s="11">
        <v>1</v>
      </c>
    </row>
    <row r="237" spans="1:25" x14ac:dyDescent="0.35">
      <c r="A237" s="16">
        <v>44588</v>
      </c>
      <c r="B237" s="9">
        <v>333</v>
      </c>
      <c r="C237">
        <f t="shared" si="10"/>
        <v>2022</v>
      </c>
      <c r="W237" s="19">
        <v>3.14</v>
      </c>
      <c r="X237" s="14">
        <v>1.7500000000000002E-2</v>
      </c>
      <c r="Y237" s="11">
        <v>2</v>
      </c>
    </row>
    <row r="238" spans="1:25" x14ac:dyDescent="0.35">
      <c r="A238" s="16">
        <v>44587</v>
      </c>
      <c r="B238" s="9">
        <v>329</v>
      </c>
      <c r="C238">
        <f t="shared" si="10"/>
        <v>2022</v>
      </c>
      <c r="W238" s="19">
        <v>3.17</v>
      </c>
      <c r="X238" s="14">
        <v>3.9972371689434905E-2</v>
      </c>
      <c r="Y238" s="11">
        <v>1</v>
      </c>
    </row>
    <row r="239" spans="1:25" x14ac:dyDescent="0.35">
      <c r="A239" s="16">
        <v>44586</v>
      </c>
      <c r="B239" s="9">
        <v>334</v>
      </c>
      <c r="C239">
        <f t="shared" si="10"/>
        <v>2022</v>
      </c>
      <c r="W239" s="19">
        <v>3.21</v>
      </c>
      <c r="X239" s="14">
        <v>2.8884797597171996E-2</v>
      </c>
      <c r="Y239" s="11">
        <v>1</v>
      </c>
    </row>
    <row r="240" spans="1:25" x14ac:dyDescent="0.35">
      <c r="A240" s="16">
        <v>44585</v>
      </c>
      <c r="B240" s="9">
        <v>336</v>
      </c>
      <c r="C240">
        <f t="shared" si="10"/>
        <v>2022</v>
      </c>
      <c r="W240" s="19">
        <v>3.27</v>
      </c>
      <c r="X240" s="14">
        <v>4.023753387741702E-2</v>
      </c>
      <c r="Y240" s="11">
        <v>1</v>
      </c>
    </row>
    <row r="241" spans="1:25" x14ac:dyDescent="0.35">
      <c r="A241" s="16">
        <v>44582</v>
      </c>
      <c r="B241" s="9">
        <v>335</v>
      </c>
      <c r="C241">
        <f t="shared" si="10"/>
        <v>2022</v>
      </c>
      <c r="W241" s="19">
        <v>3.28</v>
      </c>
      <c r="X241" s="14">
        <v>3.0171006128791644E-2</v>
      </c>
      <c r="Y241" s="11">
        <v>1</v>
      </c>
    </row>
    <row r="242" spans="1:25" x14ac:dyDescent="0.35">
      <c r="A242" s="16">
        <v>44581</v>
      </c>
      <c r="B242" s="9">
        <v>328</v>
      </c>
      <c r="C242">
        <f t="shared" si="10"/>
        <v>2022</v>
      </c>
      <c r="W242" s="19">
        <v>3.32</v>
      </c>
      <c r="X242" s="14">
        <v>3.7499999999999992E-2</v>
      </c>
      <c r="Y242" s="11">
        <v>18</v>
      </c>
    </row>
    <row r="243" spans="1:25" x14ac:dyDescent="0.35">
      <c r="A243" s="16">
        <v>44580</v>
      </c>
      <c r="B243" s="9">
        <v>332</v>
      </c>
      <c r="C243">
        <f t="shared" si="10"/>
        <v>2022</v>
      </c>
      <c r="W243" s="19">
        <v>3.34</v>
      </c>
      <c r="X243" s="14">
        <v>2.6499999999999999E-2</v>
      </c>
      <c r="Y243" s="11">
        <v>1</v>
      </c>
    </row>
    <row r="244" spans="1:25" x14ac:dyDescent="0.35">
      <c r="A244" s="16">
        <v>44579</v>
      </c>
      <c r="B244" s="9">
        <v>336</v>
      </c>
      <c r="C244">
        <f t="shared" si="10"/>
        <v>2022</v>
      </c>
      <c r="W244" s="19">
        <v>3.49</v>
      </c>
      <c r="X244" s="14">
        <v>3.9040698438589816E-2</v>
      </c>
      <c r="Y244" s="11">
        <v>1</v>
      </c>
    </row>
    <row r="245" spans="1:25" x14ac:dyDescent="0.35">
      <c r="A245" s="16">
        <v>44578</v>
      </c>
      <c r="B245" s="9">
        <v>336</v>
      </c>
      <c r="C245">
        <f t="shared" si="10"/>
        <v>2022</v>
      </c>
      <c r="W245" s="19">
        <v>3.51</v>
      </c>
      <c r="X245" s="14">
        <v>4.9707713700886634E-2</v>
      </c>
      <c r="Y245" s="11">
        <v>3</v>
      </c>
    </row>
    <row r="246" spans="1:25" x14ac:dyDescent="0.35">
      <c r="A246" s="16">
        <v>44575</v>
      </c>
      <c r="B246" s="9">
        <v>336</v>
      </c>
      <c r="C246">
        <f t="shared" si="10"/>
        <v>2022</v>
      </c>
      <c r="W246" s="19">
        <v>3.55</v>
      </c>
      <c r="X246" s="14">
        <v>3.5403578924644963E-2</v>
      </c>
      <c r="Y246" s="11">
        <v>1</v>
      </c>
    </row>
    <row r="247" spans="1:25" x14ac:dyDescent="0.35">
      <c r="A247" s="16">
        <v>44574</v>
      </c>
      <c r="B247" s="9">
        <v>337</v>
      </c>
      <c r="C247">
        <f t="shared" si="10"/>
        <v>2022</v>
      </c>
      <c r="W247" s="19">
        <v>3.74</v>
      </c>
      <c r="X247" s="14">
        <v>1.8677748463301381E-2</v>
      </c>
      <c r="Y247" s="11">
        <v>3</v>
      </c>
    </row>
    <row r="248" spans="1:25" x14ac:dyDescent="0.35">
      <c r="A248" s="16">
        <v>44573</v>
      </c>
      <c r="B248" s="9">
        <v>333</v>
      </c>
      <c r="C248">
        <f t="shared" si="10"/>
        <v>2022</v>
      </c>
      <c r="W248" s="19">
        <v>3.75</v>
      </c>
      <c r="X248" s="14">
        <v>3.2937414883538838E-2</v>
      </c>
      <c r="Y248" s="11">
        <v>2</v>
      </c>
    </row>
    <row r="249" spans="1:25" x14ac:dyDescent="0.35">
      <c r="A249" s="16">
        <v>44572</v>
      </c>
      <c r="B249" s="9">
        <v>336</v>
      </c>
      <c r="C249">
        <f t="shared" si="10"/>
        <v>2022</v>
      </c>
      <c r="W249" s="19">
        <v>3.82</v>
      </c>
      <c r="X249" s="14">
        <v>3.4909510387220566E-2</v>
      </c>
      <c r="Y249" s="11">
        <v>1</v>
      </c>
    </row>
    <row r="250" spans="1:25" x14ac:dyDescent="0.35">
      <c r="A250" s="16">
        <v>44571</v>
      </c>
      <c r="B250" s="9">
        <v>335</v>
      </c>
      <c r="C250">
        <f t="shared" si="10"/>
        <v>2022</v>
      </c>
      <c r="W250" s="19">
        <v>3.87</v>
      </c>
      <c r="X250" s="14">
        <v>2.1297387243117472E-2</v>
      </c>
      <c r="Y250" s="11">
        <v>1</v>
      </c>
    </row>
    <row r="251" spans="1:25" x14ac:dyDescent="0.35">
      <c r="A251" s="16">
        <v>44568</v>
      </c>
      <c r="B251" s="9">
        <v>333</v>
      </c>
      <c r="C251">
        <f t="shared" si="10"/>
        <v>2022</v>
      </c>
      <c r="W251" s="19">
        <v>3.92</v>
      </c>
      <c r="X251" s="14">
        <v>4.0500000000000001E-2</v>
      </c>
      <c r="Y251" s="11">
        <v>1</v>
      </c>
    </row>
    <row r="252" spans="1:25" x14ac:dyDescent="0.35">
      <c r="A252" s="16">
        <v>44567</v>
      </c>
      <c r="B252" s="9">
        <v>333</v>
      </c>
      <c r="C252">
        <f t="shared" si="10"/>
        <v>2022</v>
      </c>
      <c r="W252" s="19">
        <v>3.94</v>
      </c>
      <c r="X252" s="14">
        <v>2.6838492270376872E-2</v>
      </c>
      <c r="Y252" s="11">
        <v>2</v>
      </c>
    </row>
    <row r="253" spans="1:25" x14ac:dyDescent="0.35">
      <c r="A253" s="16">
        <v>44566</v>
      </c>
      <c r="B253" s="9">
        <v>323</v>
      </c>
      <c r="C253">
        <f t="shared" si="10"/>
        <v>2022</v>
      </c>
      <c r="W253" s="19">
        <v>4.22</v>
      </c>
      <c r="X253" s="14">
        <v>4.2000000000000003E-2</v>
      </c>
      <c r="Y253" s="11">
        <v>1</v>
      </c>
    </row>
    <row r="254" spans="1:25" x14ac:dyDescent="0.35">
      <c r="A254" s="16">
        <v>44565</v>
      </c>
      <c r="B254" s="9">
        <v>323</v>
      </c>
      <c r="C254">
        <f t="shared" si="10"/>
        <v>2022</v>
      </c>
      <c r="W254" s="19">
        <v>4.2699999999999996</v>
      </c>
      <c r="X254" s="14">
        <v>0.03</v>
      </c>
      <c r="Y254" s="11">
        <v>1</v>
      </c>
    </row>
    <row r="255" spans="1:25" x14ac:dyDescent="0.35">
      <c r="A255" s="16">
        <v>44564</v>
      </c>
      <c r="B255" s="9">
        <v>320</v>
      </c>
      <c r="C255">
        <f t="shared" si="10"/>
        <v>2022</v>
      </c>
      <c r="W255" s="19">
        <v>4.45</v>
      </c>
      <c r="X255" s="14">
        <v>1.4999999999999999E-2</v>
      </c>
      <c r="Y255" s="11">
        <v>1</v>
      </c>
    </row>
    <row r="256" spans="1:25" x14ac:dyDescent="0.35">
      <c r="A256" s="16">
        <v>44561</v>
      </c>
      <c r="B256" s="9">
        <v>326</v>
      </c>
      <c r="C256">
        <f t="shared" si="10"/>
        <v>2021</v>
      </c>
      <c r="W256" s="19">
        <v>4.7</v>
      </c>
      <c r="X256" s="14">
        <v>0.03</v>
      </c>
      <c r="Y256" s="11">
        <v>1</v>
      </c>
    </row>
    <row r="257" spans="1:25" x14ac:dyDescent="0.35">
      <c r="A257" s="16">
        <v>44560</v>
      </c>
      <c r="B257" s="9">
        <v>326</v>
      </c>
      <c r="C257">
        <f t="shared" si="10"/>
        <v>2021</v>
      </c>
      <c r="W257" s="18" t="s">
        <v>671</v>
      </c>
      <c r="X257" s="14">
        <v>2.5759852475652115E-2</v>
      </c>
      <c r="Y257" s="11">
        <v>65</v>
      </c>
    </row>
    <row r="258" spans="1:25" x14ac:dyDescent="0.35">
      <c r="A258" s="16">
        <v>44559</v>
      </c>
      <c r="B258" s="9">
        <v>325</v>
      </c>
      <c r="C258">
        <f t="shared" si="10"/>
        <v>2021</v>
      </c>
      <c r="W258" s="19">
        <v>2.56</v>
      </c>
      <c r="X258" s="14">
        <v>6.2383573989025498E-2</v>
      </c>
      <c r="Y258" s="11">
        <v>1</v>
      </c>
    </row>
    <row r="259" spans="1:25" x14ac:dyDescent="0.35">
      <c r="A259" s="16">
        <v>44558</v>
      </c>
      <c r="B259" s="9">
        <v>331</v>
      </c>
      <c r="C259">
        <f t="shared" ref="C259:C322" si="11">YEAR(A259)</f>
        <v>2021</v>
      </c>
      <c r="W259" s="19">
        <v>2.61</v>
      </c>
      <c r="X259" s="14">
        <v>3.0748646073593067E-2</v>
      </c>
      <c r="Y259" s="11">
        <v>1</v>
      </c>
    </row>
    <row r="260" spans="1:25" x14ac:dyDescent="0.35">
      <c r="A260" s="16">
        <v>44557</v>
      </c>
      <c r="B260" s="9">
        <v>334</v>
      </c>
      <c r="C260">
        <f t="shared" si="11"/>
        <v>2021</v>
      </c>
      <c r="W260" s="19">
        <v>2.66</v>
      </c>
      <c r="X260" s="14">
        <v>2.6880432381792961E-2</v>
      </c>
      <c r="Y260" s="11">
        <v>5</v>
      </c>
    </row>
    <row r="261" spans="1:25" x14ac:dyDescent="0.35">
      <c r="A261" s="16">
        <v>44554</v>
      </c>
      <c r="B261" s="9">
        <v>335</v>
      </c>
      <c r="C261">
        <f t="shared" si="11"/>
        <v>2021</v>
      </c>
      <c r="W261" s="19">
        <v>2.67</v>
      </c>
      <c r="X261" s="14">
        <v>3.0281665583921757E-2</v>
      </c>
      <c r="Y261" s="11">
        <v>1</v>
      </c>
    </row>
    <row r="262" spans="1:25" x14ac:dyDescent="0.35">
      <c r="A262" s="16">
        <v>44553</v>
      </c>
      <c r="B262" s="9">
        <v>335</v>
      </c>
      <c r="C262">
        <f t="shared" si="11"/>
        <v>2021</v>
      </c>
      <c r="W262" s="19">
        <v>2.68</v>
      </c>
      <c r="X262" s="14">
        <v>3.3033702389179354E-2</v>
      </c>
      <c r="Y262" s="11">
        <v>2</v>
      </c>
    </row>
    <row r="263" spans="1:25" x14ac:dyDescent="0.35">
      <c r="A263" s="16">
        <v>44552</v>
      </c>
      <c r="B263" s="9">
        <v>342</v>
      </c>
      <c r="C263">
        <f t="shared" si="11"/>
        <v>2021</v>
      </c>
      <c r="W263" s="19">
        <v>2.73</v>
      </c>
      <c r="X263" s="14">
        <v>1.6201249241704074E-2</v>
      </c>
      <c r="Y263" s="11">
        <v>1</v>
      </c>
    </row>
    <row r="264" spans="1:25" x14ac:dyDescent="0.35">
      <c r="A264" s="16">
        <v>44551</v>
      </c>
      <c r="B264" s="9">
        <v>341</v>
      </c>
      <c r="C264">
        <f t="shared" si="11"/>
        <v>2021</v>
      </c>
      <c r="W264" s="19">
        <v>2.76</v>
      </c>
      <c r="X264" s="14">
        <v>1.5974899763464855E-2</v>
      </c>
      <c r="Y264" s="11">
        <v>2</v>
      </c>
    </row>
    <row r="265" spans="1:25" x14ac:dyDescent="0.35">
      <c r="A265" s="16">
        <v>44550</v>
      </c>
      <c r="B265" s="9">
        <v>345</v>
      </c>
      <c r="C265">
        <f t="shared" si="11"/>
        <v>2021</v>
      </c>
      <c r="W265" s="19">
        <v>2.77</v>
      </c>
      <c r="X265" s="14">
        <v>2.1758156496881842E-2</v>
      </c>
      <c r="Y265" s="11">
        <v>1</v>
      </c>
    </row>
    <row r="266" spans="1:25" x14ac:dyDescent="0.35">
      <c r="A266" s="16">
        <v>44547</v>
      </c>
      <c r="B266" s="9">
        <v>343</v>
      </c>
      <c r="C266">
        <f t="shared" si="11"/>
        <v>2021</v>
      </c>
      <c r="W266" s="19">
        <v>2.8</v>
      </c>
      <c r="X266" s="14">
        <v>2.6000000000000002E-2</v>
      </c>
      <c r="Y266" s="11">
        <v>1</v>
      </c>
    </row>
    <row r="267" spans="1:25" x14ac:dyDescent="0.35">
      <c r="A267" s="16">
        <v>44546</v>
      </c>
      <c r="B267" s="9">
        <v>342</v>
      </c>
      <c r="C267">
        <f t="shared" si="11"/>
        <v>2021</v>
      </c>
      <c r="W267" s="19">
        <v>2.83</v>
      </c>
      <c r="X267" s="14">
        <v>3.6943968404894223E-2</v>
      </c>
      <c r="Y267" s="11">
        <v>1</v>
      </c>
    </row>
    <row r="268" spans="1:25" x14ac:dyDescent="0.35">
      <c r="A268" s="16">
        <v>44545</v>
      </c>
      <c r="B268" s="9">
        <v>339</v>
      </c>
      <c r="C268">
        <f t="shared" si="11"/>
        <v>2021</v>
      </c>
      <c r="W268" s="19">
        <v>2.85</v>
      </c>
      <c r="X268" s="14">
        <v>2.5288359312976905E-2</v>
      </c>
      <c r="Y268" s="11">
        <v>1</v>
      </c>
    </row>
    <row r="269" spans="1:25" x14ac:dyDescent="0.35">
      <c r="A269" s="16">
        <v>44544</v>
      </c>
      <c r="B269" s="9">
        <v>338</v>
      </c>
      <c r="C269">
        <f t="shared" si="11"/>
        <v>2021</v>
      </c>
      <c r="W269" s="19">
        <v>2.88</v>
      </c>
      <c r="X269" s="14">
        <v>2.424881051711214E-2</v>
      </c>
      <c r="Y269" s="11">
        <v>1</v>
      </c>
    </row>
    <row r="270" spans="1:25" x14ac:dyDescent="0.35">
      <c r="A270" s="16">
        <v>44543</v>
      </c>
      <c r="B270" s="9">
        <v>337</v>
      </c>
      <c r="C270">
        <f t="shared" si="11"/>
        <v>2021</v>
      </c>
      <c r="W270" s="19">
        <v>2.89</v>
      </c>
      <c r="X270" s="14">
        <v>2.143565323755614E-2</v>
      </c>
      <c r="Y270" s="11">
        <v>1</v>
      </c>
    </row>
    <row r="271" spans="1:25" x14ac:dyDescent="0.35">
      <c r="A271" s="16">
        <v>44540</v>
      </c>
      <c r="B271" s="9">
        <v>333</v>
      </c>
      <c r="C271">
        <f t="shared" si="11"/>
        <v>2021</v>
      </c>
      <c r="W271" s="19">
        <v>2.9</v>
      </c>
      <c r="X271" s="14">
        <v>2.1444010806730859E-2</v>
      </c>
      <c r="Y271" s="11">
        <v>5</v>
      </c>
    </row>
    <row r="272" spans="1:25" x14ac:dyDescent="0.35">
      <c r="A272" s="16">
        <v>44539</v>
      </c>
      <c r="B272" s="9">
        <v>333</v>
      </c>
      <c r="C272">
        <f t="shared" si="11"/>
        <v>2021</v>
      </c>
      <c r="W272" s="19">
        <v>2.92</v>
      </c>
      <c r="X272" s="14">
        <v>1.6647394850279301E-2</v>
      </c>
      <c r="Y272" s="11">
        <v>10</v>
      </c>
    </row>
    <row r="273" spans="1:25" x14ac:dyDescent="0.35">
      <c r="A273" s="16">
        <v>44538</v>
      </c>
      <c r="B273" s="9">
        <v>327</v>
      </c>
      <c r="C273">
        <f t="shared" si="11"/>
        <v>2021</v>
      </c>
      <c r="W273" s="19">
        <v>3.14</v>
      </c>
      <c r="X273" s="14">
        <v>2.5959773929215925E-2</v>
      </c>
      <c r="Y273" s="11">
        <v>7</v>
      </c>
    </row>
    <row r="274" spans="1:25" x14ac:dyDescent="0.35">
      <c r="A274" s="16">
        <v>44537</v>
      </c>
      <c r="B274" s="9">
        <v>330</v>
      </c>
      <c r="C274">
        <f t="shared" si="11"/>
        <v>2021</v>
      </c>
      <c r="W274" s="19">
        <v>3.17</v>
      </c>
      <c r="X274" s="14">
        <v>1.4499999999999999E-2</v>
      </c>
      <c r="Y274" s="11">
        <v>1</v>
      </c>
    </row>
    <row r="275" spans="1:25" x14ac:dyDescent="0.35">
      <c r="A275" s="16">
        <v>44536</v>
      </c>
      <c r="B275" s="9">
        <v>343</v>
      </c>
      <c r="C275">
        <f t="shared" si="11"/>
        <v>2021</v>
      </c>
      <c r="W275" s="19">
        <v>3.18</v>
      </c>
      <c r="X275" s="14">
        <v>2.1179202871856706E-2</v>
      </c>
      <c r="Y275" s="11">
        <v>1</v>
      </c>
    </row>
    <row r="276" spans="1:25" x14ac:dyDescent="0.35">
      <c r="A276" s="16">
        <v>44533</v>
      </c>
      <c r="B276" s="9">
        <v>349</v>
      </c>
      <c r="C276">
        <f t="shared" si="11"/>
        <v>2021</v>
      </c>
      <c r="W276" s="19">
        <v>3.2</v>
      </c>
      <c r="X276" s="14">
        <v>3.7499999999999999E-2</v>
      </c>
      <c r="Y276" s="11">
        <v>9</v>
      </c>
    </row>
    <row r="277" spans="1:25" x14ac:dyDescent="0.35">
      <c r="A277" s="16">
        <v>44532</v>
      </c>
      <c r="B277" s="9">
        <v>345</v>
      </c>
      <c r="C277">
        <f t="shared" si="11"/>
        <v>2021</v>
      </c>
      <c r="W277" s="19">
        <v>3.22</v>
      </c>
      <c r="X277" s="14">
        <v>0.03</v>
      </c>
      <c r="Y277" s="11">
        <v>1</v>
      </c>
    </row>
    <row r="278" spans="1:25" x14ac:dyDescent="0.35">
      <c r="A278" s="16">
        <v>44531</v>
      </c>
      <c r="B278" s="9">
        <v>355</v>
      </c>
      <c r="C278">
        <f t="shared" si="11"/>
        <v>2021</v>
      </c>
      <c r="W278" s="19">
        <v>3.24</v>
      </c>
      <c r="X278" s="14">
        <v>1.5442458580183019E-2</v>
      </c>
      <c r="Y278" s="11">
        <v>5</v>
      </c>
    </row>
    <row r="279" spans="1:25" x14ac:dyDescent="0.35">
      <c r="A279" s="16">
        <v>44530</v>
      </c>
      <c r="B279" s="9">
        <v>366</v>
      </c>
      <c r="C279">
        <f t="shared" si="11"/>
        <v>2021</v>
      </c>
      <c r="W279" s="19">
        <v>3.25</v>
      </c>
      <c r="X279" s="14">
        <v>6.287704603173716E-2</v>
      </c>
      <c r="Y279" s="11">
        <v>1</v>
      </c>
    </row>
    <row r="280" spans="1:25" x14ac:dyDescent="0.35">
      <c r="A280" s="16">
        <v>44529</v>
      </c>
      <c r="B280" s="9">
        <v>366</v>
      </c>
      <c r="C280">
        <f t="shared" si="11"/>
        <v>2021</v>
      </c>
      <c r="W280" s="19">
        <v>3.32</v>
      </c>
      <c r="X280" s="14">
        <v>1.55E-2</v>
      </c>
      <c r="Y280" s="11">
        <v>1</v>
      </c>
    </row>
    <row r="281" spans="1:25" x14ac:dyDescent="0.35">
      <c r="A281" s="16">
        <v>44526</v>
      </c>
      <c r="B281" s="9">
        <v>375</v>
      </c>
      <c r="C281">
        <f t="shared" si="11"/>
        <v>2021</v>
      </c>
      <c r="W281" s="19">
        <v>3.34</v>
      </c>
      <c r="X281" s="14">
        <v>1.9E-2</v>
      </c>
      <c r="Y281" s="11">
        <v>1</v>
      </c>
    </row>
    <row r="282" spans="1:25" x14ac:dyDescent="0.35">
      <c r="A282" s="16">
        <v>44525</v>
      </c>
      <c r="B282" s="9">
        <v>349</v>
      </c>
      <c r="C282">
        <f t="shared" si="11"/>
        <v>2021</v>
      </c>
      <c r="W282" s="19">
        <v>3.36</v>
      </c>
      <c r="X282" s="14">
        <v>2.7000000000000003E-2</v>
      </c>
      <c r="Y282" s="11">
        <v>1</v>
      </c>
    </row>
    <row r="283" spans="1:25" x14ac:dyDescent="0.35">
      <c r="A283" s="16">
        <v>44524</v>
      </c>
      <c r="B283" s="9">
        <v>349</v>
      </c>
      <c r="C283">
        <f t="shared" si="11"/>
        <v>2021</v>
      </c>
      <c r="W283" s="19">
        <v>3.39</v>
      </c>
      <c r="X283" s="14">
        <v>1.55E-2</v>
      </c>
      <c r="Y283" s="11">
        <v>1</v>
      </c>
    </row>
    <row r="284" spans="1:25" x14ac:dyDescent="0.35">
      <c r="A284" s="16">
        <v>44523</v>
      </c>
      <c r="B284" s="9">
        <v>345</v>
      </c>
      <c r="C284">
        <f t="shared" si="11"/>
        <v>2021</v>
      </c>
      <c r="W284" s="19">
        <v>3.46</v>
      </c>
      <c r="X284" s="14">
        <v>4.4999999999999998E-2</v>
      </c>
      <c r="Y284" s="11">
        <v>1</v>
      </c>
    </row>
    <row r="285" spans="1:25" x14ac:dyDescent="0.35">
      <c r="A285" s="16">
        <v>44522</v>
      </c>
      <c r="B285" s="9">
        <v>339</v>
      </c>
      <c r="C285">
        <f t="shared" si="11"/>
        <v>2021</v>
      </c>
      <c r="W285" s="19">
        <v>3.66</v>
      </c>
      <c r="X285" s="14">
        <v>2.6000000000000002E-2</v>
      </c>
      <c r="Y285" s="11">
        <v>1</v>
      </c>
    </row>
    <row r="286" spans="1:25" x14ac:dyDescent="0.35">
      <c r="A286" s="16">
        <v>44519</v>
      </c>
      <c r="B286" s="9">
        <v>341</v>
      </c>
      <c r="C286">
        <f t="shared" si="11"/>
        <v>2021</v>
      </c>
      <c r="W286" s="18" t="s">
        <v>672</v>
      </c>
      <c r="X286" s="14">
        <v>2.2088100875985749E-2</v>
      </c>
      <c r="Y286" s="11">
        <v>513</v>
      </c>
    </row>
    <row r="287" spans="1:25" x14ac:dyDescent="0.35">
      <c r="A287" s="16">
        <v>44518</v>
      </c>
      <c r="B287" s="9">
        <v>340</v>
      </c>
      <c r="C287">
        <f t="shared" si="11"/>
        <v>2021</v>
      </c>
    </row>
    <row r="288" spans="1:25" x14ac:dyDescent="0.35">
      <c r="A288" s="16">
        <v>44517</v>
      </c>
      <c r="B288" s="9">
        <v>338</v>
      </c>
      <c r="C288">
        <f t="shared" si="11"/>
        <v>2021</v>
      </c>
    </row>
    <row r="289" spans="1:3" x14ac:dyDescent="0.35">
      <c r="A289" s="16">
        <v>44516</v>
      </c>
      <c r="B289" s="9">
        <v>336</v>
      </c>
      <c r="C289">
        <f t="shared" si="11"/>
        <v>2021</v>
      </c>
    </row>
    <row r="290" spans="1:3" x14ac:dyDescent="0.35">
      <c r="A290" s="16">
        <v>44515</v>
      </c>
      <c r="B290" s="9">
        <v>336</v>
      </c>
      <c r="C290">
        <f t="shared" si="11"/>
        <v>2021</v>
      </c>
    </row>
    <row r="291" spans="1:3" x14ac:dyDescent="0.35">
      <c r="A291" s="16">
        <v>44512</v>
      </c>
      <c r="B291" s="9">
        <v>339</v>
      </c>
      <c r="C291">
        <f t="shared" si="11"/>
        <v>2021</v>
      </c>
    </row>
    <row r="292" spans="1:3" x14ac:dyDescent="0.35">
      <c r="A292" s="16">
        <v>44511</v>
      </c>
      <c r="B292" s="9">
        <v>338</v>
      </c>
      <c r="C292">
        <f t="shared" si="11"/>
        <v>2021</v>
      </c>
    </row>
    <row r="293" spans="1:3" x14ac:dyDescent="0.35">
      <c r="A293" s="16">
        <v>44510</v>
      </c>
      <c r="B293" s="9">
        <v>341</v>
      </c>
      <c r="C293">
        <f t="shared" si="11"/>
        <v>2021</v>
      </c>
    </row>
    <row r="294" spans="1:3" x14ac:dyDescent="0.35">
      <c r="A294" s="16">
        <v>44509</v>
      </c>
      <c r="B294" s="9">
        <v>346</v>
      </c>
      <c r="C294">
        <f t="shared" si="11"/>
        <v>2021</v>
      </c>
    </row>
    <row r="295" spans="1:3" x14ac:dyDescent="0.35">
      <c r="A295" s="16">
        <v>44508</v>
      </c>
      <c r="B295" s="9">
        <v>343</v>
      </c>
      <c r="C295">
        <f t="shared" si="11"/>
        <v>2021</v>
      </c>
    </row>
    <row r="296" spans="1:3" x14ac:dyDescent="0.35">
      <c r="A296" s="16">
        <v>44505</v>
      </c>
      <c r="B296" s="9">
        <v>355</v>
      </c>
      <c r="C296">
        <f t="shared" si="11"/>
        <v>2021</v>
      </c>
    </row>
    <row r="297" spans="1:3" x14ac:dyDescent="0.35">
      <c r="A297" s="16">
        <v>44504</v>
      </c>
      <c r="B297" s="9">
        <v>356</v>
      </c>
      <c r="C297">
        <f t="shared" si="11"/>
        <v>2021</v>
      </c>
    </row>
    <row r="298" spans="1:3" x14ac:dyDescent="0.35">
      <c r="A298" s="16">
        <v>44503</v>
      </c>
      <c r="B298" s="9">
        <v>361</v>
      </c>
      <c r="C298">
        <f t="shared" si="11"/>
        <v>2021</v>
      </c>
    </row>
    <row r="299" spans="1:3" x14ac:dyDescent="0.35">
      <c r="A299" s="16">
        <v>44502</v>
      </c>
      <c r="B299" s="9">
        <v>370</v>
      </c>
      <c r="C299">
        <f t="shared" si="11"/>
        <v>2021</v>
      </c>
    </row>
    <row r="300" spans="1:3" x14ac:dyDescent="0.35">
      <c r="A300" s="16">
        <v>44501</v>
      </c>
      <c r="B300" s="9">
        <v>366</v>
      </c>
      <c r="C300">
        <f t="shared" si="11"/>
        <v>2021</v>
      </c>
    </row>
    <row r="301" spans="1:3" x14ac:dyDescent="0.35">
      <c r="A301" s="16">
        <v>44498</v>
      </c>
      <c r="B301" s="9">
        <v>362</v>
      </c>
      <c r="C301">
        <f t="shared" si="11"/>
        <v>2021</v>
      </c>
    </row>
    <row r="302" spans="1:3" x14ac:dyDescent="0.35">
      <c r="A302" s="16">
        <v>44497</v>
      </c>
      <c r="B302" s="9">
        <v>347</v>
      </c>
      <c r="C302">
        <f t="shared" si="11"/>
        <v>2021</v>
      </c>
    </row>
    <row r="303" spans="1:3" x14ac:dyDescent="0.35">
      <c r="A303" s="16">
        <v>44496</v>
      </c>
      <c r="B303" s="9">
        <v>346</v>
      </c>
      <c r="C303">
        <f t="shared" si="11"/>
        <v>2021</v>
      </c>
    </row>
    <row r="304" spans="1:3" x14ac:dyDescent="0.35">
      <c r="A304" s="16">
        <v>44495</v>
      </c>
      <c r="B304" s="9">
        <v>346</v>
      </c>
      <c r="C304">
        <f t="shared" si="11"/>
        <v>2021</v>
      </c>
    </row>
    <row r="305" spans="1:3" x14ac:dyDescent="0.35">
      <c r="A305" s="16">
        <v>44494</v>
      </c>
      <c r="B305" s="9">
        <v>348</v>
      </c>
      <c r="C305">
        <f t="shared" si="11"/>
        <v>2021</v>
      </c>
    </row>
    <row r="306" spans="1:3" x14ac:dyDescent="0.35">
      <c r="A306" s="16">
        <v>44491</v>
      </c>
      <c r="B306" s="9">
        <v>353</v>
      </c>
      <c r="C306">
        <f t="shared" si="11"/>
        <v>2021</v>
      </c>
    </row>
    <row r="307" spans="1:3" x14ac:dyDescent="0.35">
      <c r="A307" s="16">
        <v>44490</v>
      </c>
      <c r="B307" s="9">
        <v>350</v>
      </c>
      <c r="C307">
        <f t="shared" si="11"/>
        <v>2021</v>
      </c>
    </row>
    <row r="308" spans="1:3" x14ac:dyDescent="0.35">
      <c r="A308" s="16">
        <v>44489</v>
      </c>
      <c r="B308" s="9">
        <v>336</v>
      </c>
      <c r="C308">
        <f t="shared" si="11"/>
        <v>2021</v>
      </c>
    </row>
    <row r="309" spans="1:3" x14ac:dyDescent="0.35">
      <c r="A309" s="16">
        <v>44488</v>
      </c>
      <c r="B309" s="9">
        <v>329</v>
      </c>
      <c r="C309">
        <f t="shared" si="11"/>
        <v>2021</v>
      </c>
    </row>
    <row r="310" spans="1:3" x14ac:dyDescent="0.35">
      <c r="A310" s="16">
        <v>44487</v>
      </c>
      <c r="B310" s="9">
        <v>327</v>
      </c>
      <c r="C310">
        <f t="shared" si="11"/>
        <v>2021</v>
      </c>
    </row>
    <row r="311" spans="1:3" x14ac:dyDescent="0.35">
      <c r="A311" s="16">
        <v>44484</v>
      </c>
      <c r="B311" s="9">
        <v>324</v>
      </c>
      <c r="C311">
        <f t="shared" si="11"/>
        <v>2021</v>
      </c>
    </row>
    <row r="312" spans="1:3" x14ac:dyDescent="0.35">
      <c r="A312" s="16">
        <v>44483</v>
      </c>
      <c r="B312" s="9">
        <v>328</v>
      </c>
      <c r="C312">
        <f t="shared" si="11"/>
        <v>2021</v>
      </c>
    </row>
    <row r="313" spans="1:3" x14ac:dyDescent="0.35">
      <c r="A313" s="16">
        <v>44482</v>
      </c>
      <c r="B313" s="9">
        <v>330</v>
      </c>
      <c r="C313">
        <f t="shared" si="11"/>
        <v>2021</v>
      </c>
    </row>
    <row r="314" spans="1:3" x14ac:dyDescent="0.35">
      <c r="A314" s="16">
        <v>44481</v>
      </c>
      <c r="B314" s="9">
        <v>332</v>
      </c>
      <c r="C314">
        <f t="shared" si="11"/>
        <v>2021</v>
      </c>
    </row>
    <row r="315" spans="1:3" x14ac:dyDescent="0.35">
      <c r="A315" s="16">
        <v>44480</v>
      </c>
      <c r="B315" s="9">
        <v>327</v>
      </c>
      <c r="C315">
        <f t="shared" si="11"/>
        <v>2021</v>
      </c>
    </row>
    <row r="316" spans="1:3" x14ac:dyDescent="0.35">
      <c r="A316" s="16">
        <v>44477</v>
      </c>
      <c r="B316" s="9">
        <v>326</v>
      </c>
      <c r="C316">
        <f t="shared" si="11"/>
        <v>2021</v>
      </c>
    </row>
    <row r="317" spans="1:3" x14ac:dyDescent="0.35">
      <c r="A317" s="16">
        <v>44476</v>
      </c>
      <c r="B317" s="9">
        <v>326</v>
      </c>
      <c r="C317">
        <f t="shared" si="11"/>
        <v>2021</v>
      </c>
    </row>
    <row r="318" spans="1:3" x14ac:dyDescent="0.35">
      <c r="A318" s="16">
        <v>44475</v>
      </c>
      <c r="B318" s="9">
        <v>334</v>
      </c>
      <c r="C318">
        <f t="shared" si="11"/>
        <v>2021</v>
      </c>
    </row>
    <row r="319" spans="1:3" x14ac:dyDescent="0.35">
      <c r="A319" s="16">
        <v>44474</v>
      </c>
      <c r="B319" s="9">
        <v>332</v>
      </c>
      <c r="C319">
        <f t="shared" si="11"/>
        <v>2021</v>
      </c>
    </row>
    <row r="320" spans="1:3" x14ac:dyDescent="0.35">
      <c r="A320" s="16">
        <v>44473</v>
      </c>
      <c r="B320" s="9">
        <v>334</v>
      </c>
      <c r="C320">
        <f t="shared" si="11"/>
        <v>2021</v>
      </c>
    </row>
    <row r="321" spans="1:3" x14ac:dyDescent="0.35">
      <c r="A321" s="16">
        <v>44470</v>
      </c>
      <c r="B321" s="9">
        <v>333</v>
      </c>
      <c r="C321">
        <f t="shared" si="11"/>
        <v>2021</v>
      </c>
    </row>
    <row r="322" spans="1:3" x14ac:dyDescent="0.35">
      <c r="A322" s="16">
        <v>44469</v>
      </c>
      <c r="B322" s="9">
        <v>327</v>
      </c>
      <c r="C322">
        <f t="shared" si="11"/>
        <v>2021</v>
      </c>
    </row>
    <row r="323" spans="1:3" x14ac:dyDescent="0.35">
      <c r="A323" s="16">
        <v>44468</v>
      </c>
      <c r="B323" s="9">
        <v>320</v>
      </c>
      <c r="C323">
        <f t="shared" ref="C323:C386" si="12">YEAR(A323)</f>
        <v>2021</v>
      </c>
    </row>
    <row r="324" spans="1:3" x14ac:dyDescent="0.35">
      <c r="A324" s="16">
        <v>44467</v>
      </c>
      <c r="B324" s="9">
        <v>325</v>
      </c>
      <c r="C324">
        <f t="shared" si="12"/>
        <v>2021</v>
      </c>
    </row>
    <row r="325" spans="1:3" x14ac:dyDescent="0.35">
      <c r="A325" s="16">
        <v>44466</v>
      </c>
      <c r="B325" s="9">
        <v>322</v>
      </c>
      <c r="C325">
        <f t="shared" si="12"/>
        <v>2021</v>
      </c>
    </row>
    <row r="326" spans="1:3" x14ac:dyDescent="0.35">
      <c r="A326" s="16">
        <v>44463</v>
      </c>
      <c r="B326" s="9">
        <v>320</v>
      </c>
      <c r="C326">
        <f t="shared" si="12"/>
        <v>2021</v>
      </c>
    </row>
    <row r="327" spans="1:3" x14ac:dyDescent="0.35">
      <c r="A327" s="16">
        <v>44462</v>
      </c>
      <c r="B327" s="9">
        <v>317</v>
      </c>
      <c r="C327">
        <f t="shared" si="12"/>
        <v>2021</v>
      </c>
    </row>
    <row r="328" spans="1:3" x14ac:dyDescent="0.35">
      <c r="A328" s="16">
        <v>44461</v>
      </c>
      <c r="B328" s="9">
        <v>318</v>
      </c>
      <c r="C328">
        <f t="shared" si="12"/>
        <v>2021</v>
      </c>
    </row>
    <row r="329" spans="1:3" x14ac:dyDescent="0.35">
      <c r="A329" s="16">
        <v>44460</v>
      </c>
      <c r="B329" s="9">
        <v>318</v>
      </c>
      <c r="C329">
        <f t="shared" si="12"/>
        <v>2021</v>
      </c>
    </row>
    <row r="330" spans="1:3" x14ac:dyDescent="0.35">
      <c r="A330" s="16">
        <v>44459</v>
      </c>
      <c r="B330" s="9">
        <v>322</v>
      </c>
      <c r="C330">
        <f t="shared" si="12"/>
        <v>2021</v>
      </c>
    </row>
    <row r="331" spans="1:3" x14ac:dyDescent="0.35">
      <c r="A331" s="16">
        <v>44456</v>
      </c>
      <c r="B331" s="9">
        <v>311</v>
      </c>
      <c r="C331">
        <f t="shared" si="12"/>
        <v>2021</v>
      </c>
    </row>
    <row r="332" spans="1:3" x14ac:dyDescent="0.35">
      <c r="A332" s="16">
        <v>44455</v>
      </c>
      <c r="B332" s="9">
        <v>312</v>
      </c>
      <c r="C332">
        <f t="shared" si="12"/>
        <v>2021</v>
      </c>
    </row>
    <row r="333" spans="1:3" x14ac:dyDescent="0.35">
      <c r="A333" s="16">
        <v>44454</v>
      </c>
      <c r="B333" s="9">
        <v>314</v>
      </c>
      <c r="C333">
        <f t="shared" si="12"/>
        <v>2021</v>
      </c>
    </row>
    <row r="334" spans="1:3" x14ac:dyDescent="0.35">
      <c r="A334" s="16">
        <v>44453</v>
      </c>
      <c r="B334" s="9">
        <v>318</v>
      </c>
      <c r="C334">
        <f t="shared" si="12"/>
        <v>2021</v>
      </c>
    </row>
    <row r="335" spans="1:3" x14ac:dyDescent="0.35">
      <c r="A335" s="16">
        <v>44452</v>
      </c>
      <c r="B335" s="9">
        <v>314</v>
      </c>
      <c r="C335">
        <f t="shared" si="12"/>
        <v>2021</v>
      </c>
    </row>
    <row r="336" spans="1:3" x14ac:dyDescent="0.35">
      <c r="A336" s="16">
        <v>44449</v>
      </c>
      <c r="B336" s="9">
        <v>310</v>
      </c>
      <c r="C336">
        <f t="shared" si="12"/>
        <v>2021</v>
      </c>
    </row>
    <row r="337" spans="1:3" x14ac:dyDescent="0.35">
      <c r="A337" s="16">
        <v>44448</v>
      </c>
      <c r="B337" s="9">
        <v>317</v>
      </c>
      <c r="C337">
        <f t="shared" si="12"/>
        <v>2021</v>
      </c>
    </row>
    <row r="338" spans="1:3" x14ac:dyDescent="0.35">
      <c r="A338" s="16">
        <v>44447</v>
      </c>
      <c r="B338" s="9">
        <v>312</v>
      </c>
      <c r="C338">
        <f t="shared" si="12"/>
        <v>2021</v>
      </c>
    </row>
    <row r="339" spans="1:3" x14ac:dyDescent="0.35">
      <c r="A339" s="16">
        <v>44446</v>
      </c>
      <c r="B339" s="9">
        <v>304</v>
      </c>
      <c r="C339">
        <f t="shared" si="12"/>
        <v>2021</v>
      </c>
    </row>
    <row r="340" spans="1:3" x14ac:dyDescent="0.35">
      <c r="A340" s="16">
        <v>44445</v>
      </c>
      <c r="B340" s="9">
        <v>304</v>
      </c>
      <c r="C340">
        <f t="shared" si="12"/>
        <v>2021</v>
      </c>
    </row>
    <row r="341" spans="1:3" x14ac:dyDescent="0.35">
      <c r="A341" s="16">
        <v>44442</v>
      </c>
      <c r="B341" s="9">
        <v>304</v>
      </c>
      <c r="C341">
        <f t="shared" si="12"/>
        <v>2021</v>
      </c>
    </row>
    <row r="342" spans="1:3" x14ac:dyDescent="0.35">
      <c r="A342" s="16">
        <v>44441</v>
      </c>
      <c r="B342" s="9">
        <v>305</v>
      </c>
      <c r="C342">
        <f t="shared" si="12"/>
        <v>2021</v>
      </c>
    </row>
    <row r="343" spans="1:3" x14ac:dyDescent="0.35">
      <c r="A343" s="16">
        <v>44440</v>
      </c>
      <c r="B343" s="9">
        <v>304</v>
      </c>
      <c r="C343">
        <f t="shared" si="12"/>
        <v>2021</v>
      </c>
    </row>
    <row r="344" spans="1:3" x14ac:dyDescent="0.35">
      <c r="A344" s="16">
        <v>44439</v>
      </c>
      <c r="B344" s="9">
        <v>304</v>
      </c>
      <c r="C344">
        <f t="shared" si="12"/>
        <v>2021</v>
      </c>
    </row>
    <row r="345" spans="1:3" x14ac:dyDescent="0.35">
      <c r="A345" s="16">
        <v>44438</v>
      </c>
      <c r="B345" s="9">
        <v>304</v>
      </c>
      <c r="C345">
        <f t="shared" si="12"/>
        <v>2021</v>
      </c>
    </row>
    <row r="346" spans="1:3" x14ac:dyDescent="0.35">
      <c r="A346" s="16">
        <v>44435</v>
      </c>
      <c r="B346" s="9">
        <v>309</v>
      </c>
      <c r="C346">
        <f t="shared" si="12"/>
        <v>2021</v>
      </c>
    </row>
    <row r="347" spans="1:3" x14ac:dyDescent="0.35">
      <c r="A347" s="16">
        <v>44434</v>
      </c>
      <c r="B347" s="9">
        <v>311</v>
      </c>
      <c r="C347">
        <f t="shared" si="12"/>
        <v>2021</v>
      </c>
    </row>
    <row r="348" spans="1:3" x14ac:dyDescent="0.35">
      <c r="A348" s="16">
        <v>44433</v>
      </c>
      <c r="B348" s="9">
        <v>310</v>
      </c>
      <c r="C348">
        <f t="shared" si="12"/>
        <v>2021</v>
      </c>
    </row>
    <row r="349" spans="1:3" x14ac:dyDescent="0.35">
      <c r="A349" s="16">
        <v>44432</v>
      </c>
      <c r="B349" s="9">
        <v>315</v>
      </c>
      <c r="C349">
        <f t="shared" si="12"/>
        <v>2021</v>
      </c>
    </row>
    <row r="350" spans="1:3" x14ac:dyDescent="0.35">
      <c r="A350" s="16">
        <v>44431</v>
      </c>
      <c r="B350" s="9">
        <v>318</v>
      </c>
      <c r="C350">
        <f t="shared" si="12"/>
        <v>2021</v>
      </c>
    </row>
    <row r="351" spans="1:3" x14ac:dyDescent="0.35">
      <c r="A351" s="16">
        <v>44428</v>
      </c>
      <c r="B351" s="9">
        <v>320</v>
      </c>
      <c r="C351">
        <f t="shared" si="12"/>
        <v>2021</v>
      </c>
    </row>
    <row r="352" spans="1:3" x14ac:dyDescent="0.35">
      <c r="A352" s="16">
        <v>44427</v>
      </c>
      <c r="B352" s="9">
        <v>321</v>
      </c>
      <c r="C352">
        <f t="shared" si="12"/>
        <v>2021</v>
      </c>
    </row>
    <row r="353" spans="1:3" x14ac:dyDescent="0.35">
      <c r="A353" s="16">
        <v>44426</v>
      </c>
      <c r="B353" s="9">
        <v>313</v>
      </c>
      <c r="C353">
        <f t="shared" si="12"/>
        <v>2021</v>
      </c>
    </row>
    <row r="354" spans="1:3" x14ac:dyDescent="0.35">
      <c r="A354" s="16">
        <v>44425</v>
      </c>
      <c r="B354" s="9">
        <v>309</v>
      </c>
      <c r="C354">
        <f t="shared" si="12"/>
        <v>2021</v>
      </c>
    </row>
    <row r="355" spans="1:3" x14ac:dyDescent="0.35">
      <c r="A355" s="16">
        <v>44424</v>
      </c>
      <c r="B355" s="9">
        <v>307</v>
      </c>
      <c r="C355">
        <f t="shared" si="12"/>
        <v>2021</v>
      </c>
    </row>
    <row r="356" spans="1:3" x14ac:dyDescent="0.35">
      <c r="A356" s="16">
        <v>44421</v>
      </c>
      <c r="B356" s="9">
        <v>304</v>
      </c>
      <c r="C356">
        <f t="shared" si="12"/>
        <v>2021</v>
      </c>
    </row>
    <row r="357" spans="1:3" x14ac:dyDescent="0.35">
      <c r="A357" s="16">
        <v>44420</v>
      </c>
      <c r="B357" s="9">
        <v>300</v>
      </c>
      <c r="C357">
        <f t="shared" si="12"/>
        <v>2021</v>
      </c>
    </row>
    <row r="358" spans="1:3" x14ac:dyDescent="0.35">
      <c r="A358" s="16">
        <v>44419</v>
      </c>
      <c r="B358" s="9">
        <v>301</v>
      </c>
      <c r="C358">
        <f t="shared" si="12"/>
        <v>2021</v>
      </c>
    </row>
    <row r="359" spans="1:3" x14ac:dyDescent="0.35">
      <c r="A359" s="16">
        <v>44418</v>
      </c>
      <c r="B359" s="9">
        <v>301</v>
      </c>
      <c r="C359">
        <f t="shared" si="12"/>
        <v>2021</v>
      </c>
    </row>
    <row r="360" spans="1:3" x14ac:dyDescent="0.35">
      <c r="A360" s="16">
        <v>44417</v>
      </c>
      <c r="B360" s="9">
        <v>301</v>
      </c>
      <c r="C360">
        <f t="shared" si="12"/>
        <v>2021</v>
      </c>
    </row>
    <row r="361" spans="1:3" x14ac:dyDescent="0.35">
      <c r="A361" s="16">
        <v>44414</v>
      </c>
      <c r="B361" s="9">
        <v>301</v>
      </c>
      <c r="C361">
        <f t="shared" si="12"/>
        <v>2021</v>
      </c>
    </row>
    <row r="362" spans="1:3" x14ac:dyDescent="0.35">
      <c r="A362" s="16">
        <v>44413</v>
      </c>
      <c r="B362" s="9">
        <v>301</v>
      </c>
      <c r="C362">
        <f t="shared" si="12"/>
        <v>2021</v>
      </c>
    </row>
    <row r="363" spans="1:3" x14ac:dyDescent="0.35">
      <c r="A363" s="16">
        <v>44412</v>
      </c>
      <c r="B363" s="9">
        <v>305</v>
      </c>
      <c r="C363">
        <f t="shared" si="12"/>
        <v>2021</v>
      </c>
    </row>
    <row r="364" spans="1:3" x14ac:dyDescent="0.35">
      <c r="A364" s="16">
        <v>44411</v>
      </c>
      <c r="B364" s="9">
        <v>304</v>
      </c>
      <c r="C364">
        <f t="shared" si="12"/>
        <v>2021</v>
      </c>
    </row>
    <row r="365" spans="1:3" x14ac:dyDescent="0.35">
      <c r="A365" s="16">
        <v>44410</v>
      </c>
      <c r="B365" s="9">
        <v>302</v>
      </c>
      <c r="C365">
        <f t="shared" si="12"/>
        <v>2021</v>
      </c>
    </row>
    <row r="366" spans="1:3" x14ac:dyDescent="0.35">
      <c r="A366" s="16">
        <v>44407</v>
      </c>
      <c r="B366" s="9">
        <v>300</v>
      </c>
      <c r="C366">
        <f t="shared" si="12"/>
        <v>2021</v>
      </c>
    </row>
    <row r="367" spans="1:3" x14ac:dyDescent="0.35">
      <c r="A367" s="16">
        <v>44406</v>
      </c>
      <c r="B367" s="9">
        <v>298</v>
      </c>
      <c r="C367">
        <f t="shared" si="12"/>
        <v>2021</v>
      </c>
    </row>
    <row r="368" spans="1:3" x14ac:dyDescent="0.35">
      <c r="A368" s="16">
        <v>44405</v>
      </c>
      <c r="B368" s="9">
        <v>300</v>
      </c>
      <c r="C368">
        <f t="shared" si="12"/>
        <v>2021</v>
      </c>
    </row>
    <row r="369" spans="1:3" x14ac:dyDescent="0.35">
      <c r="A369" s="16">
        <v>44404</v>
      </c>
      <c r="B369" s="9">
        <v>300</v>
      </c>
      <c r="C369">
        <f t="shared" si="12"/>
        <v>2021</v>
      </c>
    </row>
    <row r="370" spans="1:3" x14ac:dyDescent="0.35">
      <c r="A370" s="16">
        <v>44403</v>
      </c>
      <c r="B370" s="9">
        <v>294</v>
      </c>
      <c r="C370">
        <f t="shared" si="12"/>
        <v>2021</v>
      </c>
    </row>
    <row r="371" spans="1:3" x14ac:dyDescent="0.35">
      <c r="A371" s="16">
        <v>44400</v>
      </c>
      <c r="B371" s="9">
        <v>294</v>
      </c>
      <c r="C371">
        <f t="shared" si="12"/>
        <v>2021</v>
      </c>
    </row>
    <row r="372" spans="1:3" x14ac:dyDescent="0.35">
      <c r="A372" s="16">
        <v>44399</v>
      </c>
      <c r="B372" s="9">
        <v>296</v>
      </c>
      <c r="C372">
        <f t="shared" si="12"/>
        <v>2021</v>
      </c>
    </row>
    <row r="373" spans="1:3" x14ac:dyDescent="0.35">
      <c r="A373" s="16">
        <v>44398</v>
      </c>
      <c r="B373" s="9">
        <v>296</v>
      </c>
      <c r="C373">
        <f t="shared" si="12"/>
        <v>2021</v>
      </c>
    </row>
    <row r="374" spans="1:3" x14ac:dyDescent="0.35">
      <c r="A374" s="16">
        <v>44397</v>
      </c>
      <c r="B374" s="9">
        <v>299</v>
      </c>
      <c r="C374">
        <f t="shared" si="12"/>
        <v>2021</v>
      </c>
    </row>
    <row r="375" spans="1:3" x14ac:dyDescent="0.35">
      <c r="A375" s="16">
        <v>44396</v>
      </c>
      <c r="B375" s="9">
        <v>303</v>
      </c>
      <c r="C375">
        <f t="shared" si="12"/>
        <v>2021</v>
      </c>
    </row>
    <row r="376" spans="1:3" x14ac:dyDescent="0.35">
      <c r="A376" s="16">
        <v>44393</v>
      </c>
      <c r="B376" s="9">
        <v>291</v>
      </c>
      <c r="C376">
        <f t="shared" si="12"/>
        <v>2021</v>
      </c>
    </row>
    <row r="377" spans="1:3" x14ac:dyDescent="0.35">
      <c r="A377" s="16">
        <v>44392</v>
      </c>
      <c r="B377" s="9">
        <v>292</v>
      </c>
      <c r="C377">
        <f t="shared" si="12"/>
        <v>2021</v>
      </c>
    </row>
    <row r="378" spans="1:3" x14ac:dyDescent="0.35">
      <c r="A378" s="16">
        <v>44391</v>
      </c>
      <c r="B378" s="9">
        <v>289</v>
      </c>
      <c r="C378">
        <f t="shared" si="12"/>
        <v>2021</v>
      </c>
    </row>
    <row r="379" spans="1:3" x14ac:dyDescent="0.35">
      <c r="A379" s="16">
        <v>44390</v>
      </c>
      <c r="B379" s="9">
        <v>285</v>
      </c>
      <c r="C379">
        <f t="shared" si="12"/>
        <v>2021</v>
      </c>
    </row>
    <row r="380" spans="1:3" x14ac:dyDescent="0.35">
      <c r="A380" s="16">
        <v>44389</v>
      </c>
      <c r="B380" s="9">
        <v>288</v>
      </c>
      <c r="C380">
        <f t="shared" si="12"/>
        <v>2021</v>
      </c>
    </row>
    <row r="381" spans="1:3" x14ac:dyDescent="0.35">
      <c r="A381" s="16">
        <v>44386</v>
      </c>
      <c r="B381" s="9">
        <v>289</v>
      </c>
      <c r="C381">
        <f t="shared" si="12"/>
        <v>2021</v>
      </c>
    </row>
    <row r="382" spans="1:3" x14ac:dyDescent="0.35">
      <c r="A382" s="16">
        <v>44385</v>
      </c>
      <c r="B382" s="9">
        <v>294</v>
      </c>
      <c r="C382">
        <f t="shared" si="12"/>
        <v>2021</v>
      </c>
    </row>
    <row r="383" spans="1:3" x14ac:dyDescent="0.35">
      <c r="A383" s="16">
        <v>44384</v>
      </c>
      <c r="B383" s="9">
        <v>291</v>
      </c>
      <c r="C383">
        <f t="shared" si="12"/>
        <v>2021</v>
      </c>
    </row>
    <row r="384" spans="1:3" x14ac:dyDescent="0.35">
      <c r="A384" s="16">
        <v>44383</v>
      </c>
      <c r="B384" s="9">
        <v>287</v>
      </c>
      <c r="C384">
        <f t="shared" si="12"/>
        <v>2021</v>
      </c>
    </row>
    <row r="385" spans="1:3" x14ac:dyDescent="0.35">
      <c r="A385" s="16">
        <v>44382</v>
      </c>
      <c r="B385" s="9">
        <v>279</v>
      </c>
      <c r="C385">
        <f t="shared" si="12"/>
        <v>2021</v>
      </c>
    </row>
    <row r="386" spans="1:3" x14ac:dyDescent="0.35">
      <c r="A386" s="16">
        <v>44379</v>
      </c>
      <c r="B386" s="9">
        <v>279</v>
      </c>
      <c r="C386">
        <f t="shared" si="12"/>
        <v>2021</v>
      </c>
    </row>
    <row r="387" spans="1:3" x14ac:dyDescent="0.35">
      <c r="A387" s="16">
        <v>44378</v>
      </c>
      <c r="B387" s="9">
        <v>276</v>
      </c>
      <c r="C387">
        <f t="shared" ref="C387:C450" si="13">YEAR(A387)</f>
        <v>2021</v>
      </c>
    </row>
    <row r="388" spans="1:3" x14ac:dyDescent="0.35">
      <c r="A388" s="16">
        <v>44377</v>
      </c>
      <c r="B388" s="9">
        <v>275</v>
      </c>
      <c r="C388">
        <f t="shared" si="13"/>
        <v>2021</v>
      </c>
    </row>
    <row r="389" spans="1:3" x14ac:dyDescent="0.35">
      <c r="A389" s="16">
        <v>44376</v>
      </c>
      <c r="B389" s="9">
        <v>270</v>
      </c>
      <c r="C389">
        <f t="shared" si="13"/>
        <v>2021</v>
      </c>
    </row>
    <row r="390" spans="1:3" x14ac:dyDescent="0.35">
      <c r="A390" s="16">
        <v>44375</v>
      </c>
      <c r="B390" s="9">
        <v>266</v>
      </c>
      <c r="C390">
        <f t="shared" si="13"/>
        <v>2021</v>
      </c>
    </row>
    <row r="391" spans="1:3" x14ac:dyDescent="0.35">
      <c r="A391" s="16">
        <v>44372</v>
      </c>
      <c r="B391" s="9">
        <v>262</v>
      </c>
      <c r="C391">
        <f t="shared" si="13"/>
        <v>2021</v>
      </c>
    </row>
    <row r="392" spans="1:3" x14ac:dyDescent="0.35">
      <c r="A392" s="16">
        <v>44371</v>
      </c>
      <c r="B392" s="9">
        <v>265</v>
      </c>
      <c r="C392">
        <f t="shared" si="13"/>
        <v>2021</v>
      </c>
    </row>
    <row r="393" spans="1:3" x14ac:dyDescent="0.35">
      <c r="A393" s="16">
        <v>44370</v>
      </c>
      <c r="B393" s="9">
        <v>264</v>
      </c>
      <c r="C393">
        <f t="shared" si="13"/>
        <v>2021</v>
      </c>
    </row>
    <row r="394" spans="1:3" x14ac:dyDescent="0.35">
      <c r="A394" s="16">
        <v>44369</v>
      </c>
      <c r="B394" s="9">
        <v>267</v>
      </c>
      <c r="C394">
        <f t="shared" si="13"/>
        <v>2021</v>
      </c>
    </row>
    <row r="395" spans="1:3" x14ac:dyDescent="0.35">
      <c r="A395" s="16">
        <v>44368</v>
      </c>
      <c r="B395" s="9">
        <v>263</v>
      </c>
      <c r="C395">
        <f t="shared" si="13"/>
        <v>2021</v>
      </c>
    </row>
    <row r="396" spans="1:3" x14ac:dyDescent="0.35">
      <c r="A396" s="16">
        <v>44365</v>
      </c>
      <c r="B396" s="9">
        <v>267</v>
      </c>
      <c r="C396">
        <f t="shared" si="13"/>
        <v>2021</v>
      </c>
    </row>
    <row r="397" spans="1:3" x14ac:dyDescent="0.35">
      <c r="A397" s="16">
        <v>44364</v>
      </c>
      <c r="B397" s="9">
        <v>263</v>
      </c>
      <c r="C397">
        <f t="shared" si="13"/>
        <v>2021</v>
      </c>
    </row>
    <row r="398" spans="1:3" x14ac:dyDescent="0.35">
      <c r="A398" s="16">
        <v>44363</v>
      </c>
      <c r="B398" s="9">
        <v>266</v>
      </c>
      <c r="C398">
        <f t="shared" si="13"/>
        <v>2021</v>
      </c>
    </row>
    <row r="399" spans="1:3" x14ac:dyDescent="0.35">
      <c r="A399" s="16">
        <v>44362</v>
      </c>
      <c r="B399" s="9">
        <v>266</v>
      </c>
      <c r="C399">
        <f t="shared" si="13"/>
        <v>2021</v>
      </c>
    </row>
    <row r="400" spans="1:3" x14ac:dyDescent="0.35">
      <c r="A400" s="16">
        <v>44361</v>
      </c>
      <c r="B400" s="9">
        <v>263</v>
      </c>
      <c r="C400">
        <f t="shared" si="13"/>
        <v>2021</v>
      </c>
    </row>
    <row r="401" spans="1:3" x14ac:dyDescent="0.35">
      <c r="A401" s="16">
        <v>44358</v>
      </c>
      <c r="B401" s="9">
        <v>262</v>
      </c>
      <c r="C401">
        <f t="shared" si="13"/>
        <v>2021</v>
      </c>
    </row>
    <row r="402" spans="1:3" x14ac:dyDescent="0.35">
      <c r="A402" s="16">
        <v>44357</v>
      </c>
      <c r="B402" s="9">
        <v>266</v>
      </c>
      <c r="C402">
        <f t="shared" si="13"/>
        <v>2021</v>
      </c>
    </row>
    <row r="403" spans="1:3" x14ac:dyDescent="0.35">
      <c r="A403" s="16">
        <v>44356</v>
      </c>
      <c r="B403" s="9">
        <v>264</v>
      </c>
      <c r="C403">
        <f t="shared" si="13"/>
        <v>2021</v>
      </c>
    </row>
    <row r="404" spans="1:3" x14ac:dyDescent="0.35">
      <c r="A404" s="16">
        <v>44355</v>
      </c>
      <c r="B404" s="9">
        <v>263</v>
      </c>
      <c r="C404">
        <f t="shared" si="13"/>
        <v>2021</v>
      </c>
    </row>
    <row r="405" spans="1:3" x14ac:dyDescent="0.35">
      <c r="A405" s="16">
        <v>44354</v>
      </c>
      <c r="B405" s="9">
        <v>261</v>
      </c>
      <c r="C405">
        <f t="shared" si="13"/>
        <v>2021</v>
      </c>
    </row>
    <row r="406" spans="1:3" x14ac:dyDescent="0.35">
      <c r="A406" s="16">
        <v>44351</v>
      </c>
      <c r="B406" s="9">
        <v>263</v>
      </c>
      <c r="C406">
        <f t="shared" si="13"/>
        <v>2021</v>
      </c>
    </row>
    <row r="407" spans="1:3" x14ac:dyDescent="0.35">
      <c r="A407" s="16">
        <v>44350</v>
      </c>
      <c r="B407" s="9">
        <v>260</v>
      </c>
      <c r="C407">
        <f t="shared" si="13"/>
        <v>2021</v>
      </c>
    </row>
    <row r="408" spans="1:3" x14ac:dyDescent="0.35">
      <c r="A408" s="16">
        <v>44349</v>
      </c>
      <c r="B408" s="9">
        <v>258</v>
      </c>
      <c r="C408">
        <f t="shared" si="13"/>
        <v>2021</v>
      </c>
    </row>
    <row r="409" spans="1:3" x14ac:dyDescent="0.35">
      <c r="A409" s="16">
        <v>44348</v>
      </c>
      <c r="B409" s="9">
        <v>260</v>
      </c>
      <c r="C409">
        <f t="shared" si="13"/>
        <v>2021</v>
      </c>
    </row>
    <row r="410" spans="1:3" x14ac:dyDescent="0.35">
      <c r="A410" s="16">
        <v>44347</v>
      </c>
      <c r="B410" s="9">
        <v>262</v>
      </c>
      <c r="C410">
        <f t="shared" si="13"/>
        <v>2021</v>
      </c>
    </row>
    <row r="411" spans="1:3" x14ac:dyDescent="0.35">
      <c r="A411" s="16">
        <v>44344</v>
      </c>
      <c r="B411" s="9">
        <v>261</v>
      </c>
      <c r="C411">
        <f t="shared" si="13"/>
        <v>2021</v>
      </c>
    </row>
    <row r="412" spans="1:3" x14ac:dyDescent="0.35">
      <c r="A412" s="16">
        <v>44343</v>
      </c>
      <c r="B412" s="9">
        <v>264</v>
      </c>
      <c r="C412">
        <f t="shared" si="13"/>
        <v>2021</v>
      </c>
    </row>
    <row r="413" spans="1:3" x14ac:dyDescent="0.35">
      <c r="A413" s="16">
        <v>44342</v>
      </c>
      <c r="B413" s="9">
        <v>265</v>
      </c>
      <c r="C413">
        <f t="shared" si="13"/>
        <v>2021</v>
      </c>
    </row>
    <row r="414" spans="1:3" x14ac:dyDescent="0.35">
      <c r="A414" s="16">
        <v>44341</v>
      </c>
      <c r="B414" s="9">
        <v>271</v>
      </c>
      <c r="C414">
        <f t="shared" si="13"/>
        <v>2021</v>
      </c>
    </row>
    <row r="415" spans="1:3" x14ac:dyDescent="0.35">
      <c r="A415" s="16">
        <v>44340</v>
      </c>
      <c r="B415" s="9">
        <v>268</v>
      </c>
      <c r="C415">
        <f t="shared" si="13"/>
        <v>2021</v>
      </c>
    </row>
    <row r="416" spans="1:3" x14ac:dyDescent="0.35">
      <c r="A416" s="16">
        <v>44337</v>
      </c>
      <c r="B416" s="9">
        <v>266</v>
      </c>
      <c r="C416">
        <f t="shared" si="13"/>
        <v>2021</v>
      </c>
    </row>
    <row r="417" spans="1:3" x14ac:dyDescent="0.35">
      <c r="A417" s="16">
        <v>44336</v>
      </c>
      <c r="B417" s="9">
        <v>266</v>
      </c>
      <c r="C417">
        <f t="shared" si="13"/>
        <v>2021</v>
      </c>
    </row>
    <row r="418" spans="1:3" x14ac:dyDescent="0.35">
      <c r="A418" s="16">
        <v>44335</v>
      </c>
      <c r="B418" s="9">
        <v>262</v>
      </c>
      <c r="C418">
        <f t="shared" si="13"/>
        <v>2021</v>
      </c>
    </row>
    <row r="419" spans="1:3" x14ac:dyDescent="0.35">
      <c r="A419" s="16">
        <v>44334</v>
      </c>
      <c r="B419" s="9">
        <v>260</v>
      </c>
      <c r="C419">
        <f t="shared" si="13"/>
        <v>2021</v>
      </c>
    </row>
    <row r="420" spans="1:3" x14ac:dyDescent="0.35">
      <c r="A420" s="16">
        <v>44333</v>
      </c>
      <c r="B420" s="9">
        <v>260</v>
      </c>
      <c r="C420">
        <f t="shared" si="13"/>
        <v>2021</v>
      </c>
    </row>
    <row r="421" spans="1:3" x14ac:dyDescent="0.35">
      <c r="A421" s="16">
        <v>44330</v>
      </c>
      <c r="B421" s="9">
        <v>258</v>
      </c>
      <c r="C421">
        <f t="shared" si="13"/>
        <v>2021</v>
      </c>
    </row>
    <row r="422" spans="1:3" x14ac:dyDescent="0.35">
      <c r="A422" s="16">
        <v>44329</v>
      </c>
      <c r="B422" s="9">
        <v>257</v>
      </c>
      <c r="C422">
        <f t="shared" si="13"/>
        <v>2021</v>
      </c>
    </row>
    <row r="423" spans="1:3" x14ac:dyDescent="0.35">
      <c r="A423" s="16">
        <v>44328</v>
      </c>
      <c r="B423" s="9">
        <v>256</v>
      </c>
      <c r="C423">
        <f t="shared" si="13"/>
        <v>2021</v>
      </c>
    </row>
    <row r="424" spans="1:3" x14ac:dyDescent="0.35">
      <c r="A424" s="16">
        <v>44327</v>
      </c>
      <c r="B424" s="9">
        <v>256</v>
      </c>
      <c r="C424">
        <f t="shared" si="13"/>
        <v>2021</v>
      </c>
    </row>
    <row r="425" spans="1:3" x14ac:dyDescent="0.35">
      <c r="A425" s="16">
        <v>44326</v>
      </c>
      <c r="B425" s="9">
        <v>254</v>
      </c>
      <c r="C425">
        <f t="shared" si="13"/>
        <v>2021</v>
      </c>
    </row>
    <row r="426" spans="1:3" x14ac:dyDescent="0.35">
      <c r="A426" s="16">
        <v>44323</v>
      </c>
      <c r="B426" s="9">
        <v>261</v>
      </c>
      <c r="C426">
        <f t="shared" si="13"/>
        <v>2021</v>
      </c>
    </row>
    <row r="427" spans="1:3" x14ac:dyDescent="0.35">
      <c r="A427" s="16">
        <v>44322</v>
      </c>
      <c r="B427" s="9">
        <v>272</v>
      </c>
      <c r="C427">
        <f t="shared" si="13"/>
        <v>2021</v>
      </c>
    </row>
    <row r="428" spans="1:3" x14ac:dyDescent="0.35">
      <c r="A428" s="16">
        <v>44321</v>
      </c>
      <c r="B428" s="9">
        <v>276</v>
      </c>
      <c r="C428">
        <f t="shared" si="13"/>
        <v>2021</v>
      </c>
    </row>
    <row r="429" spans="1:3" x14ac:dyDescent="0.35">
      <c r="A429" s="16">
        <v>44320</v>
      </c>
      <c r="B429" s="9">
        <v>277</v>
      </c>
      <c r="C429">
        <f t="shared" si="13"/>
        <v>2021</v>
      </c>
    </row>
    <row r="430" spans="1:3" x14ac:dyDescent="0.35">
      <c r="A430" s="16">
        <v>44319</v>
      </c>
      <c r="B430" s="9">
        <v>277</v>
      </c>
      <c r="C430">
        <f t="shared" si="13"/>
        <v>2021</v>
      </c>
    </row>
    <row r="431" spans="1:3" x14ac:dyDescent="0.35">
      <c r="A431" s="16">
        <v>44316</v>
      </c>
      <c r="B431" s="9">
        <v>277</v>
      </c>
      <c r="C431">
        <f t="shared" si="13"/>
        <v>2021</v>
      </c>
    </row>
    <row r="432" spans="1:3" x14ac:dyDescent="0.35">
      <c r="A432" s="16">
        <v>44315</v>
      </c>
      <c r="B432" s="9">
        <v>277</v>
      </c>
      <c r="C432">
        <f t="shared" si="13"/>
        <v>2021</v>
      </c>
    </row>
    <row r="433" spans="1:3" x14ac:dyDescent="0.35">
      <c r="A433" s="16">
        <v>44314</v>
      </c>
      <c r="B433" s="9">
        <v>281</v>
      </c>
      <c r="C433">
        <f t="shared" si="13"/>
        <v>2021</v>
      </c>
    </row>
    <row r="434" spans="1:3" x14ac:dyDescent="0.35">
      <c r="A434" s="16">
        <v>44313</v>
      </c>
      <c r="B434" s="9">
        <v>282</v>
      </c>
      <c r="C434">
        <f t="shared" si="13"/>
        <v>2021</v>
      </c>
    </row>
    <row r="435" spans="1:3" x14ac:dyDescent="0.35">
      <c r="A435" s="16">
        <v>44312</v>
      </c>
      <c r="B435" s="9">
        <v>283</v>
      </c>
      <c r="C435">
        <f t="shared" si="13"/>
        <v>2021</v>
      </c>
    </row>
    <row r="436" spans="1:3" x14ac:dyDescent="0.35">
      <c r="A436" s="16">
        <v>44309</v>
      </c>
      <c r="B436" s="9">
        <v>283</v>
      </c>
      <c r="C436">
        <f t="shared" si="13"/>
        <v>2021</v>
      </c>
    </row>
    <row r="437" spans="1:3" x14ac:dyDescent="0.35">
      <c r="A437" s="16">
        <v>44308</v>
      </c>
      <c r="B437" s="9">
        <v>287</v>
      </c>
      <c r="C437">
        <f t="shared" si="13"/>
        <v>2021</v>
      </c>
    </row>
    <row r="438" spans="1:3" x14ac:dyDescent="0.35">
      <c r="A438" s="16">
        <v>44307</v>
      </c>
      <c r="B438" s="9">
        <v>286</v>
      </c>
      <c r="C438">
        <f t="shared" si="13"/>
        <v>2021</v>
      </c>
    </row>
    <row r="439" spans="1:3" x14ac:dyDescent="0.35">
      <c r="A439" s="16">
        <v>44306</v>
      </c>
      <c r="B439" s="9">
        <v>286</v>
      </c>
      <c r="C439">
        <f t="shared" si="13"/>
        <v>2021</v>
      </c>
    </row>
    <row r="440" spans="1:3" x14ac:dyDescent="0.35">
      <c r="A440" s="16">
        <v>44305</v>
      </c>
      <c r="B440" s="9">
        <v>281</v>
      </c>
      <c r="C440">
        <f t="shared" si="13"/>
        <v>2021</v>
      </c>
    </row>
    <row r="441" spans="1:3" x14ac:dyDescent="0.35">
      <c r="A441" s="16">
        <v>44302</v>
      </c>
      <c r="B441" s="9">
        <v>285</v>
      </c>
      <c r="C441">
        <f t="shared" si="13"/>
        <v>2021</v>
      </c>
    </row>
    <row r="442" spans="1:3" x14ac:dyDescent="0.35">
      <c r="A442" s="16">
        <v>44301</v>
      </c>
      <c r="B442" s="9">
        <v>290</v>
      </c>
      <c r="C442">
        <f t="shared" si="13"/>
        <v>2021</v>
      </c>
    </row>
    <row r="443" spans="1:3" x14ac:dyDescent="0.35">
      <c r="A443" s="16">
        <v>44300</v>
      </c>
      <c r="B443" s="9">
        <v>291</v>
      </c>
      <c r="C443">
        <f t="shared" si="13"/>
        <v>2021</v>
      </c>
    </row>
    <row r="444" spans="1:3" x14ac:dyDescent="0.35">
      <c r="A444" s="16">
        <v>44299</v>
      </c>
      <c r="B444" s="9">
        <v>296</v>
      </c>
      <c r="C444">
        <f t="shared" si="13"/>
        <v>2021</v>
      </c>
    </row>
    <row r="445" spans="1:3" x14ac:dyDescent="0.35">
      <c r="A445" s="16">
        <v>44298</v>
      </c>
      <c r="B445" s="9">
        <v>292</v>
      </c>
      <c r="C445">
        <f t="shared" si="13"/>
        <v>2021</v>
      </c>
    </row>
    <row r="446" spans="1:3" x14ac:dyDescent="0.35">
      <c r="A446" s="16">
        <v>44295</v>
      </c>
      <c r="B446" s="9">
        <v>289</v>
      </c>
      <c r="C446">
        <f t="shared" si="13"/>
        <v>2021</v>
      </c>
    </row>
    <row r="447" spans="1:3" x14ac:dyDescent="0.35">
      <c r="A447" s="16">
        <v>44294</v>
      </c>
      <c r="B447" s="9">
        <v>289</v>
      </c>
      <c r="C447">
        <f t="shared" si="13"/>
        <v>2021</v>
      </c>
    </row>
    <row r="448" spans="1:3" x14ac:dyDescent="0.35">
      <c r="A448" s="16">
        <v>44293</v>
      </c>
      <c r="B448" s="9">
        <v>286</v>
      </c>
      <c r="C448">
        <f t="shared" si="13"/>
        <v>2021</v>
      </c>
    </row>
    <row r="449" spans="1:3" x14ac:dyDescent="0.35">
      <c r="A449" s="16">
        <v>44292</v>
      </c>
      <c r="B449" s="9">
        <v>288</v>
      </c>
      <c r="C449">
        <f t="shared" si="13"/>
        <v>2021</v>
      </c>
    </row>
    <row r="450" spans="1:3" x14ac:dyDescent="0.35">
      <c r="A450" s="16">
        <v>44291</v>
      </c>
      <c r="B450" s="9">
        <v>289</v>
      </c>
      <c r="C450">
        <f t="shared" si="13"/>
        <v>2021</v>
      </c>
    </row>
    <row r="451" spans="1:3" x14ac:dyDescent="0.35">
      <c r="A451" s="16">
        <v>44287</v>
      </c>
      <c r="B451" s="9">
        <v>292</v>
      </c>
      <c r="C451">
        <f t="shared" ref="C451:C514" si="14">YEAR(A451)</f>
        <v>2021</v>
      </c>
    </row>
    <row r="452" spans="1:3" x14ac:dyDescent="0.35">
      <c r="A452" s="16">
        <v>44286</v>
      </c>
      <c r="B452" s="9">
        <v>290</v>
      </c>
      <c r="C452">
        <f t="shared" si="14"/>
        <v>2021</v>
      </c>
    </row>
    <row r="453" spans="1:3" x14ac:dyDescent="0.35">
      <c r="A453" s="16">
        <v>44285</v>
      </c>
      <c r="B453" s="9">
        <v>299</v>
      </c>
      <c r="C453">
        <f t="shared" si="14"/>
        <v>2021</v>
      </c>
    </row>
    <row r="454" spans="1:3" x14ac:dyDescent="0.35">
      <c r="A454" s="16">
        <v>44284</v>
      </c>
      <c r="B454" s="9">
        <v>295</v>
      </c>
      <c r="C454">
        <f t="shared" si="14"/>
        <v>2021</v>
      </c>
    </row>
    <row r="455" spans="1:3" x14ac:dyDescent="0.35">
      <c r="A455" s="16">
        <v>44281</v>
      </c>
      <c r="B455" s="9">
        <v>299</v>
      </c>
      <c r="C455">
        <f t="shared" si="14"/>
        <v>2021</v>
      </c>
    </row>
    <row r="456" spans="1:3" x14ac:dyDescent="0.35">
      <c r="A456" s="16">
        <v>44280</v>
      </c>
      <c r="B456" s="9">
        <v>301</v>
      </c>
      <c r="C456">
        <f t="shared" si="14"/>
        <v>2021</v>
      </c>
    </row>
    <row r="457" spans="1:3" x14ac:dyDescent="0.35">
      <c r="A457" s="16">
        <v>44279</v>
      </c>
      <c r="B457" s="9">
        <v>294</v>
      </c>
      <c r="C457">
        <f t="shared" si="14"/>
        <v>2021</v>
      </c>
    </row>
    <row r="458" spans="1:3" x14ac:dyDescent="0.35">
      <c r="A458" s="16">
        <v>44278</v>
      </c>
      <c r="B458" s="9">
        <v>289</v>
      </c>
      <c r="C458">
        <f t="shared" si="14"/>
        <v>2021</v>
      </c>
    </row>
    <row r="459" spans="1:3" x14ac:dyDescent="0.35">
      <c r="A459" s="16">
        <v>44277</v>
      </c>
      <c r="B459" s="9">
        <v>289</v>
      </c>
      <c r="C459">
        <f t="shared" si="14"/>
        <v>2021</v>
      </c>
    </row>
    <row r="460" spans="1:3" x14ac:dyDescent="0.35">
      <c r="A460" s="16">
        <v>44274</v>
      </c>
      <c r="B460" s="9">
        <v>288</v>
      </c>
      <c r="C460">
        <f t="shared" si="14"/>
        <v>2021</v>
      </c>
    </row>
    <row r="461" spans="1:3" x14ac:dyDescent="0.35">
      <c r="A461" s="16">
        <v>44273</v>
      </c>
      <c r="B461" s="9">
        <v>289</v>
      </c>
      <c r="C461">
        <f t="shared" si="14"/>
        <v>2021</v>
      </c>
    </row>
    <row r="462" spans="1:3" x14ac:dyDescent="0.35">
      <c r="A462" s="16">
        <v>44272</v>
      </c>
      <c r="B462" s="9">
        <v>294</v>
      </c>
      <c r="C462">
        <f t="shared" si="14"/>
        <v>2021</v>
      </c>
    </row>
    <row r="463" spans="1:3" x14ac:dyDescent="0.35">
      <c r="A463" s="16">
        <v>44271</v>
      </c>
      <c r="B463" s="9">
        <v>295</v>
      </c>
      <c r="C463">
        <f t="shared" si="14"/>
        <v>2021</v>
      </c>
    </row>
    <row r="464" spans="1:3" x14ac:dyDescent="0.35">
      <c r="A464" s="16">
        <v>44270</v>
      </c>
      <c r="B464" s="9">
        <v>302</v>
      </c>
      <c r="C464">
        <f t="shared" si="14"/>
        <v>2021</v>
      </c>
    </row>
    <row r="465" spans="1:3" x14ac:dyDescent="0.35">
      <c r="A465" s="16">
        <v>44267</v>
      </c>
      <c r="B465" s="9">
        <v>302</v>
      </c>
      <c r="C465">
        <f t="shared" si="14"/>
        <v>2021</v>
      </c>
    </row>
    <row r="466" spans="1:3" x14ac:dyDescent="0.35">
      <c r="A466" s="16">
        <v>44266</v>
      </c>
      <c r="B466" s="9">
        <v>310</v>
      </c>
      <c r="C466">
        <f t="shared" si="14"/>
        <v>2021</v>
      </c>
    </row>
    <row r="467" spans="1:3" x14ac:dyDescent="0.35">
      <c r="A467" s="16">
        <v>44265</v>
      </c>
      <c r="B467" s="9">
        <v>320</v>
      </c>
      <c r="C467">
        <f t="shared" si="14"/>
        <v>2021</v>
      </c>
    </row>
    <row r="468" spans="1:3" x14ac:dyDescent="0.35">
      <c r="A468" s="16">
        <v>44264</v>
      </c>
      <c r="B468" s="9">
        <v>324</v>
      </c>
      <c r="C468">
        <f t="shared" si="14"/>
        <v>2021</v>
      </c>
    </row>
    <row r="469" spans="1:3" x14ac:dyDescent="0.35">
      <c r="A469" s="16">
        <v>44263</v>
      </c>
      <c r="B469" s="9">
        <v>323</v>
      </c>
      <c r="C469">
        <f t="shared" si="14"/>
        <v>2021</v>
      </c>
    </row>
    <row r="470" spans="1:3" x14ac:dyDescent="0.35">
      <c r="A470" s="16">
        <v>44260</v>
      </c>
      <c r="B470" s="9">
        <v>306</v>
      </c>
      <c r="C470">
        <f t="shared" si="14"/>
        <v>2021</v>
      </c>
    </row>
    <row r="471" spans="1:3" x14ac:dyDescent="0.35">
      <c r="A471" s="16">
        <v>44259</v>
      </c>
      <c r="B471" s="9">
        <v>299</v>
      </c>
      <c r="C471">
        <f t="shared" si="14"/>
        <v>2021</v>
      </c>
    </row>
    <row r="472" spans="1:3" x14ac:dyDescent="0.35">
      <c r="A472" s="16">
        <v>44258</v>
      </c>
      <c r="B472" s="9">
        <v>304</v>
      </c>
      <c r="C472">
        <f t="shared" si="14"/>
        <v>2021</v>
      </c>
    </row>
    <row r="473" spans="1:3" x14ac:dyDescent="0.35">
      <c r="A473" s="16">
        <v>44257</v>
      </c>
      <c r="B473" s="9">
        <v>303</v>
      </c>
      <c r="C473">
        <f t="shared" si="14"/>
        <v>2021</v>
      </c>
    </row>
    <row r="474" spans="1:3" x14ac:dyDescent="0.35">
      <c r="A474" s="16">
        <v>44256</v>
      </c>
      <c r="B474" s="9">
        <v>296</v>
      </c>
      <c r="C474">
        <f t="shared" si="14"/>
        <v>2021</v>
      </c>
    </row>
    <row r="475" spans="1:3" x14ac:dyDescent="0.35">
      <c r="A475" s="16">
        <v>44253</v>
      </c>
      <c r="B475" s="9">
        <v>299</v>
      </c>
      <c r="C475">
        <f t="shared" si="14"/>
        <v>2021</v>
      </c>
    </row>
    <row r="476" spans="1:3" x14ac:dyDescent="0.35">
      <c r="A476" s="16">
        <v>44252</v>
      </c>
      <c r="B476" s="9">
        <v>285</v>
      </c>
      <c r="C476">
        <f t="shared" si="14"/>
        <v>2021</v>
      </c>
    </row>
    <row r="477" spans="1:3" x14ac:dyDescent="0.35">
      <c r="A477" s="16">
        <v>44251</v>
      </c>
      <c r="B477" s="9">
        <v>280</v>
      </c>
      <c r="C477">
        <f t="shared" si="14"/>
        <v>2021</v>
      </c>
    </row>
    <row r="478" spans="1:3" x14ac:dyDescent="0.35">
      <c r="A478" s="16">
        <v>44250</v>
      </c>
      <c r="B478" s="9">
        <v>288</v>
      </c>
      <c r="C478">
        <f t="shared" si="14"/>
        <v>2021</v>
      </c>
    </row>
    <row r="479" spans="1:3" x14ac:dyDescent="0.35">
      <c r="A479" s="16">
        <v>44249</v>
      </c>
      <c r="B479" s="9">
        <v>292</v>
      </c>
      <c r="C479">
        <f t="shared" si="14"/>
        <v>2021</v>
      </c>
    </row>
    <row r="480" spans="1:3" x14ac:dyDescent="0.35">
      <c r="A480" s="16">
        <v>44246</v>
      </c>
      <c r="B480" s="9">
        <v>274</v>
      </c>
      <c r="C480">
        <f t="shared" si="14"/>
        <v>2021</v>
      </c>
    </row>
    <row r="481" spans="1:3" x14ac:dyDescent="0.35">
      <c r="A481" s="16">
        <v>44245</v>
      </c>
      <c r="B481" s="9">
        <v>279</v>
      </c>
      <c r="C481">
        <f t="shared" si="14"/>
        <v>2021</v>
      </c>
    </row>
    <row r="482" spans="1:3" x14ac:dyDescent="0.35">
      <c r="A482" s="16">
        <v>44244</v>
      </c>
      <c r="B482" s="9">
        <v>271</v>
      </c>
      <c r="C482">
        <f t="shared" si="14"/>
        <v>2021</v>
      </c>
    </row>
    <row r="483" spans="1:3" x14ac:dyDescent="0.35">
      <c r="A483" s="16">
        <v>44243</v>
      </c>
      <c r="B483" s="9">
        <v>270</v>
      </c>
      <c r="C483">
        <f t="shared" si="14"/>
        <v>2021</v>
      </c>
    </row>
    <row r="484" spans="1:3" x14ac:dyDescent="0.35">
      <c r="A484" s="16">
        <v>44242</v>
      </c>
      <c r="B484" s="9">
        <v>269</v>
      </c>
      <c r="C484">
        <f t="shared" si="14"/>
        <v>2021</v>
      </c>
    </row>
    <row r="485" spans="1:3" x14ac:dyDescent="0.35">
      <c r="A485" s="16">
        <v>44239</v>
      </c>
      <c r="B485" s="9">
        <v>269</v>
      </c>
      <c r="C485">
        <f t="shared" si="14"/>
        <v>2021</v>
      </c>
    </row>
    <row r="486" spans="1:3" x14ac:dyDescent="0.35">
      <c r="A486" s="16">
        <v>44238</v>
      </c>
      <c r="B486" s="9">
        <v>271</v>
      </c>
      <c r="C486">
        <f t="shared" si="14"/>
        <v>2021</v>
      </c>
    </row>
    <row r="487" spans="1:3" x14ac:dyDescent="0.35">
      <c r="A487" s="16">
        <v>44237</v>
      </c>
      <c r="B487" s="9">
        <v>273</v>
      </c>
      <c r="C487">
        <f t="shared" si="14"/>
        <v>2021</v>
      </c>
    </row>
    <row r="488" spans="1:3" x14ac:dyDescent="0.35">
      <c r="A488" s="16">
        <v>44236</v>
      </c>
      <c r="B488" s="9">
        <v>270</v>
      </c>
      <c r="C488">
        <f t="shared" si="14"/>
        <v>2021</v>
      </c>
    </row>
    <row r="489" spans="1:3" x14ac:dyDescent="0.35">
      <c r="A489" s="16">
        <v>44235</v>
      </c>
      <c r="B489" s="9">
        <v>268</v>
      </c>
      <c r="C489">
        <f t="shared" si="14"/>
        <v>2021</v>
      </c>
    </row>
    <row r="490" spans="1:3" x14ac:dyDescent="0.35">
      <c r="A490" s="16">
        <v>44232</v>
      </c>
      <c r="B490" s="9">
        <v>266</v>
      </c>
      <c r="C490">
        <f t="shared" si="14"/>
        <v>2021</v>
      </c>
    </row>
    <row r="491" spans="1:3" x14ac:dyDescent="0.35">
      <c r="A491" s="16">
        <v>44231</v>
      </c>
      <c r="B491" s="9">
        <v>270</v>
      </c>
      <c r="C491">
        <f t="shared" si="14"/>
        <v>2021</v>
      </c>
    </row>
    <row r="492" spans="1:3" x14ac:dyDescent="0.35">
      <c r="A492" s="16">
        <v>44230</v>
      </c>
      <c r="B492" s="9">
        <v>276</v>
      </c>
      <c r="C492">
        <f t="shared" si="14"/>
        <v>2021</v>
      </c>
    </row>
    <row r="493" spans="1:3" x14ac:dyDescent="0.35">
      <c r="A493" s="16">
        <v>44229</v>
      </c>
      <c r="B493" s="9">
        <v>276</v>
      </c>
      <c r="C493">
        <f t="shared" si="14"/>
        <v>2021</v>
      </c>
    </row>
    <row r="494" spans="1:3" x14ac:dyDescent="0.35">
      <c r="A494" s="16">
        <v>44228</v>
      </c>
      <c r="B494" s="9">
        <v>283</v>
      </c>
      <c r="C494">
        <f t="shared" si="14"/>
        <v>2021</v>
      </c>
    </row>
    <row r="495" spans="1:3" x14ac:dyDescent="0.35">
      <c r="A495" s="16">
        <v>44225</v>
      </c>
      <c r="B495" s="9">
        <v>288</v>
      </c>
      <c r="C495">
        <f t="shared" si="14"/>
        <v>2021</v>
      </c>
    </row>
    <row r="496" spans="1:3" x14ac:dyDescent="0.35">
      <c r="A496" s="16">
        <v>44224</v>
      </c>
      <c r="B496" s="9">
        <v>287</v>
      </c>
      <c r="C496">
        <f t="shared" si="14"/>
        <v>2021</v>
      </c>
    </row>
    <row r="497" spans="1:3" x14ac:dyDescent="0.35">
      <c r="A497" s="16">
        <v>44223</v>
      </c>
      <c r="B497" s="9">
        <v>294</v>
      </c>
      <c r="C497">
        <f t="shared" si="14"/>
        <v>2021</v>
      </c>
    </row>
    <row r="498" spans="1:3" x14ac:dyDescent="0.35">
      <c r="A498" s="16">
        <v>44222</v>
      </c>
      <c r="B498" s="9">
        <v>290</v>
      </c>
      <c r="C498">
        <f t="shared" si="14"/>
        <v>2021</v>
      </c>
    </row>
    <row r="499" spans="1:3" x14ac:dyDescent="0.35">
      <c r="A499" s="16">
        <v>44221</v>
      </c>
      <c r="B499" s="9">
        <v>291</v>
      </c>
      <c r="C499">
        <f t="shared" si="14"/>
        <v>2021</v>
      </c>
    </row>
    <row r="500" spans="1:3" x14ac:dyDescent="0.35">
      <c r="A500" s="16">
        <v>44218</v>
      </c>
      <c r="B500" s="9">
        <v>287</v>
      </c>
      <c r="C500">
        <f t="shared" si="14"/>
        <v>2021</v>
      </c>
    </row>
    <row r="501" spans="1:3" x14ac:dyDescent="0.35">
      <c r="A501" s="16">
        <v>44217</v>
      </c>
      <c r="B501" s="9">
        <v>283</v>
      </c>
      <c r="C501">
        <f t="shared" si="14"/>
        <v>2021</v>
      </c>
    </row>
    <row r="502" spans="1:3" x14ac:dyDescent="0.35">
      <c r="A502" s="16">
        <v>44216</v>
      </c>
      <c r="B502" s="9">
        <v>283</v>
      </c>
      <c r="C502">
        <f t="shared" si="14"/>
        <v>2021</v>
      </c>
    </row>
    <row r="503" spans="1:3" x14ac:dyDescent="0.35">
      <c r="A503" s="16">
        <v>44215</v>
      </c>
      <c r="B503" s="9">
        <v>283</v>
      </c>
      <c r="C503">
        <f t="shared" si="14"/>
        <v>2021</v>
      </c>
    </row>
    <row r="504" spans="1:3" x14ac:dyDescent="0.35">
      <c r="A504" s="16">
        <v>44214</v>
      </c>
      <c r="B504" s="9">
        <v>280</v>
      </c>
      <c r="C504">
        <f t="shared" si="14"/>
        <v>2021</v>
      </c>
    </row>
    <row r="505" spans="1:3" x14ac:dyDescent="0.35">
      <c r="A505" s="16">
        <v>44211</v>
      </c>
      <c r="B505" s="9">
        <v>280</v>
      </c>
      <c r="C505">
        <f t="shared" si="14"/>
        <v>2021</v>
      </c>
    </row>
    <row r="506" spans="1:3" x14ac:dyDescent="0.35">
      <c r="A506" s="16">
        <v>44210</v>
      </c>
      <c r="B506" s="9">
        <v>272</v>
      </c>
      <c r="C506">
        <f t="shared" si="14"/>
        <v>2021</v>
      </c>
    </row>
    <row r="507" spans="1:3" x14ac:dyDescent="0.35">
      <c r="A507" s="16">
        <v>44209</v>
      </c>
      <c r="B507" s="9">
        <v>273</v>
      </c>
      <c r="C507">
        <f t="shared" si="14"/>
        <v>2021</v>
      </c>
    </row>
    <row r="508" spans="1:3" x14ac:dyDescent="0.35">
      <c r="A508" s="16">
        <v>44208</v>
      </c>
      <c r="B508" s="9">
        <v>273</v>
      </c>
      <c r="C508">
        <f t="shared" si="14"/>
        <v>2021</v>
      </c>
    </row>
    <row r="509" spans="1:3" x14ac:dyDescent="0.35">
      <c r="A509" s="16">
        <v>44207</v>
      </c>
      <c r="B509" s="9">
        <v>270</v>
      </c>
      <c r="C509">
        <f t="shared" si="14"/>
        <v>2021</v>
      </c>
    </row>
    <row r="510" spans="1:3" x14ac:dyDescent="0.35">
      <c r="A510" s="16">
        <v>44204</v>
      </c>
      <c r="B510" s="9">
        <v>265</v>
      </c>
      <c r="C510">
        <f t="shared" si="14"/>
        <v>2021</v>
      </c>
    </row>
    <row r="511" spans="1:3" x14ac:dyDescent="0.35">
      <c r="A511" s="16">
        <v>44203</v>
      </c>
      <c r="B511" s="9">
        <v>268</v>
      </c>
      <c r="C511">
        <f t="shared" si="14"/>
        <v>2021</v>
      </c>
    </row>
    <row r="512" spans="1:3" x14ac:dyDescent="0.35">
      <c r="A512" s="16">
        <v>44202</v>
      </c>
      <c r="B512" s="9">
        <v>266</v>
      </c>
      <c r="C512">
        <f t="shared" si="14"/>
        <v>2021</v>
      </c>
    </row>
    <row r="513" spans="1:3" x14ac:dyDescent="0.35">
      <c r="A513" s="16">
        <v>44201</v>
      </c>
      <c r="B513" s="9">
        <v>264</v>
      </c>
      <c r="C513">
        <f t="shared" si="14"/>
        <v>2021</v>
      </c>
    </row>
    <row r="514" spans="1:3" x14ac:dyDescent="0.35">
      <c r="A514" s="16">
        <v>44200</v>
      </c>
      <c r="B514" s="9">
        <v>261</v>
      </c>
      <c r="C514">
        <f t="shared" si="14"/>
        <v>2021</v>
      </c>
    </row>
    <row r="515" spans="1:3" x14ac:dyDescent="0.35">
      <c r="A515" s="16">
        <v>44196</v>
      </c>
      <c r="B515" s="9">
        <v>260</v>
      </c>
      <c r="C515">
        <f t="shared" ref="C515:C578" si="15">YEAR(A515)</f>
        <v>2020</v>
      </c>
    </row>
    <row r="516" spans="1:3" x14ac:dyDescent="0.35">
      <c r="A516" s="16">
        <v>44195</v>
      </c>
      <c r="B516" s="9">
        <v>259</v>
      </c>
      <c r="C516">
        <f t="shared" si="15"/>
        <v>2020</v>
      </c>
    </row>
    <row r="517" spans="1:3" x14ac:dyDescent="0.35">
      <c r="A517" s="16">
        <v>44194</v>
      </c>
      <c r="B517" s="9">
        <v>259</v>
      </c>
      <c r="C517">
        <f t="shared" si="15"/>
        <v>2020</v>
      </c>
    </row>
    <row r="518" spans="1:3" x14ac:dyDescent="0.35">
      <c r="A518" s="16">
        <v>44193</v>
      </c>
      <c r="B518" s="9">
        <v>261</v>
      </c>
      <c r="C518">
        <f t="shared" si="15"/>
        <v>2020</v>
      </c>
    </row>
    <row r="519" spans="1:3" x14ac:dyDescent="0.35">
      <c r="A519" s="16">
        <v>44189</v>
      </c>
      <c r="B519" s="9">
        <v>261</v>
      </c>
      <c r="C519">
        <f t="shared" si="15"/>
        <v>2020</v>
      </c>
    </row>
    <row r="520" spans="1:3" x14ac:dyDescent="0.35">
      <c r="A520" s="16">
        <v>44188</v>
      </c>
      <c r="B520" s="9">
        <v>259</v>
      </c>
      <c r="C520">
        <f t="shared" si="15"/>
        <v>2020</v>
      </c>
    </row>
    <row r="521" spans="1:3" x14ac:dyDescent="0.35">
      <c r="A521" s="16">
        <v>44187</v>
      </c>
      <c r="B521" s="9">
        <v>263</v>
      </c>
      <c r="C521">
        <f t="shared" si="15"/>
        <v>2020</v>
      </c>
    </row>
    <row r="522" spans="1:3" x14ac:dyDescent="0.35">
      <c r="A522" s="16">
        <v>44186</v>
      </c>
      <c r="B522" s="9">
        <v>261</v>
      </c>
      <c r="C522">
        <f t="shared" si="15"/>
        <v>2020</v>
      </c>
    </row>
    <row r="523" spans="1:3" x14ac:dyDescent="0.35">
      <c r="A523" s="16">
        <v>44183</v>
      </c>
      <c r="B523" s="9">
        <v>256</v>
      </c>
      <c r="C523">
        <f t="shared" si="15"/>
        <v>2020</v>
      </c>
    </row>
    <row r="524" spans="1:3" x14ac:dyDescent="0.35">
      <c r="A524" s="16">
        <v>44182</v>
      </c>
      <c r="B524" s="9">
        <v>258</v>
      </c>
      <c r="C524">
        <f t="shared" si="15"/>
        <v>2020</v>
      </c>
    </row>
    <row r="525" spans="1:3" x14ac:dyDescent="0.35">
      <c r="A525" s="16">
        <v>44181</v>
      </c>
      <c r="B525" s="9">
        <v>260</v>
      </c>
      <c r="C525">
        <f t="shared" si="15"/>
        <v>2020</v>
      </c>
    </row>
    <row r="526" spans="1:3" x14ac:dyDescent="0.35">
      <c r="A526" s="16">
        <v>44180</v>
      </c>
      <c r="B526" s="9">
        <v>263</v>
      </c>
      <c r="C526">
        <f t="shared" si="15"/>
        <v>2020</v>
      </c>
    </row>
    <row r="527" spans="1:3" x14ac:dyDescent="0.35">
      <c r="A527" s="16">
        <v>44179</v>
      </c>
      <c r="B527" s="9">
        <v>268</v>
      </c>
      <c r="C527">
        <f t="shared" si="15"/>
        <v>2020</v>
      </c>
    </row>
    <row r="528" spans="1:3" x14ac:dyDescent="0.35">
      <c r="A528" s="16">
        <v>44176</v>
      </c>
      <c r="B528" s="9">
        <v>269</v>
      </c>
      <c r="C528">
        <f t="shared" si="15"/>
        <v>2020</v>
      </c>
    </row>
    <row r="529" spans="1:3" x14ac:dyDescent="0.35">
      <c r="A529" s="16">
        <v>44175</v>
      </c>
      <c r="B529" s="9">
        <v>268</v>
      </c>
      <c r="C529">
        <f t="shared" si="15"/>
        <v>2020</v>
      </c>
    </row>
    <row r="530" spans="1:3" x14ac:dyDescent="0.35">
      <c r="A530" s="16">
        <v>44174</v>
      </c>
      <c r="B530" s="9">
        <v>267</v>
      </c>
      <c r="C530">
        <f t="shared" si="15"/>
        <v>2020</v>
      </c>
    </row>
    <row r="531" spans="1:3" x14ac:dyDescent="0.35">
      <c r="A531" s="16">
        <v>44173</v>
      </c>
      <c r="B531" s="9">
        <v>270</v>
      </c>
      <c r="C531">
        <f t="shared" si="15"/>
        <v>2020</v>
      </c>
    </row>
    <row r="532" spans="1:3" x14ac:dyDescent="0.35">
      <c r="A532" s="16">
        <v>44172</v>
      </c>
      <c r="B532" s="9">
        <v>266</v>
      </c>
      <c r="C532">
        <f t="shared" si="15"/>
        <v>2020</v>
      </c>
    </row>
    <row r="533" spans="1:3" x14ac:dyDescent="0.35">
      <c r="A533" s="16">
        <v>44169</v>
      </c>
      <c r="B533" s="9">
        <v>262</v>
      </c>
      <c r="C533">
        <f t="shared" si="15"/>
        <v>2020</v>
      </c>
    </row>
    <row r="534" spans="1:3" x14ac:dyDescent="0.35">
      <c r="A534" s="16">
        <v>44168</v>
      </c>
      <c r="B534" s="9">
        <v>267</v>
      </c>
      <c r="C534">
        <f t="shared" si="15"/>
        <v>2020</v>
      </c>
    </row>
    <row r="535" spans="1:3" x14ac:dyDescent="0.35">
      <c r="A535" s="16">
        <v>44167</v>
      </c>
      <c r="B535" s="9">
        <v>266</v>
      </c>
      <c r="C535">
        <f t="shared" si="15"/>
        <v>2020</v>
      </c>
    </row>
    <row r="536" spans="1:3" x14ac:dyDescent="0.35">
      <c r="A536" s="16">
        <v>44166</v>
      </c>
      <c r="B536" s="9">
        <v>264</v>
      </c>
      <c r="C536">
        <f t="shared" si="15"/>
        <v>2020</v>
      </c>
    </row>
    <row r="537" spans="1:3" x14ac:dyDescent="0.35">
      <c r="A537" s="16">
        <v>44165</v>
      </c>
      <c r="B537" s="9">
        <v>275</v>
      </c>
      <c r="C537">
        <f t="shared" si="15"/>
        <v>2020</v>
      </c>
    </row>
    <row r="538" spans="1:3" x14ac:dyDescent="0.35">
      <c r="A538" s="16">
        <v>44164</v>
      </c>
      <c r="B538" s="9">
        <v>259</v>
      </c>
      <c r="C538">
        <f t="shared" si="15"/>
        <v>2020</v>
      </c>
    </row>
    <row r="539" spans="1:3" x14ac:dyDescent="0.35">
      <c r="A539" s="16">
        <v>44163</v>
      </c>
      <c r="B539" s="9">
        <v>261</v>
      </c>
      <c r="C539">
        <f t="shared" si="15"/>
        <v>2020</v>
      </c>
    </row>
    <row r="540" spans="1:3" x14ac:dyDescent="0.35">
      <c r="A540" s="16">
        <v>44162</v>
      </c>
      <c r="B540" s="9">
        <v>275</v>
      </c>
      <c r="C540">
        <f t="shared" si="15"/>
        <v>2020</v>
      </c>
    </row>
    <row r="541" spans="1:3" x14ac:dyDescent="0.35">
      <c r="A541" s="16">
        <v>44161</v>
      </c>
      <c r="B541" s="9">
        <v>271</v>
      </c>
      <c r="C541">
        <f t="shared" si="15"/>
        <v>2020</v>
      </c>
    </row>
    <row r="542" spans="1:3" x14ac:dyDescent="0.35">
      <c r="A542" s="16">
        <v>44160</v>
      </c>
      <c r="B542" s="9">
        <v>271</v>
      </c>
      <c r="C542">
        <f t="shared" si="15"/>
        <v>2020</v>
      </c>
    </row>
    <row r="543" spans="1:3" x14ac:dyDescent="0.35">
      <c r="A543" s="16">
        <v>44159</v>
      </c>
      <c r="B543" s="9">
        <v>272</v>
      </c>
      <c r="C543">
        <f t="shared" si="15"/>
        <v>2020</v>
      </c>
    </row>
    <row r="544" spans="1:3" x14ac:dyDescent="0.35">
      <c r="A544" s="16">
        <v>44158</v>
      </c>
      <c r="B544" s="9">
        <v>275</v>
      </c>
      <c r="C544">
        <f t="shared" si="15"/>
        <v>2020</v>
      </c>
    </row>
    <row r="545" spans="1:3" x14ac:dyDescent="0.35">
      <c r="A545" s="16">
        <v>44157</v>
      </c>
      <c r="B545" s="9">
        <v>263</v>
      </c>
      <c r="C545">
        <f t="shared" si="15"/>
        <v>2020</v>
      </c>
    </row>
    <row r="546" spans="1:3" x14ac:dyDescent="0.35">
      <c r="A546" s="16">
        <v>44156</v>
      </c>
      <c r="B546" s="9">
        <v>261</v>
      </c>
      <c r="C546">
        <f t="shared" si="15"/>
        <v>2020</v>
      </c>
    </row>
    <row r="547" spans="1:3" x14ac:dyDescent="0.35">
      <c r="A547" s="16">
        <v>44155</v>
      </c>
      <c r="B547" s="9">
        <v>276</v>
      </c>
      <c r="C547">
        <f t="shared" si="15"/>
        <v>2020</v>
      </c>
    </row>
    <row r="548" spans="1:3" x14ac:dyDescent="0.35">
      <c r="A548" s="16">
        <v>44154</v>
      </c>
      <c r="B548" s="9">
        <v>277</v>
      </c>
      <c r="C548">
        <f t="shared" si="15"/>
        <v>2020</v>
      </c>
    </row>
    <row r="549" spans="1:3" x14ac:dyDescent="0.35">
      <c r="A549" s="16">
        <v>44153</v>
      </c>
      <c r="B549" s="9">
        <v>275</v>
      </c>
      <c r="C549">
        <f t="shared" si="15"/>
        <v>2020</v>
      </c>
    </row>
    <row r="550" spans="1:3" x14ac:dyDescent="0.35">
      <c r="A550" s="16">
        <v>44152</v>
      </c>
      <c r="B550" s="9">
        <v>279</v>
      </c>
      <c r="C550">
        <f t="shared" si="15"/>
        <v>2020</v>
      </c>
    </row>
    <row r="551" spans="1:3" x14ac:dyDescent="0.35">
      <c r="A551" s="16">
        <v>44151</v>
      </c>
      <c r="B551" s="9">
        <v>276</v>
      </c>
      <c r="C551">
        <f t="shared" si="15"/>
        <v>2020</v>
      </c>
    </row>
    <row r="552" spans="1:3" x14ac:dyDescent="0.35">
      <c r="A552" s="16">
        <v>44148</v>
      </c>
      <c r="B552" s="9">
        <v>279</v>
      </c>
      <c r="C552">
        <f t="shared" si="15"/>
        <v>2020</v>
      </c>
    </row>
    <row r="553" spans="1:3" x14ac:dyDescent="0.35">
      <c r="A553" s="16">
        <v>44147</v>
      </c>
      <c r="B553" s="9">
        <v>279</v>
      </c>
      <c r="C553">
        <f t="shared" si="15"/>
        <v>2020</v>
      </c>
    </row>
    <row r="554" spans="1:3" x14ac:dyDescent="0.35">
      <c r="A554" s="16">
        <v>44146</v>
      </c>
      <c r="B554" s="9">
        <v>273</v>
      </c>
      <c r="C554">
        <f t="shared" si="15"/>
        <v>2020</v>
      </c>
    </row>
    <row r="555" spans="1:3" x14ac:dyDescent="0.35">
      <c r="A555" s="16">
        <v>44145</v>
      </c>
      <c r="B555" s="9">
        <v>273</v>
      </c>
      <c r="C555">
        <f t="shared" si="15"/>
        <v>2020</v>
      </c>
    </row>
    <row r="556" spans="1:3" x14ac:dyDescent="0.35">
      <c r="A556" s="16">
        <v>44144</v>
      </c>
      <c r="B556" s="9">
        <v>271</v>
      </c>
      <c r="C556">
        <f t="shared" si="15"/>
        <v>2020</v>
      </c>
    </row>
    <row r="557" spans="1:3" x14ac:dyDescent="0.35">
      <c r="A557" s="16">
        <v>44141</v>
      </c>
      <c r="B557" s="9">
        <v>289</v>
      </c>
      <c r="C557">
        <f t="shared" si="15"/>
        <v>2020</v>
      </c>
    </row>
    <row r="558" spans="1:3" x14ac:dyDescent="0.35">
      <c r="A558" s="16">
        <v>44140</v>
      </c>
      <c r="B558" s="9">
        <v>290</v>
      </c>
      <c r="C558">
        <f t="shared" si="15"/>
        <v>2020</v>
      </c>
    </row>
    <row r="559" spans="1:3" x14ac:dyDescent="0.35">
      <c r="A559" s="16">
        <v>44139</v>
      </c>
      <c r="B559" s="9">
        <v>296</v>
      </c>
      <c r="C559">
        <f t="shared" si="15"/>
        <v>2020</v>
      </c>
    </row>
    <row r="560" spans="1:3" x14ac:dyDescent="0.35">
      <c r="A560" s="16">
        <v>44138</v>
      </c>
      <c r="B560" s="9">
        <v>307</v>
      </c>
      <c r="C560">
        <f t="shared" si="15"/>
        <v>2020</v>
      </c>
    </row>
    <row r="561" spans="1:3" x14ac:dyDescent="0.35">
      <c r="A561" s="16">
        <v>44137</v>
      </c>
      <c r="B561" s="9">
        <v>317</v>
      </c>
      <c r="C561">
        <f t="shared" si="15"/>
        <v>2020</v>
      </c>
    </row>
    <row r="562" spans="1:3" x14ac:dyDescent="0.35">
      <c r="A562" s="16">
        <v>44134</v>
      </c>
      <c r="B562" s="9">
        <v>318</v>
      </c>
      <c r="C562">
        <f t="shared" si="15"/>
        <v>2020</v>
      </c>
    </row>
    <row r="563" spans="1:3" x14ac:dyDescent="0.35">
      <c r="A563" s="16">
        <v>44133</v>
      </c>
      <c r="B563" s="9">
        <v>319</v>
      </c>
      <c r="C563">
        <f t="shared" si="15"/>
        <v>2020</v>
      </c>
    </row>
    <row r="564" spans="1:3" x14ac:dyDescent="0.35">
      <c r="A564" s="16">
        <v>44132</v>
      </c>
      <c r="B564" s="9">
        <v>321</v>
      </c>
      <c r="C564">
        <f t="shared" si="15"/>
        <v>2020</v>
      </c>
    </row>
    <row r="565" spans="1:3" x14ac:dyDescent="0.35">
      <c r="A565" s="16">
        <v>44131</v>
      </c>
      <c r="B565" s="9">
        <v>315</v>
      </c>
      <c r="C565">
        <f t="shared" si="15"/>
        <v>2020</v>
      </c>
    </row>
    <row r="566" spans="1:3" x14ac:dyDescent="0.35">
      <c r="A566" s="16">
        <v>44130</v>
      </c>
      <c r="B566" s="9">
        <v>317</v>
      </c>
      <c r="C566">
        <f t="shared" si="15"/>
        <v>2020</v>
      </c>
    </row>
    <row r="567" spans="1:3" x14ac:dyDescent="0.35">
      <c r="A567" s="16">
        <v>44127</v>
      </c>
      <c r="B567" s="9">
        <v>310</v>
      </c>
      <c r="C567">
        <f t="shared" si="15"/>
        <v>2020</v>
      </c>
    </row>
    <row r="568" spans="1:3" x14ac:dyDescent="0.35">
      <c r="A568" s="16">
        <v>44126</v>
      </c>
      <c r="B568" s="9">
        <v>306</v>
      </c>
      <c r="C568">
        <f t="shared" si="15"/>
        <v>2020</v>
      </c>
    </row>
    <row r="569" spans="1:3" x14ac:dyDescent="0.35">
      <c r="A569" s="16">
        <v>44125</v>
      </c>
      <c r="B569" s="9">
        <v>306</v>
      </c>
      <c r="C569">
        <f t="shared" si="15"/>
        <v>2020</v>
      </c>
    </row>
    <row r="570" spans="1:3" x14ac:dyDescent="0.35">
      <c r="A570" s="16">
        <v>44124</v>
      </c>
      <c r="B570" s="9">
        <v>305</v>
      </c>
      <c r="C570">
        <f t="shared" si="15"/>
        <v>2020</v>
      </c>
    </row>
    <row r="571" spans="1:3" x14ac:dyDescent="0.35">
      <c r="A571" s="16">
        <v>44123</v>
      </c>
      <c r="B571" s="9">
        <v>306</v>
      </c>
      <c r="C571">
        <f t="shared" si="15"/>
        <v>2020</v>
      </c>
    </row>
    <row r="572" spans="1:3" x14ac:dyDescent="0.35">
      <c r="A572" s="16">
        <v>44120</v>
      </c>
      <c r="B572" s="9">
        <v>307</v>
      </c>
      <c r="C572">
        <f t="shared" si="15"/>
        <v>2020</v>
      </c>
    </row>
    <row r="573" spans="1:3" x14ac:dyDescent="0.35">
      <c r="A573" s="16">
        <v>44119</v>
      </c>
      <c r="B573" s="9">
        <v>310</v>
      </c>
      <c r="C573">
        <f t="shared" si="15"/>
        <v>2020</v>
      </c>
    </row>
    <row r="574" spans="1:3" x14ac:dyDescent="0.35">
      <c r="A574" s="16">
        <v>44118</v>
      </c>
      <c r="B574" s="9">
        <v>309</v>
      </c>
      <c r="C574">
        <f t="shared" si="15"/>
        <v>2020</v>
      </c>
    </row>
    <row r="575" spans="1:3" x14ac:dyDescent="0.35">
      <c r="A575" s="16">
        <v>44117</v>
      </c>
      <c r="B575" s="9">
        <v>311</v>
      </c>
      <c r="C575">
        <f t="shared" si="15"/>
        <v>2020</v>
      </c>
    </row>
    <row r="576" spans="1:3" x14ac:dyDescent="0.35">
      <c r="A576" s="16">
        <v>44116</v>
      </c>
      <c r="B576" s="9">
        <v>308</v>
      </c>
      <c r="C576">
        <f t="shared" si="15"/>
        <v>2020</v>
      </c>
    </row>
    <row r="577" spans="1:3" x14ac:dyDescent="0.35">
      <c r="A577" s="16">
        <v>44113</v>
      </c>
      <c r="B577" s="9">
        <v>309</v>
      </c>
      <c r="C577">
        <f t="shared" si="15"/>
        <v>2020</v>
      </c>
    </row>
    <row r="578" spans="1:3" x14ac:dyDescent="0.35">
      <c r="A578" s="16">
        <v>44112</v>
      </c>
      <c r="B578" s="9">
        <v>315</v>
      </c>
      <c r="C578">
        <f t="shared" si="15"/>
        <v>2020</v>
      </c>
    </row>
    <row r="579" spans="1:3" x14ac:dyDescent="0.35">
      <c r="A579" s="16">
        <v>44111</v>
      </c>
      <c r="B579" s="9">
        <v>320</v>
      </c>
      <c r="C579">
        <f t="shared" ref="C579:C642" si="16">YEAR(A579)</f>
        <v>2020</v>
      </c>
    </row>
    <row r="580" spans="1:3" x14ac:dyDescent="0.35">
      <c r="A580" s="16">
        <v>44110</v>
      </c>
      <c r="B580" s="9">
        <v>328</v>
      </c>
      <c r="C580">
        <f t="shared" si="16"/>
        <v>2020</v>
      </c>
    </row>
    <row r="581" spans="1:3" x14ac:dyDescent="0.35">
      <c r="A581" s="16">
        <v>44109</v>
      </c>
      <c r="B581" s="9">
        <v>331</v>
      </c>
      <c r="C581">
        <f t="shared" si="16"/>
        <v>2020</v>
      </c>
    </row>
    <row r="582" spans="1:3" x14ac:dyDescent="0.35">
      <c r="A582" s="16">
        <v>44106</v>
      </c>
      <c r="B582" s="9">
        <v>341</v>
      </c>
      <c r="C582">
        <f t="shared" si="16"/>
        <v>2020</v>
      </c>
    </row>
    <row r="583" spans="1:3" x14ac:dyDescent="0.35">
      <c r="A583" s="16">
        <v>44105</v>
      </c>
      <c r="B583" s="9">
        <v>343</v>
      </c>
      <c r="C583">
        <f t="shared" si="16"/>
        <v>2020</v>
      </c>
    </row>
    <row r="584" spans="1:3" x14ac:dyDescent="0.35">
      <c r="A584" s="16">
        <v>44104</v>
      </c>
      <c r="B584" s="9">
        <v>343</v>
      </c>
      <c r="C584">
        <f t="shared" si="16"/>
        <v>2020</v>
      </c>
    </row>
    <row r="585" spans="1:3" x14ac:dyDescent="0.35">
      <c r="A585" s="16">
        <v>44103</v>
      </c>
      <c r="B585" s="9">
        <v>353</v>
      </c>
      <c r="C585">
        <f t="shared" si="16"/>
        <v>2020</v>
      </c>
    </row>
    <row r="586" spans="1:3" x14ac:dyDescent="0.35">
      <c r="A586" s="16">
        <v>44102</v>
      </c>
      <c r="B586" s="9">
        <v>347</v>
      </c>
      <c r="C586">
        <f t="shared" si="16"/>
        <v>2020</v>
      </c>
    </row>
    <row r="587" spans="1:3" x14ac:dyDescent="0.35">
      <c r="A587" s="16">
        <v>44099</v>
      </c>
      <c r="B587" s="9">
        <v>346</v>
      </c>
      <c r="C587">
        <f t="shared" si="16"/>
        <v>2020</v>
      </c>
    </row>
    <row r="588" spans="1:3" x14ac:dyDescent="0.35">
      <c r="A588" s="16">
        <v>44098</v>
      </c>
      <c r="B588" s="9">
        <v>348</v>
      </c>
      <c r="C588">
        <f t="shared" si="16"/>
        <v>2020</v>
      </c>
    </row>
    <row r="589" spans="1:3" x14ac:dyDescent="0.35">
      <c r="A589" s="16">
        <v>44097</v>
      </c>
      <c r="B589" s="9">
        <v>348</v>
      </c>
      <c r="C589">
        <f t="shared" si="16"/>
        <v>2020</v>
      </c>
    </row>
    <row r="590" spans="1:3" x14ac:dyDescent="0.35">
      <c r="A590" s="16">
        <v>44096</v>
      </c>
      <c r="B590" s="9">
        <v>332</v>
      </c>
      <c r="C590">
        <f t="shared" si="16"/>
        <v>2020</v>
      </c>
    </row>
    <row r="591" spans="1:3" x14ac:dyDescent="0.35">
      <c r="A591" s="16">
        <v>44095</v>
      </c>
      <c r="B591" s="9">
        <v>327</v>
      </c>
      <c r="C591">
        <f t="shared" si="16"/>
        <v>2020</v>
      </c>
    </row>
    <row r="592" spans="1:3" x14ac:dyDescent="0.35">
      <c r="A592" s="16">
        <v>44092</v>
      </c>
      <c r="B592" s="9">
        <v>313</v>
      </c>
      <c r="C592">
        <f t="shared" si="16"/>
        <v>2020</v>
      </c>
    </row>
    <row r="593" spans="1:3" x14ac:dyDescent="0.35">
      <c r="A593" s="16">
        <v>44091</v>
      </c>
      <c r="B593" s="9">
        <v>310</v>
      </c>
      <c r="C593">
        <f t="shared" si="16"/>
        <v>2020</v>
      </c>
    </row>
    <row r="594" spans="1:3" x14ac:dyDescent="0.35">
      <c r="A594" s="16">
        <v>44090</v>
      </c>
      <c r="B594" s="9">
        <v>306</v>
      </c>
      <c r="C594">
        <f t="shared" si="16"/>
        <v>2020</v>
      </c>
    </row>
    <row r="595" spans="1:3" x14ac:dyDescent="0.35">
      <c r="A595" s="16">
        <v>44089</v>
      </c>
      <c r="B595" s="9">
        <v>307</v>
      </c>
      <c r="C595">
        <f t="shared" si="16"/>
        <v>2020</v>
      </c>
    </row>
    <row r="596" spans="1:3" x14ac:dyDescent="0.35">
      <c r="A596" s="16">
        <v>44088</v>
      </c>
      <c r="B596" s="9">
        <v>310</v>
      </c>
      <c r="C596">
        <f t="shared" si="16"/>
        <v>2020</v>
      </c>
    </row>
    <row r="597" spans="1:3" x14ac:dyDescent="0.35">
      <c r="A597" s="16">
        <v>44085</v>
      </c>
      <c r="B597" s="9">
        <v>311</v>
      </c>
      <c r="C597">
        <f t="shared" si="16"/>
        <v>2020</v>
      </c>
    </row>
    <row r="598" spans="1:3" x14ac:dyDescent="0.35">
      <c r="A598" s="16">
        <v>44084</v>
      </c>
      <c r="B598" s="9">
        <v>308</v>
      </c>
      <c r="C598">
        <f t="shared" si="16"/>
        <v>2020</v>
      </c>
    </row>
    <row r="599" spans="1:3" x14ac:dyDescent="0.35">
      <c r="A599" s="16">
        <v>44083</v>
      </c>
      <c r="B599" s="9">
        <v>311</v>
      </c>
      <c r="C599">
        <f t="shared" si="16"/>
        <v>2020</v>
      </c>
    </row>
    <row r="600" spans="1:3" x14ac:dyDescent="0.35">
      <c r="A600" s="16">
        <v>44082</v>
      </c>
      <c r="B600" s="9">
        <v>317</v>
      </c>
      <c r="C600">
        <f t="shared" si="16"/>
        <v>2020</v>
      </c>
    </row>
    <row r="601" spans="1:3" x14ac:dyDescent="0.35">
      <c r="A601" s="16">
        <v>44081</v>
      </c>
      <c r="B601" s="9">
        <v>312</v>
      </c>
      <c r="C601">
        <f t="shared" si="16"/>
        <v>2020</v>
      </c>
    </row>
    <row r="602" spans="1:3" x14ac:dyDescent="0.35">
      <c r="A602" s="16">
        <v>44078</v>
      </c>
      <c r="B602" s="9">
        <v>312</v>
      </c>
      <c r="C602">
        <f t="shared" si="16"/>
        <v>2020</v>
      </c>
    </row>
    <row r="603" spans="1:3" x14ac:dyDescent="0.35">
      <c r="A603" s="16">
        <v>44077</v>
      </c>
      <c r="B603" s="9">
        <v>318</v>
      </c>
      <c r="C603">
        <f t="shared" si="16"/>
        <v>2020</v>
      </c>
    </row>
    <row r="604" spans="1:3" x14ac:dyDescent="0.35">
      <c r="A604" s="16">
        <v>44076</v>
      </c>
      <c r="B604" s="9">
        <v>312</v>
      </c>
      <c r="C604">
        <f t="shared" si="16"/>
        <v>2020</v>
      </c>
    </row>
    <row r="605" spans="1:3" x14ac:dyDescent="0.35">
      <c r="A605" s="16">
        <v>44075</v>
      </c>
      <c r="B605" s="9">
        <v>314</v>
      </c>
      <c r="C605">
        <f t="shared" si="16"/>
        <v>2020</v>
      </c>
    </row>
    <row r="606" spans="1:3" x14ac:dyDescent="0.35">
      <c r="A606" s="16">
        <v>44074</v>
      </c>
      <c r="B606" s="9">
        <v>319</v>
      </c>
      <c r="C606">
        <f t="shared" si="16"/>
        <v>2020</v>
      </c>
    </row>
    <row r="607" spans="1:3" x14ac:dyDescent="0.35">
      <c r="A607" s="16">
        <v>44071</v>
      </c>
      <c r="B607" s="9">
        <v>320</v>
      </c>
      <c r="C607">
        <f t="shared" si="16"/>
        <v>2020</v>
      </c>
    </row>
    <row r="608" spans="1:3" x14ac:dyDescent="0.35">
      <c r="A608" s="16">
        <v>44070</v>
      </c>
      <c r="B608" s="9">
        <v>327</v>
      </c>
      <c r="C608">
        <f t="shared" si="16"/>
        <v>2020</v>
      </c>
    </row>
    <row r="609" spans="1:3" x14ac:dyDescent="0.35">
      <c r="A609" s="16">
        <v>44069</v>
      </c>
      <c r="B609" s="9">
        <v>334</v>
      </c>
      <c r="C609">
        <f t="shared" si="16"/>
        <v>2020</v>
      </c>
    </row>
    <row r="610" spans="1:3" x14ac:dyDescent="0.35">
      <c r="A610" s="16">
        <v>44068</v>
      </c>
      <c r="B610" s="9">
        <v>334</v>
      </c>
      <c r="C610">
        <f t="shared" si="16"/>
        <v>2020</v>
      </c>
    </row>
    <row r="611" spans="1:3" x14ac:dyDescent="0.35">
      <c r="A611" s="16">
        <v>44067</v>
      </c>
      <c r="B611" s="9">
        <v>329</v>
      </c>
      <c r="C611">
        <f t="shared" si="16"/>
        <v>2020</v>
      </c>
    </row>
    <row r="612" spans="1:3" x14ac:dyDescent="0.35">
      <c r="A612" s="16">
        <v>44064</v>
      </c>
      <c r="B612" s="9">
        <v>333</v>
      </c>
      <c r="C612">
        <f t="shared" si="16"/>
        <v>2020</v>
      </c>
    </row>
    <row r="613" spans="1:3" x14ac:dyDescent="0.35">
      <c r="A613" s="16">
        <v>44063</v>
      </c>
      <c r="B613" s="9">
        <v>338</v>
      </c>
      <c r="C613">
        <f t="shared" si="16"/>
        <v>2020</v>
      </c>
    </row>
    <row r="614" spans="1:3" x14ac:dyDescent="0.35">
      <c r="A614" s="16">
        <v>44062</v>
      </c>
      <c r="B614" s="9">
        <v>327</v>
      </c>
      <c r="C614">
        <f t="shared" si="16"/>
        <v>2020</v>
      </c>
    </row>
    <row r="615" spans="1:3" x14ac:dyDescent="0.35">
      <c r="A615" s="16">
        <v>44061</v>
      </c>
      <c r="B615" s="9">
        <v>325</v>
      </c>
      <c r="C615">
        <f t="shared" si="16"/>
        <v>2020</v>
      </c>
    </row>
    <row r="616" spans="1:3" x14ac:dyDescent="0.35">
      <c r="A616" s="16">
        <v>44060</v>
      </c>
      <c r="B616" s="9">
        <v>321</v>
      </c>
      <c r="C616">
        <f t="shared" si="16"/>
        <v>2020</v>
      </c>
    </row>
    <row r="617" spans="1:3" x14ac:dyDescent="0.35">
      <c r="A617" s="16">
        <v>44057</v>
      </c>
      <c r="B617" s="9">
        <v>317</v>
      </c>
      <c r="C617">
        <f t="shared" si="16"/>
        <v>2020</v>
      </c>
    </row>
    <row r="618" spans="1:3" x14ac:dyDescent="0.35">
      <c r="A618" s="16">
        <v>44056</v>
      </c>
      <c r="B618" s="9">
        <v>307</v>
      </c>
      <c r="C618">
        <f t="shared" si="16"/>
        <v>2020</v>
      </c>
    </row>
    <row r="619" spans="1:3" x14ac:dyDescent="0.35">
      <c r="A619" s="16">
        <v>44055</v>
      </c>
      <c r="B619" s="9">
        <v>307</v>
      </c>
      <c r="C619">
        <f t="shared" si="16"/>
        <v>2020</v>
      </c>
    </row>
    <row r="620" spans="1:3" x14ac:dyDescent="0.35">
      <c r="A620" s="16">
        <v>44054</v>
      </c>
      <c r="B620" s="9">
        <v>298</v>
      </c>
      <c r="C620">
        <f t="shared" si="16"/>
        <v>2020</v>
      </c>
    </row>
    <row r="621" spans="1:3" x14ac:dyDescent="0.35">
      <c r="A621" s="16">
        <v>44053</v>
      </c>
      <c r="B621" s="9">
        <v>309</v>
      </c>
      <c r="C621">
        <f t="shared" si="16"/>
        <v>2020</v>
      </c>
    </row>
    <row r="622" spans="1:3" x14ac:dyDescent="0.35">
      <c r="A622" s="16">
        <v>44050</v>
      </c>
      <c r="B622" s="9">
        <v>317</v>
      </c>
      <c r="C622">
        <f t="shared" si="16"/>
        <v>2020</v>
      </c>
    </row>
    <row r="623" spans="1:3" x14ac:dyDescent="0.35">
      <c r="A623" s="16">
        <v>44049</v>
      </c>
      <c r="B623" s="9">
        <v>323</v>
      </c>
      <c r="C623">
        <f t="shared" si="16"/>
        <v>2020</v>
      </c>
    </row>
    <row r="624" spans="1:3" x14ac:dyDescent="0.35">
      <c r="A624" s="16">
        <v>44048</v>
      </c>
      <c r="B624" s="9">
        <v>323</v>
      </c>
      <c r="C624">
        <f t="shared" si="16"/>
        <v>2020</v>
      </c>
    </row>
    <row r="625" spans="1:3" x14ac:dyDescent="0.35">
      <c r="A625" s="16">
        <v>44047</v>
      </c>
      <c r="B625" s="9">
        <v>333</v>
      </c>
      <c r="C625">
        <f t="shared" si="16"/>
        <v>2020</v>
      </c>
    </row>
    <row r="626" spans="1:3" x14ac:dyDescent="0.35">
      <c r="A626" s="16">
        <v>44046</v>
      </c>
      <c r="B626" s="9">
        <v>329</v>
      </c>
      <c r="C626">
        <f t="shared" si="16"/>
        <v>2020</v>
      </c>
    </row>
    <row r="627" spans="1:3" x14ac:dyDescent="0.35">
      <c r="A627" s="16">
        <v>44043</v>
      </c>
      <c r="B627" s="9">
        <v>334</v>
      </c>
      <c r="C627">
        <f t="shared" si="16"/>
        <v>2020</v>
      </c>
    </row>
    <row r="628" spans="1:3" x14ac:dyDescent="0.35">
      <c r="A628" s="16">
        <v>44042</v>
      </c>
      <c r="B628" s="9">
        <v>342</v>
      </c>
      <c r="C628">
        <f t="shared" si="16"/>
        <v>2020</v>
      </c>
    </row>
    <row r="629" spans="1:3" x14ac:dyDescent="0.35">
      <c r="A629" s="16">
        <v>44041</v>
      </c>
      <c r="B629" s="9">
        <v>340</v>
      </c>
      <c r="C629">
        <f t="shared" si="16"/>
        <v>2020</v>
      </c>
    </row>
    <row r="630" spans="1:3" x14ac:dyDescent="0.35">
      <c r="A630" s="16">
        <v>44040</v>
      </c>
      <c r="B630" s="9">
        <v>349</v>
      </c>
      <c r="C630">
        <f t="shared" si="16"/>
        <v>2020</v>
      </c>
    </row>
    <row r="631" spans="1:3" x14ac:dyDescent="0.35">
      <c r="A631" s="16">
        <v>44039</v>
      </c>
      <c r="B631" s="9">
        <v>346</v>
      </c>
      <c r="C631">
        <f t="shared" si="16"/>
        <v>2020</v>
      </c>
    </row>
    <row r="632" spans="1:3" x14ac:dyDescent="0.35">
      <c r="A632" s="16">
        <v>44036</v>
      </c>
      <c r="B632" s="9">
        <v>352</v>
      </c>
      <c r="C632">
        <f t="shared" si="16"/>
        <v>2020</v>
      </c>
    </row>
    <row r="633" spans="1:3" x14ac:dyDescent="0.35">
      <c r="A633" s="16">
        <v>44035</v>
      </c>
      <c r="B633" s="9">
        <v>351</v>
      </c>
      <c r="C633">
        <f t="shared" si="16"/>
        <v>2020</v>
      </c>
    </row>
    <row r="634" spans="1:3" x14ac:dyDescent="0.35">
      <c r="A634" s="16">
        <v>44034</v>
      </c>
      <c r="B634" s="9">
        <v>342</v>
      </c>
      <c r="C634">
        <f t="shared" si="16"/>
        <v>2020</v>
      </c>
    </row>
    <row r="635" spans="1:3" x14ac:dyDescent="0.35">
      <c r="A635" s="16">
        <v>44033</v>
      </c>
      <c r="B635" s="9">
        <v>346</v>
      </c>
      <c r="C635">
        <f t="shared" si="16"/>
        <v>2020</v>
      </c>
    </row>
    <row r="636" spans="1:3" x14ac:dyDescent="0.35">
      <c r="A636" s="16">
        <v>44032</v>
      </c>
      <c r="B636" s="9">
        <v>355</v>
      </c>
      <c r="C636">
        <f t="shared" si="16"/>
        <v>2020</v>
      </c>
    </row>
    <row r="637" spans="1:3" x14ac:dyDescent="0.35">
      <c r="A637" s="16">
        <v>44029</v>
      </c>
      <c r="B637" s="9">
        <v>364</v>
      </c>
      <c r="C637">
        <f t="shared" si="16"/>
        <v>2020</v>
      </c>
    </row>
    <row r="638" spans="1:3" x14ac:dyDescent="0.35">
      <c r="A638" s="16">
        <v>44028</v>
      </c>
      <c r="B638" s="9">
        <v>375</v>
      </c>
      <c r="C638">
        <f t="shared" si="16"/>
        <v>2020</v>
      </c>
    </row>
    <row r="639" spans="1:3" x14ac:dyDescent="0.35">
      <c r="A639" s="16">
        <v>44027</v>
      </c>
      <c r="B639" s="9">
        <v>376</v>
      </c>
      <c r="C639">
        <f t="shared" si="16"/>
        <v>2020</v>
      </c>
    </row>
    <row r="640" spans="1:3" x14ac:dyDescent="0.35">
      <c r="A640" s="16">
        <v>44026</v>
      </c>
      <c r="B640" s="9">
        <v>385</v>
      </c>
      <c r="C640">
        <f t="shared" si="16"/>
        <v>2020</v>
      </c>
    </row>
    <row r="641" spans="1:3" x14ac:dyDescent="0.35">
      <c r="A641" s="16">
        <v>44025</v>
      </c>
      <c r="B641" s="9">
        <v>377</v>
      </c>
      <c r="C641">
        <f t="shared" si="16"/>
        <v>2020</v>
      </c>
    </row>
    <row r="642" spans="1:3" x14ac:dyDescent="0.35">
      <c r="A642" s="16">
        <v>44022</v>
      </c>
      <c r="B642" s="9">
        <v>382</v>
      </c>
      <c r="C642">
        <f t="shared" si="16"/>
        <v>2020</v>
      </c>
    </row>
    <row r="643" spans="1:3" x14ac:dyDescent="0.35">
      <c r="A643" s="16">
        <v>44021</v>
      </c>
      <c r="B643" s="9">
        <v>382</v>
      </c>
      <c r="C643">
        <f t="shared" ref="C643:C706" si="17">YEAR(A643)</f>
        <v>2020</v>
      </c>
    </row>
    <row r="644" spans="1:3" x14ac:dyDescent="0.35">
      <c r="A644" s="16">
        <v>44020</v>
      </c>
      <c r="B644" s="9">
        <v>374</v>
      </c>
      <c r="C644">
        <f t="shared" si="17"/>
        <v>2020</v>
      </c>
    </row>
    <row r="645" spans="1:3" x14ac:dyDescent="0.35">
      <c r="A645" s="16">
        <v>44019</v>
      </c>
      <c r="B645" s="9">
        <v>375</v>
      </c>
      <c r="C645">
        <f t="shared" si="17"/>
        <v>2020</v>
      </c>
    </row>
    <row r="646" spans="1:3" x14ac:dyDescent="0.35">
      <c r="A646" s="16">
        <v>44018</v>
      </c>
      <c r="B646" s="9">
        <v>362</v>
      </c>
      <c r="C646">
        <f t="shared" si="17"/>
        <v>2020</v>
      </c>
    </row>
    <row r="647" spans="1:3" x14ac:dyDescent="0.35">
      <c r="A647" s="16">
        <v>44015</v>
      </c>
      <c r="B647" s="9">
        <v>366</v>
      </c>
      <c r="C647">
        <f t="shared" si="17"/>
        <v>2020</v>
      </c>
    </row>
    <row r="648" spans="1:3" x14ac:dyDescent="0.35">
      <c r="A648" s="16">
        <v>44014</v>
      </c>
      <c r="B648" s="9">
        <v>366</v>
      </c>
      <c r="C648">
        <f t="shared" si="17"/>
        <v>2020</v>
      </c>
    </row>
    <row r="649" spans="1:3" x14ac:dyDescent="0.35">
      <c r="A649" s="16">
        <v>44013</v>
      </c>
      <c r="B649" s="9">
        <v>372</v>
      </c>
      <c r="C649">
        <f t="shared" si="17"/>
        <v>2020</v>
      </c>
    </row>
    <row r="650" spans="1:3" x14ac:dyDescent="0.35">
      <c r="A650" s="16">
        <v>44012</v>
      </c>
      <c r="B650" s="9">
        <v>380</v>
      </c>
      <c r="C650">
        <f t="shared" si="17"/>
        <v>2020</v>
      </c>
    </row>
    <row r="651" spans="1:3" x14ac:dyDescent="0.35">
      <c r="A651" s="16">
        <v>44011</v>
      </c>
      <c r="B651" s="9">
        <v>384</v>
      </c>
      <c r="C651">
        <f t="shared" si="17"/>
        <v>2020</v>
      </c>
    </row>
    <row r="652" spans="1:3" x14ac:dyDescent="0.35">
      <c r="A652" s="16">
        <v>44008</v>
      </c>
      <c r="B652" s="9">
        <v>384</v>
      </c>
      <c r="C652">
        <f t="shared" si="17"/>
        <v>2020</v>
      </c>
    </row>
    <row r="653" spans="1:3" x14ac:dyDescent="0.35">
      <c r="A653" s="16">
        <v>44007</v>
      </c>
      <c r="B653" s="9">
        <v>377</v>
      </c>
      <c r="C653">
        <f t="shared" si="17"/>
        <v>2020</v>
      </c>
    </row>
    <row r="654" spans="1:3" x14ac:dyDescent="0.35">
      <c r="A654" s="16">
        <v>44006</v>
      </c>
      <c r="B654" s="9">
        <v>376</v>
      </c>
      <c r="C654">
        <f t="shared" si="17"/>
        <v>2020</v>
      </c>
    </row>
    <row r="655" spans="1:3" x14ac:dyDescent="0.35">
      <c r="A655" s="16">
        <v>44005</v>
      </c>
      <c r="B655" s="9">
        <v>375</v>
      </c>
      <c r="C655">
        <f t="shared" si="17"/>
        <v>2020</v>
      </c>
    </row>
    <row r="656" spans="1:3" x14ac:dyDescent="0.35">
      <c r="A656" s="16">
        <v>44004</v>
      </c>
      <c r="B656" s="9">
        <v>375</v>
      </c>
      <c r="C656">
        <f t="shared" si="17"/>
        <v>2020</v>
      </c>
    </row>
    <row r="657" spans="1:3" x14ac:dyDescent="0.35">
      <c r="A657" s="16">
        <v>44001</v>
      </c>
      <c r="B657" s="9">
        <v>377</v>
      </c>
      <c r="C657">
        <f t="shared" si="17"/>
        <v>2020</v>
      </c>
    </row>
    <row r="658" spans="1:3" x14ac:dyDescent="0.35">
      <c r="A658" s="16">
        <v>44000</v>
      </c>
      <c r="B658" s="9">
        <v>380</v>
      </c>
      <c r="C658">
        <f t="shared" si="17"/>
        <v>2020</v>
      </c>
    </row>
    <row r="659" spans="1:3" x14ac:dyDescent="0.35">
      <c r="A659" s="16">
        <v>43999</v>
      </c>
      <c r="B659" s="9">
        <v>374</v>
      </c>
      <c r="C659">
        <f t="shared" si="17"/>
        <v>2020</v>
      </c>
    </row>
    <row r="660" spans="1:3" x14ac:dyDescent="0.35">
      <c r="A660" s="16">
        <v>43998</v>
      </c>
      <c r="B660" s="9">
        <v>367</v>
      </c>
      <c r="C660">
        <f t="shared" si="17"/>
        <v>2020</v>
      </c>
    </row>
    <row r="661" spans="1:3" x14ac:dyDescent="0.35">
      <c r="A661" s="16">
        <v>43997</v>
      </c>
      <c r="B661" s="9">
        <v>387</v>
      </c>
      <c r="C661">
        <f t="shared" si="17"/>
        <v>2020</v>
      </c>
    </row>
    <row r="662" spans="1:3" x14ac:dyDescent="0.35">
      <c r="A662" s="16">
        <v>43994</v>
      </c>
      <c r="B662" s="9">
        <v>384</v>
      </c>
      <c r="C662">
        <f t="shared" si="17"/>
        <v>2020</v>
      </c>
    </row>
    <row r="663" spans="1:3" x14ac:dyDescent="0.35">
      <c r="A663" s="16">
        <v>43993</v>
      </c>
      <c r="B663" s="9">
        <v>389</v>
      </c>
      <c r="C663">
        <f t="shared" si="17"/>
        <v>2020</v>
      </c>
    </row>
    <row r="664" spans="1:3" x14ac:dyDescent="0.35">
      <c r="A664" s="16">
        <v>43992</v>
      </c>
      <c r="B664" s="9">
        <v>355</v>
      </c>
      <c r="C664">
        <f t="shared" si="17"/>
        <v>2020</v>
      </c>
    </row>
    <row r="665" spans="1:3" x14ac:dyDescent="0.35">
      <c r="A665" s="16">
        <v>43991</v>
      </c>
      <c r="B665" s="9">
        <v>344</v>
      </c>
      <c r="C665">
        <f t="shared" si="17"/>
        <v>2020</v>
      </c>
    </row>
    <row r="666" spans="1:3" x14ac:dyDescent="0.35">
      <c r="A666" s="16">
        <v>43990</v>
      </c>
      <c r="B666" s="9">
        <v>332</v>
      </c>
      <c r="C666">
        <f t="shared" si="17"/>
        <v>2020</v>
      </c>
    </row>
    <row r="667" spans="1:3" x14ac:dyDescent="0.35">
      <c r="A667" s="16">
        <v>43987</v>
      </c>
      <c r="B667" s="9">
        <v>334</v>
      </c>
      <c r="C667">
        <f t="shared" si="17"/>
        <v>2020</v>
      </c>
    </row>
    <row r="668" spans="1:3" x14ac:dyDescent="0.35">
      <c r="A668" s="16">
        <v>43986</v>
      </c>
      <c r="B668" s="9">
        <v>348</v>
      </c>
      <c r="C668">
        <f t="shared" si="17"/>
        <v>2020</v>
      </c>
    </row>
    <row r="669" spans="1:3" x14ac:dyDescent="0.35">
      <c r="A669" s="16">
        <v>43985</v>
      </c>
      <c r="B669" s="9">
        <v>351</v>
      </c>
      <c r="C669">
        <f t="shared" si="17"/>
        <v>2020</v>
      </c>
    </row>
    <row r="670" spans="1:3" x14ac:dyDescent="0.35">
      <c r="A670" s="16">
        <v>43984</v>
      </c>
      <c r="B670" s="9">
        <v>375</v>
      </c>
      <c r="C670">
        <f t="shared" si="17"/>
        <v>2020</v>
      </c>
    </row>
    <row r="671" spans="1:3" x14ac:dyDescent="0.35">
      <c r="A671" s="16">
        <v>43983</v>
      </c>
      <c r="B671" s="9">
        <v>386</v>
      </c>
      <c r="C671">
        <f t="shared" si="17"/>
        <v>2020</v>
      </c>
    </row>
    <row r="672" spans="1:3" x14ac:dyDescent="0.35">
      <c r="A672" s="16">
        <v>43980</v>
      </c>
      <c r="B672" s="9">
        <v>392</v>
      </c>
      <c r="C672">
        <f t="shared" si="17"/>
        <v>2020</v>
      </c>
    </row>
    <row r="673" spans="1:3" x14ac:dyDescent="0.35">
      <c r="A673" s="16">
        <v>43979</v>
      </c>
      <c r="B673" s="9">
        <v>379</v>
      </c>
      <c r="C673">
        <f t="shared" si="17"/>
        <v>2020</v>
      </c>
    </row>
    <row r="674" spans="1:3" x14ac:dyDescent="0.35">
      <c r="A674" s="16">
        <v>43978</v>
      </c>
      <c r="B674" s="9">
        <v>384</v>
      </c>
      <c r="C674">
        <f t="shared" si="17"/>
        <v>2020</v>
      </c>
    </row>
    <row r="675" spans="1:3" x14ac:dyDescent="0.35">
      <c r="A675" s="16">
        <v>43977</v>
      </c>
      <c r="B675" s="9">
        <v>387</v>
      </c>
      <c r="C675">
        <f t="shared" si="17"/>
        <v>2020</v>
      </c>
    </row>
    <row r="676" spans="1:3" x14ac:dyDescent="0.35">
      <c r="A676" s="16">
        <v>43976</v>
      </c>
      <c r="B676" s="9">
        <v>405</v>
      </c>
      <c r="C676">
        <f t="shared" si="17"/>
        <v>2020</v>
      </c>
    </row>
    <row r="677" spans="1:3" x14ac:dyDescent="0.35">
      <c r="A677" s="16">
        <v>43973</v>
      </c>
      <c r="B677" s="9">
        <v>405</v>
      </c>
      <c r="C677">
        <f t="shared" si="17"/>
        <v>2020</v>
      </c>
    </row>
    <row r="678" spans="1:3" x14ac:dyDescent="0.35">
      <c r="A678" s="16">
        <v>43972</v>
      </c>
      <c r="B678" s="9">
        <v>405</v>
      </c>
      <c r="C678">
        <f t="shared" si="17"/>
        <v>2020</v>
      </c>
    </row>
    <row r="679" spans="1:3" x14ac:dyDescent="0.35">
      <c r="A679" s="16">
        <v>43971</v>
      </c>
      <c r="B679" s="9">
        <v>420</v>
      </c>
      <c r="C679">
        <f t="shared" si="17"/>
        <v>2020</v>
      </c>
    </row>
    <row r="680" spans="1:3" x14ac:dyDescent="0.35">
      <c r="A680" s="16">
        <v>43970</v>
      </c>
      <c r="B680" s="9">
        <v>429</v>
      </c>
      <c r="C680">
        <f t="shared" si="17"/>
        <v>2020</v>
      </c>
    </row>
    <row r="681" spans="1:3" x14ac:dyDescent="0.35">
      <c r="A681" s="16">
        <v>43969</v>
      </c>
      <c r="B681" s="9">
        <v>427</v>
      </c>
      <c r="C681">
        <f t="shared" si="17"/>
        <v>2020</v>
      </c>
    </row>
    <row r="682" spans="1:3" x14ac:dyDescent="0.35">
      <c r="A682" s="16">
        <v>43966</v>
      </c>
      <c r="B682" s="9">
        <v>451</v>
      </c>
      <c r="C682">
        <f t="shared" si="17"/>
        <v>2020</v>
      </c>
    </row>
    <row r="683" spans="1:3" x14ac:dyDescent="0.35">
      <c r="A683" s="16">
        <v>43965</v>
      </c>
      <c r="B683" s="9">
        <v>450</v>
      </c>
      <c r="C683">
        <f t="shared" si="17"/>
        <v>2020</v>
      </c>
    </row>
    <row r="684" spans="1:3" x14ac:dyDescent="0.35">
      <c r="A684" s="16">
        <v>43964</v>
      </c>
      <c r="B684" s="9">
        <v>438</v>
      </c>
      <c r="C684">
        <f t="shared" si="17"/>
        <v>2020</v>
      </c>
    </row>
    <row r="685" spans="1:3" x14ac:dyDescent="0.35">
      <c r="A685" s="16">
        <v>43963</v>
      </c>
      <c r="B685" s="9">
        <v>420</v>
      </c>
      <c r="C685">
        <f t="shared" si="17"/>
        <v>2020</v>
      </c>
    </row>
    <row r="686" spans="1:3" x14ac:dyDescent="0.35">
      <c r="A686" s="16">
        <v>43962</v>
      </c>
      <c r="B686" s="9">
        <v>414</v>
      </c>
      <c r="C686">
        <f t="shared" si="17"/>
        <v>2020</v>
      </c>
    </row>
    <row r="687" spans="1:3" x14ac:dyDescent="0.35">
      <c r="A687" s="16">
        <v>43959</v>
      </c>
      <c r="B687" s="9">
        <v>419</v>
      </c>
      <c r="C687">
        <f t="shared" si="17"/>
        <v>2020</v>
      </c>
    </row>
    <row r="688" spans="1:3" x14ac:dyDescent="0.35">
      <c r="A688" s="16">
        <v>43958</v>
      </c>
      <c r="B688" s="9">
        <v>432</v>
      </c>
      <c r="C688">
        <f t="shared" si="17"/>
        <v>2020</v>
      </c>
    </row>
    <row r="689" spans="1:3" x14ac:dyDescent="0.35">
      <c r="A689" s="16">
        <v>43957</v>
      </c>
      <c r="B689" s="9">
        <v>429</v>
      </c>
      <c r="C689">
        <f t="shared" si="17"/>
        <v>2020</v>
      </c>
    </row>
    <row r="690" spans="1:3" x14ac:dyDescent="0.35">
      <c r="A690" s="16">
        <v>43956</v>
      </c>
      <c r="B690" s="9">
        <v>423</v>
      </c>
      <c r="C690">
        <f t="shared" si="17"/>
        <v>2020</v>
      </c>
    </row>
    <row r="691" spans="1:3" x14ac:dyDescent="0.35">
      <c r="A691" s="16">
        <v>43955</v>
      </c>
      <c r="B691" s="9">
        <v>426</v>
      </c>
      <c r="C691">
        <f t="shared" si="17"/>
        <v>2020</v>
      </c>
    </row>
    <row r="692" spans="1:3" x14ac:dyDescent="0.35">
      <c r="A692" s="16">
        <v>43952</v>
      </c>
      <c r="B692" s="9">
        <v>422</v>
      </c>
      <c r="C692">
        <f t="shared" si="17"/>
        <v>2020</v>
      </c>
    </row>
    <row r="693" spans="1:3" x14ac:dyDescent="0.35">
      <c r="A693" s="16">
        <v>43951</v>
      </c>
      <c r="B693" s="9">
        <v>422</v>
      </c>
      <c r="C693">
        <f t="shared" si="17"/>
        <v>2020</v>
      </c>
    </row>
    <row r="694" spans="1:3" x14ac:dyDescent="0.35">
      <c r="A694" s="16">
        <v>43950</v>
      </c>
      <c r="B694" s="9">
        <v>446</v>
      </c>
      <c r="C694">
        <f t="shared" si="17"/>
        <v>2020</v>
      </c>
    </row>
    <row r="695" spans="1:3" x14ac:dyDescent="0.35">
      <c r="A695" s="16">
        <v>43949</v>
      </c>
      <c r="B695" s="9">
        <v>470</v>
      </c>
      <c r="C695">
        <f t="shared" si="17"/>
        <v>2020</v>
      </c>
    </row>
    <row r="696" spans="1:3" x14ac:dyDescent="0.35">
      <c r="A696" s="16">
        <v>43948</v>
      </c>
      <c r="B696" s="9">
        <v>475</v>
      </c>
      <c r="C696">
        <f t="shared" si="17"/>
        <v>2020</v>
      </c>
    </row>
    <row r="697" spans="1:3" x14ac:dyDescent="0.35">
      <c r="A697" s="16">
        <v>43945</v>
      </c>
      <c r="B697" s="9">
        <v>473</v>
      </c>
      <c r="C697">
        <f t="shared" si="17"/>
        <v>2020</v>
      </c>
    </row>
    <row r="698" spans="1:3" x14ac:dyDescent="0.35">
      <c r="A698" s="16">
        <v>43944</v>
      </c>
      <c r="B698" s="9">
        <v>442</v>
      </c>
      <c r="C698">
        <f t="shared" si="17"/>
        <v>2020</v>
      </c>
    </row>
    <row r="699" spans="1:3" x14ac:dyDescent="0.35">
      <c r="A699" s="16">
        <v>43943</v>
      </c>
      <c r="B699" s="9">
        <v>426</v>
      </c>
      <c r="C699">
        <f t="shared" si="17"/>
        <v>2020</v>
      </c>
    </row>
    <row r="700" spans="1:3" x14ac:dyDescent="0.35">
      <c r="A700" s="16">
        <v>43942</v>
      </c>
      <c r="B700" s="9">
        <v>421</v>
      </c>
      <c r="C700">
        <f t="shared" si="17"/>
        <v>2020</v>
      </c>
    </row>
    <row r="701" spans="1:3" x14ac:dyDescent="0.35">
      <c r="A701" s="16">
        <v>43941</v>
      </c>
      <c r="B701" s="9">
        <v>403</v>
      </c>
      <c r="C701">
        <f t="shared" si="17"/>
        <v>2020</v>
      </c>
    </row>
    <row r="702" spans="1:3" x14ac:dyDescent="0.35">
      <c r="A702" s="16">
        <v>43938</v>
      </c>
      <c r="B702" s="9">
        <v>397</v>
      </c>
      <c r="C702">
        <f t="shared" si="17"/>
        <v>2020</v>
      </c>
    </row>
    <row r="703" spans="1:3" x14ac:dyDescent="0.35">
      <c r="A703" s="16">
        <v>43937</v>
      </c>
      <c r="B703" s="9">
        <v>400</v>
      </c>
      <c r="C703">
        <f t="shared" si="17"/>
        <v>2020</v>
      </c>
    </row>
    <row r="704" spans="1:3" x14ac:dyDescent="0.35">
      <c r="A704" s="16">
        <v>43936</v>
      </c>
      <c r="B704" s="9">
        <v>394</v>
      </c>
      <c r="C704">
        <f t="shared" si="17"/>
        <v>2020</v>
      </c>
    </row>
    <row r="705" spans="1:3" x14ac:dyDescent="0.35">
      <c r="A705" s="16">
        <v>43935</v>
      </c>
      <c r="B705" s="9">
        <v>366</v>
      </c>
      <c r="C705">
        <f t="shared" si="17"/>
        <v>2020</v>
      </c>
    </row>
    <row r="706" spans="1:3" x14ac:dyDescent="0.35">
      <c r="A706" s="16">
        <v>43934</v>
      </c>
      <c r="B706" s="9">
        <v>374</v>
      </c>
      <c r="C706">
        <f t="shared" si="17"/>
        <v>2020</v>
      </c>
    </row>
    <row r="707" spans="1:3" x14ac:dyDescent="0.35">
      <c r="A707" s="16">
        <v>43930</v>
      </c>
      <c r="B707" s="9">
        <v>390</v>
      </c>
      <c r="C707">
        <f t="shared" ref="C707:C770" si="18">YEAR(A707)</f>
        <v>2020</v>
      </c>
    </row>
    <row r="708" spans="1:3" x14ac:dyDescent="0.35">
      <c r="A708" s="16">
        <v>43929</v>
      </c>
      <c r="B708" s="9">
        <v>415</v>
      </c>
      <c r="C708">
        <f t="shared" si="18"/>
        <v>2020</v>
      </c>
    </row>
    <row r="709" spans="1:3" x14ac:dyDescent="0.35">
      <c r="A709" s="16">
        <v>43928</v>
      </c>
      <c r="B709" s="9">
        <v>418</v>
      </c>
      <c r="C709">
        <f t="shared" si="18"/>
        <v>2020</v>
      </c>
    </row>
    <row r="710" spans="1:3" x14ac:dyDescent="0.35">
      <c r="A710" s="16">
        <v>43927</v>
      </c>
      <c r="B710" s="9">
        <v>437</v>
      </c>
      <c r="C710">
        <f t="shared" si="18"/>
        <v>2020</v>
      </c>
    </row>
    <row r="711" spans="1:3" x14ac:dyDescent="0.35">
      <c r="A711" s="16">
        <v>43924</v>
      </c>
      <c r="B711" s="9">
        <v>445</v>
      </c>
      <c r="C711">
        <f t="shared" si="18"/>
        <v>2020</v>
      </c>
    </row>
    <row r="712" spans="1:3" x14ac:dyDescent="0.35">
      <c r="A712" s="16">
        <v>43923</v>
      </c>
      <c r="B712" s="9">
        <v>427</v>
      </c>
      <c r="C712">
        <f t="shared" si="18"/>
        <v>2020</v>
      </c>
    </row>
    <row r="713" spans="1:3" x14ac:dyDescent="0.35">
      <c r="A713" s="16">
        <v>43922</v>
      </c>
      <c r="B713" s="9">
        <v>414</v>
      </c>
      <c r="C713">
        <f t="shared" si="18"/>
        <v>2020</v>
      </c>
    </row>
    <row r="714" spans="1:3" x14ac:dyDescent="0.35">
      <c r="A714" s="16">
        <v>43921</v>
      </c>
      <c r="B714" s="9">
        <v>389</v>
      </c>
      <c r="C714">
        <f t="shared" si="18"/>
        <v>2020</v>
      </c>
    </row>
    <row r="715" spans="1:3" x14ac:dyDescent="0.35">
      <c r="A715" s="16">
        <v>43920</v>
      </c>
      <c r="B715" s="9">
        <v>393</v>
      </c>
      <c r="C715">
        <f t="shared" si="18"/>
        <v>2020</v>
      </c>
    </row>
    <row r="716" spans="1:3" x14ac:dyDescent="0.35">
      <c r="A716" s="16">
        <v>43917</v>
      </c>
      <c r="B716" s="9">
        <v>375</v>
      </c>
      <c r="C716">
        <f t="shared" si="18"/>
        <v>2020</v>
      </c>
    </row>
    <row r="717" spans="1:3" x14ac:dyDescent="0.35">
      <c r="A717" s="16">
        <v>43916</v>
      </c>
      <c r="B717" s="9">
        <v>343</v>
      </c>
      <c r="C717">
        <f t="shared" si="18"/>
        <v>2020</v>
      </c>
    </row>
    <row r="718" spans="1:3" x14ac:dyDescent="0.35">
      <c r="A718" s="16">
        <v>43915</v>
      </c>
      <c r="B718" s="9">
        <v>370</v>
      </c>
      <c r="C718">
        <f t="shared" si="18"/>
        <v>2020</v>
      </c>
    </row>
    <row r="719" spans="1:3" x14ac:dyDescent="0.35">
      <c r="A719" s="16">
        <v>43914</v>
      </c>
      <c r="B719" s="9">
        <v>427</v>
      </c>
      <c r="C719">
        <f t="shared" si="18"/>
        <v>2020</v>
      </c>
    </row>
    <row r="720" spans="1:3" x14ac:dyDescent="0.35">
      <c r="A720" s="16">
        <v>43913</v>
      </c>
      <c r="B720" s="9">
        <v>476</v>
      </c>
      <c r="C720">
        <f t="shared" si="18"/>
        <v>2020</v>
      </c>
    </row>
    <row r="721" spans="1:3" x14ac:dyDescent="0.35">
      <c r="A721" s="16">
        <v>43910</v>
      </c>
      <c r="B721" s="9">
        <v>453</v>
      </c>
      <c r="C721">
        <f t="shared" si="18"/>
        <v>2020</v>
      </c>
    </row>
    <row r="722" spans="1:3" x14ac:dyDescent="0.35">
      <c r="A722" s="16">
        <v>43909</v>
      </c>
      <c r="B722" s="9">
        <v>465</v>
      </c>
      <c r="C722">
        <f t="shared" si="18"/>
        <v>2020</v>
      </c>
    </row>
    <row r="723" spans="1:3" x14ac:dyDescent="0.35">
      <c r="A723" s="16">
        <v>43908</v>
      </c>
      <c r="B723" s="9">
        <v>441</v>
      </c>
      <c r="C723">
        <f t="shared" si="18"/>
        <v>2020</v>
      </c>
    </row>
    <row r="724" spans="1:3" x14ac:dyDescent="0.35">
      <c r="A724" s="16">
        <v>43907</v>
      </c>
      <c r="B724" s="9">
        <v>374</v>
      </c>
      <c r="C724">
        <f t="shared" si="18"/>
        <v>2020</v>
      </c>
    </row>
    <row r="725" spans="1:3" x14ac:dyDescent="0.35">
      <c r="A725" s="16">
        <v>43906</v>
      </c>
      <c r="B725" s="9">
        <v>395</v>
      </c>
      <c r="C725">
        <f t="shared" si="18"/>
        <v>2020</v>
      </c>
    </row>
    <row r="726" spans="1:3" x14ac:dyDescent="0.35">
      <c r="A726" s="16">
        <v>43903</v>
      </c>
      <c r="B726" s="9">
        <v>335</v>
      </c>
      <c r="C726">
        <f t="shared" si="18"/>
        <v>2020</v>
      </c>
    </row>
    <row r="727" spans="1:3" x14ac:dyDescent="0.35">
      <c r="A727" s="16">
        <v>43902</v>
      </c>
      <c r="B727" s="9">
        <v>367</v>
      </c>
      <c r="C727">
        <f t="shared" si="18"/>
        <v>2020</v>
      </c>
    </row>
    <row r="728" spans="1:3" x14ac:dyDescent="0.35">
      <c r="A728" s="16">
        <v>43901</v>
      </c>
      <c r="B728" s="9">
        <v>302</v>
      </c>
      <c r="C728">
        <f t="shared" si="18"/>
        <v>2020</v>
      </c>
    </row>
    <row r="729" spans="1:3" x14ac:dyDescent="0.35">
      <c r="A729" s="16">
        <v>43900</v>
      </c>
      <c r="B729" s="9">
        <v>284</v>
      </c>
      <c r="C729">
        <f t="shared" si="18"/>
        <v>2020</v>
      </c>
    </row>
    <row r="730" spans="1:3" x14ac:dyDescent="0.35">
      <c r="A730" s="16">
        <v>43899</v>
      </c>
      <c r="B730" s="9">
        <v>312</v>
      </c>
      <c r="C730">
        <f t="shared" si="18"/>
        <v>2020</v>
      </c>
    </row>
    <row r="731" spans="1:3" x14ac:dyDescent="0.35">
      <c r="A731" s="16">
        <v>43896</v>
      </c>
      <c r="B731" s="9">
        <v>262</v>
      </c>
      <c r="C731">
        <f t="shared" si="18"/>
        <v>2020</v>
      </c>
    </row>
    <row r="732" spans="1:3" x14ac:dyDescent="0.35">
      <c r="A732" s="16">
        <v>43895</v>
      </c>
      <c r="B732" s="9">
        <v>239</v>
      </c>
      <c r="C732">
        <f t="shared" si="18"/>
        <v>2020</v>
      </c>
    </row>
    <row r="733" spans="1:3" x14ac:dyDescent="0.35">
      <c r="A733" s="16">
        <v>43894</v>
      </c>
      <c r="B733" s="9">
        <v>223</v>
      </c>
      <c r="C733">
        <f t="shared" si="18"/>
        <v>2020</v>
      </c>
    </row>
    <row r="734" spans="1:3" x14ac:dyDescent="0.35">
      <c r="A734" s="16">
        <v>43893</v>
      </c>
      <c r="B734" s="9">
        <v>240</v>
      </c>
      <c r="C734">
        <f t="shared" si="18"/>
        <v>2020</v>
      </c>
    </row>
    <row r="735" spans="1:3" x14ac:dyDescent="0.35">
      <c r="A735" s="16">
        <v>43892</v>
      </c>
      <c r="B735" s="9">
        <v>247</v>
      </c>
      <c r="C735">
        <f t="shared" si="18"/>
        <v>2020</v>
      </c>
    </row>
    <row r="736" spans="1:3" x14ac:dyDescent="0.35">
      <c r="A736" s="16">
        <v>43889</v>
      </c>
      <c r="B736" s="9">
        <v>252</v>
      </c>
      <c r="C736">
        <f t="shared" si="18"/>
        <v>2020</v>
      </c>
    </row>
    <row r="737" spans="1:3" x14ac:dyDescent="0.35">
      <c r="A737" s="16">
        <v>43888</v>
      </c>
      <c r="B737" s="9">
        <v>233</v>
      </c>
      <c r="C737">
        <f t="shared" si="18"/>
        <v>2020</v>
      </c>
    </row>
    <row r="738" spans="1:3" x14ac:dyDescent="0.35">
      <c r="A738" s="16">
        <v>43887</v>
      </c>
      <c r="B738" s="9">
        <v>218</v>
      </c>
      <c r="C738">
        <f t="shared" si="18"/>
        <v>2020</v>
      </c>
    </row>
    <row r="739" spans="1:3" x14ac:dyDescent="0.35">
      <c r="A739" s="16">
        <v>43886</v>
      </c>
      <c r="B739" s="9">
        <v>214</v>
      </c>
      <c r="C739">
        <f t="shared" si="18"/>
        <v>2020</v>
      </c>
    </row>
    <row r="740" spans="1:3" x14ac:dyDescent="0.35">
      <c r="A740" s="16">
        <v>43885</v>
      </c>
      <c r="B740" s="9">
        <v>208</v>
      </c>
      <c r="C740">
        <f t="shared" si="18"/>
        <v>2020</v>
      </c>
    </row>
    <row r="741" spans="1:3" x14ac:dyDescent="0.35">
      <c r="A741" s="16">
        <v>43882</v>
      </c>
      <c r="B741" s="9">
        <v>202</v>
      </c>
      <c r="C741">
        <f t="shared" si="18"/>
        <v>2020</v>
      </c>
    </row>
    <row r="742" spans="1:3" x14ac:dyDescent="0.35">
      <c r="A742" s="16">
        <v>43881</v>
      </c>
      <c r="B742" s="9">
        <v>193</v>
      </c>
      <c r="C742">
        <f t="shared" si="18"/>
        <v>2020</v>
      </c>
    </row>
    <row r="743" spans="1:3" x14ac:dyDescent="0.35">
      <c r="A743" s="16">
        <v>43880</v>
      </c>
      <c r="B743" s="9">
        <v>189</v>
      </c>
      <c r="C743">
        <f t="shared" si="18"/>
        <v>2020</v>
      </c>
    </row>
    <row r="744" spans="1:3" x14ac:dyDescent="0.35">
      <c r="A744" s="16">
        <v>43879</v>
      </c>
      <c r="B744" s="9">
        <v>198</v>
      </c>
      <c r="C744">
        <f t="shared" si="18"/>
        <v>2020</v>
      </c>
    </row>
    <row r="745" spans="1:3" x14ac:dyDescent="0.35">
      <c r="A745" s="16">
        <v>43878</v>
      </c>
      <c r="B745" s="9">
        <v>196</v>
      </c>
      <c r="C745">
        <f t="shared" si="18"/>
        <v>2020</v>
      </c>
    </row>
    <row r="746" spans="1:3" x14ac:dyDescent="0.35">
      <c r="A746" s="16">
        <v>43875</v>
      </c>
      <c r="B746" s="9">
        <v>196</v>
      </c>
      <c r="C746">
        <f t="shared" si="18"/>
        <v>2020</v>
      </c>
    </row>
    <row r="747" spans="1:3" x14ac:dyDescent="0.35">
      <c r="A747" s="16">
        <v>43874</v>
      </c>
      <c r="B747" s="9">
        <v>203</v>
      </c>
      <c r="C747">
        <f t="shared" si="18"/>
        <v>2020</v>
      </c>
    </row>
    <row r="748" spans="1:3" x14ac:dyDescent="0.35">
      <c r="A748" s="16">
        <v>43873</v>
      </c>
      <c r="B748" s="9">
        <v>203</v>
      </c>
      <c r="C748">
        <f t="shared" si="18"/>
        <v>2020</v>
      </c>
    </row>
    <row r="749" spans="1:3" x14ac:dyDescent="0.35">
      <c r="A749" s="16">
        <v>43872</v>
      </c>
      <c r="B749" s="9">
        <v>209</v>
      </c>
      <c r="C749">
        <f t="shared" si="18"/>
        <v>2020</v>
      </c>
    </row>
    <row r="750" spans="1:3" x14ac:dyDescent="0.35">
      <c r="A750" s="16">
        <v>43871</v>
      </c>
      <c r="B750" s="9">
        <v>216</v>
      </c>
      <c r="C750">
        <f t="shared" si="18"/>
        <v>2020</v>
      </c>
    </row>
    <row r="751" spans="1:3" x14ac:dyDescent="0.35">
      <c r="A751" s="16">
        <v>43868</v>
      </c>
      <c r="B751" s="9">
        <v>217</v>
      </c>
      <c r="C751">
        <f t="shared" si="18"/>
        <v>2020</v>
      </c>
    </row>
    <row r="752" spans="1:3" x14ac:dyDescent="0.35">
      <c r="A752" s="16">
        <v>43867</v>
      </c>
      <c r="B752" s="9">
        <v>213</v>
      </c>
      <c r="C752">
        <f t="shared" si="18"/>
        <v>2020</v>
      </c>
    </row>
    <row r="753" spans="1:3" x14ac:dyDescent="0.35">
      <c r="A753" s="16">
        <v>43866</v>
      </c>
      <c r="B753" s="9">
        <v>214</v>
      </c>
      <c r="C753">
        <f t="shared" si="18"/>
        <v>2020</v>
      </c>
    </row>
    <row r="754" spans="1:3" x14ac:dyDescent="0.35">
      <c r="A754" s="16">
        <v>43865</v>
      </c>
      <c r="B754" s="9">
        <v>219</v>
      </c>
      <c r="C754">
        <f t="shared" si="18"/>
        <v>2020</v>
      </c>
    </row>
    <row r="755" spans="1:3" x14ac:dyDescent="0.35">
      <c r="A755" s="16">
        <v>43864</v>
      </c>
      <c r="B755" s="9">
        <v>226</v>
      </c>
      <c r="C755">
        <f t="shared" si="18"/>
        <v>2020</v>
      </c>
    </row>
    <row r="756" spans="1:3" x14ac:dyDescent="0.35">
      <c r="A756" s="16">
        <v>43861</v>
      </c>
      <c r="B756" s="9">
        <v>225</v>
      </c>
      <c r="C756">
        <f t="shared" si="18"/>
        <v>2020</v>
      </c>
    </row>
    <row r="757" spans="1:3" x14ac:dyDescent="0.35">
      <c r="A757" s="16">
        <v>43860</v>
      </c>
      <c r="B757" s="9">
        <v>224</v>
      </c>
      <c r="C757">
        <f t="shared" si="18"/>
        <v>2020</v>
      </c>
    </row>
    <row r="758" spans="1:3" x14ac:dyDescent="0.35">
      <c r="A758" s="16">
        <v>43859</v>
      </c>
      <c r="B758" s="9">
        <v>225</v>
      </c>
      <c r="C758">
        <f t="shared" si="18"/>
        <v>2020</v>
      </c>
    </row>
    <row r="759" spans="1:3" x14ac:dyDescent="0.35">
      <c r="A759" s="16">
        <v>43858</v>
      </c>
      <c r="B759" s="9">
        <v>227</v>
      </c>
      <c r="C759">
        <f t="shared" si="18"/>
        <v>2020</v>
      </c>
    </row>
    <row r="760" spans="1:3" x14ac:dyDescent="0.35">
      <c r="A760" s="16">
        <v>43857</v>
      </c>
      <c r="B760" s="9">
        <v>232</v>
      </c>
      <c r="C760">
        <f t="shared" si="18"/>
        <v>2020</v>
      </c>
    </row>
    <row r="761" spans="1:3" x14ac:dyDescent="0.35">
      <c r="A761" s="16">
        <v>43854</v>
      </c>
      <c r="B761" s="9">
        <v>225</v>
      </c>
      <c r="C761">
        <f t="shared" si="18"/>
        <v>2020</v>
      </c>
    </row>
    <row r="762" spans="1:3" x14ac:dyDescent="0.35">
      <c r="A762" s="16">
        <v>43853</v>
      </c>
      <c r="B762" s="9">
        <v>220</v>
      </c>
      <c r="C762">
        <f t="shared" si="18"/>
        <v>2020</v>
      </c>
    </row>
    <row r="763" spans="1:3" x14ac:dyDescent="0.35">
      <c r="A763" s="16">
        <v>43852</v>
      </c>
      <c r="B763" s="9">
        <v>216</v>
      </c>
      <c r="C763">
        <f t="shared" si="18"/>
        <v>2020</v>
      </c>
    </row>
    <row r="764" spans="1:3" x14ac:dyDescent="0.35">
      <c r="A764" s="16">
        <v>43851</v>
      </c>
      <c r="B764" s="9">
        <v>214</v>
      </c>
      <c r="C764">
        <f t="shared" si="18"/>
        <v>2020</v>
      </c>
    </row>
    <row r="765" spans="1:3" x14ac:dyDescent="0.35">
      <c r="A765" s="16">
        <v>43850</v>
      </c>
      <c r="B765" s="9">
        <v>209</v>
      </c>
      <c r="C765">
        <f t="shared" si="18"/>
        <v>2020</v>
      </c>
    </row>
    <row r="766" spans="1:3" x14ac:dyDescent="0.35">
      <c r="A766" s="16">
        <v>43847</v>
      </c>
      <c r="B766" s="9">
        <v>209</v>
      </c>
      <c r="C766">
        <f t="shared" si="18"/>
        <v>2020</v>
      </c>
    </row>
    <row r="767" spans="1:3" x14ac:dyDescent="0.35">
      <c r="A767" s="16">
        <v>43846</v>
      </c>
      <c r="B767" s="9">
        <v>211</v>
      </c>
      <c r="C767">
        <f t="shared" si="18"/>
        <v>2020</v>
      </c>
    </row>
    <row r="768" spans="1:3" x14ac:dyDescent="0.35">
      <c r="A768" s="16">
        <v>43845</v>
      </c>
      <c r="B768" s="9">
        <v>217</v>
      </c>
      <c r="C768">
        <f t="shared" si="18"/>
        <v>2020</v>
      </c>
    </row>
    <row r="769" spans="1:3" x14ac:dyDescent="0.35">
      <c r="A769" s="16">
        <v>43844</v>
      </c>
      <c r="B769" s="9">
        <v>215</v>
      </c>
      <c r="C769">
        <f t="shared" si="18"/>
        <v>2020</v>
      </c>
    </row>
    <row r="770" spans="1:3" x14ac:dyDescent="0.35">
      <c r="A770" s="16">
        <v>43843</v>
      </c>
      <c r="B770" s="9">
        <v>213</v>
      </c>
      <c r="C770">
        <f t="shared" si="18"/>
        <v>2020</v>
      </c>
    </row>
    <row r="771" spans="1:3" x14ac:dyDescent="0.35">
      <c r="A771" s="16">
        <v>43840</v>
      </c>
      <c r="B771" s="9">
        <v>213</v>
      </c>
      <c r="C771">
        <f t="shared" ref="C771:C834" si="19">YEAR(A771)</f>
        <v>2020</v>
      </c>
    </row>
    <row r="772" spans="1:3" x14ac:dyDescent="0.35">
      <c r="A772" s="16">
        <v>43839</v>
      </c>
      <c r="B772" s="9">
        <v>215</v>
      </c>
      <c r="C772">
        <f t="shared" si="19"/>
        <v>2020</v>
      </c>
    </row>
    <row r="773" spans="1:3" x14ac:dyDescent="0.35">
      <c r="A773" s="16">
        <v>43838</v>
      </c>
      <c r="B773" s="9">
        <v>215</v>
      </c>
      <c r="C773">
        <f t="shared" si="19"/>
        <v>2020</v>
      </c>
    </row>
    <row r="774" spans="1:3" x14ac:dyDescent="0.35">
      <c r="A774" s="16">
        <v>43837</v>
      </c>
      <c r="B774" s="9">
        <v>220</v>
      </c>
      <c r="C774">
        <f t="shared" si="19"/>
        <v>2020</v>
      </c>
    </row>
    <row r="775" spans="1:3" x14ac:dyDescent="0.35">
      <c r="A775" s="16">
        <v>43836</v>
      </c>
      <c r="B775" s="9">
        <v>222</v>
      </c>
      <c r="C775">
        <f t="shared" si="19"/>
        <v>2020</v>
      </c>
    </row>
    <row r="776" spans="1:3" x14ac:dyDescent="0.35">
      <c r="A776" s="16">
        <v>43833</v>
      </c>
      <c r="B776" s="9">
        <v>225</v>
      </c>
      <c r="C776">
        <f t="shared" si="19"/>
        <v>2020</v>
      </c>
    </row>
    <row r="777" spans="1:3" x14ac:dyDescent="0.35">
      <c r="A777" s="16">
        <v>43832</v>
      </c>
      <c r="B777" s="9">
        <v>218</v>
      </c>
      <c r="C777">
        <f t="shared" si="19"/>
        <v>2020</v>
      </c>
    </row>
    <row r="778" spans="1:3" x14ac:dyDescent="0.35">
      <c r="A778" s="16">
        <v>43830</v>
      </c>
      <c r="B778" s="9">
        <v>214</v>
      </c>
      <c r="C778">
        <f t="shared" si="19"/>
        <v>2019</v>
      </c>
    </row>
    <row r="779" spans="1:3" x14ac:dyDescent="0.35">
      <c r="A779" s="16">
        <v>43829</v>
      </c>
      <c r="B779" s="9">
        <v>215</v>
      </c>
      <c r="C779">
        <f t="shared" si="19"/>
        <v>2019</v>
      </c>
    </row>
    <row r="780" spans="1:3" x14ac:dyDescent="0.35">
      <c r="A780" s="16">
        <v>43826</v>
      </c>
      <c r="B780" s="9">
        <v>215</v>
      </c>
      <c r="C780">
        <f t="shared" si="19"/>
        <v>2019</v>
      </c>
    </row>
    <row r="781" spans="1:3" x14ac:dyDescent="0.35">
      <c r="A781" s="16">
        <v>43825</v>
      </c>
      <c r="B781" s="9">
        <v>214</v>
      </c>
      <c r="C781">
        <f t="shared" si="19"/>
        <v>2019</v>
      </c>
    </row>
    <row r="782" spans="1:3" x14ac:dyDescent="0.35">
      <c r="A782" s="16">
        <v>43823</v>
      </c>
      <c r="B782" s="9">
        <v>215</v>
      </c>
      <c r="C782">
        <f t="shared" si="19"/>
        <v>2019</v>
      </c>
    </row>
    <row r="783" spans="1:3" x14ac:dyDescent="0.35">
      <c r="A783" s="16">
        <v>43822</v>
      </c>
      <c r="B783" s="9">
        <v>212</v>
      </c>
      <c r="C783">
        <f t="shared" si="19"/>
        <v>2019</v>
      </c>
    </row>
    <row r="784" spans="1:3" x14ac:dyDescent="0.35">
      <c r="A784" s="16">
        <v>43819</v>
      </c>
      <c r="B784" s="9">
        <v>214</v>
      </c>
      <c r="C784">
        <f t="shared" si="19"/>
        <v>2019</v>
      </c>
    </row>
    <row r="785" spans="1:3" x14ac:dyDescent="0.35">
      <c r="A785" s="16">
        <v>43818</v>
      </c>
      <c r="B785" s="9">
        <v>213</v>
      </c>
      <c r="C785">
        <f t="shared" si="19"/>
        <v>2019</v>
      </c>
    </row>
    <row r="786" spans="1:3" x14ac:dyDescent="0.35">
      <c r="A786" s="16">
        <v>43817</v>
      </c>
      <c r="B786" s="9">
        <v>208</v>
      </c>
      <c r="C786">
        <f t="shared" si="19"/>
        <v>2019</v>
      </c>
    </row>
    <row r="787" spans="1:3" x14ac:dyDescent="0.35">
      <c r="A787" s="16">
        <v>43816</v>
      </c>
      <c r="B787" s="9">
        <v>211</v>
      </c>
      <c r="C787">
        <f t="shared" si="19"/>
        <v>2019</v>
      </c>
    </row>
    <row r="788" spans="1:3" x14ac:dyDescent="0.35">
      <c r="A788" s="16">
        <v>43815</v>
      </c>
      <c r="B788" s="9">
        <v>212</v>
      </c>
      <c r="C788">
        <f t="shared" si="19"/>
        <v>2019</v>
      </c>
    </row>
    <row r="789" spans="1:3" x14ac:dyDescent="0.35">
      <c r="A789" s="16">
        <v>43812</v>
      </c>
      <c r="B789" s="9">
        <v>218</v>
      </c>
      <c r="C789">
        <f t="shared" si="19"/>
        <v>2019</v>
      </c>
    </row>
    <row r="790" spans="1:3" x14ac:dyDescent="0.35">
      <c r="A790" s="16">
        <v>43811</v>
      </c>
      <c r="B790" s="9">
        <v>215</v>
      </c>
      <c r="C790">
        <f t="shared" si="19"/>
        <v>2019</v>
      </c>
    </row>
    <row r="791" spans="1:3" x14ac:dyDescent="0.35">
      <c r="A791" s="16">
        <v>43810</v>
      </c>
      <c r="B791" s="9">
        <v>230</v>
      </c>
      <c r="C791">
        <f t="shared" si="19"/>
        <v>2019</v>
      </c>
    </row>
    <row r="792" spans="1:3" x14ac:dyDescent="0.35">
      <c r="A792" s="16">
        <v>43809</v>
      </c>
      <c r="B792" s="9">
        <v>228</v>
      </c>
      <c r="C792">
        <f t="shared" si="19"/>
        <v>2019</v>
      </c>
    </row>
    <row r="793" spans="1:3" x14ac:dyDescent="0.35">
      <c r="A793" s="16">
        <v>43808</v>
      </c>
      <c r="B793" s="9">
        <v>231</v>
      </c>
      <c r="C793">
        <f t="shared" si="19"/>
        <v>2019</v>
      </c>
    </row>
    <row r="794" spans="1:3" x14ac:dyDescent="0.35">
      <c r="A794" s="16">
        <v>43805</v>
      </c>
      <c r="B794" s="9">
        <v>231</v>
      </c>
      <c r="C794">
        <f t="shared" si="19"/>
        <v>2019</v>
      </c>
    </row>
    <row r="795" spans="1:3" x14ac:dyDescent="0.35">
      <c r="A795" s="16">
        <v>43804</v>
      </c>
      <c r="B795" s="9">
        <v>238</v>
      </c>
      <c r="C795">
        <f t="shared" si="19"/>
        <v>2019</v>
      </c>
    </row>
    <row r="796" spans="1:3" x14ac:dyDescent="0.35">
      <c r="A796" s="16">
        <v>43803</v>
      </c>
      <c r="B796" s="9">
        <v>240</v>
      </c>
      <c r="C796">
        <f t="shared" si="19"/>
        <v>2019</v>
      </c>
    </row>
    <row r="797" spans="1:3" x14ac:dyDescent="0.35">
      <c r="A797" s="16">
        <v>43802</v>
      </c>
      <c r="B797" s="9">
        <v>250</v>
      </c>
      <c r="C797">
        <f t="shared" si="19"/>
        <v>2019</v>
      </c>
    </row>
    <row r="798" spans="1:3" x14ac:dyDescent="0.35">
      <c r="A798" s="16">
        <v>43801</v>
      </c>
      <c r="B798" s="9">
        <v>240</v>
      </c>
      <c r="C798">
        <f t="shared" si="19"/>
        <v>2019</v>
      </c>
    </row>
    <row r="799" spans="1:3" x14ac:dyDescent="0.35">
      <c r="A799" s="16">
        <v>43798</v>
      </c>
      <c r="B799" s="9">
        <v>239</v>
      </c>
      <c r="C799">
        <f t="shared" si="19"/>
        <v>2019</v>
      </c>
    </row>
    <row r="800" spans="1:3" x14ac:dyDescent="0.35">
      <c r="A800" s="16">
        <v>43797</v>
      </c>
      <c r="B800" s="9">
        <v>244</v>
      </c>
      <c r="C800">
        <f t="shared" si="19"/>
        <v>2019</v>
      </c>
    </row>
    <row r="801" spans="1:3" x14ac:dyDescent="0.35">
      <c r="A801" s="16">
        <v>43796</v>
      </c>
      <c r="B801" s="9">
        <v>244</v>
      </c>
      <c r="C801">
        <f t="shared" si="19"/>
        <v>2019</v>
      </c>
    </row>
    <row r="802" spans="1:3" x14ac:dyDescent="0.35">
      <c r="A802" s="16">
        <v>43795</v>
      </c>
      <c r="B802" s="9">
        <v>246</v>
      </c>
      <c r="C802">
        <f t="shared" si="19"/>
        <v>2019</v>
      </c>
    </row>
    <row r="803" spans="1:3" x14ac:dyDescent="0.35">
      <c r="A803" s="16">
        <v>43794</v>
      </c>
      <c r="B803" s="9">
        <v>242</v>
      </c>
      <c r="C803">
        <f t="shared" si="19"/>
        <v>2019</v>
      </c>
    </row>
    <row r="804" spans="1:3" x14ac:dyDescent="0.35">
      <c r="A804" s="16">
        <v>43791</v>
      </c>
      <c r="B804" s="9">
        <v>241</v>
      </c>
      <c r="C804">
        <f t="shared" si="19"/>
        <v>2019</v>
      </c>
    </row>
    <row r="805" spans="1:3" x14ac:dyDescent="0.35">
      <c r="A805" s="16">
        <v>43790</v>
      </c>
      <c r="B805" s="9">
        <v>245</v>
      </c>
      <c r="C805">
        <f t="shared" si="19"/>
        <v>2019</v>
      </c>
    </row>
    <row r="806" spans="1:3" x14ac:dyDescent="0.35">
      <c r="A806" s="16">
        <v>43789</v>
      </c>
      <c r="B806" s="9">
        <v>249</v>
      </c>
      <c r="C806">
        <f t="shared" si="19"/>
        <v>2019</v>
      </c>
    </row>
    <row r="807" spans="1:3" x14ac:dyDescent="0.35">
      <c r="A807" s="16">
        <v>43788</v>
      </c>
      <c r="B807" s="9">
        <v>246</v>
      </c>
      <c r="C807">
        <f t="shared" si="19"/>
        <v>2019</v>
      </c>
    </row>
    <row r="808" spans="1:3" x14ac:dyDescent="0.35">
      <c r="A808" s="16">
        <v>43787</v>
      </c>
      <c r="B808" s="9">
        <v>240</v>
      </c>
      <c r="C808">
        <f t="shared" si="19"/>
        <v>2019</v>
      </c>
    </row>
    <row r="809" spans="1:3" x14ac:dyDescent="0.35">
      <c r="A809" s="16">
        <v>43784</v>
      </c>
      <c r="B809" s="9">
        <v>238</v>
      </c>
      <c r="C809">
        <f t="shared" si="19"/>
        <v>2019</v>
      </c>
    </row>
    <row r="810" spans="1:3" x14ac:dyDescent="0.35">
      <c r="A810" s="16">
        <v>43783</v>
      </c>
      <c r="B810" s="9">
        <v>238</v>
      </c>
      <c r="C810">
        <f t="shared" si="19"/>
        <v>2019</v>
      </c>
    </row>
    <row r="811" spans="1:3" x14ac:dyDescent="0.35">
      <c r="A811" s="16">
        <v>43782</v>
      </c>
      <c r="B811" s="9">
        <v>235</v>
      </c>
      <c r="C811">
        <f t="shared" si="19"/>
        <v>2019</v>
      </c>
    </row>
    <row r="812" spans="1:3" x14ac:dyDescent="0.35">
      <c r="A812" s="16">
        <v>43781</v>
      </c>
      <c r="B812" s="9">
        <v>232</v>
      </c>
      <c r="C812">
        <f t="shared" si="19"/>
        <v>2019</v>
      </c>
    </row>
    <row r="813" spans="1:3" x14ac:dyDescent="0.35">
      <c r="A813" s="16">
        <v>43780</v>
      </c>
      <c r="B813" s="9">
        <v>229</v>
      </c>
      <c r="C813">
        <f t="shared" si="19"/>
        <v>2019</v>
      </c>
    </row>
    <row r="814" spans="1:3" x14ac:dyDescent="0.35">
      <c r="A814" s="16">
        <v>43777</v>
      </c>
      <c r="B814" s="9">
        <v>229</v>
      </c>
      <c r="C814">
        <f t="shared" si="19"/>
        <v>2019</v>
      </c>
    </row>
    <row r="815" spans="1:3" x14ac:dyDescent="0.35">
      <c r="A815" s="16">
        <v>43776</v>
      </c>
      <c r="B815" s="9">
        <v>230</v>
      </c>
      <c r="C815">
        <f t="shared" si="19"/>
        <v>2019</v>
      </c>
    </row>
    <row r="816" spans="1:3" x14ac:dyDescent="0.35">
      <c r="A816" s="16">
        <v>43775</v>
      </c>
      <c r="B816" s="9">
        <v>235</v>
      </c>
      <c r="C816">
        <f t="shared" si="19"/>
        <v>2019</v>
      </c>
    </row>
    <row r="817" spans="1:3" x14ac:dyDescent="0.35">
      <c r="A817" s="16">
        <v>43774</v>
      </c>
      <c r="B817" s="9">
        <v>231</v>
      </c>
      <c r="C817">
        <f t="shared" si="19"/>
        <v>2019</v>
      </c>
    </row>
    <row r="818" spans="1:3" x14ac:dyDescent="0.35">
      <c r="A818" s="16">
        <v>43773</v>
      </c>
      <c r="B818" s="9">
        <v>229</v>
      </c>
      <c r="C818">
        <f t="shared" si="19"/>
        <v>2019</v>
      </c>
    </row>
    <row r="819" spans="1:3" x14ac:dyDescent="0.35">
      <c r="A819" s="16">
        <v>43770</v>
      </c>
      <c r="B819" s="9">
        <v>231</v>
      </c>
      <c r="C819">
        <f t="shared" si="19"/>
        <v>2019</v>
      </c>
    </row>
    <row r="820" spans="1:3" x14ac:dyDescent="0.35">
      <c r="A820" s="16">
        <v>43769</v>
      </c>
      <c r="B820" s="9">
        <v>240</v>
      </c>
      <c r="C820">
        <f t="shared" si="19"/>
        <v>2019</v>
      </c>
    </row>
    <row r="821" spans="1:3" x14ac:dyDescent="0.35">
      <c r="A821" s="16">
        <v>43768</v>
      </c>
      <c r="B821" s="9">
        <v>237</v>
      </c>
      <c r="C821">
        <f t="shared" si="19"/>
        <v>2019</v>
      </c>
    </row>
    <row r="822" spans="1:3" x14ac:dyDescent="0.35">
      <c r="A822" s="16">
        <v>43767</v>
      </c>
      <c r="B822" s="9">
        <v>228</v>
      </c>
      <c r="C822">
        <f t="shared" si="19"/>
        <v>2019</v>
      </c>
    </row>
    <row r="823" spans="1:3" x14ac:dyDescent="0.35">
      <c r="A823" s="16">
        <v>43766</v>
      </c>
      <c r="B823" s="9">
        <v>227</v>
      </c>
      <c r="C823">
        <f t="shared" si="19"/>
        <v>2019</v>
      </c>
    </row>
    <row r="824" spans="1:3" x14ac:dyDescent="0.35">
      <c r="A824" s="16">
        <v>43763</v>
      </c>
      <c r="B824" s="9">
        <v>231</v>
      </c>
      <c r="C824">
        <f t="shared" si="19"/>
        <v>2019</v>
      </c>
    </row>
    <row r="825" spans="1:3" x14ac:dyDescent="0.35">
      <c r="A825" s="16">
        <v>43762</v>
      </c>
      <c r="B825" s="9">
        <v>235</v>
      </c>
      <c r="C825">
        <f t="shared" si="19"/>
        <v>2019</v>
      </c>
    </row>
    <row r="826" spans="1:3" x14ac:dyDescent="0.35">
      <c r="A826" s="16">
        <v>43761</v>
      </c>
      <c r="B826" s="9">
        <v>237</v>
      </c>
      <c r="C826">
        <f t="shared" si="19"/>
        <v>2019</v>
      </c>
    </row>
    <row r="827" spans="1:3" x14ac:dyDescent="0.35">
      <c r="A827" s="16">
        <v>43760</v>
      </c>
      <c r="B827" s="9">
        <v>237</v>
      </c>
      <c r="C827">
        <f t="shared" si="19"/>
        <v>2019</v>
      </c>
    </row>
    <row r="828" spans="1:3" x14ac:dyDescent="0.35">
      <c r="A828" s="16">
        <v>43759</v>
      </c>
      <c r="B828" s="9">
        <v>235</v>
      </c>
      <c r="C828">
        <f t="shared" si="19"/>
        <v>2019</v>
      </c>
    </row>
    <row r="829" spans="1:3" x14ac:dyDescent="0.35">
      <c r="A829" s="16">
        <v>43756</v>
      </c>
      <c r="B829" s="9">
        <v>238</v>
      </c>
      <c r="C829">
        <f t="shared" si="19"/>
        <v>2019</v>
      </c>
    </row>
    <row r="830" spans="1:3" x14ac:dyDescent="0.35">
      <c r="A830" s="16">
        <v>43755</v>
      </c>
      <c r="B830" s="9">
        <v>238</v>
      </c>
      <c r="C830">
        <f t="shared" si="19"/>
        <v>2019</v>
      </c>
    </row>
    <row r="831" spans="1:3" x14ac:dyDescent="0.35">
      <c r="A831" s="16">
        <v>43754</v>
      </c>
      <c r="B831" s="9">
        <v>239</v>
      </c>
      <c r="C831">
        <f t="shared" si="19"/>
        <v>2019</v>
      </c>
    </row>
    <row r="832" spans="1:3" x14ac:dyDescent="0.35">
      <c r="A832" s="16">
        <v>43753</v>
      </c>
      <c r="B832" s="9">
        <v>237</v>
      </c>
      <c r="C832">
        <f t="shared" si="19"/>
        <v>2019</v>
      </c>
    </row>
    <row r="833" spans="1:3" x14ac:dyDescent="0.35">
      <c r="A833" s="16">
        <v>43752</v>
      </c>
      <c r="B833" s="9">
        <v>240</v>
      </c>
      <c r="C833">
        <f t="shared" si="19"/>
        <v>2019</v>
      </c>
    </row>
    <row r="834" spans="1:3" x14ac:dyDescent="0.35">
      <c r="A834" s="16">
        <v>43749</v>
      </c>
      <c r="B834" s="9">
        <v>240</v>
      </c>
      <c r="C834">
        <f t="shared" si="19"/>
        <v>2019</v>
      </c>
    </row>
    <row r="835" spans="1:3" x14ac:dyDescent="0.35">
      <c r="A835" s="16">
        <v>43748</v>
      </c>
      <c r="B835" s="9">
        <v>247</v>
      </c>
      <c r="C835">
        <f t="shared" ref="C835:C898" si="20">YEAR(A835)</f>
        <v>2019</v>
      </c>
    </row>
    <row r="836" spans="1:3" x14ac:dyDescent="0.35">
      <c r="A836" s="16">
        <v>43747</v>
      </c>
      <c r="B836" s="9">
        <v>255</v>
      </c>
      <c r="C836">
        <f t="shared" si="20"/>
        <v>2019</v>
      </c>
    </row>
    <row r="837" spans="1:3" x14ac:dyDescent="0.35">
      <c r="A837" s="16">
        <v>43746</v>
      </c>
      <c r="B837" s="9">
        <v>262</v>
      </c>
      <c r="C837">
        <f t="shared" si="20"/>
        <v>2019</v>
      </c>
    </row>
    <row r="838" spans="1:3" x14ac:dyDescent="0.35">
      <c r="A838" s="16">
        <v>43745</v>
      </c>
      <c r="B838" s="9">
        <v>259</v>
      </c>
      <c r="C838">
        <f t="shared" si="20"/>
        <v>2019</v>
      </c>
    </row>
    <row r="839" spans="1:3" x14ac:dyDescent="0.35">
      <c r="A839" s="16">
        <v>43742</v>
      </c>
      <c r="B839" s="9">
        <v>264</v>
      </c>
      <c r="C839">
        <f t="shared" si="20"/>
        <v>2019</v>
      </c>
    </row>
    <row r="840" spans="1:3" x14ac:dyDescent="0.35">
      <c r="A840" s="16">
        <v>43741</v>
      </c>
      <c r="B840" s="9">
        <v>264</v>
      </c>
      <c r="C840">
        <f t="shared" si="20"/>
        <v>2019</v>
      </c>
    </row>
    <row r="841" spans="1:3" x14ac:dyDescent="0.35">
      <c r="A841" s="16">
        <v>43740</v>
      </c>
      <c r="B841" s="9">
        <v>259</v>
      </c>
      <c r="C841">
        <f t="shared" si="20"/>
        <v>2019</v>
      </c>
    </row>
    <row r="842" spans="1:3" x14ac:dyDescent="0.35">
      <c r="A842" s="16">
        <v>43739</v>
      </c>
      <c r="B842" s="9">
        <v>252</v>
      </c>
      <c r="C842">
        <f t="shared" si="20"/>
        <v>2019</v>
      </c>
    </row>
    <row r="843" spans="1:3" x14ac:dyDescent="0.35">
      <c r="A843" s="16">
        <v>43738</v>
      </c>
      <c r="B843" s="9">
        <v>247</v>
      </c>
      <c r="C843">
        <f t="shared" si="20"/>
        <v>2019</v>
      </c>
    </row>
    <row r="844" spans="1:3" x14ac:dyDescent="0.35">
      <c r="A844" s="16">
        <v>43735</v>
      </c>
      <c r="B844" s="9">
        <v>246</v>
      </c>
      <c r="C844">
        <f t="shared" si="20"/>
        <v>2019</v>
      </c>
    </row>
    <row r="845" spans="1:3" x14ac:dyDescent="0.35">
      <c r="A845" s="16">
        <v>43734</v>
      </c>
      <c r="B845" s="9">
        <v>243</v>
      </c>
      <c r="C845">
        <f t="shared" si="20"/>
        <v>2019</v>
      </c>
    </row>
    <row r="846" spans="1:3" x14ac:dyDescent="0.35">
      <c r="A846" s="16">
        <v>43733</v>
      </c>
      <c r="B846" s="9">
        <v>240</v>
      </c>
      <c r="C846">
        <f t="shared" si="20"/>
        <v>2019</v>
      </c>
    </row>
    <row r="847" spans="1:3" x14ac:dyDescent="0.35">
      <c r="A847" s="16">
        <v>43732</v>
      </c>
      <c r="B847" s="9">
        <v>243</v>
      </c>
      <c r="C847">
        <f t="shared" si="20"/>
        <v>2019</v>
      </c>
    </row>
    <row r="848" spans="1:3" x14ac:dyDescent="0.35">
      <c r="A848" s="16">
        <v>43731</v>
      </c>
      <c r="B848" s="9">
        <v>234</v>
      </c>
      <c r="C848">
        <f t="shared" si="20"/>
        <v>2019</v>
      </c>
    </row>
    <row r="849" spans="1:3" x14ac:dyDescent="0.35">
      <c r="A849" s="16">
        <v>43728</v>
      </c>
      <c r="B849" s="9">
        <v>232</v>
      </c>
      <c r="C849">
        <f t="shared" si="20"/>
        <v>2019</v>
      </c>
    </row>
    <row r="850" spans="1:3" x14ac:dyDescent="0.35">
      <c r="A850" s="16">
        <v>43727</v>
      </c>
      <c r="B850" s="9">
        <v>227</v>
      </c>
      <c r="C850">
        <f t="shared" si="20"/>
        <v>2019</v>
      </c>
    </row>
    <row r="851" spans="1:3" x14ac:dyDescent="0.35">
      <c r="A851" s="16">
        <v>43726</v>
      </c>
      <c r="B851" s="9">
        <v>225</v>
      </c>
      <c r="C851">
        <f t="shared" si="20"/>
        <v>2019</v>
      </c>
    </row>
    <row r="852" spans="1:3" x14ac:dyDescent="0.35">
      <c r="A852" s="16">
        <v>43725</v>
      </c>
      <c r="B852" s="9">
        <v>227</v>
      </c>
      <c r="C852">
        <f t="shared" si="20"/>
        <v>2019</v>
      </c>
    </row>
    <row r="853" spans="1:3" x14ac:dyDescent="0.35">
      <c r="A853" s="16">
        <v>43724</v>
      </c>
      <c r="B853" s="9">
        <v>224</v>
      </c>
      <c r="C853">
        <f t="shared" si="20"/>
        <v>2019</v>
      </c>
    </row>
    <row r="854" spans="1:3" x14ac:dyDescent="0.35">
      <c r="A854" s="16">
        <v>43721</v>
      </c>
      <c r="B854" s="9">
        <v>219</v>
      </c>
      <c r="C854">
        <f t="shared" si="20"/>
        <v>2019</v>
      </c>
    </row>
    <row r="855" spans="1:3" x14ac:dyDescent="0.35">
      <c r="A855" s="16">
        <v>43720</v>
      </c>
      <c r="B855" s="9">
        <v>222</v>
      </c>
      <c r="C855">
        <f t="shared" si="20"/>
        <v>2019</v>
      </c>
    </row>
    <row r="856" spans="1:3" x14ac:dyDescent="0.35">
      <c r="A856" s="16">
        <v>43719</v>
      </c>
      <c r="B856" s="9">
        <v>228</v>
      </c>
      <c r="C856">
        <f t="shared" si="20"/>
        <v>2019</v>
      </c>
    </row>
    <row r="857" spans="1:3" x14ac:dyDescent="0.35">
      <c r="A857" s="16">
        <v>43718</v>
      </c>
      <c r="B857" s="9">
        <v>229</v>
      </c>
      <c r="C857">
        <f t="shared" si="20"/>
        <v>2019</v>
      </c>
    </row>
    <row r="858" spans="1:3" x14ac:dyDescent="0.35">
      <c r="A858" s="16">
        <v>43717</v>
      </c>
      <c r="B858" s="9">
        <v>234</v>
      </c>
      <c r="C858">
        <f t="shared" si="20"/>
        <v>2019</v>
      </c>
    </row>
    <row r="859" spans="1:3" x14ac:dyDescent="0.35">
      <c r="A859" s="16">
        <v>43714</v>
      </c>
      <c r="B859" s="9">
        <v>240</v>
      </c>
      <c r="C859">
        <f t="shared" si="20"/>
        <v>2019</v>
      </c>
    </row>
    <row r="860" spans="1:3" x14ac:dyDescent="0.35">
      <c r="A860" s="16">
        <v>43713</v>
      </c>
      <c r="B860" s="9">
        <v>238</v>
      </c>
      <c r="C860">
        <f t="shared" si="20"/>
        <v>2019</v>
      </c>
    </row>
    <row r="861" spans="1:3" x14ac:dyDescent="0.35">
      <c r="A861" s="16">
        <v>43712</v>
      </c>
      <c r="B861" s="9">
        <v>247</v>
      </c>
      <c r="C861">
        <f t="shared" si="20"/>
        <v>2019</v>
      </c>
    </row>
    <row r="862" spans="1:3" x14ac:dyDescent="0.35">
      <c r="A862" s="16">
        <v>43711</v>
      </c>
      <c r="B862" s="9">
        <v>249</v>
      </c>
      <c r="C862">
        <f t="shared" si="20"/>
        <v>2019</v>
      </c>
    </row>
    <row r="863" spans="1:3" x14ac:dyDescent="0.35">
      <c r="A863" s="16">
        <v>43710</v>
      </c>
      <c r="B863" s="9">
        <v>248</v>
      </c>
      <c r="C863">
        <f t="shared" si="20"/>
        <v>2019</v>
      </c>
    </row>
    <row r="864" spans="1:3" x14ac:dyDescent="0.35">
      <c r="A864" s="16">
        <v>43707</v>
      </c>
      <c r="B864" s="9">
        <v>248</v>
      </c>
      <c r="C864">
        <f t="shared" si="20"/>
        <v>2019</v>
      </c>
    </row>
    <row r="865" spans="1:3" x14ac:dyDescent="0.35">
      <c r="A865" s="16">
        <v>43706</v>
      </c>
      <c r="B865" s="9">
        <v>247</v>
      </c>
      <c r="C865">
        <f t="shared" si="20"/>
        <v>2019</v>
      </c>
    </row>
    <row r="866" spans="1:3" x14ac:dyDescent="0.35">
      <c r="A866" s="16">
        <v>43705</v>
      </c>
      <c r="B866" s="9">
        <v>252</v>
      </c>
      <c r="C866">
        <f t="shared" si="20"/>
        <v>2019</v>
      </c>
    </row>
    <row r="867" spans="1:3" x14ac:dyDescent="0.35">
      <c r="A867" s="16">
        <v>43704</v>
      </c>
      <c r="B867" s="9">
        <v>250</v>
      </c>
      <c r="C867">
        <f t="shared" si="20"/>
        <v>2019</v>
      </c>
    </row>
    <row r="868" spans="1:3" x14ac:dyDescent="0.35">
      <c r="A868" s="16">
        <v>43703</v>
      </c>
      <c r="B868" s="9">
        <v>245</v>
      </c>
      <c r="C868">
        <f t="shared" si="20"/>
        <v>2019</v>
      </c>
    </row>
    <row r="869" spans="1:3" x14ac:dyDescent="0.35">
      <c r="A869" s="16">
        <v>43700</v>
      </c>
      <c r="B869" s="9">
        <v>246</v>
      </c>
      <c r="C869">
        <f t="shared" si="20"/>
        <v>2019</v>
      </c>
    </row>
    <row r="870" spans="1:3" x14ac:dyDescent="0.35">
      <c r="A870" s="16">
        <v>43699</v>
      </c>
      <c r="B870" s="9">
        <v>240</v>
      </c>
      <c r="C870">
        <f t="shared" si="20"/>
        <v>2019</v>
      </c>
    </row>
    <row r="871" spans="1:3" x14ac:dyDescent="0.35">
      <c r="A871" s="16">
        <v>43698</v>
      </c>
      <c r="B871" s="9">
        <v>244</v>
      </c>
      <c r="C871">
        <f t="shared" si="20"/>
        <v>2019</v>
      </c>
    </row>
    <row r="872" spans="1:3" x14ac:dyDescent="0.35">
      <c r="A872" s="16">
        <v>43697</v>
      </c>
      <c r="B872" s="9">
        <v>247</v>
      </c>
      <c r="C872">
        <f t="shared" si="20"/>
        <v>2019</v>
      </c>
    </row>
    <row r="873" spans="1:3" x14ac:dyDescent="0.35">
      <c r="A873" s="16">
        <v>43696</v>
      </c>
      <c r="B873" s="9">
        <v>243</v>
      </c>
      <c r="C873">
        <f t="shared" si="20"/>
        <v>2019</v>
      </c>
    </row>
    <row r="874" spans="1:3" x14ac:dyDescent="0.35">
      <c r="A874" s="16">
        <v>43693</v>
      </c>
      <c r="B874" s="9">
        <v>248</v>
      </c>
      <c r="C874">
        <f t="shared" si="20"/>
        <v>2019</v>
      </c>
    </row>
    <row r="875" spans="1:3" x14ac:dyDescent="0.35">
      <c r="A875" s="16">
        <v>43692</v>
      </c>
      <c r="B875" s="9">
        <v>251</v>
      </c>
      <c r="C875">
        <f t="shared" si="20"/>
        <v>2019</v>
      </c>
    </row>
    <row r="876" spans="1:3" x14ac:dyDescent="0.35">
      <c r="A876" s="16">
        <v>43691</v>
      </c>
      <c r="B876" s="9">
        <v>244</v>
      </c>
      <c r="C876">
        <f t="shared" si="20"/>
        <v>2019</v>
      </c>
    </row>
    <row r="877" spans="1:3" x14ac:dyDescent="0.35">
      <c r="A877" s="16">
        <v>43690</v>
      </c>
      <c r="B877" s="9">
        <v>236</v>
      </c>
      <c r="C877">
        <f t="shared" si="20"/>
        <v>2019</v>
      </c>
    </row>
    <row r="878" spans="1:3" x14ac:dyDescent="0.35">
      <c r="A878" s="16">
        <v>43689</v>
      </c>
      <c r="B878" s="9">
        <v>239</v>
      </c>
      <c r="C878">
        <f t="shared" si="20"/>
        <v>2019</v>
      </c>
    </row>
    <row r="879" spans="1:3" x14ac:dyDescent="0.35">
      <c r="A879" s="16">
        <v>43686</v>
      </c>
      <c r="B879" s="9">
        <v>226</v>
      </c>
      <c r="C879">
        <f t="shared" si="20"/>
        <v>2019</v>
      </c>
    </row>
    <row r="880" spans="1:3" x14ac:dyDescent="0.35">
      <c r="A880" s="16">
        <v>43685</v>
      </c>
      <c r="B880" s="9">
        <v>229</v>
      </c>
      <c r="C880">
        <f t="shared" si="20"/>
        <v>2019</v>
      </c>
    </row>
    <row r="881" spans="1:3" x14ac:dyDescent="0.35">
      <c r="A881" s="16">
        <v>43684</v>
      </c>
      <c r="B881" s="9">
        <v>232</v>
      </c>
      <c r="C881">
        <f t="shared" si="20"/>
        <v>2019</v>
      </c>
    </row>
    <row r="882" spans="1:3" x14ac:dyDescent="0.35">
      <c r="A882" s="16">
        <v>43683</v>
      </c>
      <c r="B882" s="9">
        <v>233</v>
      </c>
      <c r="C882">
        <f t="shared" si="20"/>
        <v>2019</v>
      </c>
    </row>
    <row r="883" spans="1:3" x14ac:dyDescent="0.35">
      <c r="A883" s="16">
        <v>43682</v>
      </c>
      <c r="B883" s="9">
        <v>235</v>
      </c>
      <c r="C883">
        <f t="shared" si="20"/>
        <v>2019</v>
      </c>
    </row>
    <row r="884" spans="1:3" x14ac:dyDescent="0.35">
      <c r="A884" s="16">
        <v>43679</v>
      </c>
      <c r="B884" s="9">
        <v>222</v>
      </c>
      <c r="C884">
        <f t="shared" si="20"/>
        <v>2019</v>
      </c>
    </row>
    <row r="885" spans="1:3" x14ac:dyDescent="0.35">
      <c r="A885" s="16">
        <v>43678</v>
      </c>
      <c r="B885" s="9">
        <v>221</v>
      </c>
      <c r="C885">
        <f t="shared" si="20"/>
        <v>2019</v>
      </c>
    </row>
    <row r="886" spans="1:3" x14ac:dyDescent="0.35">
      <c r="A886" s="16">
        <v>43677</v>
      </c>
      <c r="B886" s="9">
        <v>212</v>
      </c>
      <c r="C886">
        <f t="shared" si="20"/>
        <v>2019</v>
      </c>
    </row>
    <row r="887" spans="1:3" x14ac:dyDescent="0.35">
      <c r="A887" s="16">
        <v>43676</v>
      </c>
      <c r="B887" s="9">
        <v>209</v>
      </c>
      <c r="C887">
        <f t="shared" si="20"/>
        <v>2019</v>
      </c>
    </row>
    <row r="888" spans="1:3" x14ac:dyDescent="0.35">
      <c r="A888" s="16">
        <v>43675</v>
      </c>
      <c r="B888" s="9">
        <v>207</v>
      </c>
      <c r="C888">
        <f t="shared" si="20"/>
        <v>2019</v>
      </c>
    </row>
    <row r="889" spans="1:3" x14ac:dyDescent="0.35">
      <c r="A889" s="16">
        <v>43672</v>
      </c>
      <c r="B889" s="9">
        <v>207</v>
      </c>
      <c r="C889">
        <f t="shared" si="20"/>
        <v>2019</v>
      </c>
    </row>
    <row r="890" spans="1:3" x14ac:dyDescent="0.35">
      <c r="A890" s="16">
        <v>43671</v>
      </c>
      <c r="B890" s="9">
        <v>208</v>
      </c>
      <c r="C890">
        <f t="shared" si="20"/>
        <v>2019</v>
      </c>
    </row>
    <row r="891" spans="1:3" x14ac:dyDescent="0.35">
      <c r="A891" s="16">
        <v>43670</v>
      </c>
      <c r="B891" s="9">
        <v>213</v>
      </c>
      <c r="C891">
        <f t="shared" si="20"/>
        <v>2019</v>
      </c>
    </row>
    <row r="892" spans="1:3" x14ac:dyDescent="0.35">
      <c r="A892" s="16">
        <v>43669</v>
      </c>
      <c r="B892" s="9">
        <v>213</v>
      </c>
      <c r="C892">
        <f t="shared" si="20"/>
        <v>2019</v>
      </c>
    </row>
    <row r="893" spans="1:3" x14ac:dyDescent="0.35">
      <c r="A893" s="16">
        <v>43668</v>
      </c>
      <c r="B893" s="9">
        <v>216</v>
      </c>
      <c r="C893">
        <f t="shared" si="20"/>
        <v>2019</v>
      </c>
    </row>
    <row r="894" spans="1:3" x14ac:dyDescent="0.35">
      <c r="A894" s="16">
        <v>43665</v>
      </c>
      <c r="B894" s="9">
        <v>220</v>
      </c>
      <c r="C894">
        <f t="shared" si="20"/>
        <v>2019</v>
      </c>
    </row>
    <row r="895" spans="1:3" x14ac:dyDescent="0.35">
      <c r="A895" s="16">
        <v>43664</v>
      </c>
      <c r="B895" s="9">
        <v>222</v>
      </c>
      <c r="C895">
        <f t="shared" si="20"/>
        <v>2019</v>
      </c>
    </row>
    <row r="896" spans="1:3" x14ac:dyDescent="0.35">
      <c r="A896" s="16">
        <v>43663</v>
      </c>
      <c r="B896" s="9">
        <v>221</v>
      </c>
      <c r="C896">
        <f t="shared" si="20"/>
        <v>2019</v>
      </c>
    </row>
    <row r="897" spans="1:3" x14ac:dyDescent="0.35">
      <c r="A897" s="16">
        <v>43662</v>
      </c>
      <c r="B897" s="9">
        <v>215</v>
      </c>
      <c r="C897">
        <f t="shared" si="20"/>
        <v>2019</v>
      </c>
    </row>
    <row r="898" spans="1:3" x14ac:dyDescent="0.35">
      <c r="A898" s="16">
        <v>43661</v>
      </c>
      <c r="B898" s="9">
        <v>217</v>
      </c>
      <c r="C898">
        <f t="shared" si="20"/>
        <v>2019</v>
      </c>
    </row>
    <row r="899" spans="1:3" x14ac:dyDescent="0.35">
      <c r="A899" s="16">
        <v>43658</v>
      </c>
      <c r="B899" s="9">
        <v>217</v>
      </c>
      <c r="C899">
        <f t="shared" ref="C899:C962" si="21">YEAR(A899)</f>
        <v>2019</v>
      </c>
    </row>
    <row r="900" spans="1:3" x14ac:dyDescent="0.35">
      <c r="A900" s="16">
        <v>43657</v>
      </c>
      <c r="B900" s="9">
        <v>218</v>
      </c>
      <c r="C900">
        <f t="shared" si="21"/>
        <v>2019</v>
      </c>
    </row>
    <row r="901" spans="1:3" x14ac:dyDescent="0.35">
      <c r="A901" s="16">
        <v>43656</v>
      </c>
      <c r="B901" s="9">
        <v>224</v>
      </c>
      <c r="C901">
        <f t="shared" si="21"/>
        <v>2019</v>
      </c>
    </row>
    <row r="902" spans="1:3" x14ac:dyDescent="0.35">
      <c r="A902" s="16">
        <v>43655</v>
      </c>
      <c r="B902" s="9">
        <v>228</v>
      </c>
      <c r="C902">
        <f t="shared" si="21"/>
        <v>2019</v>
      </c>
    </row>
    <row r="903" spans="1:3" x14ac:dyDescent="0.35">
      <c r="A903" s="16">
        <v>43654</v>
      </c>
      <c r="B903" s="9">
        <v>232</v>
      </c>
      <c r="C903">
        <f t="shared" si="21"/>
        <v>2019</v>
      </c>
    </row>
    <row r="904" spans="1:3" x14ac:dyDescent="0.35">
      <c r="A904" s="16">
        <v>43651</v>
      </c>
      <c r="B904" s="9">
        <v>233</v>
      </c>
      <c r="C904">
        <f t="shared" si="21"/>
        <v>2019</v>
      </c>
    </row>
    <row r="905" spans="1:3" x14ac:dyDescent="0.35">
      <c r="A905" s="16">
        <v>43650</v>
      </c>
      <c r="B905" s="9">
        <v>238</v>
      </c>
      <c r="C905">
        <f t="shared" si="21"/>
        <v>2019</v>
      </c>
    </row>
    <row r="906" spans="1:3" x14ac:dyDescent="0.35">
      <c r="A906" s="16">
        <v>43649</v>
      </c>
      <c r="B906" s="9">
        <v>238</v>
      </c>
      <c r="C906">
        <f t="shared" si="21"/>
        <v>2019</v>
      </c>
    </row>
    <row r="907" spans="1:3" x14ac:dyDescent="0.35">
      <c r="A907" s="16">
        <v>43648</v>
      </c>
      <c r="B907" s="9">
        <v>238</v>
      </c>
      <c r="C907">
        <f t="shared" si="21"/>
        <v>2019</v>
      </c>
    </row>
    <row r="908" spans="1:3" x14ac:dyDescent="0.35">
      <c r="A908" s="16">
        <v>43647</v>
      </c>
      <c r="B908" s="9">
        <v>234</v>
      </c>
      <c r="C908">
        <f t="shared" si="21"/>
        <v>2019</v>
      </c>
    </row>
    <row r="909" spans="1:3" x14ac:dyDescent="0.35">
      <c r="A909" s="16">
        <v>43644</v>
      </c>
      <c r="B909" s="9">
        <v>239</v>
      </c>
      <c r="C909">
        <f t="shared" si="21"/>
        <v>2019</v>
      </c>
    </row>
    <row r="910" spans="1:3" x14ac:dyDescent="0.35">
      <c r="A910" s="16">
        <v>43643</v>
      </c>
      <c r="B910" s="9">
        <v>242</v>
      </c>
      <c r="C910">
        <f t="shared" si="21"/>
        <v>2019</v>
      </c>
    </row>
    <row r="911" spans="1:3" x14ac:dyDescent="0.35">
      <c r="A911" s="16">
        <v>43642</v>
      </c>
      <c r="B911" s="9">
        <v>240</v>
      </c>
      <c r="C911">
        <f t="shared" si="21"/>
        <v>2019</v>
      </c>
    </row>
    <row r="912" spans="1:3" x14ac:dyDescent="0.35">
      <c r="A912" s="16">
        <v>43641</v>
      </c>
      <c r="B912" s="9">
        <v>243</v>
      </c>
      <c r="C912">
        <f t="shared" si="21"/>
        <v>2019</v>
      </c>
    </row>
    <row r="913" spans="1:3" x14ac:dyDescent="0.35">
      <c r="A913" s="16">
        <v>43640</v>
      </c>
      <c r="B913" s="9">
        <v>239</v>
      </c>
      <c r="C913">
        <f t="shared" si="21"/>
        <v>2019</v>
      </c>
    </row>
    <row r="914" spans="1:3" x14ac:dyDescent="0.35">
      <c r="A914" s="16">
        <v>43637</v>
      </c>
      <c r="B914" s="9">
        <v>236</v>
      </c>
      <c r="C914">
        <f t="shared" si="21"/>
        <v>2019</v>
      </c>
    </row>
    <row r="915" spans="1:3" x14ac:dyDescent="0.35">
      <c r="A915" s="16">
        <v>43636</v>
      </c>
      <c r="B915" s="9">
        <v>237</v>
      </c>
      <c r="C915">
        <f t="shared" si="21"/>
        <v>2019</v>
      </c>
    </row>
    <row r="916" spans="1:3" x14ac:dyDescent="0.35">
      <c r="A916" s="16">
        <v>43635</v>
      </c>
      <c r="B916" s="9">
        <v>246</v>
      </c>
      <c r="C916">
        <f t="shared" si="21"/>
        <v>2019</v>
      </c>
    </row>
    <row r="917" spans="1:3" x14ac:dyDescent="0.35">
      <c r="A917" s="16">
        <v>43634</v>
      </c>
      <c r="B917" s="9">
        <v>247</v>
      </c>
      <c r="C917">
        <f t="shared" si="21"/>
        <v>2019</v>
      </c>
    </row>
    <row r="918" spans="1:3" x14ac:dyDescent="0.35">
      <c r="A918" s="16">
        <v>43633</v>
      </c>
      <c r="B918" s="9">
        <v>252</v>
      </c>
      <c r="C918">
        <f t="shared" si="21"/>
        <v>2019</v>
      </c>
    </row>
    <row r="919" spans="1:3" x14ac:dyDescent="0.35">
      <c r="A919" s="16">
        <v>43630</v>
      </c>
      <c r="B919" s="9">
        <v>250</v>
      </c>
      <c r="C919">
        <f t="shared" si="21"/>
        <v>2019</v>
      </c>
    </row>
    <row r="920" spans="1:3" x14ac:dyDescent="0.35">
      <c r="A920" s="16">
        <v>43629</v>
      </c>
      <c r="B920" s="9">
        <v>248</v>
      </c>
      <c r="C920">
        <f t="shared" si="21"/>
        <v>2019</v>
      </c>
    </row>
    <row r="921" spans="1:3" x14ac:dyDescent="0.35">
      <c r="A921" s="16">
        <v>43628</v>
      </c>
      <c r="B921" s="9">
        <v>247</v>
      </c>
      <c r="C921">
        <f t="shared" si="21"/>
        <v>2019</v>
      </c>
    </row>
    <row r="922" spans="1:3" x14ac:dyDescent="0.35">
      <c r="A922" s="16">
        <v>43627</v>
      </c>
      <c r="B922" s="9">
        <v>248</v>
      </c>
      <c r="C922">
        <f t="shared" si="21"/>
        <v>2019</v>
      </c>
    </row>
    <row r="923" spans="1:3" x14ac:dyDescent="0.35">
      <c r="A923" s="16">
        <v>43626</v>
      </c>
      <c r="B923" s="9">
        <v>250</v>
      </c>
      <c r="C923">
        <f t="shared" si="21"/>
        <v>2019</v>
      </c>
    </row>
    <row r="924" spans="1:3" x14ac:dyDescent="0.35">
      <c r="A924" s="16">
        <v>43623</v>
      </c>
      <c r="B924" s="9">
        <v>254</v>
      </c>
      <c r="C924">
        <f t="shared" si="21"/>
        <v>2019</v>
      </c>
    </row>
    <row r="925" spans="1:3" x14ac:dyDescent="0.35">
      <c r="A925" s="16">
        <v>43622</v>
      </c>
      <c r="B925" s="9">
        <v>255</v>
      </c>
      <c r="C925">
        <f t="shared" si="21"/>
        <v>2019</v>
      </c>
    </row>
    <row r="926" spans="1:3" x14ac:dyDescent="0.35">
      <c r="A926" s="16">
        <v>43621</v>
      </c>
      <c r="B926" s="9">
        <v>256</v>
      </c>
      <c r="C926">
        <f t="shared" si="21"/>
        <v>2019</v>
      </c>
    </row>
    <row r="927" spans="1:3" x14ac:dyDescent="0.35">
      <c r="A927" s="16">
        <v>43620</v>
      </c>
      <c r="B927" s="9">
        <v>261</v>
      </c>
      <c r="C927">
        <f t="shared" si="21"/>
        <v>2019</v>
      </c>
    </row>
    <row r="928" spans="1:3" x14ac:dyDescent="0.35">
      <c r="A928" s="16">
        <v>43619</v>
      </c>
      <c r="B928" s="9">
        <v>276</v>
      </c>
      <c r="C928">
        <f t="shared" si="21"/>
        <v>2019</v>
      </c>
    </row>
    <row r="929" spans="1:3" x14ac:dyDescent="0.35">
      <c r="A929" s="16">
        <v>43616</v>
      </c>
      <c r="B929" s="9">
        <v>274</v>
      </c>
      <c r="C929">
        <f t="shared" si="21"/>
        <v>2019</v>
      </c>
    </row>
    <row r="930" spans="1:3" x14ac:dyDescent="0.35">
      <c r="A930" s="16">
        <v>43615</v>
      </c>
      <c r="B930" s="9">
        <v>270</v>
      </c>
      <c r="C930">
        <f t="shared" si="21"/>
        <v>2019</v>
      </c>
    </row>
    <row r="931" spans="1:3" x14ac:dyDescent="0.35">
      <c r="A931" s="16">
        <v>43614</v>
      </c>
      <c r="B931" s="9">
        <v>269</v>
      </c>
      <c r="C931">
        <f t="shared" si="21"/>
        <v>2019</v>
      </c>
    </row>
    <row r="932" spans="1:3" x14ac:dyDescent="0.35">
      <c r="A932" s="16">
        <v>43613</v>
      </c>
      <c r="B932" s="9">
        <v>267</v>
      </c>
      <c r="C932">
        <f t="shared" si="21"/>
        <v>2019</v>
      </c>
    </row>
    <row r="933" spans="1:3" x14ac:dyDescent="0.35">
      <c r="A933" s="16">
        <v>43612</v>
      </c>
      <c r="B933" s="9">
        <v>265</v>
      </c>
      <c r="C933">
        <f t="shared" si="21"/>
        <v>2019</v>
      </c>
    </row>
    <row r="934" spans="1:3" x14ac:dyDescent="0.35">
      <c r="A934" s="16">
        <v>43609</v>
      </c>
      <c r="B934" s="9">
        <v>265</v>
      </c>
      <c r="C934">
        <f t="shared" si="21"/>
        <v>2019</v>
      </c>
    </row>
    <row r="935" spans="1:3" x14ac:dyDescent="0.35">
      <c r="A935" s="16">
        <v>43608</v>
      </c>
      <c r="B935" s="9">
        <v>266</v>
      </c>
      <c r="C935">
        <f t="shared" si="21"/>
        <v>2019</v>
      </c>
    </row>
    <row r="936" spans="1:3" x14ac:dyDescent="0.35">
      <c r="A936" s="16">
        <v>43607</v>
      </c>
      <c r="B936" s="9">
        <v>258</v>
      </c>
      <c r="C936">
        <f t="shared" si="21"/>
        <v>2019</v>
      </c>
    </row>
    <row r="937" spans="1:3" x14ac:dyDescent="0.35">
      <c r="A937" s="16">
        <v>43606</v>
      </c>
      <c r="B937" s="9">
        <v>257</v>
      </c>
      <c r="C937">
        <f t="shared" si="21"/>
        <v>2019</v>
      </c>
    </row>
    <row r="938" spans="1:3" x14ac:dyDescent="0.35">
      <c r="A938" s="16">
        <v>43605</v>
      </c>
      <c r="B938" s="9">
        <v>260</v>
      </c>
      <c r="C938">
        <f t="shared" si="21"/>
        <v>2019</v>
      </c>
    </row>
    <row r="939" spans="1:3" x14ac:dyDescent="0.35">
      <c r="A939" s="16">
        <v>43602</v>
      </c>
      <c r="B939" s="9">
        <v>263</v>
      </c>
      <c r="C939">
        <f t="shared" si="21"/>
        <v>2019</v>
      </c>
    </row>
    <row r="940" spans="1:3" x14ac:dyDescent="0.35">
      <c r="A940" s="16">
        <v>43601</v>
      </c>
      <c r="B940" s="9">
        <v>261</v>
      </c>
      <c r="C940">
        <f t="shared" si="21"/>
        <v>2019</v>
      </c>
    </row>
    <row r="941" spans="1:3" x14ac:dyDescent="0.35">
      <c r="A941" s="16">
        <v>43600</v>
      </c>
      <c r="B941" s="9">
        <v>260</v>
      </c>
      <c r="C941">
        <f t="shared" si="21"/>
        <v>2019</v>
      </c>
    </row>
    <row r="942" spans="1:3" x14ac:dyDescent="0.35">
      <c r="A942" s="16">
        <v>43599</v>
      </c>
      <c r="B942" s="9">
        <v>256</v>
      </c>
      <c r="C942">
        <f t="shared" si="21"/>
        <v>2019</v>
      </c>
    </row>
    <row r="943" spans="1:3" x14ac:dyDescent="0.35">
      <c r="A943" s="16">
        <v>43598</v>
      </c>
      <c r="B943" s="9">
        <v>260</v>
      </c>
      <c r="C943">
        <f t="shared" si="21"/>
        <v>2019</v>
      </c>
    </row>
    <row r="944" spans="1:3" x14ac:dyDescent="0.35">
      <c r="A944" s="16">
        <v>43595</v>
      </c>
      <c r="B944" s="9">
        <v>252</v>
      </c>
      <c r="C944">
        <f t="shared" si="21"/>
        <v>2019</v>
      </c>
    </row>
    <row r="945" spans="1:3" x14ac:dyDescent="0.35">
      <c r="A945" s="16">
        <v>43594</v>
      </c>
      <c r="B945" s="9">
        <v>253</v>
      </c>
      <c r="C945">
        <f t="shared" si="21"/>
        <v>2019</v>
      </c>
    </row>
    <row r="946" spans="1:3" x14ac:dyDescent="0.35">
      <c r="A946" s="16">
        <v>43593</v>
      </c>
      <c r="B946" s="9">
        <v>250</v>
      </c>
      <c r="C946">
        <f t="shared" si="21"/>
        <v>2019</v>
      </c>
    </row>
    <row r="947" spans="1:3" x14ac:dyDescent="0.35">
      <c r="A947" s="16">
        <v>43592</v>
      </c>
      <c r="B947" s="9">
        <v>255</v>
      </c>
      <c r="C947">
        <f t="shared" si="21"/>
        <v>2019</v>
      </c>
    </row>
    <row r="948" spans="1:3" x14ac:dyDescent="0.35">
      <c r="A948" s="16">
        <v>43591</v>
      </c>
      <c r="B948" s="9">
        <v>250</v>
      </c>
      <c r="C948">
        <f t="shared" si="21"/>
        <v>2019</v>
      </c>
    </row>
    <row r="949" spans="1:3" x14ac:dyDescent="0.35">
      <c r="A949" s="16">
        <v>43588</v>
      </c>
      <c r="B949" s="9">
        <v>248</v>
      </c>
      <c r="C949">
        <f t="shared" si="21"/>
        <v>2019</v>
      </c>
    </row>
    <row r="950" spans="1:3" x14ac:dyDescent="0.35">
      <c r="A950" s="16">
        <v>43587</v>
      </c>
      <c r="B950" s="9">
        <v>250</v>
      </c>
      <c r="C950">
        <f t="shared" si="21"/>
        <v>2019</v>
      </c>
    </row>
    <row r="951" spans="1:3" x14ac:dyDescent="0.35">
      <c r="A951" s="16">
        <v>43586</v>
      </c>
      <c r="B951" s="9">
        <v>250</v>
      </c>
      <c r="C951">
        <f t="shared" si="21"/>
        <v>2019</v>
      </c>
    </row>
    <row r="952" spans="1:3" x14ac:dyDescent="0.35">
      <c r="A952" s="16">
        <v>43585</v>
      </c>
      <c r="B952" s="9">
        <v>252</v>
      </c>
      <c r="C952">
        <f t="shared" si="21"/>
        <v>2019</v>
      </c>
    </row>
    <row r="953" spans="1:3" x14ac:dyDescent="0.35">
      <c r="A953" s="16">
        <v>43584</v>
      </c>
      <c r="B953" s="9">
        <v>248</v>
      </c>
      <c r="C953">
        <f t="shared" si="21"/>
        <v>2019</v>
      </c>
    </row>
    <row r="954" spans="1:3" x14ac:dyDescent="0.35">
      <c r="A954" s="16">
        <v>43581</v>
      </c>
      <c r="B954" s="9">
        <v>252</v>
      </c>
      <c r="C954">
        <f t="shared" si="21"/>
        <v>2019</v>
      </c>
    </row>
    <row r="955" spans="1:3" x14ac:dyDescent="0.35">
      <c r="A955" s="16">
        <v>43580</v>
      </c>
      <c r="B955" s="9">
        <v>252</v>
      </c>
      <c r="C955">
        <f t="shared" si="21"/>
        <v>2019</v>
      </c>
    </row>
    <row r="956" spans="1:3" x14ac:dyDescent="0.35">
      <c r="A956" s="16">
        <v>43579</v>
      </c>
      <c r="B956" s="9">
        <v>251</v>
      </c>
      <c r="C956">
        <f t="shared" si="21"/>
        <v>2019</v>
      </c>
    </row>
    <row r="957" spans="1:3" x14ac:dyDescent="0.35">
      <c r="A957" s="16">
        <v>43578</v>
      </c>
      <c r="B957" s="9">
        <v>247</v>
      </c>
      <c r="C957">
        <f t="shared" si="21"/>
        <v>2019</v>
      </c>
    </row>
    <row r="958" spans="1:3" x14ac:dyDescent="0.35">
      <c r="A958" s="16">
        <v>43577</v>
      </c>
      <c r="B958" s="9">
        <v>250</v>
      </c>
      <c r="C958">
        <f t="shared" si="21"/>
        <v>2019</v>
      </c>
    </row>
    <row r="959" spans="1:3" x14ac:dyDescent="0.35">
      <c r="A959" s="16">
        <v>43574</v>
      </c>
      <c r="B959" s="9">
        <v>253</v>
      </c>
      <c r="C959">
        <f t="shared" si="21"/>
        <v>2019</v>
      </c>
    </row>
    <row r="960" spans="1:3" x14ac:dyDescent="0.35">
      <c r="A960" s="16">
        <v>43573</v>
      </c>
      <c r="B960" s="9">
        <v>253</v>
      </c>
      <c r="C960">
        <f t="shared" si="21"/>
        <v>2019</v>
      </c>
    </row>
    <row r="961" spans="1:3" x14ac:dyDescent="0.35">
      <c r="A961" s="16">
        <v>43572</v>
      </c>
      <c r="B961" s="9">
        <v>249</v>
      </c>
      <c r="C961">
        <f t="shared" si="21"/>
        <v>2019</v>
      </c>
    </row>
    <row r="962" spans="1:3" x14ac:dyDescent="0.35">
      <c r="A962" s="16">
        <v>43571</v>
      </c>
      <c r="B962" s="9">
        <v>248</v>
      </c>
      <c r="C962">
        <f t="shared" si="21"/>
        <v>2019</v>
      </c>
    </row>
    <row r="963" spans="1:3" x14ac:dyDescent="0.35">
      <c r="A963" s="16">
        <v>43570</v>
      </c>
      <c r="B963" s="9">
        <v>254</v>
      </c>
      <c r="C963">
        <f t="shared" ref="C963:C1026" si="22">YEAR(A963)</f>
        <v>2019</v>
      </c>
    </row>
    <row r="964" spans="1:3" x14ac:dyDescent="0.35">
      <c r="A964" s="16">
        <v>43567</v>
      </c>
      <c r="B964" s="9">
        <v>252</v>
      </c>
      <c r="C964">
        <f t="shared" si="22"/>
        <v>2019</v>
      </c>
    </row>
    <row r="965" spans="1:3" x14ac:dyDescent="0.35">
      <c r="A965" s="16">
        <v>43566</v>
      </c>
      <c r="B965" s="9">
        <v>253</v>
      </c>
      <c r="C965">
        <f t="shared" si="22"/>
        <v>2019</v>
      </c>
    </row>
    <row r="966" spans="1:3" x14ac:dyDescent="0.35">
      <c r="A966" s="16">
        <v>43565</v>
      </c>
      <c r="B966" s="9">
        <v>253</v>
      </c>
      <c r="C966">
        <f t="shared" si="22"/>
        <v>2019</v>
      </c>
    </row>
    <row r="967" spans="1:3" x14ac:dyDescent="0.35">
      <c r="A967" s="16">
        <v>43564</v>
      </c>
      <c r="B967" s="9">
        <v>251</v>
      </c>
      <c r="C967">
        <f t="shared" si="22"/>
        <v>2019</v>
      </c>
    </row>
    <row r="968" spans="1:3" x14ac:dyDescent="0.35">
      <c r="A968" s="16">
        <v>43563</v>
      </c>
      <c r="B968" s="9">
        <v>250</v>
      </c>
      <c r="C968">
        <f t="shared" si="22"/>
        <v>2019</v>
      </c>
    </row>
    <row r="969" spans="1:3" x14ac:dyDescent="0.35">
      <c r="A969" s="16">
        <v>43560</v>
      </c>
      <c r="B969" s="9">
        <v>250</v>
      </c>
      <c r="C969">
        <f t="shared" si="22"/>
        <v>2019</v>
      </c>
    </row>
    <row r="970" spans="1:3" x14ac:dyDescent="0.35">
      <c r="A970" s="16">
        <v>43559</v>
      </c>
      <c r="B970" s="9">
        <v>250</v>
      </c>
      <c r="C970">
        <f t="shared" si="22"/>
        <v>2019</v>
      </c>
    </row>
    <row r="971" spans="1:3" x14ac:dyDescent="0.35">
      <c r="A971" s="16">
        <v>43558</v>
      </c>
      <c r="B971" s="9">
        <v>249</v>
      </c>
      <c r="C971">
        <f t="shared" si="22"/>
        <v>2019</v>
      </c>
    </row>
    <row r="972" spans="1:3" x14ac:dyDescent="0.35">
      <c r="A972" s="16">
        <v>43557</v>
      </c>
      <c r="B972" s="9">
        <v>253</v>
      </c>
      <c r="C972">
        <f t="shared" si="22"/>
        <v>2019</v>
      </c>
    </row>
    <row r="973" spans="1:3" x14ac:dyDescent="0.35">
      <c r="A973" s="16">
        <v>43556</v>
      </c>
      <c r="B973" s="9">
        <v>248</v>
      </c>
      <c r="C973">
        <f t="shared" si="22"/>
        <v>2019</v>
      </c>
    </row>
    <row r="974" spans="1:3" x14ac:dyDescent="0.35">
      <c r="A974" s="16">
        <v>43553</v>
      </c>
      <c r="B974" s="9">
        <v>253</v>
      </c>
      <c r="C974">
        <f t="shared" si="22"/>
        <v>2019</v>
      </c>
    </row>
    <row r="975" spans="1:3" x14ac:dyDescent="0.35">
      <c r="A975" s="16">
        <v>43552</v>
      </c>
      <c r="B975" s="9">
        <v>258</v>
      </c>
      <c r="C975">
        <f t="shared" si="22"/>
        <v>2019</v>
      </c>
    </row>
    <row r="976" spans="1:3" x14ac:dyDescent="0.35">
      <c r="A976" s="16">
        <v>43551</v>
      </c>
      <c r="B976" s="9">
        <v>262</v>
      </c>
      <c r="C976">
        <f t="shared" si="22"/>
        <v>2019</v>
      </c>
    </row>
    <row r="977" spans="1:3" x14ac:dyDescent="0.35">
      <c r="A977" s="16">
        <v>43550</v>
      </c>
      <c r="B977" s="9">
        <v>255</v>
      </c>
      <c r="C977">
        <f t="shared" si="22"/>
        <v>2019</v>
      </c>
    </row>
    <row r="978" spans="1:3" x14ac:dyDescent="0.35">
      <c r="A978" s="16">
        <v>43549</v>
      </c>
      <c r="B978" s="9">
        <v>255</v>
      </c>
      <c r="C978">
        <f t="shared" si="22"/>
        <v>2019</v>
      </c>
    </row>
    <row r="979" spans="1:3" x14ac:dyDescent="0.35">
      <c r="A979" s="16">
        <v>43546</v>
      </c>
      <c r="B979" s="9">
        <v>255</v>
      </c>
      <c r="C979">
        <f t="shared" si="22"/>
        <v>2019</v>
      </c>
    </row>
    <row r="980" spans="1:3" x14ac:dyDescent="0.35">
      <c r="A980" s="16">
        <v>43545</v>
      </c>
      <c r="B980" s="9">
        <v>239</v>
      </c>
      <c r="C980">
        <f t="shared" si="22"/>
        <v>2019</v>
      </c>
    </row>
    <row r="981" spans="1:3" x14ac:dyDescent="0.35">
      <c r="A981" s="16">
        <v>43544</v>
      </c>
      <c r="B981" s="9">
        <v>240</v>
      </c>
      <c r="C981">
        <f t="shared" si="22"/>
        <v>2019</v>
      </c>
    </row>
    <row r="982" spans="1:3" x14ac:dyDescent="0.35">
      <c r="A982" s="16">
        <v>43543</v>
      </c>
      <c r="B982" s="9">
        <v>240</v>
      </c>
      <c r="C982">
        <f t="shared" si="22"/>
        <v>2019</v>
      </c>
    </row>
    <row r="983" spans="1:3" x14ac:dyDescent="0.35">
      <c r="A983" s="16">
        <v>43542</v>
      </c>
      <c r="B983" s="9">
        <v>242</v>
      </c>
      <c r="C983">
        <f t="shared" si="22"/>
        <v>2019</v>
      </c>
    </row>
    <row r="984" spans="1:3" x14ac:dyDescent="0.35">
      <c r="A984" s="16">
        <v>43539</v>
      </c>
      <c r="B984" s="9">
        <v>246</v>
      </c>
      <c r="C984">
        <f t="shared" si="22"/>
        <v>2019</v>
      </c>
    </row>
    <row r="985" spans="1:3" x14ac:dyDescent="0.35">
      <c r="A985" s="16">
        <v>43538</v>
      </c>
      <c r="B985" s="9">
        <v>245</v>
      </c>
      <c r="C985">
        <f t="shared" si="22"/>
        <v>2019</v>
      </c>
    </row>
    <row r="986" spans="1:3" x14ac:dyDescent="0.35">
      <c r="A986" s="16">
        <v>43537</v>
      </c>
      <c r="B986" s="9">
        <v>249</v>
      </c>
      <c r="C986">
        <f t="shared" si="22"/>
        <v>2019</v>
      </c>
    </row>
    <row r="987" spans="1:3" x14ac:dyDescent="0.35">
      <c r="A987" s="16">
        <v>43536</v>
      </c>
      <c r="B987" s="9">
        <v>245</v>
      </c>
      <c r="C987">
        <f t="shared" si="22"/>
        <v>2019</v>
      </c>
    </row>
    <row r="988" spans="1:3" x14ac:dyDescent="0.35">
      <c r="A988" s="16">
        <v>43535</v>
      </c>
      <c r="B988" s="9">
        <v>243</v>
      </c>
      <c r="C988">
        <f t="shared" si="22"/>
        <v>2019</v>
      </c>
    </row>
    <row r="989" spans="1:3" x14ac:dyDescent="0.35">
      <c r="A989" s="16">
        <v>43532</v>
      </c>
      <c r="B989" s="9">
        <v>251</v>
      </c>
      <c r="C989">
        <f t="shared" si="22"/>
        <v>2019</v>
      </c>
    </row>
    <row r="990" spans="1:3" x14ac:dyDescent="0.35">
      <c r="A990" s="16">
        <v>43531</v>
      </c>
      <c r="B990" s="9">
        <v>249</v>
      </c>
      <c r="C990">
        <f t="shared" si="22"/>
        <v>2019</v>
      </c>
    </row>
    <row r="991" spans="1:3" x14ac:dyDescent="0.35">
      <c r="A991" s="16">
        <v>43530</v>
      </c>
      <c r="B991" s="9">
        <v>245</v>
      </c>
      <c r="C991">
        <f t="shared" si="22"/>
        <v>2019</v>
      </c>
    </row>
    <row r="992" spans="1:3" x14ac:dyDescent="0.35">
      <c r="A992" s="16">
        <v>43529</v>
      </c>
      <c r="B992" s="9">
        <v>242</v>
      </c>
      <c r="C992">
        <f t="shared" si="22"/>
        <v>2019</v>
      </c>
    </row>
    <row r="993" spans="1:3" x14ac:dyDescent="0.35">
      <c r="A993" s="16">
        <v>43528</v>
      </c>
      <c r="B993" s="9">
        <v>240</v>
      </c>
      <c r="C993">
        <f t="shared" si="22"/>
        <v>2019</v>
      </c>
    </row>
    <row r="994" spans="1:3" x14ac:dyDescent="0.35">
      <c r="A994" s="16">
        <v>43525</v>
      </c>
      <c r="B994" s="9">
        <v>236</v>
      </c>
      <c r="C994">
        <f t="shared" si="22"/>
        <v>2019</v>
      </c>
    </row>
    <row r="995" spans="1:3" x14ac:dyDescent="0.35">
      <c r="A995" s="16">
        <v>43524</v>
      </c>
      <c r="B995" s="9">
        <v>235</v>
      </c>
      <c r="C995">
        <f t="shared" si="22"/>
        <v>2019</v>
      </c>
    </row>
    <row r="996" spans="1:3" x14ac:dyDescent="0.35">
      <c r="A996" s="16">
        <v>43523</v>
      </c>
      <c r="B996" s="9">
        <v>236</v>
      </c>
      <c r="C996">
        <f t="shared" si="22"/>
        <v>2019</v>
      </c>
    </row>
    <row r="997" spans="1:3" x14ac:dyDescent="0.35">
      <c r="A997" s="16">
        <v>43522</v>
      </c>
      <c r="B997" s="9">
        <v>239</v>
      </c>
      <c r="C997">
        <f t="shared" si="22"/>
        <v>2019</v>
      </c>
    </row>
    <row r="998" spans="1:3" x14ac:dyDescent="0.35">
      <c r="A998" s="16">
        <v>43521</v>
      </c>
      <c r="B998" s="9">
        <v>240</v>
      </c>
      <c r="C998">
        <f t="shared" si="22"/>
        <v>2019</v>
      </c>
    </row>
    <row r="999" spans="1:3" x14ac:dyDescent="0.35">
      <c r="A999" s="16">
        <v>43518</v>
      </c>
      <c r="B999" s="9">
        <v>241</v>
      </c>
      <c r="C999">
        <f t="shared" si="22"/>
        <v>2019</v>
      </c>
    </row>
    <row r="1000" spans="1:3" x14ac:dyDescent="0.35">
      <c r="A1000" s="16">
        <v>43517</v>
      </c>
      <c r="B1000" s="9">
        <v>242</v>
      </c>
      <c r="C1000">
        <f t="shared" si="22"/>
        <v>2019</v>
      </c>
    </row>
    <row r="1001" spans="1:3" x14ac:dyDescent="0.35">
      <c r="A1001" s="16">
        <v>43516</v>
      </c>
      <c r="B1001" s="9">
        <v>241</v>
      </c>
      <c r="C1001">
        <f t="shared" si="22"/>
        <v>2019</v>
      </c>
    </row>
    <row r="1002" spans="1:3" x14ac:dyDescent="0.35">
      <c r="A1002" s="16">
        <v>43515</v>
      </c>
      <c r="B1002" s="9">
        <v>241</v>
      </c>
      <c r="C1002">
        <f t="shared" si="22"/>
        <v>2019</v>
      </c>
    </row>
    <row r="1003" spans="1:3" x14ac:dyDescent="0.35">
      <c r="A1003" s="16">
        <v>43514</v>
      </c>
      <c r="B1003" s="9">
        <v>241</v>
      </c>
      <c r="C1003">
        <f t="shared" si="22"/>
        <v>2019</v>
      </c>
    </row>
    <row r="1004" spans="1:3" x14ac:dyDescent="0.35">
      <c r="A1004" s="16">
        <v>43511</v>
      </c>
      <c r="B1004" s="9">
        <v>241</v>
      </c>
      <c r="C1004">
        <f t="shared" si="22"/>
        <v>2019</v>
      </c>
    </row>
    <row r="1005" spans="1:3" x14ac:dyDescent="0.35">
      <c r="A1005" s="16">
        <v>43510</v>
      </c>
      <c r="B1005" s="9">
        <v>240</v>
      </c>
      <c r="C1005">
        <f t="shared" si="22"/>
        <v>2019</v>
      </c>
    </row>
    <row r="1006" spans="1:3" x14ac:dyDescent="0.35">
      <c r="A1006" s="16">
        <v>43509</v>
      </c>
      <c r="B1006" s="9">
        <v>242</v>
      </c>
      <c r="C1006">
        <f t="shared" si="22"/>
        <v>2019</v>
      </c>
    </row>
    <row r="1007" spans="1:3" x14ac:dyDescent="0.35">
      <c r="A1007" s="16">
        <v>43508</v>
      </c>
      <c r="B1007" s="9">
        <v>244</v>
      </c>
      <c r="C1007">
        <f t="shared" si="22"/>
        <v>2019</v>
      </c>
    </row>
    <row r="1008" spans="1:3" x14ac:dyDescent="0.35">
      <c r="A1008" s="16">
        <v>43507</v>
      </c>
      <c r="B1008" s="9">
        <v>250</v>
      </c>
      <c r="C1008">
        <f t="shared" si="22"/>
        <v>2019</v>
      </c>
    </row>
    <row r="1009" spans="1:3" x14ac:dyDescent="0.35">
      <c r="A1009" s="16">
        <v>43504</v>
      </c>
      <c r="B1009" s="9">
        <v>249</v>
      </c>
      <c r="C1009">
        <f t="shared" si="22"/>
        <v>2019</v>
      </c>
    </row>
    <row r="1010" spans="1:3" x14ac:dyDescent="0.35">
      <c r="A1010" s="16">
        <v>43503</v>
      </c>
      <c r="B1010" s="9">
        <v>245</v>
      </c>
      <c r="C1010">
        <f t="shared" si="22"/>
        <v>2019</v>
      </c>
    </row>
    <row r="1011" spans="1:3" x14ac:dyDescent="0.35">
      <c r="A1011" s="16">
        <v>43502</v>
      </c>
      <c r="B1011" s="9">
        <v>239</v>
      </c>
      <c r="C1011">
        <f t="shared" si="22"/>
        <v>2019</v>
      </c>
    </row>
    <row r="1012" spans="1:3" x14ac:dyDescent="0.35">
      <c r="A1012" s="16">
        <v>43501</v>
      </c>
      <c r="B1012" s="9">
        <v>232</v>
      </c>
      <c r="C1012">
        <f t="shared" si="22"/>
        <v>2019</v>
      </c>
    </row>
    <row r="1013" spans="1:3" x14ac:dyDescent="0.35">
      <c r="A1013" s="16">
        <v>43500</v>
      </c>
      <c r="B1013" s="9">
        <v>234</v>
      </c>
      <c r="C1013">
        <f t="shared" si="22"/>
        <v>2019</v>
      </c>
    </row>
    <row r="1014" spans="1:3" x14ac:dyDescent="0.35">
      <c r="A1014" s="16">
        <v>43497</v>
      </c>
      <c r="B1014" s="9">
        <v>237</v>
      </c>
      <c r="C1014">
        <f t="shared" si="22"/>
        <v>2019</v>
      </c>
    </row>
    <row r="1015" spans="1:3" x14ac:dyDescent="0.35">
      <c r="A1015" s="16">
        <v>43496</v>
      </c>
      <c r="B1015" s="9">
        <v>238</v>
      </c>
      <c r="C1015">
        <f t="shared" si="22"/>
        <v>2019</v>
      </c>
    </row>
    <row r="1016" spans="1:3" x14ac:dyDescent="0.35">
      <c r="A1016" s="16">
        <v>43495</v>
      </c>
      <c r="B1016" s="9">
        <v>240</v>
      </c>
      <c r="C1016">
        <f t="shared" si="22"/>
        <v>2019</v>
      </c>
    </row>
    <row r="1017" spans="1:3" x14ac:dyDescent="0.35">
      <c r="A1017" s="16">
        <v>43494</v>
      </c>
      <c r="B1017" s="9">
        <v>244</v>
      </c>
      <c r="C1017">
        <f t="shared" si="22"/>
        <v>2019</v>
      </c>
    </row>
    <row r="1018" spans="1:3" x14ac:dyDescent="0.35">
      <c r="A1018" s="16">
        <v>43493</v>
      </c>
      <c r="B1018" s="9">
        <v>240</v>
      </c>
      <c r="C1018">
        <f t="shared" si="22"/>
        <v>2019</v>
      </c>
    </row>
    <row r="1019" spans="1:3" x14ac:dyDescent="0.35">
      <c r="A1019" s="16">
        <v>43490</v>
      </c>
      <c r="B1019" s="9">
        <v>239</v>
      </c>
      <c r="C1019">
        <f t="shared" si="22"/>
        <v>2019</v>
      </c>
    </row>
    <row r="1020" spans="1:3" x14ac:dyDescent="0.35">
      <c r="A1020" s="16">
        <v>43489</v>
      </c>
      <c r="B1020" s="9">
        <v>246</v>
      </c>
      <c r="C1020">
        <f t="shared" si="22"/>
        <v>2019</v>
      </c>
    </row>
    <row r="1021" spans="1:3" x14ac:dyDescent="0.35">
      <c r="A1021" s="16">
        <v>43488</v>
      </c>
      <c r="B1021" s="9">
        <v>247</v>
      </c>
      <c r="C1021">
        <f t="shared" si="22"/>
        <v>2019</v>
      </c>
    </row>
    <row r="1022" spans="1:3" x14ac:dyDescent="0.35">
      <c r="A1022" s="16">
        <v>43487</v>
      </c>
      <c r="B1022" s="9">
        <v>252</v>
      </c>
      <c r="C1022">
        <f t="shared" si="22"/>
        <v>2019</v>
      </c>
    </row>
    <row r="1023" spans="1:3" x14ac:dyDescent="0.35">
      <c r="A1023" s="16">
        <v>43486</v>
      </c>
      <c r="B1023" s="9">
        <v>245</v>
      </c>
      <c r="C1023">
        <f t="shared" si="22"/>
        <v>2019</v>
      </c>
    </row>
    <row r="1024" spans="1:3" x14ac:dyDescent="0.35">
      <c r="A1024" s="16">
        <v>43483</v>
      </c>
      <c r="B1024" s="9">
        <v>245</v>
      </c>
      <c r="C1024">
        <f t="shared" si="22"/>
        <v>2019</v>
      </c>
    </row>
    <row r="1025" spans="1:3" x14ac:dyDescent="0.35">
      <c r="A1025" s="16">
        <v>43482</v>
      </c>
      <c r="B1025" s="9">
        <v>255</v>
      </c>
      <c r="C1025">
        <f t="shared" si="22"/>
        <v>2019</v>
      </c>
    </row>
    <row r="1026" spans="1:3" x14ac:dyDescent="0.35">
      <c r="A1026" s="16">
        <v>43481</v>
      </c>
      <c r="B1026" s="9">
        <v>255</v>
      </c>
      <c r="C1026">
        <f t="shared" si="22"/>
        <v>2019</v>
      </c>
    </row>
    <row r="1027" spans="1:3" x14ac:dyDescent="0.35">
      <c r="A1027" s="16">
        <v>43480</v>
      </c>
      <c r="B1027" s="9">
        <v>255</v>
      </c>
      <c r="C1027">
        <f t="shared" ref="C1027:C1090" si="23">YEAR(A1027)</f>
        <v>2019</v>
      </c>
    </row>
    <row r="1028" spans="1:3" x14ac:dyDescent="0.35">
      <c r="A1028" s="16">
        <v>43479</v>
      </c>
      <c r="B1028" s="9">
        <v>258</v>
      </c>
      <c r="C1028">
        <f t="shared" si="23"/>
        <v>2019</v>
      </c>
    </row>
    <row r="1029" spans="1:3" x14ac:dyDescent="0.35">
      <c r="A1029" s="16">
        <v>43476</v>
      </c>
      <c r="B1029" s="9">
        <v>258</v>
      </c>
      <c r="C1029">
        <f t="shared" si="23"/>
        <v>2019</v>
      </c>
    </row>
    <row r="1030" spans="1:3" x14ac:dyDescent="0.35">
      <c r="A1030" s="16">
        <v>43475</v>
      </c>
      <c r="B1030" s="9">
        <v>254</v>
      </c>
      <c r="C1030">
        <f t="shared" si="23"/>
        <v>2019</v>
      </c>
    </row>
    <row r="1031" spans="1:3" x14ac:dyDescent="0.35">
      <c r="A1031" s="16">
        <v>43474</v>
      </c>
      <c r="B1031" s="9">
        <v>250</v>
      </c>
      <c r="C1031">
        <f t="shared" si="23"/>
        <v>2019</v>
      </c>
    </row>
    <row r="1032" spans="1:3" x14ac:dyDescent="0.35">
      <c r="A1032" s="16">
        <v>43473</v>
      </c>
      <c r="B1032" s="9">
        <v>254</v>
      </c>
      <c r="C1032">
        <f t="shared" si="23"/>
        <v>2019</v>
      </c>
    </row>
    <row r="1033" spans="1:3" x14ac:dyDescent="0.35">
      <c r="A1033" s="16">
        <v>43472</v>
      </c>
      <c r="B1033" s="9">
        <v>256</v>
      </c>
      <c r="C1033">
        <f t="shared" si="23"/>
        <v>2019</v>
      </c>
    </row>
    <row r="1034" spans="1:3" x14ac:dyDescent="0.35">
      <c r="A1034" s="16">
        <v>43469</v>
      </c>
      <c r="B1034" s="9">
        <v>264</v>
      </c>
      <c r="C1034">
        <f t="shared" si="23"/>
        <v>2019</v>
      </c>
    </row>
    <row r="1035" spans="1:3" x14ac:dyDescent="0.35">
      <c r="A1035" s="16">
        <v>43468</v>
      </c>
      <c r="B1035" s="9">
        <v>278</v>
      </c>
      <c r="C1035">
        <f t="shared" si="23"/>
        <v>2019</v>
      </c>
    </row>
    <row r="1036" spans="1:3" x14ac:dyDescent="0.35">
      <c r="A1036" s="16">
        <v>43467</v>
      </c>
      <c r="B1036" s="9">
        <v>275</v>
      </c>
      <c r="C1036">
        <f t="shared" si="23"/>
        <v>2019</v>
      </c>
    </row>
    <row r="1037" spans="1:3" x14ac:dyDescent="0.35">
      <c r="A1037" s="16">
        <v>43465</v>
      </c>
      <c r="B1037" s="9">
        <v>276</v>
      </c>
      <c r="C1037">
        <f t="shared" si="23"/>
        <v>2018</v>
      </c>
    </row>
    <row r="1038" spans="1:3" x14ac:dyDescent="0.35">
      <c r="A1038" s="16">
        <v>43462</v>
      </c>
      <c r="B1038" s="9">
        <v>272</v>
      </c>
      <c r="C1038">
        <f t="shared" si="23"/>
        <v>2018</v>
      </c>
    </row>
    <row r="1039" spans="1:3" x14ac:dyDescent="0.35">
      <c r="A1039" s="16">
        <v>43461</v>
      </c>
      <c r="B1039" s="9">
        <v>274</v>
      </c>
      <c r="C1039">
        <f t="shared" si="23"/>
        <v>2018</v>
      </c>
    </row>
    <row r="1040" spans="1:3" x14ac:dyDescent="0.35">
      <c r="A1040" s="16">
        <v>43460</v>
      </c>
      <c r="B1040" s="9">
        <v>273</v>
      </c>
      <c r="C1040">
        <f t="shared" si="23"/>
        <v>2018</v>
      </c>
    </row>
    <row r="1041" spans="1:3" x14ac:dyDescent="0.35">
      <c r="A1041" s="16">
        <v>43458</v>
      </c>
      <c r="B1041" s="9">
        <v>276</v>
      </c>
      <c r="C1041">
        <f t="shared" si="23"/>
        <v>2018</v>
      </c>
    </row>
    <row r="1042" spans="1:3" x14ac:dyDescent="0.35">
      <c r="A1042" s="16">
        <v>43455</v>
      </c>
      <c r="B1042" s="9">
        <v>273</v>
      </c>
      <c r="C1042">
        <f t="shared" si="23"/>
        <v>2018</v>
      </c>
    </row>
    <row r="1043" spans="1:3" x14ac:dyDescent="0.35">
      <c r="A1043" s="16">
        <v>43454</v>
      </c>
      <c r="B1043" s="9">
        <v>268</v>
      </c>
      <c r="C1043">
        <f t="shared" si="23"/>
        <v>2018</v>
      </c>
    </row>
    <row r="1044" spans="1:3" x14ac:dyDescent="0.35">
      <c r="A1044" s="16">
        <v>43453</v>
      </c>
      <c r="B1044" s="9">
        <v>270</v>
      </c>
      <c r="C1044">
        <f t="shared" si="23"/>
        <v>2018</v>
      </c>
    </row>
    <row r="1045" spans="1:3" x14ac:dyDescent="0.35">
      <c r="A1045" s="16">
        <v>43452</v>
      </c>
      <c r="B1045" s="9">
        <v>265</v>
      </c>
      <c r="C1045">
        <f t="shared" si="23"/>
        <v>2018</v>
      </c>
    </row>
    <row r="1046" spans="1:3" x14ac:dyDescent="0.35">
      <c r="A1046" s="16">
        <v>43451</v>
      </c>
      <c r="B1046" s="9">
        <v>260</v>
      </c>
      <c r="C1046">
        <f t="shared" si="23"/>
        <v>2018</v>
      </c>
    </row>
    <row r="1047" spans="1:3" x14ac:dyDescent="0.35">
      <c r="A1047" s="16">
        <v>43448</v>
      </c>
      <c r="B1047" s="9">
        <v>261</v>
      </c>
      <c r="C1047">
        <f t="shared" si="23"/>
        <v>2018</v>
      </c>
    </row>
    <row r="1048" spans="1:3" x14ac:dyDescent="0.35">
      <c r="A1048" s="16">
        <v>43447</v>
      </c>
      <c r="B1048" s="9">
        <v>258</v>
      </c>
      <c r="C1048">
        <f t="shared" si="23"/>
        <v>2018</v>
      </c>
    </row>
    <row r="1049" spans="1:3" x14ac:dyDescent="0.35">
      <c r="A1049" s="16">
        <v>43446</v>
      </c>
      <c r="B1049" s="9">
        <v>261</v>
      </c>
      <c r="C1049">
        <f t="shared" si="23"/>
        <v>2018</v>
      </c>
    </row>
    <row r="1050" spans="1:3" x14ac:dyDescent="0.35">
      <c r="A1050" s="16">
        <v>43445</v>
      </c>
      <c r="B1050" s="9">
        <v>270</v>
      </c>
      <c r="C1050">
        <f t="shared" si="23"/>
        <v>2018</v>
      </c>
    </row>
    <row r="1051" spans="1:3" x14ac:dyDescent="0.35">
      <c r="A1051" s="16">
        <v>43444</v>
      </c>
      <c r="B1051" s="9">
        <v>276</v>
      </c>
      <c r="C1051">
        <f t="shared" si="23"/>
        <v>2018</v>
      </c>
    </row>
    <row r="1052" spans="1:3" x14ac:dyDescent="0.35">
      <c r="A1052" s="16">
        <v>43441</v>
      </c>
      <c r="B1052" s="9">
        <v>274</v>
      </c>
      <c r="C1052">
        <f t="shared" si="23"/>
        <v>2018</v>
      </c>
    </row>
    <row r="1053" spans="1:3" x14ac:dyDescent="0.35">
      <c r="A1053" s="16">
        <v>43440</v>
      </c>
      <c r="B1053" s="9">
        <v>277</v>
      </c>
      <c r="C1053">
        <f t="shared" si="23"/>
        <v>2018</v>
      </c>
    </row>
    <row r="1054" spans="1:3" x14ac:dyDescent="0.35">
      <c r="A1054" s="16">
        <v>43439</v>
      </c>
      <c r="B1054" s="9">
        <v>274</v>
      </c>
      <c r="C1054">
        <f t="shared" si="23"/>
        <v>2018</v>
      </c>
    </row>
    <row r="1055" spans="1:3" x14ac:dyDescent="0.35">
      <c r="A1055" s="16">
        <v>43438</v>
      </c>
      <c r="B1055" s="9">
        <v>274</v>
      </c>
      <c r="C1055">
        <f t="shared" si="23"/>
        <v>2018</v>
      </c>
    </row>
    <row r="1056" spans="1:3" x14ac:dyDescent="0.35">
      <c r="A1056" s="16">
        <v>43437</v>
      </c>
      <c r="B1056" s="9">
        <v>267</v>
      </c>
      <c r="C1056">
        <f t="shared" si="23"/>
        <v>2018</v>
      </c>
    </row>
    <row r="1057" spans="1:3" x14ac:dyDescent="0.35">
      <c r="A1057" s="16">
        <v>43434</v>
      </c>
      <c r="B1057" s="9">
        <v>270</v>
      </c>
      <c r="C1057">
        <f t="shared" si="23"/>
        <v>2018</v>
      </c>
    </row>
    <row r="1058" spans="1:3" x14ac:dyDescent="0.35">
      <c r="A1058" s="16">
        <v>43433</v>
      </c>
      <c r="B1058" s="9">
        <v>272</v>
      </c>
      <c r="C1058">
        <f t="shared" si="23"/>
        <v>2018</v>
      </c>
    </row>
    <row r="1059" spans="1:3" x14ac:dyDescent="0.35">
      <c r="A1059" s="16">
        <v>43432</v>
      </c>
      <c r="B1059" s="9">
        <v>272</v>
      </c>
      <c r="C1059">
        <f t="shared" si="23"/>
        <v>2018</v>
      </c>
    </row>
    <row r="1060" spans="1:3" x14ac:dyDescent="0.35">
      <c r="A1060" s="16">
        <v>43431</v>
      </c>
      <c r="B1060" s="9">
        <v>280</v>
      </c>
      <c r="C1060">
        <f t="shared" si="23"/>
        <v>2018</v>
      </c>
    </row>
    <row r="1061" spans="1:3" x14ac:dyDescent="0.35">
      <c r="A1061" s="16">
        <v>43430</v>
      </c>
      <c r="B1061" s="9">
        <v>276</v>
      </c>
      <c r="C1061">
        <f t="shared" si="23"/>
        <v>2018</v>
      </c>
    </row>
    <row r="1062" spans="1:3" x14ac:dyDescent="0.35">
      <c r="A1062" s="16">
        <v>43427</v>
      </c>
      <c r="B1062" s="9">
        <v>274</v>
      </c>
      <c r="C1062">
        <f t="shared" si="23"/>
        <v>2018</v>
      </c>
    </row>
    <row r="1063" spans="1:3" x14ac:dyDescent="0.35">
      <c r="A1063" s="16">
        <v>43426</v>
      </c>
      <c r="B1063" s="9">
        <v>271</v>
      </c>
      <c r="C1063">
        <f t="shared" si="23"/>
        <v>2018</v>
      </c>
    </row>
    <row r="1064" spans="1:3" x14ac:dyDescent="0.35">
      <c r="A1064" s="16">
        <v>43425</v>
      </c>
      <c r="B1064" s="9">
        <v>271</v>
      </c>
      <c r="C1064">
        <f t="shared" si="23"/>
        <v>2018</v>
      </c>
    </row>
    <row r="1065" spans="1:3" x14ac:dyDescent="0.35">
      <c r="A1065" s="16">
        <v>43424</v>
      </c>
      <c r="B1065" s="9">
        <v>273</v>
      </c>
      <c r="C1065">
        <f t="shared" si="23"/>
        <v>2018</v>
      </c>
    </row>
    <row r="1066" spans="1:3" x14ac:dyDescent="0.35">
      <c r="A1066" s="16">
        <v>43423</v>
      </c>
      <c r="B1066" s="9">
        <v>267</v>
      </c>
      <c r="C1066">
        <f t="shared" si="23"/>
        <v>2018</v>
      </c>
    </row>
    <row r="1067" spans="1:3" x14ac:dyDescent="0.35">
      <c r="A1067" s="16">
        <v>43420</v>
      </c>
      <c r="B1067" s="9">
        <v>263</v>
      </c>
      <c r="C1067">
        <f t="shared" si="23"/>
        <v>2018</v>
      </c>
    </row>
    <row r="1068" spans="1:3" x14ac:dyDescent="0.35">
      <c r="A1068" s="16">
        <v>43419</v>
      </c>
      <c r="B1068" s="9">
        <v>261</v>
      </c>
      <c r="C1068">
        <f t="shared" si="23"/>
        <v>2018</v>
      </c>
    </row>
    <row r="1069" spans="1:3" x14ac:dyDescent="0.35">
      <c r="A1069" s="16">
        <v>43418</v>
      </c>
      <c r="B1069" s="9">
        <v>263</v>
      </c>
      <c r="C1069">
        <f t="shared" si="23"/>
        <v>2018</v>
      </c>
    </row>
    <row r="1070" spans="1:3" x14ac:dyDescent="0.35">
      <c r="A1070" s="16">
        <v>43417</v>
      </c>
      <c r="B1070" s="9">
        <v>262</v>
      </c>
      <c r="C1070">
        <f t="shared" si="23"/>
        <v>2018</v>
      </c>
    </row>
    <row r="1071" spans="1:3" x14ac:dyDescent="0.35">
      <c r="A1071" s="16">
        <v>43416</v>
      </c>
      <c r="B1071" s="9">
        <v>254</v>
      </c>
      <c r="C1071">
        <f t="shared" si="23"/>
        <v>2018</v>
      </c>
    </row>
    <row r="1072" spans="1:3" x14ac:dyDescent="0.35">
      <c r="A1072" s="16">
        <v>43413</v>
      </c>
      <c r="B1072" s="9">
        <v>254</v>
      </c>
      <c r="C1072">
        <f t="shared" si="23"/>
        <v>2018</v>
      </c>
    </row>
    <row r="1073" spans="1:3" x14ac:dyDescent="0.35">
      <c r="A1073" s="16">
        <v>43412</v>
      </c>
      <c r="B1073" s="9">
        <v>251</v>
      </c>
      <c r="C1073">
        <f t="shared" si="23"/>
        <v>2018</v>
      </c>
    </row>
    <row r="1074" spans="1:3" x14ac:dyDescent="0.35">
      <c r="A1074" s="16">
        <v>43411</v>
      </c>
      <c r="B1074" s="9">
        <v>247</v>
      </c>
      <c r="C1074">
        <f t="shared" si="23"/>
        <v>2018</v>
      </c>
    </row>
    <row r="1075" spans="1:3" x14ac:dyDescent="0.35">
      <c r="A1075" s="16">
        <v>43410</v>
      </c>
      <c r="B1075" s="9">
        <v>249</v>
      </c>
      <c r="C1075">
        <f t="shared" si="23"/>
        <v>2018</v>
      </c>
    </row>
    <row r="1076" spans="1:3" x14ac:dyDescent="0.35">
      <c r="A1076" s="16">
        <v>43409</v>
      </c>
      <c r="B1076" s="9">
        <v>247</v>
      </c>
      <c r="C1076">
        <f t="shared" si="23"/>
        <v>2018</v>
      </c>
    </row>
    <row r="1077" spans="1:3" x14ac:dyDescent="0.35">
      <c r="A1077" s="16">
        <v>43406</v>
      </c>
      <c r="B1077" s="9">
        <v>248</v>
      </c>
      <c r="C1077">
        <f t="shared" si="23"/>
        <v>2018</v>
      </c>
    </row>
    <row r="1078" spans="1:3" x14ac:dyDescent="0.35">
      <c r="A1078" s="16">
        <v>43405</v>
      </c>
      <c r="B1078" s="9">
        <v>254</v>
      </c>
      <c r="C1078">
        <f t="shared" si="23"/>
        <v>2018</v>
      </c>
    </row>
    <row r="1079" spans="1:3" x14ac:dyDescent="0.35">
      <c r="A1079" s="16">
        <v>43404</v>
      </c>
      <c r="B1079" s="9">
        <v>260</v>
      </c>
      <c r="C1079">
        <f t="shared" si="23"/>
        <v>2018</v>
      </c>
    </row>
    <row r="1080" spans="1:3" x14ac:dyDescent="0.35">
      <c r="A1080" s="16">
        <v>43403</v>
      </c>
      <c r="B1080" s="9">
        <v>263</v>
      </c>
      <c r="C1080">
        <f t="shared" si="23"/>
        <v>2018</v>
      </c>
    </row>
    <row r="1081" spans="1:3" x14ac:dyDescent="0.35">
      <c r="A1081" s="16">
        <v>43402</v>
      </c>
      <c r="B1081" s="9">
        <v>267</v>
      </c>
      <c r="C1081">
        <f t="shared" si="23"/>
        <v>2018</v>
      </c>
    </row>
    <row r="1082" spans="1:3" x14ac:dyDescent="0.35">
      <c r="A1082" s="16">
        <v>43399</v>
      </c>
      <c r="B1082" s="9">
        <v>266</v>
      </c>
      <c r="C1082">
        <f t="shared" si="23"/>
        <v>2018</v>
      </c>
    </row>
    <row r="1083" spans="1:3" x14ac:dyDescent="0.35">
      <c r="A1083" s="16">
        <v>43398</v>
      </c>
      <c r="B1083" s="9">
        <v>264</v>
      </c>
      <c r="C1083">
        <f t="shared" si="23"/>
        <v>2018</v>
      </c>
    </row>
    <row r="1084" spans="1:3" x14ac:dyDescent="0.35">
      <c r="A1084" s="16">
        <v>43397</v>
      </c>
      <c r="B1084" s="9">
        <v>269</v>
      </c>
      <c r="C1084">
        <f t="shared" si="23"/>
        <v>2018</v>
      </c>
    </row>
    <row r="1085" spans="1:3" x14ac:dyDescent="0.35">
      <c r="A1085" s="16">
        <v>43396</v>
      </c>
      <c r="B1085" s="9">
        <v>260</v>
      </c>
      <c r="C1085">
        <f t="shared" si="23"/>
        <v>2018</v>
      </c>
    </row>
    <row r="1086" spans="1:3" x14ac:dyDescent="0.35">
      <c r="A1086" s="16">
        <v>43395</v>
      </c>
      <c r="B1086" s="9">
        <v>260</v>
      </c>
      <c r="C1086">
        <f t="shared" si="23"/>
        <v>2018</v>
      </c>
    </row>
    <row r="1087" spans="1:3" x14ac:dyDescent="0.35">
      <c r="A1087" s="16">
        <v>43392</v>
      </c>
      <c r="B1087" s="9">
        <v>262</v>
      </c>
      <c r="C1087">
        <f t="shared" si="23"/>
        <v>2018</v>
      </c>
    </row>
    <row r="1088" spans="1:3" x14ac:dyDescent="0.35">
      <c r="A1088" s="16">
        <v>43391</v>
      </c>
      <c r="B1088" s="9">
        <v>264</v>
      </c>
      <c r="C1088">
        <f t="shared" si="23"/>
        <v>2018</v>
      </c>
    </row>
    <row r="1089" spans="1:3" x14ac:dyDescent="0.35">
      <c r="A1089" s="16">
        <v>43390</v>
      </c>
      <c r="B1089" s="9">
        <v>255</v>
      </c>
      <c r="C1089">
        <f t="shared" si="23"/>
        <v>2018</v>
      </c>
    </row>
    <row r="1090" spans="1:3" x14ac:dyDescent="0.35">
      <c r="A1090" s="16">
        <v>43389</v>
      </c>
      <c r="B1090" s="9">
        <v>256</v>
      </c>
      <c r="C1090">
        <f t="shared" si="23"/>
        <v>2018</v>
      </c>
    </row>
    <row r="1091" spans="1:3" x14ac:dyDescent="0.35">
      <c r="A1091" s="16">
        <v>43388</v>
      </c>
      <c r="B1091" s="9">
        <v>261</v>
      </c>
      <c r="C1091">
        <f t="shared" ref="C1091:C1154" si="24">YEAR(A1091)</f>
        <v>2018</v>
      </c>
    </row>
    <row r="1092" spans="1:3" x14ac:dyDescent="0.35">
      <c r="A1092" s="16">
        <v>43385</v>
      </c>
      <c r="B1092" s="9">
        <v>266</v>
      </c>
      <c r="C1092">
        <f t="shared" si="24"/>
        <v>2018</v>
      </c>
    </row>
    <row r="1093" spans="1:3" x14ac:dyDescent="0.35">
      <c r="A1093" s="16">
        <v>43384</v>
      </c>
      <c r="B1093" s="9">
        <v>272</v>
      </c>
      <c r="C1093">
        <f t="shared" si="24"/>
        <v>2018</v>
      </c>
    </row>
    <row r="1094" spans="1:3" x14ac:dyDescent="0.35">
      <c r="A1094" s="16">
        <v>43383</v>
      </c>
      <c r="B1094" s="9">
        <v>268</v>
      </c>
      <c r="C1094">
        <f t="shared" si="24"/>
        <v>2018</v>
      </c>
    </row>
    <row r="1095" spans="1:3" x14ac:dyDescent="0.35">
      <c r="A1095" s="16">
        <v>43382</v>
      </c>
      <c r="B1095" s="9">
        <v>260</v>
      </c>
      <c r="C1095">
        <f t="shared" si="24"/>
        <v>2018</v>
      </c>
    </row>
    <row r="1096" spans="1:3" x14ac:dyDescent="0.35">
      <c r="A1096" s="16">
        <v>43381</v>
      </c>
      <c r="B1096" s="9">
        <v>272</v>
      </c>
      <c r="C1096">
        <f t="shared" si="24"/>
        <v>2018</v>
      </c>
    </row>
    <row r="1097" spans="1:3" x14ac:dyDescent="0.35">
      <c r="A1097" s="16">
        <v>43378</v>
      </c>
      <c r="B1097" s="9">
        <v>272</v>
      </c>
      <c r="C1097">
        <f t="shared" si="24"/>
        <v>2018</v>
      </c>
    </row>
    <row r="1098" spans="1:3" x14ac:dyDescent="0.35">
      <c r="A1098" s="16">
        <v>43377</v>
      </c>
      <c r="B1098" s="9">
        <v>278</v>
      </c>
      <c r="C1098">
        <f t="shared" si="24"/>
        <v>2018</v>
      </c>
    </row>
    <row r="1099" spans="1:3" x14ac:dyDescent="0.35">
      <c r="A1099" s="16">
        <v>43376</v>
      </c>
      <c r="B1099" s="9">
        <v>273</v>
      </c>
      <c r="C1099">
        <f t="shared" si="24"/>
        <v>2018</v>
      </c>
    </row>
    <row r="1100" spans="1:3" x14ac:dyDescent="0.35">
      <c r="A1100" s="16">
        <v>43375</v>
      </c>
      <c r="B1100" s="9">
        <v>285</v>
      </c>
      <c r="C1100">
        <f t="shared" si="24"/>
        <v>2018</v>
      </c>
    </row>
    <row r="1101" spans="1:3" x14ac:dyDescent="0.35">
      <c r="A1101" s="16">
        <v>43374</v>
      </c>
      <c r="B1101" s="9">
        <v>296</v>
      </c>
      <c r="C1101">
        <f t="shared" si="24"/>
        <v>2018</v>
      </c>
    </row>
    <row r="1102" spans="1:3" x14ac:dyDescent="0.35">
      <c r="A1102" s="16">
        <v>43371</v>
      </c>
      <c r="B1102" s="9">
        <v>293</v>
      </c>
      <c r="C1102">
        <f t="shared" si="24"/>
        <v>2018</v>
      </c>
    </row>
    <row r="1103" spans="1:3" x14ac:dyDescent="0.35">
      <c r="A1103" s="16">
        <v>43370</v>
      </c>
      <c r="B1103" s="9">
        <v>291</v>
      </c>
      <c r="C1103">
        <f t="shared" si="24"/>
        <v>2018</v>
      </c>
    </row>
    <row r="1104" spans="1:3" x14ac:dyDescent="0.35">
      <c r="A1104" s="16">
        <v>43369</v>
      </c>
      <c r="B1104" s="9">
        <v>294</v>
      </c>
      <c r="C1104">
        <f t="shared" si="24"/>
        <v>2018</v>
      </c>
    </row>
    <row r="1105" spans="1:3" x14ac:dyDescent="0.35">
      <c r="A1105" s="16">
        <v>43368</v>
      </c>
      <c r="B1105" s="9">
        <v>295</v>
      </c>
      <c r="C1105">
        <f t="shared" si="24"/>
        <v>2018</v>
      </c>
    </row>
    <row r="1106" spans="1:3" x14ac:dyDescent="0.35">
      <c r="A1106" s="16">
        <v>43367</v>
      </c>
      <c r="B1106" s="9">
        <v>293</v>
      </c>
      <c r="C1106">
        <f t="shared" si="24"/>
        <v>2018</v>
      </c>
    </row>
    <row r="1107" spans="1:3" x14ac:dyDescent="0.35">
      <c r="A1107" s="16">
        <v>43364</v>
      </c>
      <c r="B1107" s="9">
        <v>287</v>
      </c>
      <c r="C1107">
        <f t="shared" si="24"/>
        <v>2018</v>
      </c>
    </row>
    <row r="1108" spans="1:3" x14ac:dyDescent="0.35">
      <c r="A1108" s="16">
        <v>43363</v>
      </c>
      <c r="B1108" s="9">
        <v>309</v>
      </c>
      <c r="C1108">
        <f t="shared" si="24"/>
        <v>2018</v>
      </c>
    </row>
    <row r="1109" spans="1:3" x14ac:dyDescent="0.35">
      <c r="A1109" s="16">
        <v>43362</v>
      </c>
      <c r="B1109" s="9">
        <v>328</v>
      </c>
      <c r="C1109">
        <f t="shared" si="24"/>
        <v>2018</v>
      </c>
    </row>
    <row r="1110" spans="1:3" x14ac:dyDescent="0.35">
      <c r="A1110" s="16">
        <v>43361</v>
      </c>
      <c r="B1110" s="9">
        <v>335</v>
      </c>
      <c r="C1110">
        <f t="shared" si="24"/>
        <v>2018</v>
      </c>
    </row>
    <row r="1111" spans="1:3" x14ac:dyDescent="0.35">
      <c r="A1111" s="16">
        <v>43360</v>
      </c>
      <c r="B1111" s="9">
        <v>337</v>
      </c>
      <c r="C1111">
        <f t="shared" si="24"/>
        <v>2018</v>
      </c>
    </row>
    <row r="1112" spans="1:3" x14ac:dyDescent="0.35">
      <c r="A1112" s="16">
        <v>43357</v>
      </c>
      <c r="B1112" s="9">
        <v>334</v>
      </c>
      <c r="C1112">
        <f t="shared" si="24"/>
        <v>2018</v>
      </c>
    </row>
    <row r="1113" spans="1:3" x14ac:dyDescent="0.35">
      <c r="A1113" s="16">
        <v>43356</v>
      </c>
      <c r="B1113" s="9">
        <v>334</v>
      </c>
      <c r="C1113">
        <f t="shared" si="24"/>
        <v>2018</v>
      </c>
    </row>
    <row r="1114" spans="1:3" x14ac:dyDescent="0.35">
      <c r="A1114" s="16">
        <v>43355</v>
      </c>
      <c r="B1114" s="9">
        <v>332</v>
      </c>
      <c r="C1114">
        <f t="shared" si="24"/>
        <v>2018</v>
      </c>
    </row>
    <row r="1115" spans="1:3" x14ac:dyDescent="0.35">
      <c r="A1115" s="16">
        <v>43354</v>
      </c>
      <c r="B1115" s="9">
        <v>336</v>
      </c>
      <c r="C1115">
        <f t="shared" si="24"/>
        <v>2018</v>
      </c>
    </row>
    <row r="1116" spans="1:3" x14ac:dyDescent="0.35">
      <c r="A1116" s="16">
        <v>43353</v>
      </c>
      <c r="B1116" s="9">
        <v>329</v>
      </c>
      <c r="C1116">
        <f t="shared" si="24"/>
        <v>2018</v>
      </c>
    </row>
    <row r="1117" spans="1:3" x14ac:dyDescent="0.35">
      <c r="A1117" s="16">
        <v>43350</v>
      </c>
      <c r="B1117" s="9">
        <v>323</v>
      </c>
      <c r="C1117">
        <f t="shared" si="24"/>
        <v>2018</v>
      </c>
    </row>
    <row r="1118" spans="1:3" x14ac:dyDescent="0.35">
      <c r="A1118" s="16">
        <v>43349</v>
      </c>
      <c r="B1118" s="9">
        <v>332</v>
      </c>
      <c r="C1118">
        <f t="shared" si="24"/>
        <v>2018</v>
      </c>
    </row>
    <row r="1119" spans="1:3" x14ac:dyDescent="0.35">
      <c r="A1119" s="16">
        <v>43348</v>
      </c>
      <c r="B1119" s="9">
        <v>338</v>
      </c>
      <c r="C1119">
        <f t="shared" si="24"/>
        <v>2018</v>
      </c>
    </row>
    <row r="1120" spans="1:3" x14ac:dyDescent="0.35">
      <c r="A1120" s="16">
        <v>43347</v>
      </c>
      <c r="B1120" s="9">
        <v>349</v>
      </c>
      <c r="C1120">
        <f t="shared" si="24"/>
        <v>2018</v>
      </c>
    </row>
    <row r="1121" spans="1:3" x14ac:dyDescent="0.35">
      <c r="A1121" s="16">
        <v>43346</v>
      </c>
      <c r="B1121" s="9">
        <v>345</v>
      </c>
      <c r="C1121">
        <f t="shared" si="24"/>
        <v>2018</v>
      </c>
    </row>
    <row r="1122" spans="1:3" x14ac:dyDescent="0.35">
      <c r="A1122" s="16">
        <v>43343</v>
      </c>
      <c r="B1122" s="9">
        <v>345</v>
      </c>
      <c r="C1122">
        <f t="shared" si="24"/>
        <v>2018</v>
      </c>
    </row>
    <row r="1123" spans="1:3" x14ac:dyDescent="0.35">
      <c r="A1123" s="16">
        <v>43342</v>
      </c>
      <c r="B1123" s="9">
        <v>343</v>
      </c>
      <c r="C1123">
        <f t="shared" si="24"/>
        <v>2018</v>
      </c>
    </row>
    <row r="1124" spans="1:3" x14ac:dyDescent="0.35">
      <c r="A1124" s="16">
        <v>43341</v>
      </c>
      <c r="B1124" s="9">
        <v>335</v>
      </c>
      <c r="C1124">
        <f t="shared" si="24"/>
        <v>2018</v>
      </c>
    </row>
    <row r="1125" spans="1:3" x14ac:dyDescent="0.35">
      <c r="A1125" s="16">
        <v>43340</v>
      </c>
      <c r="B1125" s="9">
        <v>330</v>
      </c>
      <c r="C1125">
        <f t="shared" si="24"/>
        <v>2018</v>
      </c>
    </row>
    <row r="1126" spans="1:3" x14ac:dyDescent="0.35">
      <c r="A1126" s="16">
        <v>43339</v>
      </c>
      <c r="B1126" s="9">
        <v>329</v>
      </c>
      <c r="C1126">
        <f t="shared" si="24"/>
        <v>2018</v>
      </c>
    </row>
    <row r="1127" spans="1:3" x14ac:dyDescent="0.35">
      <c r="A1127" s="16">
        <v>43336</v>
      </c>
      <c r="B1127" s="9">
        <v>332</v>
      </c>
      <c r="C1127">
        <f t="shared" si="24"/>
        <v>2018</v>
      </c>
    </row>
    <row r="1128" spans="1:3" x14ac:dyDescent="0.35">
      <c r="A1128" s="16">
        <v>43335</v>
      </c>
      <c r="B1128" s="9">
        <v>332</v>
      </c>
      <c r="C1128">
        <f t="shared" si="24"/>
        <v>2018</v>
      </c>
    </row>
    <row r="1129" spans="1:3" x14ac:dyDescent="0.35">
      <c r="A1129" s="16">
        <v>43334</v>
      </c>
      <c r="B1129" s="9">
        <v>323</v>
      </c>
      <c r="C1129">
        <f t="shared" si="24"/>
        <v>2018</v>
      </c>
    </row>
    <row r="1130" spans="1:3" x14ac:dyDescent="0.35">
      <c r="A1130" s="16">
        <v>43333</v>
      </c>
      <c r="B1130" s="9">
        <v>311</v>
      </c>
      <c r="C1130">
        <f t="shared" si="24"/>
        <v>2018</v>
      </c>
    </row>
    <row r="1131" spans="1:3" x14ac:dyDescent="0.35">
      <c r="A1131" s="16">
        <v>43332</v>
      </c>
      <c r="B1131" s="9">
        <v>308</v>
      </c>
      <c r="C1131">
        <f t="shared" si="24"/>
        <v>2018</v>
      </c>
    </row>
    <row r="1132" spans="1:3" x14ac:dyDescent="0.35">
      <c r="A1132" s="16">
        <v>43329</v>
      </c>
      <c r="B1132" s="9">
        <v>305</v>
      </c>
      <c r="C1132">
        <f t="shared" si="24"/>
        <v>2018</v>
      </c>
    </row>
    <row r="1133" spans="1:3" x14ac:dyDescent="0.35">
      <c r="A1133" s="16">
        <v>43328</v>
      </c>
      <c r="B1133" s="9">
        <v>302</v>
      </c>
      <c r="C1133">
        <f t="shared" si="24"/>
        <v>2018</v>
      </c>
    </row>
    <row r="1134" spans="1:3" x14ac:dyDescent="0.35">
      <c r="A1134" s="16">
        <v>43327</v>
      </c>
      <c r="B1134" s="9">
        <v>306</v>
      </c>
      <c r="C1134">
        <f t="shared" si="24"/>
        <v>2018</v>
      </c>
    </row>
    <row r="1135" spans="1:3" x14ac:dyDescent="0.35">
      <c r="A1135" s="16">
        <v>43326</v>
      </c>
      <c r="B1135" s="9">
        <v>300</v>
      </c>
      <c r="C1135">
        <f t="shared" si="24"/>
        <v>2018</v>
      </c>
    </row>
    <row r="1136" spans="1:3" x14ac:dyDescent="0.35">
      <c r="A1136" s="16">
        <v>43325</v>
      </c>
      <c r="B1136" s="9">
        <v>306</v>
      </c>
      <c r="C1136">
        <f t="shared" si="24"/>
        <v>2018</v>
      </c>
    </row>
    <row r="1137" spans="1:3" x14ac:dyDescent="0.35">
      <c r="A1137" s="16">
        <v>43322</v>
      </c>
      <c r="B1137" s="9">
        <v>301</v>
      </c>
      <c r="C1137">
        <f t="shared" si="24"/>
        <v>2018</v>
      </c>
    </row>
    <row r="1138" spans="1:3" x14ac:dyDescent="0.35">
      <c r="A1138" s="16">
        <v>43321</v>
      </c>
      <c r="B1138" s="9">
        <v>285</v>
      </c>
      <c r="C1138">
        <f t="shared" si="24"/>
        <v>2018</v>
      </c>
    </row>
    <row r="1139" spans="1:3" x14ac:dyDescent="0.35">
      <c r="A1139" s="16">
        <v>43320</v>
      </c>
      <c r="B1139" s="9">
        <v>277</v>
      </c>
      <c r="C1139">
        <f t="shared" si="24"/>
        <v>2018</v>
      </c>
    </row>
    <row r="1140" spans="1:3" x14ac:dyDescent="0.35">
      <c r="A1140" s="16">
        <v>43319</v>
      </c>
      <c r="B1140" s="9">
        <v>275</v>
      </c>
      <c r="C1140">
        <f t="shared" si="24"/>
        <v>2018</v>
      </c>
    </row>
    <row r="1141" spans="1:3" x14ac:dyDescent="0.35">
      <c r="A1141" s="16">
        <v>43318</v>
      </c>
      <c r="B1141" s="9">
        <v>272</v>
      </c>
      <c r="C1141">
        <f t="shared" si="24"/>
        <v>2018</v>
      </c>
    </row>
    <row r="1142" spans="1:3" x14ac:dyDescent="0.35">
      <c r="A1142" s="16">
        <v>43315</v>
      </c>
      <c r="B1142" s="9">
        <v>270</v>
      </c>
      <c r="C1142">
        <f t="shared" si="24"/>
        <v>2018</v>
      </c>
    </row>
    <row r="1143" spans="1:3" x14ac:dyDescent="0.35">
      <c r="A1143" s="16">
        <v>43314</v>
      </c>
      <c r="B1143" s="9">
        <v>273</v>
      </c>
      <c r="C1143">
        <f t="shared" si="24"/>
        <v>2018</v>
      </c>
    </row>
    <row r="1144" spans="1:3" x14ac:dyDescent="0.35">
      <c r="A1144" s="16">
        <v>43313</v>
      </c>
      <c r="B1144" s="9">
        <v>271</v>
      </c>
      <c r="C1144">
        <f t="shared" si="24"/>
        <v>2018</v>
      </c>
    </row>
    <row r="1145" spans="1:3" x14ac:dyDescent="0.35">
      <c r="A1145" s="16">
        <v>43312</v>
      </c>
      <c r="B1145" s="9">
        <v>267</v>
      </c>
      <c r="C1145">
        <f t="shared" si="24"/>
        <v>2018</v>
      </c>
    </row>
    <row r="1146" spans="1:3" x14ac:dyDescent="0.35">
      <c r="A1146" s="16">
        <v>43311</v>
      </c>
      <c r="B1146" s="9">
        <v>266</v>
      </c>
      <c r="C1146">
        <f t="shared" si="24"/>
        <v>2018</v>
      </c>
    </row>
    <row r="1147" spans="1:3" x14ac:dyDescent="0.35">
      <c r="A1147" s="16">
        <v>43308</v>
      </c>
      <c r="B1147" s="9">
        <v>264</v>
      </c>
      <c r="C1147">
        <f t="shared" si="24"/>
        <v>2018</v>
      </c>
    </row>
    <row r="1148" spans="1:3" x14ac:dyDescent="0.35">
      <c r="A1148" s="16">
        <v>43307</v>
      </c>
      <c r="B1148" s="9">
        <v>267</v>
      </c>
      <c r="C1148">
        <f t="shared" si="24"/>
        <v>2018</v>
      </c>
    </row>
    <row r="1149" spans="1:3" x14ac:dyDescent="0.35">
      <c r="A1149" s="16">
        <v>43306</v>
      </c>
      <c r="B1149" s="9">
        <v>271</v>
      </c>
      <c r="C1149">
        <f t="shared" si="24"/>
        <v>2018</v>
      </c>
    </row>
    <row r="1150" spans="1:3" x14ac:dyDescent="0.35">
      <c r="A1150" s="16">
        <v>43305</v>
      </c>
      <c r="B1150" s="9">
        <v>276</v>
      </c>
      <c r="C1150">
        <f t="shared" si="24"/>
        <v>2018</v>
      </c>
    </row>
    <row r="1151" spans="1:3" x14ac:dyDescent="0.35">
      <c r="A1151" s="16">
        <v>43304</v>
      </c>
      <c r="B1151" s="9">
        <v>277</v>
      </c>
      <c r="C1151">
        <f t="shared" si="24"/>
        <v>2018</v>
      </c>
    </row>
    <row r="1152" spans="1:3" x14ac:dyDescent="0.35">
      <c r="A1152" s="16">
        <v>43301</v>
      </c>
      <c r="B1152" s="9">
        <v>280</v>
      </c>
      <c r="C1152">
        <f t="shared" si="24"/>
        <v>2018</v>
      </c>
    </row>
    <row r="1153" spans="1:3" x14ac:dyDescent="0.35">
      <c r="A1153" s="16">
        <v>43300</v>
      </c>
      <c r="B1153" s="9">
        <v>297</v>
      </c>
      <c r="C1153">
        <f t="shared" si="24"/>
        <v>2018</v>
      </c>
    </row>
    <row r="1154" spans="1:3" x14ac:dyDescent="0.35">
      <c r="A1154" s="16">
        <v>43299</v>
      </c>
      <c r="B1154" s="9">
        <v>292</v>
      </c>
      <c r="C1154">
        <f t="shared" si="24"/>
        <v>2018</v>
      </c>
    </row>
    <row r="1155" spans="1:3" x14ac:dyDescent="0.35">
      <c r="A1155" s="16">
        <v>43298</v>
      </c>
      <c r="B1155" s="9">
        <v>295</v>
      </c>
      <c r="C1155">
        <f t="shared" ref="C1155:C1218" si="25">YEAR(A1155)</f>
        <v>2018</v>
      </c>
    </row>
    <row r="1156" spans="1:3" x14ac:dyDescent="0.35">
      <c r="A1156" s="16">
        <v>43297</v>
      </c>
      <c r="B1156" s="9">
        <v>295</v>
      </c>
      <c r="C1156">
        <f t="shared" si="25"/>
        <v>2018</v>
      </c>
    </row>
    <row r="1157" spans="1:3" x14ac:dyDescent="0.35">
      <c r="A1157" s="16">
        <v>43294</v>
      </c>
      <c r="B1157" s="9">
        <v>298</v>
      </c>
      <c r="C1157">
        <f t="shared" si="25"/>
        <v>2018</v>
      </c>
    </row>
    <row r="1158" spans="1:3" x14ac:dyDescent="0.35">
      <c r="A1158" s="16">
        <v>43293</v>
      </c>
      <c r="B1158" s="9">
        <v>299</v>
      </c>
      <c r="C1158">
        <f t="shared" si="25"/>
        <v>2018</v>
      </c>
    </row>
    <row r="1159" spans="1:3" x14ac:dyDescent="0.35">
      <c r="A1159" s="16">
        <v>43292</v>
      </c>
      <c r="B1159" s="9">
        <v>301</v>
      </c>
      <c r="C1159">
        <f t="shared" si="25"/>
        <v>2018</v>
      </c>
    </row>
    <row r="1160" spans="1:3" x14ac:dyDescent="0.35">
      <c r="A1160" s="16">
        <v>43291</v>
      </c>
      <c r="B1160" s="9">
        <v>296</v>
      </c>
      <c r="C1160">
        <f t="shared" si="25"/>
        <v>2018</v>
      </c>
    </row>
    <row r="1161" spans="1:3" x14ac:dyDescent="0.35">
      <c r="A1161" s="16">
        <v>43290</v>
      </c>
      <c r="B1161" s="9">
        <v>303</v>
      </c>
      <c r="C1161">
        <f t="shared" si="25"/>
        <v>2018</v>
      </c>
    </row>
    <row r="1162" spans="1:3" x14ac:dyDescent="0.35">
      <c r="A1162" s="16">
        <v>43287</v>
      </c>
      <c r="B1162" s="9">
        <v>312</v>
      </c>
      <c r="C1162">
        <f t="shared" si="25"/>
        <v>2018</v>
      </c>
    </row>
    <row r="1163" spans="1:3" x14ac:dyDescent="0.35">
      <c r="A1163" s="16">
        <v>43286</v>
      </c>
      <c r="B1163" s="9">
        <v>319</v>
      </c>
      <c r="C1163">
        <f t="shared" si="25"/>
        <v>2018</v>
      </c>
    </row>
    <row r="1164" spans="1:3" x14ac:dyDescent="0.35">
      <c r="A1164" s="16">
        <v>43285</v>
      </c>
      <c r="B1164" s="9">
        <v>327</v>
      </c>
      <c r="C1164">
        <f t="shared" si="25"/>
        <v>2018</v>
      </c>
    </row>
    <row r="1165" spans="1:3" x14ac:dyDescent="0.35">
      <c r="A1165" s="16">
        <v>43284</v>
      </c>
      <c r="B1165" s="9">
        <v>327</v>
      </c>
      <c r="C1165">
        <f t="shared" si="25"/>
        <v>2018</v>
      </c>
    </row>
    <row r="1166" spans="1:3" x14ac:dyDescent="0.35">
      <c r="A1166" s="16">
        <v>43283</v>
      </c>
      <c r="B1166" s="9">
        <v>331</v>
      </c>
      <c r="C1166">
        <f t="shared" si="25"/>
        <v>2018</v>
      </c>
    </row>
    <row r="1167" spans="1:3" x14ac:dyDescent="0.35">
      <c r="A1167" s="16">
        <v>43280</v>
      </c>
      <c r="B1167" s="9">
        <v>332</v>
      </c>
      <c r="C1167">
        <f t="shared" si="25"/>
        <v>2018</v>
      </c>
    </row>
    <row r="1168" spans="1:3" x14ac:dyDescent="0.35">
      <c r="A1168" s="16">
        <v>43279</v>
      </c>
      <c r="B1168" s="9">
        <v>332</v>
      </c>
      <c r="C1168">
        <f t="shared" si="25"/>
        <v>2018</v>
      </c>
    </row>
    <row r="1169" spans="1:3" x14ac:dyDescent="0.35">
      <c r="A1169" s="16">
        <v>43278</v>
      </c>
      <c r="B1169" s="9">
        <v>332</v>
      </c>
      <c r="C1169">
        <f t="shared" si="25"/>
        <v>2018</v>
      </c>
    </row>
    <row r="1170" spans="1:3" x14ac:dyDescent="0.35">
      <c r="A1170" s="16">
        <v>43277</v>
      </c>
      <c r="B1170" s="9">
        <v>320</v>
      </c>
      <c r="C1170">
        <f t="shared" si="25"/>
        <v>2018</v>
      </c>
    </row>
    <row r="1171" spans="1:3" x14ac:dyDescent="0.35">
      <c r="A1171" s="16">
        <v>43276</v>
      </c>
      <c r="B1171" s="9">
        <v>323</v>
      </c>
      <c r="C1171">
        <f t="shared" si="25"/>
        <v>2018</v>
      </c>
    </row>
    <row r="1172" spans="1:3" x14ac:dyDescent="0.35">
      <c r="A1172" s="16">
        <v>43273</v>
      </c>
      <c r="B1172" s="9">
        <v>318</v>
      </c>
      <c r="C1172">
        <f t="shared" si="25"/>
        <v>2018</v>
      </c>
    </row>
    <row r="1173" spans="1:3" x14ac:dyDescent="0.35">
      <c r="A1173" s="16">
        <v>43272</v>
      </c>
      <c r="B1173" s="9">
        <v>325</v>
      </c>
      <c r="C1173">
        <f t="shared" si="25"/>
        <v>2018</v>
      </c>
    </row>
    <row r="1174" spans="1:3" x14ac:dyDescent="0.35">
      <c r="A1174" s="16">
        <v>43271</v>
      </c>
      <c r="B1174" s="9">
        <v>333</v>
      </c>
      <c r="C1174">
        <f t="shared" si="25"/>
        <v>2018</v>
      </c>
    </row>
    <row r="1175" spans="1:3" x14ac:dyDescent="0.35">
      <c r="A1175" s="16">
        <v>43270</v>
      </c>
      <c r="B1175" s="9">
        <v>345</v>
      </c>
      <c r="C1175">
        <f t="shared" si="25"/>
        <v>2018</v>
      </c>
    </row>
    <row r="1176" spans="1:3" x14ac:dyDescent="0.35">
      <c r="A1176" s="16">
        <v>43269</v>
      </c>
      <c r="B1176" s="9">
        <v>343</v>
      </c>
      <c r="C1176">
        <f t="shared" si="25"/>
        <v>2018</v>
      </c>
    </row>
    <row r="1177" spans="1:3" x14ac:dyDescent="0.35">
      <c r="A1177" s="16">
        <v>43266</v>
      </c>
      <c r="B1177" s="9">
        <v>333</v>
      </c>
      <c r="C1177">
        <f t="shared" si="25"/>
        <v>2018</v>
      </c>
    </row>
    <row r="1178" spans="1:3" x14ac:dyDescent="0.35">
      <c r="A1178" s="16">
        <v>43265</v>
      </c>
      <c r="B1178" s="9">
        <v>334</v>
      </c>
      <c r="C1178">
        <f t="shared" si="25"/>
        <v>2018</v>
      </c>
    </row>
    <row r="1179" spans="1:3" x14ac:dyDescent="0.35">
      <c r="A1179" s="16">
        <v>43264</v>
      </c>
      <c r="B1179" s="9">
        <v>330</v>
      </c>
      <c r="C1179">
        <f t="shared" si="25"/>
        <v>2018</v>
      </c>
    </row>
    <row r="1180" spans="1:3" x14ac:dyDescent="0.35">
      <c r="A1180" s="16">
        <v>43263</v>
      </c>
      <c r="B1180" s="9">
        <v>332</v>
      </c>
      <c r="C1180">
        <f t="shared" si="25"/>
        <v>2018</v>
      </c>
    </row>
    <row r="1181" spans="1:3" x14ac:dyDescent="0.35">
      <c r="A1181" s="16">
        <v>43262</v>
      </c>
      <c r="B1181" s="9">
        <v>330</v>
      </c>
      <c r="C1181">
        <f t="shared" si="25"/>
        <v>2018</v>
      </c>
    </row>
    <row r="1182" spans="1:3" x14ac:dyDescent="0.35">
      <c r="A1182" s="16">
        <v>43259</v>
      </c>
      <c r="B1182" s="9">
        <v>325</v>
      </c>
      <c r="C1182">
        <f t="shared" si="25"/>
        <v>2018</v>
      </c>
    </row>
    <row r="1183" spans="1:3" x14ac:dyDescent="0.35">
      <c r="A1183" s="16">
        <v>43258</v>
      </c>
      <c r="B1183" s="9">
        <v>330</v>
      </c>
      <c r="C1183">
        <f t="shared" si="25"/>
        <v>2018</v>
      </c>
    </row>
    <row r="1184" spans="1:3" x14ac:dyDescent="0.35">
      <c r="A1184" s="16">
        <v>43257</v>
      </c>
      <c r="B1184" s="9">
        <v>311</v>
      </c>
      <c r="C1184">
        <f t="shared" si="25"/>
        <v>2018</v>
      </c>
    </row>
    <row r="1185" spans="1:3" x14ac:dyDescent="0.35">
      <c r="A1185" s="16">
        <v>43256</v>
      </c>
      <c r="B1185" s="9">
        <v>304</v>
      </c>
      <c r="C1185">
        <f t="shared" si="25"/>
        <v>2018</v>
      </c>
    </row>
    <row r="1186" spans="1:3" x14ac:dyDescent="0.35">
      <c r="A1186" s="16">
        <v>43255</v>
      </c>
      <c r="B1186" s="9">
        <v>300</v>
      </c>
      <c r="C1186">
        <f t="shared" si="25"/>
        <v>2018</v>
      </c>
    </row>
    <row r="1187" spans="1:3" x14ac:dyDescent="0.35">
      <c r="A1187" s="16">
        <v>43252</v>
      </c>
      <c r="B1187" s="9">
        <v>309</v>
      </c>
      <c r="C1187">
        <f t="shared" si="25"/>
        <v>2018</v>
      </c>
    </row>
    <row r="1188" spans="1:3" x14ac:dyDescent="0.35">
      <c r="A1188" s="16">
        <v>43251</v>
      </c>
      <c r="B1188" s="9">
        <v>307</v>
      </c>
      <c r="C1188">
        <f t="shared" si="25"/>
        <v>2018</v>
      </c>
    </row>
    <row r="1189" spans="1:3" x14ac:dyDescent="0.35">
      <c r="A1189" s="16">
        <v>43250</v>
      </c>
      <c r="B1189" s="9">
        <v>295</v>
      </c>
      <c r="C1189">
        <f t="shared" si="25"/>
        <v>2018</v>
      </c>
    </row>
    <row r="1190" spans="1:3" x14ac:dyDescent="0.35">
      <c r="A1190" s="16">
        <v>43249</v>
      </c>
      <c r="B1190" s="9">
        <v>297</v>
      </c>
      <c r="C1190">
        <f t="shared" si="25"/>
        <v>2018</v>
      </c>
    </row>
    <row r="1191" spans="1:3" x14ac:dyDescent="0.35">
      <c r="A1191" s="16">
        <v>43248</v>
      </c>
      <c r="B1191" s="9">
        <v>271</v>
      </c>
      <c r="C1191">
        <f t="shared" si="25"/>
        <v>2018</v>
      </c>
    </row>
    <row r="1192" spans="1:3" x14ac:dyDescent="0.35">
      <c r="A1192" s="16">
        <v>43245</v>
      </c>
      <c r="B1192" s="9">
        <v>271</v>
      </c>
      <c r="C1192">
        <f t="shared" si="25"/>
        <v>2018</v>
      </c>
    </row>
    <row r="1193" spans="1:3" x14ac:dyDescent="0.35">
      <c r="A1193" s="16">
        <v>43244</v>
      </c>
      <c r="B1193" s="9">
        <v>268</v>
      </c>
      <c r="C1193">
        <f t="shared" si="25"/>
        <v>2018</v>
      </c>
    </row>
    <row r="1194" spans="1:3" x14ac:dyDescent="0.35">
      <c r="A1194" s="16">
        <v>43243</v>
      </c>
      <c r="B1194" s="9">
        <v>265</v>
      </c>
      <c r="C1194">
        <f t="shared" si="25"/>
        <v>2018</v>
      </c>
    </row>
    <row r="1195" spans="1:3" x14ac:dyDescent="0.35">
      <c r="A1195" s="16">
        <v>43242</v>
      </c>
      <c r="B1195" s="9">
        <v>265</v>
      </c>
      <c r="C1195">
        <f t="shared" si="25"/>
        <v>2018</v>
      </c>
    </row>
    <row r="1196" spans="1:3" x14ac:dyDescent="0.35">
      <c r="A1196" s="16">
        <v>43241</v>
      </c>
      <c r="B1196" s="9">
        <v>270</v>
      </c>
      <c r="C1196">
        <f t="shared" si="25"/>
        <v>2018</v>
      </c>
    </row>
    <row r="1197" spans="1:3" x14ac:dyDescent="0.35">
      <c r="A1197" s="16">
        <v>43238</v>
      </c>
      <c r="B1197" s="9">
        <v>274</v>
      </c>
      <c r="C1197">
        <f t="shared" si="25"/>
        <v>2018</v>
      </c>
    </row>
    <row r="1198" spans="1:3" x14ac:dyDescent="0.35">
      <c r="A1198" s="16">
        <v>43237</v>
      </c>
      <c r="B1198" s="9">
        <v>261</v>
      </c>
      <c r="C1198">
        <f t="shared" si="25"/>
        <v>2018</v>
      </c>
    </row>
    <row r="1199" spans="1:3" x14ac:dyDescent="0.35">
      <c r="A1199" s="16">
        <v>43236</v>
      </c>
      <c r="B1199" s="9">
        <v>257</v>
      </c>
      <c r="C1199">
        <f t="shared" si="25"/>
        <v>2018</v>
      </c>
    </row>
    <row r="1200" spans="1:3" x14ac:dyDescent="0.35">
      <c r="A1200" s="16">
        <v>43235</v>
      </c>
      <c r="B1200" s="9">
        <v>260</v>
      </c>
      <c r="C1200">
        <f t="shared" si="25"/>
        <v>2018</v>
      </c>
    </row>
    <row r="1201" spans="1:3" x14ac:dyDescent="0.35">
      <c r="A1201" s="16">
        <v>43234</v>
      </c>
      <c r="B1201" s="9">
        <v>255</v>
      </c>
      <c r="C1201">
        <f t="shared" si="25"/>
        <v>2018</v>
      </c>
    </row>
    <row r="1202" spans="1:3" x14ac:dyDescent="0.35">
      <c r="A1202" s="16">
        <v>43231</v>
      </c>
      <c r="B1202" s="9">
        <v>254</v>
      </c>
      <c r="C1202">
        <f t="shared" si="25"/>
        <v>2018</v>
      </c>
    </row>
    <row r="1203" spans="1:3" x14ac:dyDescent="0.35">
      <c r="A1203" s="16">
        <v>43230</v>
      </c>
      <c r="B1203" s="9">
        <v>252</v>
      </c>
      <c r="C1203">
        <f t="shared" si="25"/>
        <v>2018</v>
      </c>
    </row>
    <row r="1204" spans="1:3" x14ac:dyDescent="0.35">
      <c r="A1204" s="16">
        <v>43229</v>
      </c>
      <c r="B1204" s="9">
        <v>264</v>
      </c>
      <c r="C1204">
        <f t="shared" si="25"/>
        <v>2018</v>
      </c>
    </row>
    <row r="1205" spans="1:3" x14ac:dyDescent="0.35">
      <c r="A1205" s="16">
        <v>43228</v>
      </c>
      <c r="B1205" s="9">
        <v>269</v>
      </c>
      <c r="C1205">
        <f t="shared" si="25"/>
        <v>2018</v>
      </c>
    </row>
    <row r="1206" spans="1:3" x14ac:dyDescent="0.35">
      <c r="A1206" s="16">
        <v>43227</v>
      </c>
      <c r="B1206" s="9">
        <v>262</v>
      </c>
      <c r="C1206">
        <f t="shared" si="25"/>
        <v>2018</v>
      </c>
    </row>
    <row r="1207" spans="1:3" x14ac:dyDescent="0.35">
      <c r="A1207" s="16">
        <v>43224</v>
      </c>
      <c r="B1207" s="9">
        <v>261</v>
      </c>
      <c r="C1207">
        <f t="shared" si="25"/>
        <v>2018</v>
      </c>
    </row>
    <row r="1208" spans="1:3" x14ac:dyDescent="0.35">
      <c r="A1208" s="16">
        <v>43223</v>
      </c>
      <c r="B1208" s="9">
        <v>263</v>
      </c>
      <c r="C1208">
        <f t="shared" si="25"/>
        <v>2018</v>
      </c>
    </row>
    <row r="1209" spans="1:3" x14ac:dyDescent="0.35">
      <c r="A1209" s="16">
        <v>43222</v>
      </c>
      <c r="B1209" s="9">
        <v>256</v>
      </c>
      <c r="C1209">
        <f t="shared" si="25"/>
        <v>2018</v>
      </c>
    </row>
    <row r="1210" spans="1:3" x14ac:dyDescent="0.35">
      <c r="A1210" s="16">
        <v>43221</v>
      </c>
      <c r="B1210" s="9">
        <v>250</v>
      </c>
      <c r="C1210">
        <f t="shared" si="25"/>
        <v>2018</v>
      </c>
    </row>
    <row r="1211" spans="1:3" x14ac:dyDescent="0.35">
      <c r="A1211" s="16">
        <v>43220</v>
      </c>
      <c r="B1211" s="9">
        <v>250</v>
      </c>
      <c r="C1211">
        <f t="shared" si="25"/>
        <v>2018</v>
      </c>
    </row>
    <row r="1212" spans="1:3" x14ac:dyDescent="0.35">
      <c r="A1212" s="16">
        <v>43217</v>
      </c>
      <c r="B1212" s="9">
        <v>249</v>
      </c>
      <c r="C1212">
        <f t="shared" si="25"/>
        <v>2018</v>
      </c>
    </row>
    <row r="1213" spans="1:3" x14ac:dyDescent="0.35">
      <c r="A1213" s="16">
        <v>43216</v>
      </c>
      <c r="B1213" s="9">
        <v>244</v>
      </c>
      <c r="C1213">
        <f t="shared" si="25"/>
        <v>2018</v>
      </c>
    </row>
    <row r="1214" spans="1:3" x14ac:dyDescent="0.35">
      <c r="A1214" s="16">
        <v>43215</v>
      </c>
      <c r="B1214" s="9">
        <v>243</v>
      </c>
      <c r="C1214">
        <f t="shared" si="25"/>
        <v>2018</v>
      </c>
    </row>
    <row r="1215" spans="1:3" x14ac:dyDescent="0.35">
      <c r="A1215" s="16">
        <v>43214</v>
      </c>
      <c r="B1215" s="9">
        <v>242</v>
      </c>
      <c r="C1215">
        <f t="shared" si="25"/>
        <v>2018</v>
      </c>
    </row>
    <row r="1216" spans="1:3" x14ac:dyDescent="0.35">
      <c r="A1216" s="16">
        <v>43213</v>
      </c>
      <c r="B1216" s="9">
        <v>243</v>
      </c>
      <c r="C1216">
        <f t="shared" si="25"/>
        <v>2018</v>
      </c>
    </row>
    <row r="1217" spans="1:3" x14ac:dyDescent="0.35">
      <c r="A1217" s="16">
        <v>43210</v>
      </c>
      <c r="B1217" s="9">
        <v>243</v>
      </c>
      <c r="C1217">
        <f t="shared" si="25"/>
        <v>2018</v>
      </c>
    </row>
    <row r="1218" spans="1:3" x14ac:dyDescent="0.35">
      <c r="A1218" s="16">
        <v>43209</v>
      </c>
      <c r="B1218" s="9">
        <v>245</v>
      </c>
      <c r="C1218">
        <f t="shared" si="25"/>
        <v>2018</v>
      </c>
    </row>
    <row r="1219" spans="1:3" x14ac:dyDescent="0.35">
      <c r="A1219" s="16">
        <v>43208</v>
      </c>
      <c r="B1219" s="9">
        <v>244</v>
      </c>
      <c r="C1219">
        <f t="shared" ref="C1219:C1282" si="26">YEAR(A1219)</f>
        <v>2018</v>
      </c>
    </row>
    <row r="1220" spans="1:3" x14ac:dyDescent="0.35">
      <c r="A1220" s="16">
        <v>43207</v>
      </c>
      <c r="B1220" s="9">
        <v>247</v>
      </c>
      <c r="C1220">
        <f t="shared" si="26"/>
        <v>2018</v>
      </c>
    </row>
    <row r="1221" spans="1:3" x14ac:dyDescent="0.35">
      <c r="A1221" s="16">
        <v>43206</v>
      </c>
      <c r="B1221" s="9">
        <v>248</v>
      </c>
      <c r="C1221">
        <f t="shared" si="26"/>
        <v>2018</v>
      </c>
    </row>
    <row r="1222" spans="1:3" x14ac:dyDescent="0.35">
      <c r="A1222" s="16">
        <v>43203</v>
      </c>
      <c r="B1222" s="9">
        <v>245</v>
      </c>
      <c r="C1222">
        <f t="shared" si="26"/>
        <v>2018</v>
      </c>
    </row>
    <row r="1223" spans="1:3" x14ac:dyDescent="0.35">
      <c r="A1223" s="16">
        <v>43202</v>
      </c>
      <c r="B1223" s="9">
        <v>244</v>
      </c>
      <c r="C1223">
        <f t="shared" si="26"/>
        <v>2018</v>
      </c>
    </row>
    <row r="1224" spans="1:3" x14ac:dyDescent="0.35">
      <c r="A1224" s="16">
        <v>43201</v>
      </c>
      <c r="B1224" s="9">
        <v>246</v>
      </c>
      <c r="C1224">
        <f t="shared" si="26"/>
        <v>2018</v>
      </c>
    </row>
    <row r="1225" spans="1:3" x14ac:dyDescent="0.35">
      <c r="A1225" s="16">
        <v>43200</v>
      </c>
      <c r="B1225" s="9">
        <v>246</v>
      </c>
      <c r="C1225">
        <f t="shared" si="26"/>
        <v>2018</v>
      </c>
    </row>
    <row r="1226" spans="1:3" x14ac:dyDescent="0.35">
      <c r="A1226" s="16">
        <v>43199</v>
      </c>
      <c r="B1226" s="9">
        <v>247</v>
      </c>
      <c r="C1226">
        <f t="shared" si="26"/>
        <v>2018</v>
      </c>
    </row>
    <row r="1227" spans="1:3" x14ac:dyDescent="0.35">
      <c r="A1227" s="16">
        <v>43196</v>
      </c>
      <c r="B1227" s="9">
        <v>247</v>
      </c>
      <c r="C1227">
        <f t="shared" si="26"/>
        <v>2018</v>
      </c>
    </row>
    <row r="1228" spans="1:3" x14ac:dyDescent="0.35">
      <c r="A1228" s="16">
        <v>43195</v>
      </c>
      <c r="B1228" s="9">
        <v>239</v>
      </c>
      <c r="C1228">
        <f t="shared" si="26"/>
        <v>2018</v>
      </c>
    </row>
    <row r="1229" spans="1:3" x14ac:dyDescent="0.35">
      <c r="A1229" s="16">
        <v>43194</v>
      </c>
      <c r="B1229" s="9">
        <v>244</v>
      </c>
      <c r="C1229">
        <f t="shared" si="26"/>
        <v>2018</v>
      </c>
    </row>
    <row r="1230" spans="1:3" x14ac:dyDescent="0.35">
      <c r="A1230" s="16">
        <v>43193</v>
      </c>
      <c r="B1230" s="9">
        <v>243</v>
      </c>
      <c r="C1230">
        <f t="shared" si="26"/>
        <v>2018</v>
      </c>
    </row>
    <row r="1231" spans="1:3" x14ac:dyDescent="0.35">
      <c r="A1231" s="16">
        <v>43192</v>
      </c>
      <c r="B1231" s="9">
        <v>251</v>
      </c>
      <c r="C1231">
        <f t="shared" si="26"/>
        <v>2018</v>
      </c>
    </row>
    <row r="1232" spans="1:3" x14ac:dyDescent="0.35">
      <c r="A1232" s="16">
        <v>43188</v>
      </c>
      <c r="B1232" s="9">
        <v>248</v>
      </c>
      <c r="C1232">
        <f t="shared" si="26"/>
        <v>2018</v>
      </c>
    </row>
    <row r="1233" spans="1:3" x14ac:dyDescent="0.35">
      <c r="A1233" s="16">
        <v>43187</v>
      </c>
      <c r="B1233" s="9">
        <v>250</v>
      </c>
      <c r="C1233">
        <f t="shared" si="26"/>
        <v>2018</v>
      </c>
    </row>
    <row r="1234" spans="1:3" x14ac:dyDescent="0.35">
      <c r="A1234" s="16">
        <v>43186</v>
      </c>
      <c r="B1234" s="9">
        <v>251</v>
      </c>
      <c r="C1234">
        <f t="shared" si="26"/>
        <v>2018</v>
      </c>
    </row>
    <row r="1235" spans="1:3" x14ac:dyDescent="0.35">
      <c r="A1235" s="16">
        <v>43185</v>
      </c>
      <c r="B1235" s="9">
        <v>248</v>
      </c>
      <c r="C1235">
        <f t="shared" si="26"/>
        <v>2018</v>
      </c>
    </row>
    <row r="1236" spans="1:3" x14ac:dyDescent="0.35">
      <c r="A1236" s="16">
        <v>43182</v>
      </c>
      <c r="B1236" s="9">
        <v>252</v>
      </c>
      <c r="C1236">
        <f t="shared" si="26"/>
        <v>2018</v>
      </c>
    </row>
    <row r="1237" spans="1:3" x14ac:dyDescent="0.35">
      <c r="A1237" s="16">
        <v>43181</v>
      </c>
      <c r="B1237" s="9">
        <v>250</v>
      </c>
      <c r="C1237">
        <f t="shared" si="26"/>
        <v>2018</v>
      </c>
    </row>
    <row r="1238" spans="1:3" x14ac:dyDescent="0.35">
      <c r="A1238" s="16">
        <v>43180</v>
      </c>
      <c r="B1238" s="9">
        <v>246</v>
      </c>
      <c r="C1238">
        <f t="shared" si="26"/>
        <v>2018</v>
      </c>
    </row>
    <row r="1239" spans="1:3" x14ac:dyDescent="0.35">
      <c r="A1239" s="16">
        <v>43179</v>
      </c>
      <c r="B1239" s="9">
        <v>246</v>
      </c>
      <c r="C1239">
        <f t="shared" si="26"/>
        <v>2018</v>
      </c>
    </row>
    <row r="1240" spans="1:3" x14ac:dyDescent="0.35">
      <c r="A1240" s="16">
        <v>43178</v>
      </c>
      <c r="B1240" s="9">
        <v>249</v>
      </c>
      <c r="C1240">
        <f t="shared" si="26"/>
        <v>2018</v>
      </c>
    </row>
    <row r="1241" spans="1:3" x14ac:dyDescent="0.35">
      <c r="A1241" s="16">
        <v>43175</v>
      </c>
      <c r="B1241" s="9">
        <v>244</v>
      </c>
      <c r="C1241">
        <f t="shared" si="26"/>
        <v>2018</v>
      </c>
    </row>
    <row r="1242" spans="1:3" x14ac:dyDescent="0.35">
      <c r="A1242" s="16">
        <v>43174</v>
      </c>
      <c r="B1242" s="9">
        <v>247</v>
      </c>
      <c r="C1242">
        <f t="shared" si="26"/>
        <v>2018</v>
      </c>
    </row>
    <row r="1243" spans="1:3" x14ac:dyDescent="0.35">
      <c r="A1243" s="16">
        <v>43173</v>
      </c>
      <c r="B1243" s="9">
        <v>245</v>
      </c>
      <c r="C1243">
        <f t="shared" si="26"/>
        <v>2018</v>
      </c>
    </row>
    <row r="1244" spans="1:3" x14ac:dyDescent="0.35">
      <c r="A1244" s="16">
        <v>43172</v>
      </c>
      <c r="B1244" s="9">
        <v>243</v>
      </c>
      <c r="C1244">
        <f t="shared" si="26"/>
        <v>2018</v>
      </c>
    </row>
    <row r="1245" spans="1:3" x14ac:dyDescent="0.35">
      <c r="A1245" s="16">
        <v>43171</v>
      </c>
      <c r="B1245" s="9">
        <v>235</v>
      </c>
      <c r="C1245">
        <f t="shared" si="26"/>
        <v>2018</v>
      </c>
    </row>
    <row r="1246" spans="1:3" x14ac:dyDescent="0.35">
      <c r="A1246" s="16">
        <v>43168</v>
      </c>
      <c r="B1246" s="9">
        <v>233</v>
      </c>
      <c r="C1246">
        <f t="shared" si="26"/>
        <v>2018</v>
      </c>
    </row>
    <row r="1247" spans="1:3" x14ac:dyDescent="0.35">
      <c r="A1247" s="16">
        <v>43167</v>
      </c>
      <c r="B1247" s="9">
        <v>242</v>
      </c>
      <c r="C1247">
        <f t="shared" si="26"/>
        <v>2018</v>
      </c>
    </row>
    <row r="1248" spans="1:3" x14ac:dyDescent="0.35">
      <c r="A1248" s="16">
        <v>43166</v>
      </c>
      <c r="B1248" s="9">
        <v>239</v>
      </c>
      <c r="C1248">
        <f t="shared" si="26"/>
        <v>2018</v>
      </c>
    </row>
    <row r="1249" spans="1:3" x14ac:dyDescent="0.35">
      <c r="A1249" s="16">
        <v>43165</v>
      </c>
      <c r="B1249" s="9">
        <v>235</v>
      </c>
      <c r="C1249">
        <f t="shared" si="26"/>
        <v>2018</v>
      </c>
    </row>
    <row r="1250" spans="1:3" x14ac:dyDescent="0.35">
      <c r="A1250" s="16">
        <v>43164</v>
      </c>
      <c r="B1250" s="9">
        <v>237</v>
      </c>
      <c r="C1250">
        <f t="shared" si="26"/>
        <v>2018</v>
      </c>
    </row>
    <row r="1251" spans="1:3" x14ac:dyDescent="0.35">
      <c r="A1251" s="16">
        <v>43161</v>
      </c>
      <c r="B1251" s="9">
        <v>240</v>
      </c>
      <c r="C1251">
        <f t="shared" si="26"/>
        <v>2018</v>
      </c>
    </row>
    <row r="1252" spans="1:3" x14ac:dyDescent="0.35">
      <c r="A1252" s="16">
        <v>43160</v>
      </c>
      <c r="B1252" s="9">
        <v>243</v>
      </c>
      <c r="C1252">
        <f t="shared" si="26"/>
        <v>2018</v>
      </c>
    </row>
    <row r="1253" spans="1:3" x14ac:dyDescent="0.35">
      <c r="A1253" s="16">
        <v>43159</v>
      </c>
      <c r="B1253" s="9">
        <v>236</v>
      </c>
      <c r="C1253">
        <f t="shared" si="26"/>
        <v>2018</v>
      </c>
    </row>
    <row r="1254" spans="1:3" x14ac:dyDescent="0.35">
      <c r="A1254" s="16">
        <v>43158</v>
      </c>
      <c r="B1254" s="9">
        <v>229</v>
      </c>
      <c r="C1254">
        <f t="shared" si="26"/>
        <v>2018</v>
      </c>
    </row>
    <row r="1255" spans="1:3" x14ac:dyDescent="0.35">
      <c r="A1255" s="16">
        <v>43157</v>
      </c>
      <c r="B1255" s="9">
        <v>231</v>
      </c>
      <c r="C1255">
        <f t="shared" si="26"/>
        <v>2018</v>
      </c>
    </row>
    <row r="1256" spans="1:3" x14ac:dyDescent="0.35">
      <c r="A1256" s="16">
        <v>43154</v>
      </c>
      <c r="B1256" s="9">
        <v>236</v>
      </c>
      <c r="C1256">
        <f t="shared" si="26"/>
        <v>2018</v>
      </c>
    </row>
    <row r="1257" spans="1:3" x14ac:dyDescent="0.35">
      <c r="A1257" s="16">
        <v>43153</v>
      </c>
      <c r="B1257" s="9">
        <v>238</v>
      </c>
      <c r="C1257">
        <f t="shared" si="26"/>
        <v>2018</v>
      </c>
    </row>
    <row r="1258" spans="1:3" x14ac:dyDescent="0.35">
      <c r="A1258" s="16">
        <v>43152</v>
      </c>
      <c r="B1258" s="9">
        <v>233</v>
      </c>
      <c r="C1258">
        <f t="shared" si="26"/>
        <v>2018</v>
      </c>
    </row>
    <row r="1259" spans="1:3" x14ac:dyDescent="0.35">
      <c r="A1259" s="16">
        <v>43151</v>
      </c>
      <c r="B1259" s="9">
        <v>235</v>
      </c>
      <c r="C1259">
        <f t="shared" si="26"/>
        <v>2018</v>
      </c>
    </row>
    <row r="1260" spans="1:3" x14ac:dyDescent="0.35">
      <c r="A1260" s="16">
        <v>43147</v>
      </c>
      <c r="B1260" s="9">
        <v>228</v>
      </c>
      <c r="C1260">
        <f t="shared" si="26"/>
        <v>2018</v>
      </c>
    </row>
    <row r="1261" spans="1:3" x14ac:dyDescent="0.35">
      <c r="A1261" s="16">
        <v>43146</v>
      </c>
      <c r="B1261" s="9">
        <v>233</v>
      </c>
      <c r="C1261">
        <f t="shared" si="26"/>
        <v>2018</v>
      </c>
    </row>
    <row r="1262" spans="1:3" x14ac:dyDescent="0.35">
      <c r="A1262" s="16">
        <v>43145</v>
      </c>
      <c r="B1262" s="9">
        <v>249</v>
      </c>
      <c r="C1262">
        <f t="shared" si="26"/>
        <v>2018</v>
      </c>
    </row>
    <row r="1263" spans="1:3" x14ac:dyDescent="0.35">
      <c r="A1263" s="16">
        <v>43144</v>
      </c>
      <c r="B1263" s="9">
        <v>255</v>
      </c>
      <c r="C1263">
        <f t="shared" si="26"/>
        <v>2018</v>
      </c>
    </row>
    <row r="1264" spans="1:3" x14ac:dyDescent="0.35">
      <c r="A1264" s="16">
        <v>43143</v>
      </c>
      <c r="B1264" s="9">
        <v>245</v>
      </c>
      <c r="C1264">
        <f t="shared" si="26"/>
        <v>2018</v>
      </c>
    </row>
    <row r="1265" spans="1:3" x14ac:dyDescent="0.35">
      <c r="A1265" s="16">
        <v>43140</v>
      </c>
      <c r="B1265" s="9">
        <v>256</v>
      </c>
      <c r="C1265">
        <f t="shared" si="26"/>
        <v>2018</v>
      </c>
    </row>
    <row r="1266" spans="1:3" x14ac:dyDescent="0.35">
      <c r="A1266" s="16">
        <v>43139</v>
      </c>
      <c r="B1266" s="9">
        <v>241</v>
      </c>
      <c r="C1266">
        <f t="shared" si="26"/>
        <v>2018</v>
      </c>
    </row>
    <row r="1267" spans="1:3" x14ac:dyDescent="0.35">
      <c r="A1267" s="16">
        <v>43138</v>
      </c>
      <c r="B1267" s="9">
        <v>226</v>
      </c>
      <c r="C1267">
        <f t="shared" si="26"/>
        <v>2018</v>
      </c>
    </row>
    <row r="1268" spans="1:3" x14ac:dyDescent="0.35">
      <c r="A1268" s="16">
        <v>43137</v>
      </c>
      <c r="B1268" s="9">
        <v>235</v>
      </c>
      <c r="C1268">
        <f t="shared" si="26"/>
        <v>2018</v>
      </c>
    </row>
    <row r="1269" spans="1:3" x14ac:dyDescent="0.35">
      <c r="A1269" s="16">
        <v>43136</v>
      </c>
      <c r="B1269" s="9">
        <v>243</v>
      </c>
      <c r="C1269">
        <f t="shared" si="26"/>
        <v>2018</v>
      </c>
    </row>
    <row r="1270" spans="1:3" x14ac:dyDescent="0.35">
      <c r="A1270" s="16">
        <v>43133</v>
      </c>
      <c r="B1270" s="9">
        <v>229</v>
      </c>
      <c r="C1270">
        <f t="shared" si="26"/>
        <v>2018</v>
      </c>
    </row>
    <row r="1271" spans="1:3" x14ac:dyDescent="0.35">
      <c r="A1271" s="16">
        <v>43132</v>
      </c>
      <c r="B1271" s="9">
        <v>227</v>
      </c>
      <c r="C1271">
        <f t="shared" si="26"/>
        <v>2018</v>
      </c>
    </row>
    <row r="1272" spans="1:3" x14ac:dyDescent="0.35">
      <c r="A1272" s="16">
        <v>43131</v>
      </c>
      <c r="B1272" s="9">
        <v>227</v>
      </c>
      <c r="C1272">
        <f t="shared" si="26"/>
        <v>2018</v>
      </c>
    </row>
    <row r="1273" spans="1:3" x14ac:dyDescent="0.35">
      <c r="A1273" s="16">
        <v>43130</v>
      </c>
      <c r="B1273" s="9">
        <v>224</v>
      </c>
      <c r="C1273">
        <f t="shared" si="26"/>
        <v>2018</v>
      </c>
    </row>
    <row r="1274" spans="1:3" x14ac:dyDescent="0.35">
      <c r="A1274" s="16">
        <v>43129</v>
      </c>
      <c r="B1274" s="9">
        <v>224</v>
      </c>
      <c r="C1274">
        <f t="shared" si="26"/>
        <v>2018</v>
      </c>
    </row>
    <row r="1275" spans="1:3" x14ac:dyDescent="0.35">
      <c r="A1275" s="16">
        <v>43126</v>
      </c>
      <c r="B1275" s="9">
        <v>222</v>
      </c>
      <c r="C1275">
        <f t="shared" si="26"/>
        <v>2018</v>
      </c>
    </row>
    <row r="1276" spans="1:3" x14ac:dyDescent="0.35">
      <c r="A1276" s="16">
        <v>43125</v>
      </c>
      <c r="B1276" s="9">
        <v>225</v>
      </c>
      <c r="C1276">
        <f t="shared" si="26"/>
        <v>2018</v>
      </c>
    </row>
    <row r="1277" spans="1:3" x14ac:dyDescent="0.35">
      <c r="A1277" s="16">
        <v>43124</v>
      </c>
      <c r="B1277" s="9">
        <v>226</v>
      </c>
      <c r="C1277">
        <f t="shared" si="26"/>
        <v>2018</v>
      </c>
    </row>
    <row r="1278" spans="1:3" x14ac:dyDescent="0.35">
      <c r="A1278" s="16">
        <v>43123</v>
      </c>
      <c r="B1278" s="9">
        <v>233</v>
      </c>
      <c r="C1278">
        <f t="shared" si="26"/>
        <v>2018</v>
      </c>
    </row>
    <row r="1279" spans="1:3" x14ac:dyDescent="0.35">
      <c r="A1279" s="16">
        <v>43122</v>
      </c>
      <c r="B1279" s="9">
        <v>231</v>
      </c>
      <c r="C1279">
        <f t="shared" si="26"/>
        <v>2018</v>
      </c>
    </row>
    <row r="1280" spans="1:3" x14ac:dyDescent="0.35">
      <c r="A1280" s="16">
        <v>43119</v>
      </c>
      <c r="B1280" s="9">
        <v>231</v>
      </c>
      <c r="C1280">
        <f t="shared" si="26"/>
        <v>2018</v>
      </c>
    </row>
    <row r="1281" spans="1:3" x14ac:dyDescent="0.35">
      <c r="A1281" s="16">
        <v>43118</v>
      </c>
      <c r="B1281" s="9">
        <v>231</v>
      </c>
      <c r="C1281">
        <f t="shared" si="26"/>
        <v>2018</v>
      </c>
    </row>
    <row r="1282" spans="1:3" x14ac:dyDescent="0.35">
      <c r="A1282" s="16">
        <v>43117</v>
      </c>
      <c r="B1282" s="9">
        <v>228</v>
      </c>
      <c r="C1282">
        <f t="shared" si="26"/>
        <v>2018</v>
      </c>
    </row>
    <row r="1283" spans="1:3" x14ac:dyDescent="0.35">
      <c r="A1283" s="16">
        <v>43116</v>
      </c>
      <c r="B1283" s="9">
        <v>226</v>
      </c>
      <c r="C1283">
        <f t="shared" ref="C1283:C1346" si="27">YEAR(A1283)</f>
        <v>2018</v>
      </c>
    </row>
    <row r="1284" spans="1:3" x14ac:dyDescent="0.35">
      <c r="A1284" s="16">
        <v>43115</v>
      </c>
      <c r="B1284" s="9">
        <v>225</v>
      </c>
      <c r="C1284">
        <f t="shared" si="27"/>
        <v>2018</v>
      </c>
    </row>
    <row r="1285" spans="1:3" x14ac:dyDescent="0.35">
      <c r="A1285" s="16">
        <v>43112</v>
      </c>
      <c r="B1285" s="9">
        <v>225</v>
      </c>
      <c r="C1285">
        <f t="shared" si="27"/>
        <v>2018</v>
      </c>
    </row>
    <row r="1286" spans="1:3" x14ac:dyDescent="0.35">
      <c r="A1286" s="16">
        <v>43111</v>
      </c>
      <c r="B1286" s="9">
        <v>223</v>
      </c>
      <c r="C1286">
        <f t="shared" si="27"/>
        <v>2018</v>
      </c>
    </row>
    <row r="1287" spans="1:3" x14ac:dyDescent="0.35">
      <c r="A1287" s="16">
        <v>43110</v>
      </c>
      <c r="B1287" s="9">
        <v>222</v>
      </c>
      <c r="C1287">
        <f t="shared" si="27"/>
        <v>2018</v>
      </c>
    </row>
    <row r="1288" spans="1:3" x14ac:dyDescent="0.35">
      <c r="A1288" s="16">
        <v>43109</v>
      </c>
      <c r="B1288" s="9">
        <v>218</v>
      </c>
      <c r="C1288">
        <f t="shared" si="27"/>
        <v>2018</v>
      </c>
    </row>
    <row r="1289" spans="1:3" x14ac:dyDescent="0.35">
      <c r="A1289" s="16">
        <v>43108</v>
      </c>
      <c r="B1289" s="9">
        <v>222</v>
      </c>
      <c r="C1289">
        <f t="shared" si="27"/>
        <v>2018</v>
      </c>
    </row>
    <row r="1290" spans="1:3" x14ac:dyDescent="0.35">
      <c r="A1290" s="16">
        <v>43105</v>
      </c>
      <c r="B1290" s="9">
        <v>221</v>
      </c>
      <c r="C1290">
        <f t="shared" si="27"/>
        <v>2018</v>
      </c>
    </row>
    <row r="1291" spans="1:3" x14ac:dyDescent="0.35">
      <c r="A1291" s="16">
        <v>43104</v>
      </c>
      <c r="B1291" s="9">
        <v>225</v>
      </c>
      <c r="C1291">
        <f t="shared" si="27"/>
        <v>2018</v>
      </c>
    </row>
    <row r="1292" spans="1:3" x14ac:dyDescent="0.35">
      <c r="A1292" s="16">
        <v>43103</v>
      </c>
      <c r="B1292" s="9">
        <v>228</v>
      </c>
      <c r="C1292">
        <f t="shared" si="27"/>
        <v>2018</v>
      </c>
    </row>
    <row r="1293" spans="1:3" x14ac:dyDescent="0.35">
      <c r="A1293" s="16">
        <v>43102</v>
      </c>
      <c r="B1293" s="9">
        <v>234</v>
      </c>
      <c r="C1293">
        <f t="shared" si="27"/>
        <v>2018</v>
      </c>
    </row>
    <row r="1294" spans="1:3" x14ac:dyDescent="0.35">
      <c r="A1294" s="16">
        <v>43098</v>
      </c>
      <c r="B1294" s="9">
        <v>240</v>
      </c>
      <c r="C1294">
        <f t="shared" si="27"/>
        <v>2017</v>
      </c>
    </row>
    <row r="1295" spans="1:3" x14ac:dyDescent="0.35">
      <c r="A1295" s="16">
        <v>43097</v>
      </c>
      <c r="B1295" s="9">
        <v>239</v>
      </c>
      <c r="C1295">
        <f t="shared" si="27"/>
        <v>2017</v>
      </c>
    </row>
    <row r="1296" spans="1:3" x14ac:dyDescent="0.35">
      <c r="A1296" s="16">
        <v>43096</v>
      </c>
      <c r="B1296" s="9">
        <v>240</v>
      </c>
      <c r="C1296">
        <f t="shared" si="27"/>
        <v>2017</v>
      </c>
    </row>
    <row r="1297" spans="1:3" x14ac:dyDescent="0.35">
      <c r="A1297" s="16">
        <v>43095</v>
      </c>
      <c r="B1297" s="9">
        <v>237</v>
      </c>
      <c r="C1297">
        <f t="shared" si="27"/>
        <v>2017</v>
      </c>
    </row>
    <row r="1298" spans="1:3" x14ac:dyDescent="0.35">
      <c r="A1298" s="16">
        <v>43091</v>
      </c>
      <c r="B1298" s="9">
        <v>235</v>
      </c>
      <c r="C1298">
        <f t="shared" si="27"/>
        <v>2017</v>
      </c>
    </row>
    <row r="1299" spans="1:3" x14ac:dyDescent="0.35">
      <c r="A1299" s="16">
        <v>43090</v>
      </c>
      <c r="B1299" s="9">
        <v>233</v>
      </c>
      <c r="C1299">
        <f t="shared" si="27"/>
        <v>2017</v>
      </c>
    </row>
    <row r="1300" spans="1:3" x14ac:dyDescent="0.35">
      <c r="A1300" s="16">
        <v>43089</v>
      </c>
      <c r="B1300" s="9">
        <v>231</v>
      </c>
      <c r="C1300">
        <f t="shared" si="27"/>
        <v>2017</v>
      </c>
    </row>
    <row r="1301" spans="1:3" x14ac:dyDescent="0.35">
      <c r="A1301" s="16">
        <v>43088</v>
      </c>
      <c r="B1301" s="9">
        <v>234</v>
      </c>
      <c r="C1301">
        <f t="shared" si="27"/>
        <v>2017</v>
      </c>
    </row>
    <row r="1302" spans="1:3" x14ac:dyDescent="0.35">
      <c r="A1302" s="16">
        <v>43087</v>
      </c>
      <c r="B1302" s="9">
        <v>238</v>
      </c>
      <c r="C1302">
        <f t="shared" si="27"/>
        <v>2017</v>
      </c>
    </row>
    <row r="1303" spans="1:3" x14ac:dyDescent="0.35">
      <c r="A1303" s="16">
        <v>43084</v>
      </c>
      <c r="B1303" s="9">
        <v>244</v>
      </c>
      <c r="C1303">
        <f t="shared" si="27"/>
        <v>2017</v>
      </c>
    </row>
    <row r="1304" spans="1:3" x14ac:dyDescent="0.35">
      <c r="A1304" s="16">
        <v>43083</v>
      </c>
      <c r="B1304" s="9">
        <v>245</v>
      </c>
      <c r="C1304">
        <f t="shared" si="27"/>
        <v>2017</v>
      </c>
    </row>
    <row r="1305" spans="1:3" x14ac:dyDescent="0.35">
      <c r="A1305" s="16">
        <v>43082</v>
      </c>
      <c r="B1305" s="9">
        <v>243</v>
      </c>
      <c r="C1305">
        <f t="shared" si="27"/>
        <v>2017</v>
      </c>
    </row>
    <row r="1306" spans="1:3" x14ac:dyDescent="0.35">
      <c r="A1306" s="16">
        <v>43081</v>
      </c>
      <c r="B1306" s="9">
        <v>239</v>
      </c>
      <c r="C1306">
        <f t="shared" si="27"/>
        <v>2017</v>
      </c>
    </row>
    <row r="1307" spans="1:3" x14ac:dyDescent="0.35">
      <c r="A1307" s="16">
        <v>43080</v>
      </c>
      <c r="B1307" s="9">
        <v>239</v>
      </c>
      <c r="C1307">
        <f t="shared" si="27"/>
        <v>2017</v>
      </c>
    </row>
    <row r="1308" spans="1:3" x14ac:dyDescent="0.35">
      <c r="A1308" s="16">
        <v>43077</v>
      </c>
      <c r="B1308" s="9">
        <v>240</v>
      </c>
      <c r="C1308">
        <f t="shared" si="27"/>
        <v>2017</v>
      </c>
    </row>
    <row r="1309" spans="1:3" x14ac:dyDescent="0.35">
      <c r="A1309" s="16">
        <v>43076</v>
      </c>
      <c r="B1309" s="9">
        <v>242</v>
      </c>
      <c r="C1309">
        <f t="shared" si="27"/>
        <v>2017</v>
      </c>
    </row>
    <row r="1310" spans="1:3" x14ac:dyDescent="0.35">
      <c r="A1310" s="16">
        <v>43075</v>
      </c>
      <c r="B1310" s="9">
        <v>238</v>
      </c>
      <c r="C1310">
        <f t="shared" si="27"/>
        <v>2017</v>
      </c>
    </row>
    <row r="1311" spans="1:3" x14ac:dyDescent="0.35">
      <c r="A1311" s="16">
        <v>43074</v>
      </c>
      <c r="B1311" s="9">
        <v>236</v>
      </c>
      <c r="C1311">
        <f t="shared" si="27"/>
        <v>2017</v>
      </c>
    </row>
    <row r="1312" spans="1:3" x14ac:dyDescent="0.35">
      <c r="A1312" s="16">
        <v>43073</v>
      </c>
      <c r="B1312" s="9">
        <v>242</v>
      </c>
      <c r="C1312">
        <f t="shared" si="27"/>
        <v>2017</v>
      </c>
    </row>
    <row r="1313" spans="1:3" x14ac:dyDescent="0.35">
      <c r="A1313" s="16">
        <v>43070</v>
      </c>
      <c r="B1313" s="9">
        <v>244</v>
      </c>
      <c r="C1313">
        <f t="shared" si="27"/>
        <v>2017</v>
      </c>
    </row>
    <row r="1314" spans="1:3" x14ac:dyDescent="0.35">
      <c r="A1314" s="16">
        <v>43069</v>
      </c>
      <c r="B1314" s="9">
        <v>241</v>
      </c>
      <c r="C1314">
        <f t="shared" si="27"/>
        <v>2017</v>
      </c>
    </row>
    <row r="1315" spans="1:3" x14ac:dyDescent="0.35">
      <c r="A1315" s="16">
        <v>43068</v>
      </c>
      <c r="B1315" s="9">
        <v>240</v>
      </c>
      <c r="C1315">
        <f t="shared" si="27"/>
        <v>2017</v>
      </c>
    </row>
    <row r="1316" spans="1:3" x14ac:dyDescent="0.35">
      <c r="A1316" s="16">
        <v>43067</v>
      </c>
      <c r="B1316" s="9">
        <v>239</v>
      </c>
      <c r="C1316">
        <f t="shared" si="27"/>
        <v>2017</v>
      </c>
    </row>
    <row r="1317" spans="1:3" x14ac:dyDescent="0.35">
      <c r="A1317" s="16">
        <v>43066</v>
      </c>
      <c r="B1317" s="9">
        <v>242</v>
      </c>
      <c r="C1317">
        <f t="shared" si="27"/>
        <v>2017</v>
      </c>
    </row>
    <row r="1318" spans="1:3" x14ac:dyDescent="0.35">
      <c r="A1318" s="16">
        <v>43063</v>
      </c>
      <c r="B1318" s="9">
        <v>243</v>
      </c>
      <c r="C1318">
        <f t="shared" si="27"/>
        <v>2017</v>
      </c>
    </row>
    <row r="1319" spans="1:3" x14ac:dyDescent="0.35">
      <c r="A1319" s="16">
        <v>43062</v>
      </c>
      <c r="B1319" s="9">
        <v>246</v>
      </c>
      <c r="C1319">
        <f t="shared" si="27"/>
        <v>2017</v>
      </c>
    </row>
    <row r="1320" spans="1:3" x14ac:dyDescent="0.35">
      <c r="A1320" s="16">
        <v>43061</v>
      </c>
      <c r="B1320" s="9">
        <v>246</v>
      </c>
      <c r="C1320">
        <f t="shared" si="27"/>
        <v>2017</v>
      </c>
    </row>
    <row r="1321" spans="1:3" x14ac:dyDescent="0.35">
      <c r="A1321" s="16">
        <v>43060</v>
      </c>
      <c r="B1321" s="9">
        <v>247</v>
      </c>
      <c r="C1321">
        <f t="shared" si="27"/>
        <v>2017</v>
      </c>
    </row>
    <row r="1322" spans="1:3" x14ac:dyDescent="0.35">
      <c r="A1322" s="16">
        <v>43059</v>
      </c>
      <c r="B1322" s="9">
        <v>248</v>
      </c>
      <c r="C1322">
        <f t="shared" si="27"/>
        <v>2017</v>
      </c>
    </row>
    <row r="1323" spans="1:3" x14ac:dyDescent="0.35">
      <c r="A1323" s="16">
        <v>43056</v>
      </c>
      <c r="B1323" s="9">
        <v>246</v>
      </c>
      <c r="C1323">
        <f t="shared" si="27"/>
        <v>2017</v>
      </c>
    </row>
    <row r="1324" spans="1:3" x14ac:dyDescent="0.35">
      <c r="A1324" s="16">
        <v>43055</v>
      </c>
      <c r="B1324" s="9">
        <v>251</v>
      </c>
      <c r="C1324">
        <f t="shared" si="27"/>
        <v>2017</v>
      </c>
    </row>
    <row r="1325" spans="1:3" x14ac:dyDescent="0.35">
      <c r="A1325" s="16">
        <v>43054</v>
      </c>
      <c r="B1325" s="9">
        <v>260</v>
      </c>
      <c r="C1325">
        <f t="shared" si="27"/>
        <v>2017</v>
      </c>
    </row>
    <row r="1326" spans="1:3" x14ac:dyDescent="0.35">
      <c r="A1326" s="16">
        <v>43053</v>
      </c>
      <c r="B1326" s="9">
        <v>256</v>
      </c>
      <c r="C1326">
        <f t="shared" si="27"/>
        <v>2017</v>
      </c>
    </row>
    <row r="1327" spans="1:3" x14ac:dyDescent="0.35">
      <c r="A1327" s="16">
        <v>43052</v>
      </c>
      <c r="B1327" s="9">
        <v>251</v>
      </c>
      <c r="C1327">
        <f t="shared" si="27"/>
        <v>2017</v>
      </c>
    </row>
    <row r="1328" spans="1:3" x14ac:dyDescent="0.35">
      <c r="A1328" s="16">
        <v>43049</v>
      </c>
      <c r="B1328" s="9">
        <v>253</v>
      </c>
      <c r="C1328">
        <f t="shared" si="27"/>
        <v>2017</v>
      </c>
    </row>
    <row r="1329" spans="1:3" x14ac:dyDescent="0.35">
      <c r="A1329" s="16">
        <v>43048</v>
      </c>
      <c r="B1329" s="9">
        <v>255</v>
      </c>
      <c r="C1329">
        <f t="shared" si="27"/>
        <v>2017</v>
      </c>
    </row>
    <row r="1330" spans="1:3" x14ac:dyDescent="0.35">
      <c r="A1330" s="16">
        <v>43047</v>
      </c>
      <c r="B1330" s="9">
        <v>253</v>
      </c>
      <c r="C1330">
        <f t="shared" si="27"/>
        <v>2017</v>
      </c>
    </row>
    <row r="1331" spans="1:3" x14ac:dyDescent="0.35">
      <c r="A1331" s="16">
        <v>43046</v>
      </c>
      <c r="B1331" s="9">
        <v>253</v>
      </c>
      <c r="C1331">
        <f t="shared" si="27"/>
        <v>2017</v>
      </c>
    </row>
    <row r="1332" spans="1:3" x14ac:dyDescent="0.35">
      <c r="A1332" s="16">
        <v>43045</v>
      </c>
      <c r="B1332" s="9">
        <v>247</v>
      </c>
      <c r="C1332">
        <f t="shared" si="27"/>
        <v>2017</v>
      </c>
    </row>
    <row r="1333" spans="1:3" x14ac:dyDescent="0.35">
      <c r="A1333" s="16">
        <v>43042</v>
      </c>
      <c r="B1333" s="9">
        <v>249</v>
      </c>
      <c r="C1333">
        <f t="shared" si="27"/>
        <v>2017</v>
      </c>
    </row>
    <row r="1334" spans="1:3" x14ac:dyDescent="0.35">
      <c r="A1334" s="16">
        <v>43041</v>
      </c>
      <c r="B1334" s="9">
        <v>245</v>
      </c>
      <c r="C1334">
        <f t="shared" si="27"/>
        <v>2017</v>
      </c>
    </row>
    <row r="1335" spans="1:3" x14ac:dyDescent="0.35">
      <c r="A1335" s="16">
        <v>43040</v>
      </c>
      <c r="B1335" s="9">
        <v>244</v>
      </c>
      <c r="C1335">
        <f t="shared" si="27"/>
        <v>2017</v>
      </c>
    </row>
    <row r="1336" spans="1:3" x14ac:dyDescent="0.35">
      <c r="A1336" s="16">
        <v>43039</v>
      </c>
      <c r="B1336" s="9">
        <v>243</v>
      </c>
      <c r="C1336">
        <f t="shared" si="27"/>
        <v>2017</v>
      </c>
    </row>
    <row r="1337" spans="1:3" x14ac:dyDescent="0.35">
      <c r="A1337" s="16">
        <v>43038</v>
      </c>
      <c r="B1337" s="9">
        <v>239</v>
      </c>
      <c r="C1337">
        <f t="shared" si="27"/>
        <v>2017</v>
      </c>
    </row>
    <row r="1338" spans="1:3" x14ac:dyDescent="0.35">
      <c r="A1338" s="16">
        <v>43035</v>
      </c>
      <c r="B1338" s="9">
        <v>238</v>
      </c>
      <c r="C1338">
        <f t="shared" si="27"/>
        <v>2017</v>
      </c>
    </row>
    <row r="1339" spans="1:3" x14ac:dyDescent="0.35">
      <c r="A1339" s="16">
        <v>43034</v>
      </c>
      <c r="B1339" s="9">
        <v>242</v>
      </c>
      <c r="C1339">
        <f t="shared" si="27"/>
        <v>2017</v>
      </c>
    </row>
    <row r="1340" spans="1:3" x14ac:dyDescent="0.35">
      <c r="A1340" s="16">
        <v>43033</v>
      </c>
      <c r="B1340" s="9">
        <v>234</v>
      </c>
      <c r="C1340">
        <f t="shared" si="27"/>
        <v>2017</v>
      </c>
    </row>
    <row r="1341" spans="1:3" x14ac:dyDescent="0.35">
      <c r="A1341" s="16">
        <v>43032</v>
      </c>
      <c r="B1341" s="9">
        <v>234</v>
      </c>
      <c r="C1341">
        <f t="shared" si="27"/>
        <v>2017</v>
      </c>
    </row>
    <row r="1342" spans="1:3" x14ac:dyDescent="0.35">
      <c r="A1342" s="16">
        <v>43031</v>
      </c>
      <c r="B1342" s="9">
        <v>233</v>
      </c>
      <c r="C1342">
        <f t="shared" si="27"/>
        <v>2017</v>
      </c>
    </row>
    <row r="1343" spans="1:3" x14ac:dyDescent="0.35">
      <c r="A1343" s="16">
        <v>43028</v>
      </c>
      <c r="B1343" s="9">
        <v>233</v>
      </c>
      <c r="C1343">
        <f t="shared" si="27"/>
        <v>2017</v>
      </c>
    </row>
    <row r="1344" spans="1:3" x14ac:dyDescent="0.35">
      <c r="A1344" s="16">
        <v>43027</v>
      </c>
      <c r="B1344" s="9">
        <v>236</v>
      </c>
      <c r="C1344">
        <f t="shared" si="27"/>
        <v>2017</v>
      </c>
    </row>
    <row r="1345" spans="1:3" x14ac:dyDescent="0.35">
      <c r="A1345" s="16">
        <v>43026</v>
      </c>
      <c r="B1345" s="9">
        <v>236</v>
      </c>
      <c r="C1345">
        <f t="shared" si="27"/>
        <v>2017</v>
      </c>
    </row>
    <row r="1346" spans="1:3" x14ac:dyDescent="0.35">
      <c r="A1346" s="16">
        <v>43025</v>
      </c>
      <c r="B1346" s="9">
        <v>240</v>
      </c>
      <c r="C1346">
        <f t="shared" si="27"/>
        <v>2017</v>
      </c>
    </row>
    <row r="1347" spans="1:3" x14ac:dyDescent="0.35">
      <c r="A1347" s="16">
        <v>43024</v>
      </c>
      <c r="B1347" s="9">
        <v>242</v>
      </c>
      <c r="C1347">
        <f t="shared" ref="C1347:C1410" si="28">YEAR(A1347)</f>
        <v>2017</v>
      </c>
    </row>
    <row r="1348" spans="1:3" x14ac:dyDescent="0.35">
      <c r="A1348" s="16">
        <v>43021</v>
      </c>
      <c r="B1348" s="9">
        <v>244</v>
      </c>
      <c r="C1348">
        <f t="shared" si="28"/>
        <v>2017</v>
      </c>
    </row>
    <row r="1349" spans="1:3" x14ac:dyDescent="0.35">
      <c r="A1349" s="16">
        <v>43020</v>
      </c>
      <c r="B1349" s="9">
        <v>245</v>
      </c>
      <c r="C1349">
        <f t="shared" si="28"/>
        <v>2017</v>
      </c>
    </row>
    <row r="1350" spans="1:3" x14ac:dyDescent="0.35">
      <c r="A1350" s="16">
        <v>43019</v>
      </c>
      <c r="B1350" s="9">
        <v>247</v>
      </c>
      <c r="C1350">
        <f t="shared" si="28"/>
        <v>2017</v>
      </c>
    </row>
    <row r="1351" spans="1:3" x14ac:dyDescent="0.35">
      <c r="A1351" s="16">
        <v>43018</v>
      </c>
      <c r="B1351" s="9">
        <v>248</v>
      </c>
      <c r="C1351">
        <f t="shared" si="28"/>
        <v>2017</v>
      </c>
    </row>
    <row r="1352" spans="1:3" x14ac:dyDescent="0.35">
      <c r="A1352" s="16">
        <v>43017</v>
      </c>
      <c r="B1352" s="9">
        <v>244</v>
      </c>
      <c r="C1352">
        <f t="shared" si="28"/>
        <v>2017</v>
      </c>
    </row>
    <row r="1353" spans="1:3" x14ac:dyDescent="0.35">
      <c r="A1353" s="16">
        <v>43014</v>
      </c>
      <c r="B1353" s="9">
        <v>244</v>
      </c>
      <c r="C1353">
        <f t="shared" si="28"/>
        <v>2017</v>
      </c>
    </row>
    <row r="1354" spans="1:3" x14ac:dyDescent="0.35">
      <c r="A1354" s="16">
        <v>43013</v>
      </c>
      <c r="B1354" s="9">
        <v>241</v>
      </c>
      <c r="C1354">
        <f t="shared" si="28"/>
        <v>2017</v>
      </c>
    </row>
    <row r="1355" spans="1:3" x14ac:dyDescent="0.35">
      <c r="A1355" s="16">
        <v>43012</v>
      </c>
      <c r="B1355" s="9">
        <v>245</v>
      </c>
      <c r="C1355">
        <f t="shared" si="28"/>
        <v>2017</v>
      </c>
    </row>
    <row r="1356" spans="1:3" x14ac:dyDescent="0.35">
      <c r="A1356" s="16">
        <v>43011</v>
      </c>
      <c r="B1356" s="9">
        <v>245</v>
      </c>
      <c r="C1356">
        <f t="shared" si="28"/>
        <v>2017</v>
      </c>
    </row>
    <row r="1357" spans="1:3" x14ac:dyDescent="0.35">
      <c r="A1357" s="16">
        <v>43010</v>
      </c>
      <c r="B1357" s="9">
        <v>246</v>
      </c>
      <c r="C1357">
        <f t="shared" si="28"/>
        <v>2017</v>
      </c>
    </row>
    <row r="1358" spans="1:3" x14ac:dyDescent="0.35">
      <c r="A1358" s="16">
        <v>43007</v>
      </c>
      <c r="B1358" s="9">
        <v>247</v>
      </c>
      <c r="C1358">
        <f t="shared" si="28"/>
        <v>2017</v>
      </c>
    </row>
    <row r="1359" spans="1:3" x14ac:dyDescent="0.35">
      <c r="A1359" s="16">
        <v>43006</v>
      </c>
      <c r="B1359" s="9">
        <v>253</v>
      </c>
      <c r="C1359">
        <f t="shared" si="28"/>
        <v>2017</v>
      </c>
    </row>
    <row r="1360" spans="1:3" x14ac:dyDescent="0.35">
      <c r="A1360" s="16">
        <v>43005</v>
      </c>
      <c r="B1360" s="9">
        <v>256</v>
      </c>
      <c r="C1360">
        <f t="shared" si="28"/>
        <v>2017</v>
      </c>
    </row>
    <row r="1361" spans="1:3" x14ac:dyDescent="0.35">
      <c r="A1361" s="16">
        <v>43004</v>
      </c>
      <c r="B1361" s="9">
        <v>256</v>
      </c>
      <c r="C1361">
        <f t="shared" si="28"/>
        <v>2017</v>
      </c>
    </row>
    <row r="1362" spans="1:3" x14ac:dyDescent="0.35">
      <c r="A1362" s="16">
        <v>43003</v>
      </c>
      <c r="B1362" s="9">
        <v>257</v>
      </c>
      <c r="C1362">
        <f t="shared" si="28"/>
        <v>2017</v>
      </c>
    </row>
    <row r="1363" spans="1:3" x14ac:dyDescent="0.35">
      <c r="A1363" s="16">
        <v>43000</v>
      </c>
      <c r="B1363" s="9">
        <v>253</v>
      </c>
      <c r="C1363">
        <f t="shared" si="28"/>
        <v>2017</v>
      </c>
    </row>
    <row r="1364" spans="1:3" x14ac:dyDescent="0.35">
      <c r="A1364" s="16">
        <v>42999</v>
      </c>
      <c r="B1364" s="9">
        <v>255</v>
      </c>
      <c r="C1364">
        <f t="shared" si="28"/>
        <v>2017</v>
      </c>
    </row>
    <row r="1365" spans="1:3" x14ac:dyDescent="0.35">
      <c r="A1365" s="16">
        <v>42998</v>
      </c>
      <c r="B1365" s="9">
        <v>254</v>
      </c>
      <c r="C1365">
        <f t="shared" si="28"/>
        <v>2017</v>
      </c>
    </row>
    <row r="1366" spans="1:3" x14ac:dyDescent="0.35">
      <c r="A1366" s="16">
        <v>42997</v>
      </c>
      <c r="B1366" s="9">
        <v>252</v>
      </c>
      <c r="C1366">
        <f t="shared" si="28"/>
        <v>2017</v>
      </c>
    </row>
    <row r="1367" spans="1:3" x14ac:dyDescent="0.35">
      <c r="A1367" s="16">
        <v>42996</v>
      </c>
      <c r="B1367" s="9">
        <v>252</v>
      </c>
      <c r="C1367">
        <f t="shared" si="28"/>
        <v>2017</v>
      </c>
    </row>
    <row r="1368" spans="1:3" x14ac:dyDescent="0.35">
      <c r="A1368" s="16">
        <v>42993</v>
      </c>
      <c r="B1368" s="9">
        <v>255</v>
      </c>
      <c r="C1368">
        <f t="shared" si="28"/>
        <v>2017</v>
      </c>
    </row>
    <row r="1369" spans="1:3" x14ac:dyDescent="0.35">
      <c r="A1369" s="16">
        <v>42992</v>
      </c>
      <c r="B1369" s="9">
        <v>256</v>
      </c>
      <c r="C1369">
        <f t="shared" si="28"/>
        <v>2017</v>
      </c>
    </row>
    <row r="1370" spans="1:3" x14ac:dyDescent="0.35">
      <c r="A1370" s="16">
        <v>42991</v>
      </c>
      <c r="B1370" s="9">
        <v>257</v>
      </c>
      <c r="C1370">
        <f t="shared" si="28"/>
        <v>2017</v>
      </c>
    </row>
    <row r="1371" spans="1:3" x14ac:dyDescent="0.35">
      <c r="A1371" s="16">
        <v>42990</v>
      </c>
      <c r="B1371" s="9">
        <v>260</v>
      </c>
      <c r="C1371">
        <f t="shared" si="28"/>
        <v>2017</v>
      </c>
    </row>
    <row r="1372" spans="1:3" x14ac:dyDescent="0.35">
      <c r="A1372" s="16">
        <v>42989</v>
      </c>
      <c r="B1372" s="9">
        <v>259</v>
      </c>
      <c r="C1372">
        <f t="shared" si="28"/>
        <v>2017</v>
      </c>
    </row>
    <row r="1373" spans="1:3" x14ac:dyDescent="0.35">
      <c r="A1373" s="16">
        <v>42986</v>
      </c>
      <c r="B1373" s="9">
        <v>264</v>
      </c>
      <c r="C1373">
        <f t="shared" si="28"/>
        <v>2017</v>
      </c>
    </row>
    <row r="1374" spans="1:3" x14ac:dyDescent="0.35">
      <c r="A1374" s="16">
        <v>42985</v>
      </c>
      <c r="B1374" s="9">
        <v>265</v>
      </c>
      <c r="C1374">
        <f t="shared" si="28"/>
        <v>2017</v>
      </c>
    </row>
    <row r="1375" spans="1:3" x14ac:dyDescent="0.35">
      <c r="A1375" s="16">
        <v>42984</v>
      </c>
      <c r="B1375" s="9">
        <v>267</v>
      </c>
      <c r="C1375">
        <f t="shared" si="28"/>
        <v>2017</v>
      </c>
    </row>
    <row r="1376" spans="1:3" x14ac:dyDescent="0.35">
      <c r="A1376" s="16">
        <v>42983</v>
      </c>
      <c r="B1376" s="9">
        <v>268</v>
      </c>
      <c r="C1376">
        <f t="shared" si="28"/>
        <v>2017</v>
      </c>
    </row>
    <row r="1377" spans="1:3" x14ac:dyDescent="0.35">
      <c r="A1377" s="16">
        <v>42982</v>
      </c>
      <c r="B1377" s="9">
        <v>265</v>
      </c>
      <c r="C1377">
        <f t="shared" si="28"/>
        <v>2017</v>
      </c>
    </row>
    <row r="1378" spans="1:3" x14ac:dyDescent="0.35">
      <c r="A1378" s="16">
        <v>42979</v>
      </c>
      <c r="B1378" s="9">
        <v>265</v>
      </c>
      <c r="C1378">
        <f t="shared" si="28"/>
        <v>2017</v>
      </c>
    </row>
    <row r="1379" spans="1:3" x14ac:dyDescent="0.35">
      <c r="A1379" s="16">
        <v>42978</v>
      </c>
      <c r="B1379" s="9">
        <v>272</v>
      </c>
      <c r="C1379">
        <f t="shared" si="28"/>
        <v>2017</v>
      </c>
    </row>
    <row r="1380" spans="1:3" x14ac:dyDescent="0.35">
      <c r="A1380" s="16">
        <v>42977</v>
      </c>
      <c r="B1380" s="9">
        <v>272</v>
      </c>
      <c r="C1380">
        <f t="shared" si="28"/>
        <v>2017</v>
      </c>
    </row>
    <row r="1381" spans="1:3" x14ac:dyDescent="0.35">
      <c r="A1381" s="16">
        <v>42976</v>
      </c>
      <c r="B1381" s="9">
        <v>274</v>
      </c>
      <c r="C1381">
        <f t="shared" si="28"/>
        <v>2017</v>
      </c>
    </row>
    <row r="1382" spans="1:3" x14ac:dyDescent="0.35">
      <c r="A1382" s="16">
        <v>42975</v>
      </c>
      <c r="B1382" s="9">
        <v>273</v>
      </c>
      <c r="C1382">
        <f t="shared" si="28"/>
        <v>2017</v>
      </c>
    </row>
    <row r="1383" spans="1:3" x14ac:dyDescent="0.35">
      <c r="A1383" s="16">
        <v>42972</v>
      </c>
      <c r="B1383" s="9">
        <v>270</v>
      </c>
      <c r="C1383">
        <f t="shared" si="28"/>
        <v>2017</v>
      </c>
    </row>
    <row r="1384" spans="1:3" x14ac:dyDescent="0.35">
      <c r="A1384" s="16">
        <v>42971</v>
      </c>
      <c r="B1384" s="9">
        <v>269</v>
      </c>
      <c r="C1384">
        <f t="shared" si="28"/>
        <v>2017</v>
      </c>
    </row>
    <row r="1385" spans="1:3" x14ac:dyDescent="0.35">
      <c r="A1385" s="16">
        <v>42970</v>
      </c>
      <c r="B1385" s="9">
        <v>274</v>
      </c>
      <c r="C1385">
        <f t="shared" si="28"/>
        <v>2017</v>
      </c>
    </row>
    <row r="1386" spans="1:3" x14ac:dyDescent="0.35">
      <c r="A1386" s="16">
        <v>42969</v>
      </c>
      <c r="B1386" s="9">
        <v>276</v>
      </c>
      <c r="C1386">
        <f t="shared" si="28"/>
        <v>2017</v>
      </c>
    </row>
    <row r="1387" spans="1:3" x14ac:dyDescent="0.35">
      <c r="A1387" s="16">
        <v>42968</v>
      </c>
      <c r="B1387" s="9">
        <v>279</v>
      </c>
      <c r="C1387">
        <f t="shared" si="28"/>
        <v>2017</v>
      </c>
    </row>
    <row r="1388" spans="1:3" x14ac:dyDescent="0.35">
      <c r="A1388" s="16">
        <v>42965</v>
      </c>
      <c r="B1388" s="9">
        <v>277</v>
      </c>
      <c r="C1388">
        <f t="shared" si="28"/>
        <v>2017</v>
      </c>
    </row>
    <row r="1389" spans="1:3" x14ac:dyDescent="0.35">
      <c r="A1389" s="16">
        <v>42964</v>
      </c>
      <c r="B1389" s="9">
        <v>279</v>
      </c>
      <c r="C1389">
        <f t="shared" si="28"/>
        <v>2017</v>
      </c>
    </row>
    <row r="1390" spans="1:3" x14ac:dyDescent="0.35">
      <c r="A1390" s="16">
        <v>42963</v>
      </c>
      <c r="B1390" s="9">
        <v>271</v>
      </c>
      <c r="C1390">
        <f t="shared" si="28"/>
        <v>2017</v>
      </c>
    </row>
    <row r="1391" spans="1:3" x14ac:dyDescent="0.35">
      <c r="A1391" s="16">
        <v>42962</v>
      </c>
      <c r="B1391" s="9">
        <v>269</v>
      </c>
      <c r="C1391">
        <f t="shared" si="28"/>
        <v>2017</v>
      </c>
    </row>
    <row r="1392" spans="1:3" x14ac:dyDescent="0.35">
      <c r="A1392" s="16">
        <v>42961</v>
      </c>
      <c r="B1392" s="9">
        <v>276</v>
      </c>
      <c r="C1392">
        <f t="shared" si="28"/>
        <v>2017</v>
      </c>
    </row>
    <row r="1393" spans="1:3" x14ac:dyDescent="0.35">
      <c r="A1393" s="16">
        <v>42958</v>
      </c>
      <c r="B1393" s="9">
        <v>281</v>
      </c>
      <c r="C1393">
        <f t="shared" si="28"/>
        <v>2017</v>
      </c>
    </row>
    <row r="1394" spans="1:3" x14ac:dyDescent="0.35">
      <c r="A1394" s="16">
        <v>42957</v>
      </c>
      <c r="B1394" s="9">
        <v>281</v>
      </c>
      <c r="C1394">
        <f t="shared" si="28"/>
        <v>2017</v>
      </c>
    </row>
    <row r="1395" spans="1:3" x14ac:dyDescent="0.35">
      <c r="A1395" s="16">
        <v>42956</v>
      </c>
      <c r="B1395" s="9">
        <v>269</v>
      </c>
      <c r="C1395">
        <f t="shared" si="28"/>
        <v>2017</v>
      </c>
    </row>
    <row r="1396" spans="1:3" x14ac:dyDescent="0.35">
      <c r="A1396" s="16">
        <v>42955</v>
      </c>
      <c r="B1396" s="9">
        <v>262</v>
      </c>
      <c r="C1396">
        <f t="shared" si="28"/>
        <v>2017</v>
      </c>
    </row>
    <row r="1397" spans="1:3" x14ac:dyDescent="0.35">
      <c r="A1397" s="16">
        <v>42954</v>
      </c>
      <c r="B1397" s="9">
        <v>263</v>
      </c>
      <c r="C1397">
        <f t="shared" si="28"/>
        <v>2017</v>
      </c>
    </row>
    <row r="1398" spans="1:3" x14ac:dyDescent="0.35">
      <c r="A1398" s="16">
        <v>42951</v>
      </c>
      <c r="B1398" s="9">
        <v>262</v>
      </c>
      <c r="C1398">
        <f t="shared" si="28"/>
        <v>2017</v>
      </c>
    </row>
    <row r="1399" spans="1:3" x14ac:dyDescent="0.35">
      <c r="A1399" s="16">
        <v>42950</v>
      </c>
      <c r="B1399" s="9">
        <v>264</v>
      </c>
      <c r="C1399">
        <f t="shared" si="28"/>
        <v>2017</v>
      </c>
    </row>
    <row r="1400" spans="1:3" x14ac:dyDescent="0.35">
      <c r="A1400" s="16">
        <v>42949</v>
      </c>
      <c r="B1400" s="9">
        <v>268</v>
      </c>
      <c r="C1400">
        <f t="shared" si="28"/>
        <v>2017</v>
      </c>
    </row>
    <row r="1401" spans="1:3" x14ac:dyDescent="0.35">
      <c r="A1401" s="16">
        <v>42948</v>
      </c>
      <c r="B1401" s="9">
        <v>267</v>
      </c>
      <c r="C1401">
        <f t="shared" si="28"/>
        <v>2017</v>
      </c>
    </row>
    <row r="1402" spans="1:3" x14ac:dyDescent="0.35">
      <c r="A1402" s="16">
        <v>42947</v>
      </c>
      <c r="B1402" s="9">
        <v>268</v>
      </c>
      <c r="C1402">
        <f t="shared" si="28"/>
        <v>2017</v>
      </c>
    </row>
    <row r="1403" spans="1:3" x14ac:dyDescent="0.35">
      <c r="A1403" s="16">
        <v>42944</v>
      </c>
      <c r="B1403" s="9">
        <v>271</v>
      </c>
      <c r="C1403">
        <f t="shared" si="28"/>
        <v>2017</v>
      </c>
    </row>
    <row r="1404" spans="1:3" x14ac:dyDescent="0.35">
      <c r="A1404" s="16">
        <v>42943</v>
      </c>
      <c r="B1404" s="9">
        <v>268</v>
      </c>
      <c r="C1404">
        <f t="shared" si="28"/>
        <v>2017</v>
      </c>
    </row>
    <row r="1405" spans="1:3" x14ac:dyDescent="0.35">
      <c r="A1405" s="16">
        <v>42942</v>
      </c>
      <c r="B1405" s="9">
        <v>269</v>
      </c>
      <c r="C1405">
        <f t="shared" si="28"/>
        <v>2017</v>
      </c>
    </row>
    <row r="1406" spans="1:3" x14ac:dyDescent="0.35">
      <c r="A1406" s="16">
        <v>42941</v>
      </c>
      <c r="B1406" s="9">
        <v>272</v>
      </c>
      <c r="C1406">
        <f t="shared" si="28"/>
        <v>2017</v>
      </c>
    </row>
    <row r="1407" spans="1:3" x14ac:dyDescent="0.35">
      <c r="A1407" s="16">
        <v>42940</v>
      </c>
      <c r="B1407" s="9">
        <v>270</v>
      </c>
      <c r="C1407">
        <f t="shared" si="28"/>
        <v>2017</v>
      </c>
    </row>
    <row r="1408" spans="1:3" x14ac:dyDescent="0.35">
      <c r="A1408" s="16">
        <v>42937</v>
      </c>
      <c r="B1408" s="9">
        <v>264</v>
      </c>
      <c r="C1408">
        <f t="shared" si="28"/>
        <v>2017</v>
      </c>
    </row>
    <row r="1409" spans="1:3" x14ac:dyDescent="0.35">
      <c r="A1409" s="16">
        <v>42936</v>
      </c>
      <c r="B1409" s="9">
        <v>266</v>
      </c>
      <c r="C1409">
        <f t="shared" si="28"/>
        <v>2017</v>
      </c>
    </row>
    <row r="1410" spans="1:3" x14ac:dyDescent="0.35">
      <c r="A1410" s="16">
        <v>42935</v>
      </c>
      <c r="B1410" s="9">
        <v>271</v>
      </c>
      <c r="C1410">
        <f t="shared" si="28"/>
        <v>2017</v>
      </c>
    </row>
    <row r="1411" spans="1:3" x14ac:dyDescent="0.35">
      <c r="A1411" s="16">
        <v>42934</v>
      </c>
      <c r="B1411" s="9">
        <v>273</v>
      </c>
      <c r="C1411">
        <f t="shared" ref="C1411:C1474" si="29">YEAR(A1411)</f>
        <v>2017</v>
      </c>
    </row>
    <row r="1412" spans="1:3" x14ac:dyDescent="0.35">
      <c r="A1412" s="16">
        <v>42933</v>
      </c>
      <c r="B1412" s="9">
        <v>273</v>
      </c>
      <c r="C1412">
        <f t="shared" si="29"/>
        <v>2017</v>
      </c>
    </row>
    <row r="1413" spans="1:3" x14ac:dyDescent="0.35">
      <c r="A1413" s="16">
        <v>42930</v>
      </c>
      <c r="B1413" s="9">
        <v>274</v>
      </c>
      <c r="C1413">
        <f t="shared" si="29"/>
        <v>2017</v>
      </c>
    </row>
    <row r="1414" spans="1:3" x14ac:dyDescent="0.35">
      <c r="A1414" s="16">
        <v>42929</v>
      </c>
      <c r="B1414" s="9">
        <v>277</v>
      </c>
      <c r="C1414">
        <f t="shared" si="29"/>
        <v>2017</v>
      </c>
    </row>
    <row r="1415" spans="1:3" x14ac:dyDescent="0.35">
      <c r="A1415" s="16">
        <v>42928</v>
      </c>
      <c r="B1415" s="9">
        <v>277</v>
      </c>
      <c r="C1415">
        <f t="shared" si="29"/>
        <v>2017</v>
      </c>
    </row>
    <row r="1416" spans="1:3" x14ac:dyDescent="0.35">
      <c r="A1416" s="16">
        <v>42927</v>
      </c>
      <c r="B1416" s="9">
        <v>282</v>
      </c>
      <c r="C1416">
        <f t="shared" si="29"/>
        <v>2017</v>
      </c>
    </row>
    <row r="1417" spans="1:3" x14ac:dyDescent="0.35">
      <c r="A1417" s="16">
        <v>42926</v>
      </c>
      <c r="B1417" s="9">
        <v>286</v>
      </c>
      <c r="C1417">
        <f t="shared" si="29"/>
        <v>2017</v>
      </c>
    </row>
    <row r="1418" spans="1:3" x14ac:dyDescent="0.35">
      <c r="A1418" s="16">
        <v>42923</v>
      </c>
      <c r="B1418" s="9">
        <v>293</v>
      </c>
      <c r="C1418">
        <f t="shared" si="29"/>
        <v>2017</v>
      </c>
    </row>
    <row r="1419" spans="1:3" x14ac:dyDescent="0.35">
      <c r="A1419" s="16">
        <v>42922</v>
      </c>
      <c r="B1419" s="9">
        <v>297</v>
      </c>
      <c r="C1419">
        <f t="shared" si="29"/>
        <v>2017</v>
      </c>
    </row>
    <row r="1420" spans="1:3" x14ac:dyDescent="0.35">
      <c r="A1420" s="16">
        <v>42921</v>
      </c>
      <c r="B1420" s="9">
        <v>291</v>
      </c>
      <c r="C1420">
        <f t="shared" si="29"/>
        <v>2017</v>
      </c>
    </row>
    <row r="1421" spans="1:3" x14ac:dyDescent="0.35">
      <c r="A1421" s="16">
        <v>42919</v>
      </c>
      <c r="B1421" s="9">
        <v>286</v>
      </c>
      <c r="C1421">
        <f t="shared" si="29"/>
        <v>2017</v>
      </c>
    </row>
    <row r="1422" spans="1:3" x14ac:dyDescent="0.35">
      <c r="A1422" s="16">
        <v>42916</v>
      </c>
      <c r="B1422" s="9">
        <v>289</v>
      </c>
      <c r="C1422">
        <f t="shared" si="29"/>
        <v>2017</v>
      </c>
    </row>
    <row r="1423" spans="1:3" x14ac:dyDescent="0.35">
      <c r="A1423" s="16">
        <v>42915</v>
      </c>
      <c r="B1423" s="9">
        <v>294</v>
      </c>
      <c r="C1423">
        <f t="shared" si="29"/>
        <v>2017</v>
      </c>
    </row>
    <row r="1424" spans="1:3" x14ac:dyDescent="0.35">
      <c r="A1424" s="16">
        <v>42914</v>
      </c>
      <c r="B1424" s="9">
        <v>290</v>
      </c>
      <c r="C1424">
        <f t="shared" si="29"/>
        <v>2017</v>
      </c>
    </row>
    <row r="1425" spans="1:3" x14ac:dyDescent="0.35">
      <c r="A1425" s="16">
        <v>42913</v>
      </c>
      <c r="B1425" s="9">
        <v>298</v>
      </c>
      <c r="C1425">
        <f t="shared" si="29"/>
        <v>2017</v>
      </c>
    </row>
    <row r="1426" spans="1:3" x14ac:dyDescent="0.35">
      <c r="A1426" s="16">
        <v>42912</v>
      </c>
      <c r="B1426" s="9">
        <v>290</v>
      </c>
      <c r="C1426">
        <f t="shared" si="29"/>
        <v>2017</v>
      </c>
    </row>
    <row r="1427" spans="1:3" x14ac:dyDescent="0.35">
      <c r="A1427" s="16">
        <v>42909</v>
      </c>
      <c r="B1427" s="9">
        <v>294</v>
      </c>
      <c r="C1427">
        <f t="shared" si="29"/>
        <v>2017</v>
      </c>
    </row>
    <row r="1428" spans="1:3" x14ac:dyDescent="0.35">
      <c r="A1428" s="16">
        <v>42908</v>
      </c>
      <c r="B1428" s="9">
        <v>298</v>
      </c>
      <c r="C1428">
        <f t="shared" si="29"/>
        <v>2017</v>
      </c>
    </row>
    <row r="1429" spans="1:3" x14ac:dyDescent="0.35">
      <c r="A1429" s="16">
        <v>42907</v>
      </c>
      <c r="B1429" s="9">
        <v>302</v>
      </c>
      <c r="C1429">
        <f t="shared" si="29"/>
        <v>2017</v>
      </c>
    </row>
    <row r="1430" spans="1:3" x14ac:dyDescent="0.35">
      <c r="A1430" s="16">
        <v>42906</v>
      </c>
      <c r="B1430" s="9">
        <v>299</v>
      </c>
      <c r="C1430">
        <f t="shared" si="29"/>
        <v>2017</v>
      </c>
    </row>
    <row r="1431" spans="1:3" x14ac:dyDescent="0.35">
      <c r="A1431" s="16">
        <v>42905</v>
      </c>
      <c r="B1431" s="9">
        <v>289</v>
      </c>
      <c r="C1431">
        <f t="shared" si="29"/>
        <v>2017</v>
      </c>
    </row>
    <row r="1432" spans="1:3" x14ac:dyDescent="0.35">
      <c r="A1432" s="16">
        <v>42902</v>
      </c>
      <c r="B1432" s="9">
        <v>286</v>
      </c>
      <c r="C1432">
        <f t="shared" si="29"/>
        <v>2017</v>
      </c>
    </row>
    <row r="1433" spans="1:3" x14ac:dyDescent="0.35">
      <c r="A1433" s="16">
        <v>42901</v>
      </c>
      <c r="B1433" s="9">
        <v>286</v>
      </c>
      <c r="C1433">
        <f t="shared" si="29"/>
        <v>2017</v>
      </c>
    </row>
    <row r="1434" spans="1:3" x14ac:dyDescent="0.35">
      <c r="A1434" s="16">
        <v>42900</v>
      </c>
      <c r="B1434" s="9">
        <v>281</v>
      </c>
      <c r="C1434">
        <f t="shared" si="29"/>
        <v>2017</v>
      </c>
    </row>
    <row r="1435" spans="1:3" x14ac:dyDescent="0.35">
      <c r="A1435" s="16">
        <v>42899</v>
      </c>
      <c r="B1435" s="9">
        <v>282</v>
      </c>
      <c r="C1435">
        <f t="shared" si="29"/>
        <v>2017</v>
      </c>
    </row>
    <row r="1436" spans="1:3" x14ac:dyDescent="0.35">
      <c r="A1436" s="16">
        <v>42898</v>
      </c>
      <c r="B1436" s="9">
        <v>286</v>
      </c>
      <c r="C1436">
        <f t="shared" si="29"/>
        <v>2017</v>
      </c>
    </row>
    <row r="1437" spans="1:3" x14ac:dyDescent="0.35">
      <c r="A1437" s="16">
        <v>42895</v>
      </c>
      <c r="B1437" s="9">
        <v>285</v>
      </c>
      <c r="C1437">
        <f t="shared" si="29"/>
        <v>2017</v>
      </c>
    </row>
    <row r="1438" spans="1:3" x14ac:dyDescent="0.35">
      <c r="A1438" s="16">
        <v>42894</v>
      </c>
      <c r="B1438" s="9">
        <v>285</v>
      </c>
      <c r="C1438">
        <f t="shared" si="29"/>
        <v>2017</v>
      </c>
    </row>
    <row r="1439" spans="1:3" x14ac:dyDescent="0.35">
      <c r="A1439" s="16">
        <v>42893</v>
      </c>
      <c r="B1439" s="9">
        <v>288</v>
      </c>
      <c r="C1439">
        <f t="shared" si="29"/>
        <v>2017</v>
      </c>
    </row>
    <row r="1440" spans="1:3" x14ac:dyDescent="0.35">
      <c r="A1440" s="16">
        <v>42892</v>
      </c>
      <c r="B1440" s="9">
        <v>285</v>
      </c>
      <c r="C1440">
        <f t="shared" si="29"/>
        <v>2017</v>
      </c>
    </row>
    <row r="1441" spans="1:3" x14ac:dyDescent="0.35">
      <c r="A1441" s="16">
        <v>42891</v>
      </c>
      <c r="B1441" s="9">
        <v>283</v>
      </c>
      <c r="C1441">
        <f t="shared" si="29"/>
        <v>2017</v>
      </c>
    </row>
    <row r="1442" spans="1:3" x14ac:dyDescent="0.35">
      <c r="A1442" s="16">
        <v>42888</v>
      </c>
      <c r="B1442" s="9">
        <v>283</v>
      </c>
      <c r="C1442">
        <f t="shared" si="29"/>
        <v>2017</v>
      </c>
    </row>
    <row r="1443" spans="1:3" x14ac:dyDescent="0.35">
      <c r="A1443" s="16">
        <v>42887</v>
      </c>
      <c r="B1443" s="9">
        <v>284</v>
      </c>
      <c r="C1443">
        <f t="shared" si="29"/>
        <v>2017</v>
      </c>
    </row>
    <row r="1444" spans="1:3" x14ac:dyDescent="0.35">
      <c r="A1444" s="16">
        <v>42886</v>
      </c>
      <c r="B1444" s="9">
        <v>284</v>
      </c>
      <c r="C1444">
        <f t="shared" si="29"/>
        <v>2017</v>
      </c>
    </row>
    <row r="1445" spans="1:3" x14ac:dyDescent="0.35">
      <c r="A1445" s="16">
        <v>42885</v>
      </c>
      <c r="B1445" s="9">
        <v>284</v>
      </c>
      <c r="C1445">
        <f t="shared" si="29"/>
        <v>2017</v>
      </c>
    </row>
    <row r="1446" spans="1:3" x14ac:dyDescent="0.35">
      <c r="A1446" s="16">
        <v>42884</v>
      </c>
      <c r="B1446" s="9">
        <v>286</v>
      </c>
      <c r="C1446">
        <f t="shared" si="29"/>
        <v>2017</v>
      </c>
    </row>
    <row r="1447" spans="1:3" x14ac:dyDescent="0.35">
      <c r="A1447" s="16">
        <v>42881</v>
      </c>
      <c r="B1447" s="9">
        <v>283</v>
      </c>
      <c r="C1447">
        <f t="shared" si="29"/>
        <v>2017</v>
      </c>
    </row>
    <row r="1448" spans="1:3" x14ac:dyDescent="0.35">
      <c r="A1448" s="16">
        <v>42880</v>
      </c>
      <c r="B1448" s="9">
        <v>286</v>
      </c>
      <c r="C1448">
        <f t="shared" si="29"/>
        <v>2017</v>
      </c>
    </row>
    <row r="1449" spans="1:3" x14ac:dyDescent="0.35">
      <c r="A1449" s="16">
        <v>42879</v>
      </c>
      <c r="B1449" s="9">
        <v>281</v>
      </c>
      <c r="C1449">
        <f t="shared" si="29"/>
        <v>2017</v>
      </c>
    </row>
    <row r="1450" spans="1:3" x14ac:dyDescent="0.35">
      <c r="A1450" s="16">
        <v>42878</v>
      </c>
      <c r="B1450" s="9">
        <v>280</v>
      </c>
      <c r="C1450">
        <f t="shared" si="29"/>
        <v>2017</v>
      </c>
    </row>
    <row r="1451" spans="1:3" x14ac:dyDescent="0.35">
      <c r="A1451" s="16">
        <v>42877</v>
      </c>
      <c r="B1451" s="9">
        <v>288</v>
      </c>
      <c r="C1451">
        <f t="shared" si="29"/>
        <v>2017</v>
      </c>
    </row>
    <row r="1452" spans="1:3" x14ac:dyDescent="0.35">
      <c r="A1452" s="16">
        <v>42874</v>
      </c>
      <c r="B1452" s="9">
        <v>282</v>
      </c>
      <c r="C1452">
        <f t="shared" si="29"/>
        <v>2017</v>
      </c>
    </row>
    <row r="1453" spans="1:3" x14ac:dyDescent="0.35">
      <c r="A1453" s="16">
        <v>42873</v>
      </c>
      <c r="B1453" s="9">
        <v>300</v>
      </c>
      <c r="C1453">
        <f t="shared" si="29"/>
        <v>2017</v>
      </c>
    </row>
    <row r="1454" spans="1:3" x14ac:dyDescent="0.35">
      <c r="A1454" s="16">
        <v>42872</v>
      </c>
      <c r="B1454" s="9">
        <v>258</v>
      </c>
      <c r="C1454">
        <f t="shared" si="29"/>
        <v>2017</v>
      </c>
    </row>
    <row r="1455" spans="1:3" x14ac:dyDescent="0.35">
      <c r="A1455" s="16">
        <v>42871</v>
      </c>
      <c r="B1455" s="9">
        <v>250</v>
      </c>
      <c r="C1455">
        <f t="shared" si="29"/>
        <v>2017</v>
      </c>
    </row>
    <row r="1456" spans="1:3" x14ac:dyDescent="0.35">
      <c r="A1456" s="16">
        <v>42870</v>
      </c>
      <c r="B1456" s="9">
        <v>251</v>
      </c>
      <c r="C1456">
        <f t="shared" si="29"/>
        <v>2017</v>
      </c>
    </row>
    <row r="1457" spans="1:3" x14ac:dyDescent="0.35">
      <c r="A1457" s="16">
        <v>42867</v>
      </c>
      <c r="B1457" s="9">
        <v>255</v>
      </c>
      <c r="C1457">
        <f t="shared" si="29"/>
        <v>2017</v>
      </c>
    </row>
    <row r="1458" spans="1:3" x14ac:dyDescent="0.35">
      <c r="A1458" s="16">
        <v>42866</v>
      </c>
      <c r="B1458" s="9">
        <v>255</v>
      </c>
      <c r="C1458">
        <f t="shared" si="29"/>
        <v>2017</v>
      </c>
    </row>
    <row r="1459" spans="1:3" x14ac:dyDescent="0.35">
      <c r="A1459" s="16">
        <v>42865</v>
      </c>
      <c r="B1459" s="9">
        <v>257</v>
      </c>
      <c r="C1459">
        <f t="shared" si="29"/>
        <v>2017</v>
      </c>
    </row>
    <row r="1460" spans="1:3" x14ac:dyDescent="0.35">
      <c r="A1460" s="16">
        <v>42864</v>
      </c>
      <c r="B1460" s="9">
        <v>264</v>
      </c>
      <c r="C1460">
        <f t="shared" si="29"/>
        <v>2017</v>
      </c>
    </row>
    <row r="1461" spans="1:3" x14ac:dyDescent="0.35">
      <c r="A1461" s="16">
        <v>42863</v>
      </c>
      <c r="B1461" s="9">
        <v>262</v>
      </c>
      <c r="C1461">
        <f t="shared" si="29"/>
        <v>2017</v>
      </c>
    </row>
    <row r="1462" spans="1:3" x14ac:dyDescent="0.35">
      <c r="A1462" s="16">
        <v>42860</v>
      </c>
      <c r="B1462" s="9">
        <v>262</v>
      </c>
      <c r="C1462">
        <f t="shared" si="29"/>
        <v>2017</v>
      </c>
    </row>
    <row r="1463" spans="1:3" x14ac:dyDescent="0.35">
      <c r="A1463" s="16">
        <v>42859</v>
      </c>
      <c r="B1463" s="9">
        <v>264</v>
      </c>
      <c r="C1463">
        <f t="shared" si="29"/>
        <v>2017</v>
      </c>
    </row>
    <row r="1464" spans="1:3" x14ac:dyDescent="0.35">
      <c r="A1464" s="16">
        <v>42858</v>
      </c>
      <c r="B1464" s="9">
        <v>256</v>
      </c>
      <c r="C1464">
        <f t="shared" si="29"/>
        <v>2017</v>
      </c>
    </row>
    <row r="1465" spans="1:3" x14ac:dyDescent="0.35">
      <c r="A1465" s="16">
        <v>42857</v>
      </c>
      <c r="B1465" s="9">
        <v>258</v>
      </c>
      <c r="C1465">
        <f t="shared" si="29"/>
        <v>2017</v>
      </c>
    </row>
    <row r="1466" spans="1:3" x14ac:dyDescent="0.35">
      <c r="A1466" s="16">
        <v>42856</v>
      </c>
      <c r="B1466" s="9">
        <v>260</v>
      </c>
      <c r="C1466">
        <f t="shared" si="29"/>
        <v>2017</v>
      </c>
    </row>
    <row r="1467" spans="1:3" x14ac:dyDescent="0.35">
      <c r="A1467" s="16">
        <v>42853</v>
      </c>
      <c r="B1467" s="9">
        <v>263</v>
      </c>
      <c r="C1467">
        <f t="shared" si="29"/>
        <v>2017</v>
      </c>
    </row>
    <row r="1468" spans="1:3" x14ac:dyDescent="0.35">
      <c r="A1468" s="16">
        <v>42852</v>
      </c>
      <c r="B1468" s="9">
        <v>264</v>
      </c>
      <c r="C1468">
        <f t="shared" si="29"/>
        <v>2017</v>
      </c>
    </row>
    <row r="1469" spans="1:3" x14ac:dyDescent="0.35">
      <c r="A1469" s="16">
        <v>42851</v>
      </c>
      <c r="B1469" s="9">
        <v>268</v>
      </c>
      <c r="C1469">
        <f t="shared" si="29"/>
        <v>2017</v>
      </c>
    </row>
    <row r="1470" spans="1:3" x14ac:dyDescent="0.35">
      <c r="A1470" s="16">
        <v>42850</v>
      </c>
      <c r="B1470" s="9">
        <v>263</v>
      </c>
      <c r="C1470">
        <f t="shared" si="29"/>
        <v>2017</v>
      </c>
    </row>
    <row r="1471" spans="1:3" x14ac:dyDescent="0.35">
      <c r="A1471" s="16">
        <v>42849</v>
      </c>
      <c r="B1471" s="9">
        <v>263</v>
      </c>
      <c r="C1471">
        <f t="shared" si="29"/>
        <v>2017</v>
      </c>
    </row>
    <row r="1472" spans="1:3" x14ac:dyDescent="0.35">
      <c r="A1472" s="16">
        <v>42846</v>
      </c>
      <c r="B1472" s="9">
        <v>272</v>
      </c>
      <c r="C1472">
        <f t="shared" si="29"/>
        <v>2017</v>
      </c>
    </row>
    <row r="1473" spans="1:3" x14ac:dyDescent="0.35">
      <c r="A1473" s="16">
        <v>42845</v>
      </c>
      <c r="B1473" s="9">
        <v>275</v>
      </c>
      <c r="C1473">
        <f t="shared" si="29"/>
        <v>2017</v>
      </c>
    </row>
    <row r="1474" spans="1:3" x14ac:dyDescent="0.35">
      <c r="A1474" s="16">
        <v>42844</v>
      </c>
      <c r="B1474" s="9">
        <v>273</v>
      </c>
      <c r="C1474">
        <f t="shared" si="29"/>
        <v>2017</v>
      </c>
    </row>
    <row r="1475" spans="1:3" x14ac:dyDescent="0.35">
      <c r="A1475" s="16">
        <v>42843</v>
      </c>
      <c r="B1475" s="9">
        <v>275</v>
      </c>
      <c r="C1475">
        <f t="shared" ref="C1475:C1538" si="30">YEAR(A1475)</f>
        <v>2017</v>
      </c>
    </row>
    <row r="1476" spans="1:3" x14ac:dyDescent="0.35">
      <c r="A1476" s="16">
        <v>42842</v>
      </c>
      <c r="B1476" s="9">
        <v>270</v>
      </c>
      <c r="C1476">
        <f t="shared" si="30"/>
        <v>2017</v>
      </c>
    </row>
    <row r="1477" spans="1:3" x14ac:dyDescent="0.35">
      <c r="A1477" s="16">
        <v>42838</v>
      </c>
      <c r="B1477" s="9">
        <v>271</v>
      </c>
      <c r="C1477">
        <f t="shared" si="30"/>
        <v>2017</v>
      </c>
    </row>
    <row r="1478" spans="1:3" x14ac:dyDescent="0.35">
      <c r="A1478" s="16">
        <v>42837</v>
      </c>
      <c r="B1478" s="9">
        <v>271</v>
      </c>
      <c r="C1478">
        <f t="shared" si="30"/>
        <v>2017</v>
      </c>
    </row>
    <row r="1479" spans="1:3" x14ac:dyDescent="0.35">
      <c r="A1479" s="16">
        <v>42836</v>
      </c>
      <c r="B1479" s="9">
        <v>272</v>
      </c>
      <c r="C1479">
        <f t="shared" si="30"/>
        <v>2017</v>
      </c>
    </row>
    <row r="1480" spans="1:3" x14ac:dyDescent="0.35">
      <c r="A1480" s="16">
        <v>42835</v>
      </c>
      <c r="B1480" s="9">
        <v>267</v>
      </c>
      <c r="C1480">
        <f t="shared" si="30"/>
        <v>2017</v>
      </c>
    </row>
    <row r="1481" spans="1:3" x14ac:dyDescent="0.35">
      <c r="A1481" s="16">
        <v>42832</v>
      </c>
      <c r="B1481" s="9">
        <v>271</v>
      </c>
      <c r="C1481">
        <f t="shared" si="30"/>
        <v>2017</v>
      </c>
    </row>
    <row r="1482" spans="1:3" x14ac:dyDescent="0.35">
      <c r="A1482" s="16">
        <v>42831</v>
      </c>
      <c r="B1482" s="9">
        <v>269</v>
      </c>
      <c r="C1482">
        <f t="shared" si="30"/>
        <v>2017</v>
      </c>
    </row>
    <row r="1483" spans="1:3" x14ac:dyDescent="0.35">
      <c r="A1483" s="16">
        <v>42830</v>
      </c>
      <c r="B1483" s="9">
        <v>263</v>
      </c>
      <c r="C1483">
        <f t="shared" si="30"/>
        <v>2017</v>
      </c>
    </row>
    <row r="1484" spans="1:3" x14ac:dyDescent="0.35">
      <c r="A1484" s="16">
        <v>42829</v>
      </c>
      <c r="B1484" s="9">
        <v>265</v>
      </c>
      <c r="C1484">
        <f t="shared" si="30"/>
        <v>2017</v>
      </c>
    </row>
    <row r="1485" spans="1:3" x14ac:dyDescent="0.35">
      <c r="A1485" s="16">
        <v>42828</v>
      </c>
      <c r="B1485" s="9">
        <v>270</v>
      </c>
      <c r="C1485">
        <f t="shared" si="30"/>
        <v>2017</v>
      </c>
    </row>
    <row r="1486" spans="1:3" x14ac:dyDescent="0.35">
      <c r="A1486" s="16">
        <v>42825</v>
      </c>
      <c r="B1486" s="9">
        <v>270</v>
      </c>
      <c r="C1486">
        <f t="shared" si="30"/>
        <v>2017</v>
      </c>
    </row>
    <row r="1487" spans="1:3" x14ac:dyDescent="0.35">
      <c r="A1487" s="16">
        <v>42824</v>
      </c>
      <c r="B1487" s="9">
        <v>274</v>
      </c>
      <c r="C1487">
        <f t="shared" si="30"/>
        <v>2017</v>
      </c>
    </row>
    <row r="1488" spans="1:3" x14ac:dyDescent="0.35">
      <c r="A1488" s="16">
        <v>42823</v>
      </c>
      <c r="B1488" s="9">
        <v>275</v>
      </c>
      <c r="C1488">
        <f t="shared" si="30"/>
        <v>2017</v>
      </c>
    </row>
    <row r="1489" spans="1:3" x14ac:dyDescent="0.35">
      <c r="A1489" s="16">
        <v>42822</v>
      </c>
      <c r="B1489" s="9">
        <v>278</v>
      </c>
      <c r="C1489">
        <f t="shared" si="30"/>
        <v>2017</v>
      </c>
    </row>
    <row r="1490" spans="1:3" x14ac:dyDescent="0.35">
      <c r="A1490" s="16">
        <v>42821</v>
      </c>
      <c r="B1490" s="9">
        <v>279</v>
      </c>
      <c r="C1490">
        <f t="shared" si="30"/>
        <v>2017</v>
      </c>
    </row>
    <row r="1491" spans="1:3" x14ac:dyDescent="0.35">
      <c r="A1491" s="16">
        <v>42818</v>
      </c>
      <c r="B1491" s="9">
        <v>278</v>
      </c>
      <c r="C1491">
        <f t="shared" si="30"/>
        <v>2017</v>
      </c>
    </row>
    <row r="1492" spans="1:3" x14ac:dyDescent="0.35">
      <c r="A1492" s="16">
        <v>42817</v>
      </c>
      <c r="B1492" s="9">
        <v>280</v>
      </c>
      <c r="C1492">
        <f t="shared" si="30"/>
        <v>2017</v>
      </c>
    </row>
    <row r="1493" spans="1:3" x14ac:dyDescent="0.35">
      <c r="A1493" s="16">
        <v>42816</v>
      </c>
      <c r="B1493" s="9">
        <v>280</v>
      </c>
      <c r="C1493">
        <f t="shared" si="30"/>
        <v>2017</v>
      </c>
    </row>
    <row r="1494" spans="1:3" x14ac:dyDescent="0.35">
      <c r="A1494" s="16">
        <v>42815</v>
      </c>
      <c r="B1494" s="9">
        <v>277</v>
      </c>
      <c r="C1494">
        <f t="shared" si="30"/>
        <v>2017</v>
      </c>
    </row>
    <row r="1495" spans="1:3" x14ac:dyDescent="0.35">
      <c r="A1495" s="16">
        <v>42814</v>
      </c>
      <c r="B1495" s="9">
        <v>269</v>
      </c>
      <c r="C1495">
        <f t="shared" si="30"/>
        <v>2017</v>
      </c>
    </row>
    <row r="1496" spans="1:3" x14ac:dyDescent="0.35">
      <c r="A1496" s="16">
        <v>42811</v>
      </c>
      <c r="B1496" s="9">
        <v>272</v>
      </c>
      <c r="C1496">
        <f t="shared" si="30"/>
        <v>2017</v>
      </c>
    </row>
    <row r="1497" spans="1:3" x14ac:dyDescent="0.35">
      <c r="A1497" s="16">
        <v>42810</v>
      </c>
      <c r="B1497" s="9">
        <v>274</v>
      </c>
      <c r="C1497">
        <f t="shared" si="30"/>
        <v>2017</v>
      </c>
    </row>
    <row r="1498" spans="1:3" x14ac:dyDescent="0.35">
      <c r="A1498" s="16">
        <v>42809</v>
      </c>
      <c r="B1498" s="9">
        <v>282</v>
      </c>
      <c r="C1498">
        <f t="shared" si="30"/>
        <v>2017</v>
      </c>
    </row>
    <row r="1499" spans="1:3" x14ac:dyDescent="0.35">
      <c r="A1499" s="16">
        <v>42808</v>
      </c>
      <c r="B1499" s="9">
        <v>291</v>
      </c>
      <c r="C1499">
        <f t="shared" si="30"/>
        <v>2017</v>
      </c>
    </row>
    <row r="1500" spans="1:3" x14ac:dyDescent="0.35">
      <c r="A1500" s="16">
        <v>42807</v>
      </c>
      <c r="B1500" s="9">
        <v>286</v>
      </c>
      <c r="C1500">
        <f t="shared" si="30"/>
        <v>2017</v>
      </c>
    </row>
    <row r="1501" spans="1:3" x14ac:dyDescent="0.35">
      <c r="A1501" s="16">
        <v>42804</v>
      </c>
      <c r="B1501" s="9">
        <v>280</v>
      </c>
      <c r="C1501">
        <f t="shared" si="30"/>
        <v>2017</v>
      </c>
    </row>
    <row r="1502" spans="1:3" x14ac:dyDescent="0.35">
      <c r="A1502" s="16">
        <v>42803</v>
      </c>
      <c r="B1502" s="9">
        <v>290</v>
      </c>
      <c r="C1502">
        <f t="shared" si="30"/>
        <v>2017</v>
      </c>
    </row>
    <row r="1503" spans="1:3" x14ac:dyDescent="0.35">
      <c r="A1503" s="16">
        <v>42802</v>
      </c>
      <c r="B1503" s="9">
        <v>287</v>
      </c>
      <c r="C1503">
        <f t="shared" si="30"/>
        <v>2017</v>
      </c>
    </row>
    <row r="1504" spans="1:3" x14ac:dyDescent="0.35">
      <c r="A1504" s="16">
        <v>42801</v>
      </c>
      <c r="B1504" s="9">
        <v>274</v>
      </c>
      <c r="C1504">
        <f t="shared" si="30"/>
        <v>2017</v>
      </c>
    </row>
    <row r="1505" spans="1:3" x14ac:dyDescent="0.35">
      <c r="A1505" s="16">
        <v>42800</v>
      </c>
      <c r="B1505" s="9">
        <v>272</v>
      </c>
      <c r="C1505">
        <f t="shared" si="30"/>
        <v>2017</v>
      </c>
    </row>
    <row r="1506" spans="1:3" x14ac:dyDescent="0.35">
      <c r="A1506" s="16">
        <v>42797</v>
      </c>
      <c r="B1506" s="9">
        <v>273</v>
      </c>
      <c r="C1506">
        <f t="shared" si="30"/>
        <v>2017</v>
      </c>
    </row>
    <row r="1507" spans="1:3" x14ac:dyDescent="0.35">
      <c r="A1507" s="16">
        <v>42796</v>
      </c>
      <c r="B1507" s="9">
        <v>280</v>
      </c>
      <c r="C1507">
        <f t="shared" si="30"/>
        <v>2017</v>
      </c>
    </row>
    <row r="1508" spans="1:3" x14ac:dyDescent="0.35">
      <c r="A1508" s="16">
        <v>42795</v>
      </c>
      <c r="B1508" s="9">
        <v>275</v>
      </c>
      <c r="C1508">
        <f t="shared" si="30"/>
        <v>2017</v>
      </c>
    </row>
    <row r="1509" spans="1:3" x14ac:dyDescent="0.35">
      <c r="A1509" s="16">
        <v>42794</v>
      </c>
      <c r="B1509" s="9">
        <v>286</v>
      </c>
      <c r="C1509">
        <f t="shared" si="30"/>
        <v>2017</v>
      </c>
    </row>
    <row r="1510" spans="1:3" x14ac:dyDescent="0.35">
      <c r="A1510" s="16">
        <v>42793</v>
      </c>
      <c r="B1510" s="9">
        <v>277</v>
      </c>
      <c r="C1510">
        <f t="shared" si="30"/>
        <v>2017</v>
      </c>
    </row>
    <row r="1511" spans="1:3" x14ac:dyDescent="0.35">
      <c r="A1511" s="16">
        <v>42790</v>
      </c>
      <c r="B1511" s="9">
        <v>277</v>
      </c>
      <c r="C1511">
        <f t="shared" si="30"/>
        <v>2017</v>
      </c>
    </row>
    <row r="1512" spans="1:3" x14ac:dyDescent="0.35">
      <c r="A1512" s="16">
        <v>42789</v>
      </c>
      <c r="B1512" s="9">
        <v>272</v>
      </c>
      <c r="C1512">
        <f t="shared" si="30"/>
        <v>2017</v>
      </c>
    </row>
    <row r="1513" spans="1:3" x14ac:dyDescent="0.35">
      <c r="A1513" s="16">
        <v>42788</v>
      </c>
      <c r="B1513" s="9">
        <v>277</v>
      </c>
      <c r="C1513">
        <f t="shared" si="30"/>
        <v>2017</v>
      </c>
    </row>
    <row r="1514" spans="1:3" x14ac:dyDescent="0.35">
      <c r="A1514" s="16">
        <v>42787</v>
      </c>
      <c r="B1514" s="9">
        <v>279</v>
      </c>
      <c r="C1514">
        <f t="shared" si="30"/>
        <v>2017</v>
      </c>
    </row>
    <row r="1515" spans="1:3" x14ac:dyDescent="0.35">
      <c r="A1515" s="16">
        <v>42786</v>
      </c>
      <c r="B1515" s="9">
        <v>282</v>
      </c>
      <c r="C1515">
        <f t="shared" si="30"/>
        <v>2017</v>
      </c>
    </row>
    <row r="1516" spans="1:3" x14ac:dyDescent="0.35">
      <c r="A1516" s="16">
        <v>42783</v>
      </c>
      <c r="B1516" s="9">
        <v>282</v>
      </c>
      <c r="C1516">
        <f t="shared" si="30"/>
        <v>2017</v>
      </c>
    </row>
    <row r="1517" spans="1:3" x14ac:dyDescent="0.35">
      <c r="A1517" s="16">
        <v>42782</v>
      </c>
      <c r="B1517" s="9">
        <v>280</v>
      </c>
      <c r="C1517">
        <f t="shared" si="30"/>
        <v>2017</v>
      </c>
    </row>
    <row r="1518" spans="1:3" x14ac:dyDescent="0.35">
      <c r="A1518" s="16">
        <v>42781</v>
      </c>
      <c r="B1518" s="9">
        <v>271</v>
      </c>
      <c r="C1518">
        <f t="shared" si="30"/>
        <v>2017</v>
      </c>
    </row>
    <row r="1519" spans="1:3" x14ac:dyDescent="0.35">
      <c r="A1519" s="16">
        <v>42780</v>
      </c>
      <c r="B1519" s="9">
        <v>266</v>
      </c>
      <c r="C1519">
        <f t="shared" si="30"/>
        <v>2017</v>
      </c>
    </row>
    <row r="1520" spans="1:3" x14ac:dyDescent="0.35">
      <c r="A1520" s="16">
        <v>42779</v>
      </c>
      <c r="B1520" s="9">
        <v>268</v>
      </c>
      <c r="C1520">
        <f t="shared" si="30"/>
        <v>2017</v>
      </c>
    </row>
    <row r="1521" spans="1:3" x14ac:dyDescent="0.35">
      <c r="A1521" s="16">
        <v>42776</v>
      </c>
      <c r="B1521" s="9">
        <v>272</v>
      </c>
      <c r="C1521">
        <f t="shared" si="30"/>
        <v>2017</v>
      </c>
    </row>
    <row r="1522" spans="1:3" x14ac:dyDescent="0.35">
      <c r="A1522" s="16">
        <v>42775</v>
      </c>
      <c r="B1522" s="9">
        <v>280</v>
      </c>
      <c r="C1522">
        <f t="shared" si="30"/>
        <v>2017</v>
      </c>
    </row>
    <row r="1523" spans="1:3" x14ac:dyDescent="0.35">
      <c r="A1523" s="16">
        <v>42774</v>
      </c>
      <c r="B1523" s="9">
        <v>284</v>
      </c>
      <c r="C1523">
        <f t="shared" si="30"/>
        <v>2017</v>
      </c>
    </row>
    <row r="1524" spans="1:3" x14ac:dyDescent="0.35">
      <c r="A1524" s="16">
        <v>42773</v>
      </c>
      <c r="B1524" s="9">
        <v>287</v>
      </c>
      <c r="C1524">
        <f t="shared" si="30"/>
        <v>2017</v>
      </c>
    </row>
    <row r="1525" spans="1:3" x14ac:dyDescent="0.35">
      <c r="A1525" s="16">
        <v>42772</v>
      </c>
      <c r="B1525" s="9">
        <v>277</v>
      </c>
      <c r="C1525">
        <f t="shared" si="30"/>
        <v>2017</v>
      </c>
    </row>
    <row r="1526" spans="1:3" x14ac:dyDescent="0.35">
      <c r="A1526" s="16">
        <v>42769</v>
      </c>
      <c r="B1526" s="9">
        <v>276</v>
      </c>
      <c r="C1526">
        <f t="shared" si="30"/>
        <v>2017</v>
      </c>
    </row>
    <row r="1527" spans="1:3" x14ac:dyDescent="0.35">
      <c r="A1527" s="16">
        <v>42768</v>
      </c>
      <c r="B1527" s="9">
        <v>281</v>
      </c>
      <c r="C1527">
        <f t="shared" si="30"/>
        <v>2017</v>
      </c>
    </row>
    <row r="1528" spans="1:3" x14ac:dyDescent="0.35">
      <c r="A1528" s="16">
        <v>42767</v>
      </c>
      <c r="B1528" s="9">
        <v>285</v>
      </c>
      <c r="C1528">
        <f t="shared" si="30"/>
        <v>2017</v>
      </c>
    </row>
    <row r="1529" spans="1:3" x14ac:dyDescent="0.35">
      <c r="A1529" s="16">
        <v>42766</v>
      </c>
      <c r="B1529" s="9">
        <v>289</v>
      </c>
      <c r="C1529">
        <f t="shared" si="30"/>
        <v>2017</v>
      </c>
    </row>
    <row r="1530" spans="1:3" x14ac:dyDescent="0.35">
      <c r="A1530" s="16">
        <v>42765</v>
      </c>
      <c r="B1530" s="9">
        <v>291</v>
      </c>
      <c r="C1530">
        <f t="shared" si="30"/>
        <v>2017</v>
      </c>
    </row>
    <row r="1531" spans="1:3" x14ac:dyDescent="0.35">
      <c r="A1531" s="16">
        <v>42762</v>
      </c>
      <c r="B1531" s="9">
        <v>284</v>
      </c>
      <c r="C1531">
        <f t="shared" si="30"/>
        <v>2017</v>
      </c>
    </row>
    <row r="1532" spans="1:3" x14ac:dyDescent="0.35">
      <c r="A1532" s="16">
        <v>42761</v>
      </c>
      <c r="B1532" s="9">
        <v>296</v>
      </c>
      <c r="C1532">
        <f t="shared" si="30"/>
        <v>2017</v>
      </c>
    </row>
    <row r="1533" spans="1:3" x14ac:dyDescent="0.35">
      <c r="A1533" s="16">
        <v>42760</v>
      </c>
      <c r="B1533" s="9">
        <v>296</v>
      </c>
      <c r="C1533">
        <f t="shared" si="30"/>
        <v>2017</v>
      </c>
    </row>
    <row r="1534" spans="1:3" x14ac:dyDescent="0.35">
      <c r="A1534" s="16">
        <v>42759</v>
      </c>
      <c r="B1534" s="9">
        <v>293</v>
      </c>
      <c r="C1534">
        <f t="shared" si="30"/>
        <v>2017</v>
      </c>
    </row>
    <row r="1535" spans="1:3" x14ac:dyDescent="0.35">
      <c r="A1535" s="16">
        <v>42758</v>
      </c>
      <c r="B1535" s="9">
        <v>295</v>
      </c>
      <c r="C1535">
        <f t="shared" si="30"/>
        <v>2017</v>
      </c>
    </row>
    <row r="1536" spans="1:3" x14ac:dyDescent="0.35">
      <c r="A1536" s="16">
        <v>42755</v>
      </c>
      <c r="B1536" s="9">
        <v>294</v>
      </c>
      <c r="C1536">
        <f t="shared" si="30"/>
        <v>2017</v>
      </c>
    </row>
    <row r="1537" spans="1:3" x14ac:dyDescent="0.35">
      <c r="A1537" s="16">
        <v>42754</v>
      </c>
      <c r="B1537" s="9">
        <v>296</v>
      </c>
      <c r="C1537">
        <f t="shared" si="30"/>
        <v>2017</v>
      </c>
    </row>
    <row r="1538" spans="1:3" x14ac:dyDescent="0.35">
      <c r="A1538" s="16">
        <v>42753</v>
      </c>
      <c r="B1538" s="9">
        <v>291</v>
      </c>
      <c r="C1538">
        <f t="shared" si="30"/>
        <v>2017</v>
      </c>
    </row>
    <row r="1539" spans="1:3" x14ac:dyDescent="0.35">
      <c r="A1539" s="16">
        <v>42752</v>
      </c>
      <c r="B1539" s="9">
        <v>282</v>
      </c>
      <c r="C1539">
        <f t="shared" ref="C1539:C1602" si="31">YEAR(A1539)</f>
        <v>2017</v>
      </c>
    </row>
    <row r="1540" spans="1:3" x14ac:dyDescent="0.35">
      <c r="A1540" s="16">
        <v>42751</v>
      </c>
      <c r="B1540" s="9">
        <v>288</v>
      </c>
      <c r="C1540">
        <f t="shared" si="31"/>
        <v>2017</v>
      </c>
    </row>
    <row r="1541" spans="1:3" x14ac:dyDescent="0.35">
      <c r="A1541" s="16">
        <v>42748</v>
      </c>
      <c r="B1541" s="9">
        <v>288</v>
      </c>
      <c r="C1541">
        <f t="shared" si="31"/>
        <v>2017</v>
      </c>
    </row>
    <row r="1542" spans="1:3" x14ac:dyDescent="0.35">
      <c r="A1542" s="16">
        <v>42747</v>
      </c>
      <c r="B1542" s="9">
        <v>298</v>
      </c>
      <c r="C1542">
        <f t="shared" si="31"/>
        <v>2017</v>
      </c>
    </row>
    <row r="1543" spans="1:3" x14ac:dyDescent="0.35">
      <c r="A1543" s="16">
        <v>42746</v>
      </c>
      <c r="B1543" s="9">
        <v>305</v>
      </c>
      <c r="C1543">
        <f t="shared" si="31"/>
        <v>2017</v>
      </c>
    </row>
    <row r="1544" spans="1:3" x14ac:dyDescent="0.35">
      <c r="A1544" s="16">
        <v>42745</v>
      </c>
      <c r="B1544" s="9">
        <v>305</v>
      </c>
      <c r="C1544">
        <f t="shared" si="31"/>
        <v>2017</v>
      </c>
    </row>
    <row r="1545" spans="1:3" x14ac:dyDescent="0.35">
      <c r="A1545" s="16">
        <v>42744</v>
      </c>
      <c r="B1545" s="9">
        <v>302</v>
      </c>
      <c r="C1545">
        <f t="shared" si="31"/>
        <v>2017</v>
      </c>
    </row>
    <row r="1546" spans="1:3" x14ac:dyDescent="0.35">
      <c r="A1546" s="16">
        <v>42741</v>
      </c>
      <c r="B1546" s="9">
        <v>301</v>
      </c>
      <c r="C1546">
        <f t="shared" si="31"/>
        <v>2017</v>
      </c>
    </row>
    <row r="1547" spans="1:3" x14ac:dyDescent="0.35">
      <c r="A1547" s="16">
        <v>42740</v>
      </c>
      <c r="B1547" s="9">
        <v>302</v>
      </c>
      <c r="C1547">
        <f t="shared" si="31"/>
        <v>2017</v>
      </c>
    </row>
    <row r="1548" spans="1:3" x14ac:dyDescent="0.35">
      <c r="A1548" s="16">
        <v>42739</v>
      </c>
      <c r="B1548" s="9">
        <v>311</v>
      </c>
      <c r="C1548">
        <f t="shared" si="31"/>
        <v>2017</v>
      </c>
    </row>
    <row r="1549" spans="1:3" x14ac:dyDescent="0.35">
      <c r="A1549" s="16">
        <v>42738</v>
      </c>
      <c r="B1549" s="9">
        <v>325</v>
      </c>
      <c r="C1549">
        <f t="shared" si="31"/>
        <v>2017</v>
      </c>
    </row>
    <row r="1550" spans="1:3" x14ac:dyDescent="0.35">
      <c r="A1550" s="16">
        <v>42737</v>
      </c>
      <c r="B1550" s="9">
        <v>328</v>
      </c>
      <c r="C1550">
        <f t="shared" si="31"/>
        <v>2017</v>
      </c>
    </row>
    <row r="1551" spans="1:3" x14ac:dyDescent="0.35">
      <c r="A1551" s="16">
        <v>42734</v>
      </c>
      <c r="B1551" s="9">
        <v>328</v>
      </c>
      <c r="C1551">
        <f t="shared" si="31"/>
        <v>2016</v>
      </c>
    </row>
    <row r="1552" spans="1:3" x14ac:dyDescent="0.35">
      <c r="A1552" s="16">
        <v>42733</v>
      </c>
      <c r="B1552" s="9">
        <v>325</v>
      </c>
      <c r="C1552">
        <f t="shared" si="31"/>
        <v>2016</v>
      </c>
    </row>
    <row r="1553" spans="1:3" x14ac:dyDescent="0.35">
      <c r="A1553" s="16">
        <v>42732</v>
      </c>
      <c r="B1553" s="9">
        <v>325</v>
      </c>
      <c r="C1553">
        <f t="shared" si="31"/>
        <v>2016</v>
      </c>
    </row>
    <row r="1554" spans="1:3" x14ac:dyDescent="0.35">
      <c r="A1554" s="16">
        <v>42731</v>
      </c>
      <c r="B1554" s="9">
        <v>322</v>
      </c>
      <c r="C1554">
        <f t="shared" si="31"/>
        <v>2016</v>
      </c>
    </row>
    <row r="1555" spans="1:3" x14ac:dyDescent="0.35">
      <c r="A1555" s="16">
        <v>42730</v>
      </c>
      <c r="B1555" s="9">
        <v>325</v>
      </c>
      <c r="C1555">
        <f t="shared" si="31"/>
        <v>2016</v>
      </c>
    </row>
    <row r="1556" spans="1:3" x14ac:dyDescent="0.35">
      <c r="A1556" s="16">
        <v>42727</v>
      </c>
      <c r="B1556" s="9">
        <v>325</v>
      </c>
      <c r="C1556">
        <f t="shared" si="31"/>
        <v>2016</v>
      </c>
    </row>
    <row r="1557" spans="1:3" x14ac:dyDescent="0.35">
      <c r="A1557" s="16">
        <v>42726</v>
      </c>
      <c r="B1557" s="9">
        <v>326</v>
      </c>
      <c r="C1557">
        <f t="shared" si="31"/>
        <v>2016</v>
      </c>
    </row>
    <row r="1558" spans="1:3" x14ac:dyDescent="0.35">
      <c r="A1558" s="16">
        <v>42725</v>
      </c>
      <c r="B1558" s="9">
        <v>323</v>
      </c>
      <c r="C1558">
        <f t="shared" si="31"/>
        <v>2016</v>
      </c>
    </row>
    <row r="1559" spans="1:3" x14ac:dyDescent="0.35">
      <c r="A1559" s="16">
        <v>42724</v>
      </c>
      <c r="B1559" s="9">
        <v>324</v>
      </c>
      <c r="C1559">
        <f t="shared" si="31"/>
        <v>2016</v>
      </c>
    </row>
    <row r="1560" spans="1:3" x14ac:dyDescent="0.35">
      <c r="A1560" s="16">
        <v>42723</v>
      </c>
      <c r="B1560" s="9">
        <v>327</v>
      </c>
      <c r="C1560">
        <f t="shared" si="31"/>
        <v>2016</v>
      </c>
    </row>
    <row r="1561" spans="1:3" x14ac:dyDescent="0.35">
      <c r="A1561" s="16">
        <v>42720</v>
      </c>
      <c r="B1561" s="9">
        <v>328</v>
      </c>
      <c r="C1561">
        <f t="shared" si="31"/>
        <v>2016</v>
      </c>
    </row>
    <row r="1562" spans="1:3" x14ac:dyDescent="0.35">
      <c r="A1562" s="16">
        <v>42719</v>
      </c>
      <c r="B1562" s="9">
        <v>332</v>
      </c>
      <c r="C1562">
        <f t="shared" si="31"/>
        <v>2016</v>
      </c>
    </row>
    <row r="1563" spans="1:3" x14ac:dyDescent="0.35">
      <c r="A1563" s="16">
        <v>42718</v>
      </c>
      <c r="B1563" s="9">
        <v>332</v>
      </c>
      <c r="C1563">
        <f t="shared" si="31"/>
        <v>2016</v>
      </c>
    </row>
    <row r="1564" spans="1:3" x14ac:dyDescent="0.35">
      <c r="A1564" s="16">
        <v>42717</v>
      </c>
      <c r="B1564" s="9">
        <v>324</v>
      </c>
      <c r="C1564">
        <f t="shared" si="31"/>
        <v>2016</v>
      </c>
    </row>
    <row r="1565" spans="1:3" x14ac:dyDescent="0.35">
      <c r="A1565" s="16">
        <v>42716</v>
      </c>
      <c r="B1565" s="9">
        <v>330</v>
      </c>
      <c r="C1565">
        <f t="shared" si="31"/>
        <v>2016</v>
      </c>
    </row>
    <row r="1566" spans="1:3" x14ac:dyDescent="0.35">
      <c r="A1566" s="16">
        <v>42713</v>
      </c>
      <c r="B1566" s="9">
        <v>328</v>
      </c>
      <c r="C1566">
        <f t="shared" si="31"/>
        <v>2016</v>
      </c>
    </row>
    <row r="1567" spans="1:3" x14ac:dyDescent="0.35">
      <c r="A1567" s="16">
        <v>42712</v>
      </c>
      <c r="B1567" s="9">
        <v>334</v>
      </c>
      <c r="C1567">
        <f t="shared" si="31"/>
        <v>2016</v>
      </c>
    </row>
    <row r="1568" spans="1:3" x14ac:dyDescent="0.35">
      <c r="A1568" s="16">
        <v>42711</v>
      </c>
      <c r="B1568" s="9">
        <v>336</v>
      </c>
      <c r="C1568">
        <f t="shared" si="31"/>
        <v>2016</v>
      </c>
    </row>
    <row r="1569" spans="1:3" x14ac:dyDescent="0.35">
      <c r="A1569" s="16">
        <v>42710</v>
      </c>
      <c r="B1569" s="9">
        <v>341</v>
      </c>
      <c r="C1569">
        <f t="shared" si="31"/>
        <v>2016</v>
      </c>
    </row>
    <row r="1570" spans="1:3" x14ac:dyDescent="0.35">
      <c r="A1570" s="16">
        <v>42709</v>
      </c>
      <c r="B1570" s="9">
        <v>342</v>
      </c>
      <c r="C1570">
        <f t="shared" si="31"/>
        <v>2016</v>
      </c>
    </row>
    <row r="1571" spans="1:3" x14ac:dyDescent="0.35">
      <c r="A1571" s="16">
        <v>42706</v>
      </c>
      <c r="B1571" s="9">
        <v>350</v>
      </c>
      <c r="C1571">
        <f t="shared" si="31"/>
        <v>2016</v>
      </c>
    </row>
    <row r="1572" spans="1:3" x14ac:dyDescent="0.35">
      <c r="A1572" s="16">
        <v>42705</v>
      </c>
      <c r="B1572" s="9">
        <v>348</v>
      </c>
      <c r="C1572">
        <f t="shared" si="31"/>
        <v>2016</v>
      </c>
    </row>
    <row r="1573" spans="1:3" x14ac:dyDescent="0.35">
      <c r="A1573" s="16">
        <v>42704</v>
      </c>
      <c r="B1573" s="9">
        <v>337</v>
      </c>
      <c r="C1573">
        <f t="shared" si="31"/>
        <v>2016</v>
      </c>
    </row>
    <row r="1574" spans="1:3" x14ac:dyDescent="0.35">
      <c r="A1574" s="16">
        <v>42703</v>
      </c>
      <c r="B1574" s="9">
        <v>337</v>
      </c>
      <c r="C1574">
        <f t="shared" si="31"/>
        <v>2016</v>
      </c>
    </row>
    <row r="1575" spans="1:3" x14ac:dyDescent="0.35">
      <c r="A1575" s="16">
        <v>42702</v>
      </c>
      <c r="B1575" s="9">
        <v>334</v>
      </c>
      <c r="C1575">
        <f t="shared" si="31"/>
        <v>2016</v>
      </c>
    </row>
    <row r="1576" spans="1:3" x14ac:dyDescent="0.35">
      <c r="A1576" s="16">
        <v>42699</v>
      </c>
      <c r="B1576" s="9">
        <v>337</v>
      </c>
      <c r="C1576">
        <f t="shared" si="31"/>
        <v>2016</v>
      </c>
    </row>
    <row r="1577" spans="1:3" x14ac:dyDescent="0.35">
      <c r="A1577" s="16">
        <v>42698</v>
      </c>
      <c r="B1577" s="9">
        <v>336</v>
      </c>
      <c r="C1577">
        <f t="shared" si="31"/>
        <v>2016</v>
      </c>
    </row>
    <row r="1578" spans="1:3" x14ac:dyDescent="0.35">
      <c r="A1578" s="16">
        <v>42697</v>
      </c>
      <c r="B1578" s="9">
        <v>336</v>
      </c>
      <c r="C1578">
        <f t="shared" si="31"/>
        <v>2016</v>
      </c>
    </row>
    <row r="1579" spans="1:3" x14ac:dyDescent="0.35">
      <c r="A1579" s="16">
        <v>42696</v>
      </c>
      <c r="B1579" s="9">
        <v>332</v>
      </c>
      <c r="C1579">
        <f t="shared" si="31"/>
        <v>2016</v>
      </c>
    </row>
    <row r="1580" spans="1:3" x14ac:dyDescent="0.35">
      <c r="A1580" s="16">
        <v>42695</v>
      </c>
      <c r="B1580" s="9">
        <v>333</v>
      </c>
      <c r="C1580">
        <f t="shared" si="31"/>
        <v>2016</v>
      </c>
    </row>
    <row r="1581" spans="1:3" x14ac:dyDescent="0.35">
      <c r="A1581" s="16">
        <v>42692</v>
      </c>
      <c r="B1581" s="9">
        <v>334</v>
      </c>
      <c r="C1581">
        <f t="shared" si="31"/>
        <v>2016</v>
      </c>
    </row>
    <row r="1582" spans="1:3" x14ac:dyDescent="0.35">
      <c r="A1582" s="16">
        <v>42691</v>
      </c>
      <c r="B1582" s="9">
        <v>331</v>
      </c>
      <c r="C1582">
        <f t="shared" si="31"/>
        <v>2016</v>
      </c>
    </row>
    <row r="1583" spans="1:3" x14ac:dyDescent="0.35">
      <c r="A1583" s="16">
        <v>42690</v>
      </c>
      <c r="B1583" s="9">
        <v>329</v>
      </c>
      <c r="C1583">
        <f t="shared" si="31"/>
        <v>2016</v>
      </c>
    </row>
    <row r="1584" spans="1:3" x14ac:dyDescent="0.35">
      <c r="A1584" s="16">
        <v>42689</v>
      </c>
      <c r="B1584" s="9">
        <v>330</v>
      </c>
      <c r="C1584">
        <f t="shared" si="31"/>
        <v>2016</v>
      </c>
    </row>
    <row r="1585" spans="1:3" x14ac:dyDescent="0.35">
      <c r="A1585" s="16">
        <v>42688</v>
      </c>
      <c r="B1585" s="9">
        <v>357</v>
      </c>
      <c r="C1585">
        <f t="shared" si="31"/>
        <v>2016</v>
      </c>
    </row>
    <row r="1586" spans="1:3" x14ac:dyDescent="0.35">
      <c r="A1586" s="16">
        <v>42685</v>
      </c>
      <c r="B1586" s="9">
        <v>341</v>
      </c>
      <c r="C1586">
        <f t="shared" si="31"/>
        <v>2016</v>
      </c>
    </row>
    <row r="1587" spans="1:3" x14ac:dyDescent="0.35">
      <c r="A1587" s="16">
        <v>42684</v>
      </c>
      <c r="B1587" s="9">
        <v>341</v>
      </c>
      <c r="C1587">
        <f t="shared" si="31"/>
        <v>2016</v>
      </c>
    </row>
    <row r="1588" spans="1:3" x14ac:dyDescent="0.35">
      <c r="A1588" s="16">
        <v>42683</v>
      </c>
      <c r="B1588" s="9">
        <v>306</v>
      </c>
      <c r="C1588">
        <f t="shared" si="31"/>
        <v>2016</v>
      </c>
    </row>
    <row r="1589" spans="1:3" x14ac:dyDescent="0.35">
      <c r="A1589" s="16">
        <v>42682</v>
      </c>
      <c r="B1589" s="9">
        <v>303</v>
      </c>
      <c r="C1589">
        <f t="shared" si="31"/>
        <v>2016</v>
      </c>
    </row>
    <row r="1590" spans="1:3" x14ac:dyDescent="0.35">
      <c r="A1590" s="16">
        <v>42681</v>
      </c>
      <c r="B1590" s="9">
        <v>314</v>
      </c>
      <c r="C1590">
        <f t="shared" si="31"/>
        <v>2016</v>
      </c>
    </row>
    <row r="1591" spans="1:3" x14ac:dyDescent="0.35">
      <c r="A1591" s="16">
        <v>42678</v>
      </c>
      <c r="B1591" s="9">
        <v>328</v>
      </c>
      <c r="C1591">
        <f t="shared" si="31"/>
        <v>2016</v>
      </c>
    </row>
    <row r="1592" spans="1:3" x14ac:dyDescent="0.35">
      <c r="A1592" s="16">
        <v>42677</v>
      </c>
      <c r="B1592" s="9">
        <v>327</v>
      </c>
      <c r="C1592">
        <f t="shared" si="31"/>
        <v>2016</v>
      </c>
    </row>
    <row r="1593" spans="1:3" x14ac:dyDescent="0.35">
      <c r="A1593" s="16">
        <v>42676</v>
      </c>
      <c r="B1593" s="9">
        <v>328</v>
      </c>
      <c r="C1593">
        <f t="shared" si="31"/>
        <v>2016</v>
      </c>
    </row>
    <row r="1594" spans="1:3" x14ac:dyDescent="0.35">
      <c r="A1594" s="16">
        <v>42675</v>
      </c>
      <c r="B1594" s="9">
        <v>323</v>
      </c>
      <c r="C1594">
        <f t="shared" si="31"/>
        <v>2016</v>
      </c>
    </row>
    <row r="1595" spans="1:3" x14ac:dyDescent="0.35">
      <c r="A1595" s="16">
        <v>42674</v>
      </c>
      <c r="B1595" s="9">
        <v>313</v>
      </c>
      <c r="C1595">
        <f t="shared" si="31"/>
        <v>2016</v>
      </c>
    </row>
    <row r="1596" spans="1:3" x14ac:dyDescent="0.35">
      <c r="A1596" s="16">
        <v>42671</v>
      </c>
      <c r="B1596" s="9">
        <v>308</v>
      </c>
      <c r="C1596">
        <f t="shared" si="31"/>
        <v>2016</v>
      </c>
    </row>
    <row r="1597" spans="1:3" x14ac:dyDescent="0.35">
      <c r="A1597" s="16">
        <v>42670</v>
      </c>
      <c r="B1597" s="9">
        <v>313</v>
      </c>
      <c r="C1597">
        <f t="shared" si="31"/>
        <v>2016</v>
      </c>
    </row>
    <row r="1598" spans="1:3" x14ac:dyDescent="0.35">
      <c r="A1598" s="16">
        <v>42669</v>
      </c>
      <c r="B1598" s="9">
        <v>309</v>
      </c>
      <c r="C1598">
        <f t="shared" si="31"/>
        <v>2016</v>
      </c>
    </row>
    <row r="1599" spans="1:3" x14ac:dyDescent="0.35">
      <c r="A1599" s="16">
        <v>42668</v>
      </c>
      <c r="B1599" s="9">
        <v>307</v>
      </c>
      <c r="C1599">
        <f t="shared" si="31"/>
        <v>2016</v>
      </c>
    </row>
    <row r="1600" spans="1:3" x14ac:dyDescent="0.35">
      <c r="A1600" s="16">
        <v>42667</v>
      </c>
      <c r="B1600" s="9">
        <v>305</v>
      </c>
      <c r="C1600">
        <f t="shared" si="31"/>
        <v>2016</v>
      </c>
    </row>
    <row r="1601" spans="1:3" x14ac:dyDescent="0.35">
      <c r="A1601" s="16">
        <v>42664</v>
      </c>
      <c r="B1601" s="9">
        <v>308</v>
      </c>
      <c r="C1601">
        <f t="shared" si="31"/>
        <v>2016</v>
      </c>
    </row>
    <row r="1602" spans="1:3" x14ac:dyDescent="0.35">
      <c r="A1602" s="16">
        <v>42663</v>
      </c>
      <c r="B1602" s="9">
        <v>308</v>
      </c>
      <c r="C1602">
        <f t="shared" si="31"/>
        <v>2016</v>
      </c>
    </row>
    <row r="1603" spans="1:3" x14ac:dyDescent="0.35">
      <c r="A1603" s="16">
        <v>42662</v>
      </c>
      <c r="B1603" s="9">
        <v>311</v>
      </c>
      <c r="C1603">
        <f t="shared" ref="C1603:C1666" si="32">YEAR(A1603)</f>
        <v>2016</v>
      </c>
    </row>
    <row r="1604" spans="1:3" x14ac:dyDescent="0.35">
      <c r="A1604" s="16">
        <v>42661</v>
      </c>
      <c r="B1604" s="9">
        <v>314</v>
      </c>
      <c r="C1604">
        <f t="shared" si="32"/>
        <v>2016</v>
      </c>
    </row>
    <row r="1605" spans="1:3" x14ac:dyDescent="0.35">
      <c r="A1605" s="16">
        <v>42660</v>
      </c>
      <c r="B1605" s="9">
        <v>314</v>
      </c>
      <c r="C1605">
        <f t="shared" si="32"/>
        <v>2016</v>
      </c>
    </row>
    <row r="1606" spans="1:3" x14ac:dyDescent="0.35">
      <c r="A1606" s="16">
        <v>42657</v>
      </c>
      <c r="B1606" s="9">
        <v>309</v>
      </c>
      <c r="C1606">
        <f t="shared" si="32"/>
        <v>2016</v>
      </c>
    </row>
    <row r="1607" spans="1:3" x14ac:dyDescent="0.35">
      <c r="A1607" s="16">
        <v>42656</v>
      </c>
      <c r="B1607" s="9">
        <v>313</v>
      </c>
      <c r="C1607">
        <f t="shared" si="32"/>
        <v>2016</v>
      </c>
    </row>
    <row r="1608" spans="1:3" x14ac:dyDescent="0.35">
      <c r="A1608" s="16">
        <v>42655</v>
      </c>
      <c r="B1608" s="9">
        <v>314</v>
      </c>
      <c r="C1608">
        <f t="shared" si="32"/>
        <v>2016</v>
      </c>
    </row>
    <row r="1609" spans="1:3" x14ac:dyDescent="0.35">
      <c r="A1609" s="16">
        <v>42654</v>
      </c>
      <c r="B1609" s="9">
        <v>319</v>
      </c>
      <c r="C1609">
        <f t="shared" si="32"/>
        <v>2016</v>
      </c>
    </row>
    <row r="1610" spans="1:3" x14ac:dyDescent="0.35">
      <c r="A1610" s="16">
        <v>42653</v>
      </c>
      <c r="B1610" s="9">
        <v>317</v>
      </c>
      <c r="C1610">
        <f t="shared" si="32"/>
        <v>2016</v>
      </c>
    </row>
    <row r="1611" spans="1:3" x14ac:dyDescent="0.35">
      <c r="A1611" s="16">
        <v>42650</v>
      </c>
      <c r="B1611" s="9">
        <v>317</v>
      </c>
      <c r="C1611">
        <f t="shared" si="32"/>
        <v>2016</v>
      </c>
    </row>
    <row r="1612" spans="1:3" x14ac:dyDescent="0.35">
      <c r="A1612" s="16">
        <v>42649</v>
      </c>
      <c r="B1612" s="9">
        <v>317</v>
      </c>
      <c r="C1612">
        <f t="shared" si="32"/>
        <v>2016</v>
      </c>
    </row>
    <row r="1613" spans="1:3" x14ac:dyDescent="0.35">
      <c r="A1613" s="16">
        <v>42648</v>
      </c>
      <c r="B1613" s="9">
        <v>319</v>
      </c>
      <c r="C1613">
        <f t="shared" si="32"/>
        <v>2016</v>
      </c>
    </row>
    <row r="1614" spans="1:3" x14ac:dyDescent="0.35">
      <c r="A1614" s="16">
        <v>42647</v>
      </c>
      <c r="B1614" s="9">
        <v>318</v>
      </c>
      <c r="C1614">
        <f t="shared" si="32"/>
        <v>2016</v>
      </c>
    </row>
    <row r="1615" spans="1:3" x14ac:dyDescent="0.35">
      <c r="A1615" s="16">
        <v>42646</v>
      </c>
      <c r="B1615" s="9">
        <v>315</v>
      </c>
      <c r="C1615">
        <f t="shared" si="32"/>
        <v>2016</v>
      </c>
    </row>
    <row r="1616" spans="1:3" x14ac:dyDescent="0.35">
      <c r="A1616" s="16">
        <v>42643</v>
      </c>
      <c r="B1616" s="9">
        <v>319</v>
      </c>
      <c r="C1616">
        <f t="shared" si="32"/>
        <v>2016</v>
      </c>
    </row>
    <row r="1617" spans="1:3" x14ac:dyDescent="0.35">
      <c r="A1617" s="16">
        <v>42642</v>
      </c>
      <c r="B1617" s="9">
        <v>318</v>
      </c>
      <c r="C1617">
        <f t="shared" si="32"/>
        <v>2016</v>
      </c>
    </row>
    <row r="1618" spans="1:3" x14ac:dyDescent="0.35">
      <c r="A1618" s="16">
        <v>42641</v>
      </c>
      <c r="B1618" s="9">
        <v>311</v>
      </c>
      <c r="C1618">
        <f t="shared" si="32"/>
        <v>2016</v>
      </c>
    </row>
    <row r="1619" spans="1:3" x14ac:dyDescent="0.35">
      <c r="A1619" s="16">
        <v>42640</v>
      </c>
      <c r="B1619" s="9">
        <v>322</v>
      </c>
      <c r="C1619">
        <f t="shared" si="32"/>
        <v>2016</v>
      </c>
    </row>
    <row r="1620" spans="1:3" x14ac:dyDescent="0.35">
      <c r="A1620" s="16">
        <v>42639</v>
      </c>
      <c r="B1620" s="9">
        <v>320</v>
      </c>
      <c r="C1620">
        <f t="shared" si="32"/>
        <v>2016</v>
      </c>
    </row>
    <row r="1621" spans="1:3" x14ac:dyDescent="0.35">
      <c r="A1621" s="16">
        <v>42636</v>
      </c>
      <c r="B1621" s="9">
        <v>315</v>
      </c>
      <c r="C1621">
        <f t="shared" si="32"/>
        <v>2016</v>
      </c>
    </row>
    <row r="1622" spans="1:3" x14ac:dyDescent="0.35">
      <c r="A1622" s="16">
        <v>42635</v>
      </c>
      <c r="B1622" s="9">
        <v>306</v>
      </c>
      <c r="C1622">
        <f t="shared" si="32"/>
        <v>2016</v>
      </c>
    </row>
    <row r="1623" spans="1:3" x14ac:dyDescent="0.35">
      <c r="A1623" s="16">
        <v>42634</v>
      </c>
      <c r="B1623" s="9">
        <v>312</v>
      </c>
      <c r="C1623">
        <f t="shared" si="32"/>
        <v>2016</v>
      </c>
    </row>
    <row r="1624" spans="1:3" x14ac:dyDescent="0.35">
      <c r="A1624" s="16">
        <v>42633</v>
      </c>
      <c r="B1624" s="9">
        <v>328</v>
      </c>
      <c r="C1624">
        <f t="shared" si="32"/>
        <v>2016</v>
      </c>
    </row>
    <row r="1625" spans="1:3" x14ac:dyDescent="0.35">
      <c r="A1625" s="16">
        <v>42632</v>
      </c>
      <c r="B1625" s="9">
        <v>334</v>
      </c>
      <c r="C1625">
        <f t="shared" si="32"/>
        <v>2016</v>
      </c>
    </row>
    <row r="1626" spans="1:3" x14ac:dyDescent="0.35">
      <c r="A1626" s="16">
        <v>42629</v>
      </c>
      <c r="B1626" s="9">
        <v>340</v>
      </c>
      <c r="C1626">
        <f t="shared" si="32"/>
        <v>2016</v>
      </c>
    </row>
    <row r="1627" spans="1:3" x14ac:dyDescent="0.35">
      <c r="A1627" s="16">
        <v>42628</v>
      </c>
      <c r="B1627" s="9">
        <v>331</v>
      </c>
      <c r="C1627">
        <f t="shared" si="32"/>
        <v>2016</v>
      </c>
    </row>
    <row r="1628" spans="1:3" x14ac:dyDescent="0.35">
      <c r="A1628" s="16">
        <v>42627</v>
      </c>
      <c r="B1628" s="9">
        <v>333</v>
      </c>
      <c r="C1628">
        <f t="shared" si="32"/>
        <v>2016</v>
      </c>
    </row>
    <row r="1629" spans="1:3" x14ac:dyDescent="0.35">
      <c r="A1629" s="16">
        <v>42626</v>
      </c>
      <c r="B1629" s="9">
        <v>325</v>
      </c>
      <c r="C1629">
        <f t="shared" si="32"/>
        <v>2016</v>
      </c>
    </row>
    <row r="1630" spans="1:3" x14ac:dyDescent="0.35">
      <c r="A1630" s="16">
        <v>42625</v>
      </c>
      <c r="B1630" s="9">
        <v>313</v>
      </c>
      <c r="C1630">
        <f t="shared" si="32"/>
        <v>2016</v>
      </c>
    </row>
    <row r="1631" spans="1:3" x14ac:dyDescent="0.35">
      <c r="A1631" s="16">
        <v>42622</v>
      </c>
      <c r="B1631" s="9">
        <v>314</v>
      </c>
      <c r="C1631">
        <f t="shared" si="32"/>
        <v>2016</v>
      </c>
    </row>
    <row r="1632" spans="1:3" x14ac:dyDescent="0.35">
      <c r="A1632" s="16">
        <v>42621</v>
      </c>
      <c r="B1632" s="9">
        <v>303</v>
      </c>
      <c r="C1632">
        <f t="shared" si="32"/>
        <v>2016</v>
      </c>
    </row>
    <row r="1633" spans="1:3" x14ac:dyDescent="0.35">
      <c r="A1633" s="16">
        <v>42620</v>
      </c>
      <c r="B1633" s="9">
        <v>303</v>
      </c>
      <c r="C1633">
        <f t="shared" si="32"/>
        <v>2016</v>
      </c>
    </row>
    <row r="1634" spans="1:3" x14ac:dyDescent="0.35">
      <c r="A1634" s="16">
        <v>42619</v>
      </c>
      <c r="B1634" s="9">
        <v>309</v>
      </c>
      <c r="C1634">
        <f t="shared" si="32"/>
        <v>2016</v>
      </c>
    </row>
    <row r="1635" spans="1:3" x14ac:dyDescent="0.35">
      <c r="A1635" s="16">
        <v>42618</v>
      </c>
      <c r="B1635" s="9">
        <v>309</v>
      </c>
      <c r="C1635">
        <f t="shared" si="32"/>
        <v>2016</v>
      </c>
    </row>
    <row r="1636" spans="1:3" x14ac:dyDescent="0.35">
      <c r="A1636" s="16">
        <v>42615</v>
      </c>
      <c r="B1636" s="9">
        <v>309</v>
      </c>
      <c r="C1636">
        <f t="shared" si="32"/>
        <v>2016</v>
      </c>
    </row>
    <row r="1637" spans="1:3" x14ac:dyDescent="0.35">
      <c r="A1637" s="16">
        <v>42614</v>
      </c>
      <c r="B1637" s="9">
        <v>315</v>
      </c>
      <c r="C1637">
        <f t="shared" si="32"/>
        <v>2016</v>
      </c>
    </row>
    <row r="1638" spans="1:3" x14ac:dyDescent="0.35">
      <c r="A1638" s="16">
        <v>42613</v>
      </c>
      <c r="B1638" s="9">
        <v>309</v>
      </c>
      <c r="C1638">
        <f t="shared" si="32"/>
        <v>2016</v>
      </c>
    </row>
    <row r="1639" spans="1:3" x14ac:dyDescent="0.35">
      <c r="A1639" s="16">
        <v>42612</v>
      </c>
      <c r="B1639" s="9">
        <v>306</v>
      </c>
      <c r="C1639">
        <f t="shared" si="32"/>
        <v>2016</v>
      </c>
    </row>
    <row r="1640" spans="1:3" x14ac:dyDescent="0.35">
      <c r="A1640" s="16">
        <v>42611</v>
      </c>
      <c r="B1640" s="9">
        <v>304</v>
      </c>
      <c r="C1640">
        <f t="shared" si="32"/>
        <v>2016</v>
      </c>
    </row>
    <row r="1641" spans="1:3" x14ac:dyDescent="0.35">
      <c r="A1641" s="16">
        <v>42608</v>
      </c>
      <c r="B1641" s="9">
        <v>299</v>
      </c>
      <c r="C1641">
        <f t="shared" si="32"/>
        <v>2016</v>
      </c>
    </row>
    <row r="1642" spans="1:3" x14ac:dyDescent="0.35">
      <c r="A1642" s="16">
        <v>42607</v>
      </c>
      <c r="B1642" s="9">
        <v>306</v>
      </c>
      <c r="C1642">
        <f t="shared" si="32"/>
        <v>2016</v>
      </c>
    </row>
    <row r="1643" spans="1:3" x14ac:dyDescent="0.35">
      <c r="A1643" s="16">
        <v>42606</v>
      </c>
      <c r="B1643" s="9">
        <v>305</v>
      </c>
      <c r="C1643">
        <f t="shared" si="32"/>
        <v>2016</v>
      </c>
    </row>
    <row r="1644" spans="1:3" x14ac:dyDescent="0.35">
      <c r="A1644" s="16">
        <v>42605</v>
      </c>
      <c r="B1644" s="9">
        <v>302</v>
      </c>
      <c r="C1644">
        <f t="shared" si="32"/>
        <v>2016</v>
      </c>
    </row>
    <row r="1645" spans="1:3" x14ac:dyDescent="0.35">
      <c r="A1645" s="16">
        <v>42604</v>
      </c>
      <c r="B1645" s="9">
        <v>303</v>
      </c>
      <c r="C1645">
        <f t="shared" si="32"/>
        <v>2016</v>
      </c>
    </row>
    <row r="1646" spans="1:3" x14ac:dyDescent="0.35">
      <c r="A1646" s="16">
        <v>42601</v>
      </c>
      <c r="B1646" s="9">
        <v>296</v>
      </c>
      <c r="C1646">
        <f t="shared" si="32"/>
        <v>2016</v>
      </c>
    </row>
    <row r="1647" spans="1:3" x14ac:dyDescent="0.35">
      <c r="A1647" s="16">
        <v>42600</v>
      </c>
      <c r="B1647" s="9">
        <v>297</v>
      </c>
      <c r="C1647">
        <f t="shared" si="32"/>
        <v>2016</v>
      </c>
    </row>
    <row r="1648" spans="1:3" x14ac:dyDescent="0.35">
      <c r="A1648" s="16">
        <v>42599</v>
      </c>
      <c r="B1648" s="9">
        <v>298</v>
      </c>
      <c r="C1648">
        <f t="shared" si="32"/>
        <v>2016</v>
      </c>
    </row>
    <row r="1649" spans="1:3" x14ac:dyDescent="0.35">
      <c r="A1649" s="16">
        <v>42598</v>
      </c>
      <c r="B1649" s="9">
        <v>292</v>
      </c>
      <c r="C1649">
        <f t="shared" si="32"/>
        <v>2016</v>
      </c>
    </row>
    <row r="1650" spans="1:3" x14ac:dyDescent="0.35">
      <c r="A1650" s="16">
        <v>42597</v>
      </c>
      <c r="B1650" s="9">
        <v>299</v>
      </c>
      <c r="C1650">
        <f t="shared" si="32"/>
        <v>2016</v>
      </c>
    </row>
    <row r="1651" spans="1:3" x14ac:dyDescent="0.35">
      <c r="A1651" s="16">
        <v>42594</v>
      </c>
      <c r="B1651" s="9">
        <v>306</v>
      </c>
      <c r="C1651">
        <f t="shared" si="32"/>
        <v>2016</v>
      </c>
    </row>
    <row r="1652" spans="1:3" x14ac:dyDescent="0.35">
      <c r="A1652" s="16">
        <v>42593</v>
      </c>
      <c r="B1652" s="9">
        <v>309</v>
      </c>
      <c r="C1652">
        <f t="shared" si="32"/>
        <v>2016</v>
      </c>
    </row>
    <row r="1653" spans="1:3" x14ac:dyDescent="0.35">
      <c r="A1653" s="16">
        <v>42592</v>
      </c>
      <c r="B1653" s="9">
        <v>316</v>
      </c>
      <c r="C1653">
        <f t="shared" si="32"/>
        <v>2016</v>
      </c>
    </row>
    <row r="1654" spans="1:3" x14ac:dyDescent="0.35">
      <c r="A1654" s="16">
        <v>42591</v>
      </c>
      <c r="B1654" s="9">
        <v>320</v>
      </c>
      <c r="C1654">
        <f t="shared" si="32"/>
        <v>2016</v>
      </c>
    </row>
    <row r="1655" spans="1:3" x14ac:dyDescent="0.35">
      <c r="A1655" s="16">
        <v>42590</v>
      </c>
      <c r="B1655" s="9">
        <v>317</v>
      </c>
      <c r="C1655">
        <f t="shared" si="32"/>
        <v>2016</v>
      </c>
    </row>
    <row r="1656" spans="1:3" x14ac:dyDescent="0.35">
      <c r="A1656" s="16">
        <v>42587</v>
      </c>
      <c r="B1656" s="9">
        <v>319</v>
      </c>
      <c r="C1656">
        <f t="shared" si="32"/>
        <v>2016</v>
      </c>
    </row>
    <row r="1657" spans="1:3" x14ac:dyDescent="0.35">
      <c r="A1657" s="16">
        <v>42586</v>
      </c>
      <c r="B1657" s="9">
        <v>325</v>
      </c>
      <c r="C1657">
        <f t="shared" si="32"/>
        <v>2016</v>
      </c>
    </row>
    <row r="1658" spans="1:3" x14ac:dyDescent="0.35">
      <c r="A1658" s="16">
        <v>42585</v>
      </c>
      <c r="B1658" s="9">
        <v>327</v>
      </c>
      <c r="C1658">
        <f t="shared" si="32"/>
        <v>2016</v>
      </c>
    </row>
    <row r="1659" spans="1:3" x14ac:dyDescent="0.35">
      <c r="A1659" s="16">
        <v>42584</v>
      </c>
      <c r="B1659" s="9">
        <v>331</v>
      </c>
      <c r="C1659">
        <f t="shared" si="32"/>
        <v>2016</v>
      </c>
    </row>
    <row r="1660" spans="1:3" x14ac:dyDescent="0.35">
      <c r="A1660" s="16">
        <v>42583</v>
      </c>
      <c r="B1660" s="9">
        <v>336</v>
      </c>
      <c r="C1660">
        <f t="shared" si="32"/>
        <v>2016</v>
      </c>
    </row>
    <row r="1661" spans="1:3" x14ac:dyDescent="0.35">
      <c r="A1661" s="16">
        <v>42580</v>
      </c>
      <c r="B1661" s="9">
        <v>339</v>
      </c>
      <c r="C1661">
        <f t="shared" si="32"/>
        <v>2016</v>
      </c>
    </row>
    <row r="1662" spans="1:3" x14ac:dyDescent="0.35">
      <c r="A1662" s="16">
        <v>42579</v>
      </c>
      <c r="B1662" s="9">
        <v>340</v>
      </c>
      <c r="C1662">
        <f t="shared" si="32"/>
        <v>2016</v>
      </c>
    </row>
    <row r="1663" spans="1:3" x14ac:dyDescent="0.35">
      <c r="A1663" s="16">
        <v>42578</v>
      </c>
      <c r="B1663" s="9">
        <v>344</v>
      </c>
      <c r="C1663">
        <f t="shared" si="32"/>
        <v>2016</v>
      </c>
    </row>
    <row r="1664" spans="1:3" x14ac:dyDescent="0.35">
      <c r="A1664" s="16">
        <v>42577</v>
      </c>
      <c r="B1664" s="9">
        <v>343</v>
      </c>
      <c r="C1664">
        <f t="shared" si="32"/>
        <v>2016</v>
      </c>
    </row>
    <row r="1665" spans="1:3" x14ac:dyDescent="0.35">
      <c r="A1665" s="16">
        <v>42576</v>
      </c>
      <c r="B1665" s="9">
        <v>341</v>
      </c>
      <c r="C1665">
        <f t="shared" si="32"/>
        <v>2016</v>
      </c>
    </row>
    <row r="1666" spans="1:3" x14ac:dyDescent="0.35">
      <c r="A1666" s="16">
        <v>42573</v>
      </c>
      <c r="B1666" s="9">
        <v>338</v>
      </c>
      <c r="C1666">
        <f t="shared" si="32"/>
        <v>2016</v>
      </c>
    </row>
    <row r="1667" spans="1:3" x14ac:dyDescent="0.35">
      <c r="A1667" s="16">
        <v>42572</v>
      </c>
      <c r="B1667" s="9">
        <v>337</v>
      </c>
      <c r="C1667">
        <f t="shared" ref="C1667:C1730" si="33">YEAR(A1667)</f>
        <v>2016</v>
      </c>
    </row>
    <row r="1668" spans="1:3" x14ac:dyDescent="0.35">
      <c r="A1668" s="16">
        <v>42571</v>
      </c>
      <c r="B1668" s="9">
        <v>330</v>
      </c>
      <c r="C1668">
        <f t="shared" si="33"/>
        <v>2016</v>
      </c>
    </row>
    <row r="1669" spans="1:3" x14ac:dyDescent="0.35">
      <c r="A1669" s="16">
        <v>42570</v>
      </c>
      <c r="B1669" s="9">
        <v>332</v>
      </c>
      <c r="C1669">
        <f t="shared" si="33"/>
        <v>2016</v>
      </c>
    </row>
    <row r="1670" spans="1:3" x14ac:dyDescent="0.35">
      <c r="A1670" s="16">
        <v>42569</v>
      </c>
      <c r="B1670" s="9">
        <v>332</v>
      </c>
      <c r="C1670">
        <f t="shared" si="33"/>
        <v>2016</v>
      </c>
    </row>
    <row r="1671" spans="1:3" x14ac:dyDescent="0.35">
      <c r="A1671" s="16">
        <v>42566</v>
      </c>
      <c r="B1671" s="9">
        <v>331</v>
      </c>
      <c r="C1671">
        <f t="shared" si="33"/>
        <v>2016</v>
      </c>
    </row>
    <row r="1672" spans="1:3" x14ac:dyDescent="0.35">
      <c r="A1672" s="16">
        <v>42565</v>
      </c>
      <c r="B1672" s="9">
        <v>331</v>
      </c>
      <c r="C1672">
        <f t="shared" si="33"/>
        <v>2016</v>
      </c>
    </row>
    <row r="1673" spans="1:3" x14ac:dyDescent="0.35">
      <c r="A1673" s="16">
        <v>42564</v>
      </c>
      <c r="B1673" s="9">
        <v>334</v>
      </c>
      <c r="C1673">
        <f t="shared" si="33"/>
        <v>2016</v>
      </c>
    </row>
    <row r="1674" spans="1:3" x14ac:dyDescent="0.35">
      <c r="A1674" s="16">
        <v>42563</v>
      </c>
      <c r="B1674" s="9">
        <v>331</v>
      </c>
      <c r="C1674">
        <f t="shared" si="33"/>
        <v>2016</v>
      </c>
    </row>
    <row r="1675" spans="1:3" x14ac:dyDescent="0.35">
      <c r="A1675" s="16">
        <v>42562</v>
      </c>
      <c r="B1675" s="9">
        <v>340</v>
      </c>
      <c r="C1675">
        <f t="shared" si="33"/>
        <v>2016</v>
      </c>
    </row>
    <row r="1676" spans="1:3" x14ac:dyDescent="0.35">
      <c r="A1676" s="16">
        <v>42559</v>
      </c>
      <c r="B1676" s="9">
        <v>345</v>
      </c>
      <c r="C1676">
        <f t="shared" si="33"/>
        <v>2016</v>
      </c>
    </row>
    <row r="1677" spans="1:3" x14ac:dyDescent="0.35">
      <c r="A1677" s="16">
        <v>42558</v>
      </c>
      <c r="B1677" s="9">
        <v>355</v>
      </c>
      <c r="C1677">
        <f t="shared" si="33"/>
        <v>2016</v>
      </c>
    </row>
    <row r="1678" spans="1:3" x14ac:dyDescent="0.35">
      <c r="A1678" s="16">
        <v>42557</v>
      </c>
      <c r="B1678" s="9">
        <v>355</v>
      </c>
      <c r="C1678">
        <f t="shared" si="33"/>
        <v>2016</v>
      </c>
    </row>
    <row r="1679" spans="1:3" x14ac:dyDescent="0.35">
      <c r="A1679" s="16">
        <v>42556</v>
      </c>
      <c r="B1679" s="9">
        <v>352</v>
      </c>
      <c r="C1679">
        <f t="shared" si="33"/>
        <v>2016</v>
      </c>
    </row>
    <row r="1680" spans="1:3" x14ac:dyDescent="0.35">
      <c r="A1680" s="16">
        <v>42555</v>
      </c>
      <c r="B1680" s="9">
        <v>347</v>
      </c>
      <c r="C1680">
        <f t="shared" si="33"/>
        <v>2016</v>
      </c>
    </row>
    <row r="1681" spans="1:3" x14ac:dyDescent="0.35">
      <c r="A1681" s="16">
        <v>42552</v>
      </c>
      <c r="B1681" s="9">
        <v>347</v>
      </c>
      <c r="C1681">
        <f t="shared" si="33"/>
        <v>2016</v>
      </c>
    </row>
    <row r="1682" spans="1:3" x14ac:dyDescent="0.35">
      <c r="A1682" s="16">
        <v>42551</v>
      </c>
      <c r="B1682" s="9">
        <v>350</v>
      </c>
      <c r="C1682">
        <f t="shared" si="33"/>
        <v>2016</v>
      </c>
    </row>
    <row r="1683" spans="1:3" x14ac:dyDescent="0.35">
      <c r="A1683" s="16">
        <v>42550</v>
      </c>
      <c r="B1683" s="9">
        <v>354</v>
      </c>
      <c r="C1683">
        <f t="shared" si="33"/>
        <v>2016</v>
      </c>
    </row>
    <row r="1684" spans="1:3" x14ac:dyDescent="0.35">
      <c r="A1684" s="16">
        <v>42549</v>
      </c>
      <c r="B1684" s="9">
        <v>376</v>
      </c>
      <c r="C1684">
        <f t="shared" si="33"/>
        <v>2016</v>
      </c>
    </row>
    <row r="1685" spans="1:3" x14ac:dyDescent="0.35">
      <c r="A1685" s="16">
        <v>42548</v>
      </c>
      <c r="B1685" s="9">
        <v>393</v>
      </c>
      <c r="C1685">
        <f t="shared" si="33"/>
        <v>2016</v>
      </c>
    </row>
    <row r="1686" spans="1:3" x14ac:dyDescent="0.35">
      <c r="A1686" s="16">
        <v>42545</v>
      </c>
      <c r="B1686" s="9">
        <v>384</v>
      </c>
      <c r="C1686">
        <f t="shared" si="33"/>
        <v>2016</v>
      </c>
    </row>
    <row r="1687" spans="1:3" x14ac:dyDescent="0.35">
      <c r="A1687" s="16">
        <v>42544</v>
      </c>
      <c r="B1687" s="9">
        <v>365</v>
      </c>
      <c r="C1687">
        <f t="shared" si="33"/>
        <v>2016</v>
      </c>
    </row>
    <row r="1688" spans="1:3" x14ac:dyDescent="0.35">
      <c r="A1688" s="16">
        <v>42543</v>
      </c>
      <c r="B1688" s="9">
        <v>376</v>
      </c>
      <c r="C1688">
        <f t="shared" si="33"/>
        <v>2016</v>
      </c>
    </row>
    <row r="1689" spans="1:3" x14ac:dyDescent="0.35">
      <c r="A1689" s="16">
        <v>42542</v>
      </c>
      <c r="B1689" s="9">
        <v>378</v>
      </c>
      <c r="C1689">
        <f t="shared" si="33"/>
        <v>2016</v>
      </c>
    </row>
    <row r="1690" spans="1:3" x14ac:dyDescent="0.35">
      <c r="A1690" s="16">
        <v>42541</v>
      </c>
      <c r="B1690" s="9">
        <v>380</v>
      </c>
      <c r="C1690">
        <f t="shared" si="33"/>
        <v>2016</v>
      </c>
    </row>
    <row r="1691" spans="1:3" x14ac:dyDescent="0.35">
      <c r="A1691" s="16">
        <v>42538</v>
      </c>
      <c r="B1691" s="9">
        <v>392</v>
      </c>
      <c r="C1691">
        <f t="shared" si="33"/>
        <v>2016</v>
      </c>
    </row>
    <row r="1692" spans="1:3" x14ac:dyDescent="0.35">
      <c r="A1692" s="16">
        <v>42537</v>
      </c>
      <c r="B1692" s="9">
        <v>399</v>
      </c>
      <c r="C1692">
        <f t="shared" si="33"/>
        <v>2016</v>
      </c>
    </row>
    <row r="1693" spans="1:3" x14ac:dyDescent="0.35">
      <c r="A1693" s="16">
        <v>42536</v>
      </c>
      <c r="B1693" s="9">
        <v>395</v>
      </c>
      <c r="C1693">
        <f t="shared" si="33"/>
        <v>2016</v>
      </c>
    </row>
    <row r="1694" spans="1:3" x14ac:dyDescent="0.35">
      <c r="A1694" s="16">
        <v>42535</v>
      </c>
      <c r="B1694" s="9">
        <v>401</v>
      </c>
      <c r="C1694">
        <f t="shared" si="33"/>
        <v>2016</v>
      </c>
    </row>
    <row r="1695" spans="1:3" x14ac:dyDescent="0.35">
      <c r="A1695" s="16">
        <v>42534</v>
      </c>
      <c r="B1695" s="9">
        <v>389</v>
      </c>
      <c r="C1695">
        <f t="shared" si="33"/>
        <v>2016</v>
      </c>
    </row>
    <row r="1696" spans="1:3" x14ac:dyDescent="0.35">
      <c r="A1696" s="16">
        <v>42531</v>
      </c>
      <c r="B1696" s="9">
        <v>383</v>
      </c>
      <c r="C1696">
        <f t="shared" si="33"/>
        <v>2016</v>
      </c>
    </row>
    <row r="1697" spans="1:3" x14ac:dyDescent="0.35">
      <c r="A1697" s="16">
        <v>42530</v>
      </c>
      <c r="B1697" s="9">
        <v>375</v>
      </c>
      <c r="C1697">
        <f t="shared" si="33"/>
        <v>2016</v>
      </c>
    </row>
    <row r="1698" spans="1:3" x14ac:dyDescent="0.35">
      <c r="A1698" s="16">
        <v>42529</v>
      </c>
      <c r="B1698" s="9">
        <v>371</v>
      </c>
      <c r="C1698">
        <f t="shared" si="33"/>
        <v>2016</v>
      </c>
    </row>
    <row r="1699" spans="1:3" x14ac:dyDescent="0.35">
      <c r="A1699" s="16">
        <v>42528</v>
      </c>
      <c r="B1699" s="9">
        <v>377</v>
      </c>
      <c r="C1699">
        <f t="shared" si="33"/>
        <v>2016</v>
      </c>
    </row>
    <row r="1700" spans="1:3" x14ac:dyDescent="0.35">
      <c r="A1700" s="16">
        <v>42527</v>
      </c>
      <c r="B1700" s="9">
        <v>385</v>
      </c>
      <c r="C1700">
        <f t="shared" si="33"/>
        <v>2016</v>
      </c>
    </row>
    <row r="1701" spans="1:3" x14ac:dyDescent="0.35">
      <c r="A1701" s="16">
        <v>42524</v>
      </c>
      <c r="B1701" s="9">
        <v>391</v>
      </c>
      <c r="C1701">
        <f t="shared" si="33"/>
        <v>2016</v>
      </c>
    </row>
    <row r="1702" spans="1:3" x14ac:dyDescent="0.35">
      <c r="A1702" s="16">
        <v>42523</v>
      </c>
      <c r="B1702" s="9">
        <v>392</v>
      </c>
      <c r="C1702">
        <f t="shared" si="33"/>
        <v>2016</v>
      </c>
    </row>
    <row r="1703" spans="1:3" x14ac:dyDescent="0.35">
      <c r="A1703" s="16">
        <v>42522</v>
      </c>
      <c r="B1703" s="9">
        <v>401</v>
      </c>
      <c r="C1703">
        <f t="shared" si="33"/>
        <v>2016</v>
      </c>
    </row>
    <row r="1704" spans="1:3" x14ac:dyDescent="0.35">
      <c r="A1704" s="16">
        <v>42521</v>
      </c>
      <c r="B1704" s="9">
        <v>404</v>
      </c>
      <c r="C1704">
        <f t="shared" si="33"/>
        <v>2016</v>
      </c>
    </row>
    <row r="1705" spans="1:3" x14ac:dyDescent="0.35">
      <c r="A1705" s="16">
        <v>42520</v>
      </c>
      <c r="B1705" s="9">
        <v>391</v>
      </c>
      <c r="C1705">
        <f t="shared" si="33"/>
        <v>2016</v>
      </c>
    </row>
    <row r="1706" spans="1:3" x14ac:dyDescent="0.35">
      <c r="A1706" s="16">
        <v>42517</v>
      </c>
      <c r="B1706" s="9">
        <v>391</v>
      </c>
      <c r="C1706">
        <f t="shared" si="33"/>
        <v>2016</v>
      </c>
    </row>
    <row r="1707" spans="1:3" x14ac:dyDescent="0.35">
      <c r="A1707" s="16">
        <v>42516</v>
      </c>
      <c r="B1707" s="9">
        <v>395</v>
      </c>
      <c r="C1707">
        <f t="shared" si="33"/>
        <v>2016</v>
      </c>
    </row>
    <row r="1708" spans="1:3" x14ac:dyDescent="0.35">
      <c r="A1708" s="16">
        <v>42515</v>
      </c>
      <c r="B1708" s="9">
        <v>391</v>
      </c>
      <c r="C1708">
        <f t="shared" si="33"/>
        <v>2016</v>
      </c>
    </row>
    <row r="1709" spans="1:3" x14ac:dyDescent="0.35">
      <c r="A1709" s="16">
        <v>42514</v>
      </c>
      <c r="B1709" s="9">
        <v>395</v>
      </c>
      <c r="C1709">
        <f t="shared" si="33"/>
        <v>2016</v>
      </c>
    </row>
    <row r="1710" spans="1:3" x14ac:dyDescent="0.35">
      <c r="A1710" s="16">
        <v>42513</v>
      </c>
      <c r="B1710" s="9">
        <v>397</v>
      </c>
      <c r="C1710">
        <f t="shared" si="33"/>
        <v>2016</v>
      </c>
    </row>
    <row r="1711" spans="1:3" x14ac:dyDescent="0.35">
      <c r="A1711" s="16">
        <v>42510</v>
      </c>
      <c r="B1711" s="9">
        <v>392</v>
      </c>
      <c r="C1711">
        <f t="shared" si="33"/>
        <v>2016</v>
      </c>
    </row>
    <row r="1712" spans="1:3" x14ac:dyDescent="0.35">
      <c r="A1712" s="16">
        <v>42509</v>
      </c>
      <c r="B1712" s="9">
        <v>394</v>
      </c>
      <c r="C1712">
        <f t="shared" si="33"/>
        <v>2016</v>
      </c>
    </row>
    <row r="1713" spans="1:3" x14ac:dyDescent="0.35">
      <c r="A1713" s="16">
        <v>42508</v>
      </c>
      <c r="B1713" s="9">
        <v>377</v>
      </c>
      <c r="C1713">
        <f t="shared" si="33"/>
        <v>2016</v>
      </c>
    </row>
    <row r="1714" spans="1:3" x14ac:dyDescent="0.35">
      <c r="A1714" s="16">
        <v>42507</v>
      </c>
      <c r="B1714" s="9">
        <v>374</v>
      </c>
      <c r="C1714">
        <f t="shared" si="33"/>
        <v>2016</v>
      </c>
    </row>
    <row r="1715" spans="1:3" x14ac:dyDescent="0.35">
      <c r="A1715" s="16">
        <v>42506</v>
      </c>
      <c r="B1715" s="9">
        <v>375</v>
      </c>
      <c r="C1715">
        <f t="shared" si="33"/>
        <v>2016</v>
      </c>
    </row>
    <row r="1716" spans="1:3" x14ac:dyDescent="0.35">
      <c r="A1716" s="16">
        <v>42503</v>
      </c>
      <c r="B1716" s="9">
        <v>382</v>
      </c>
      <c r="C1716">
        <f t="shared" si="33"/>
        <v>2016</v>
      </c>
    </row>
    <row r="1717" spans="1:3" x14ac:dyDescent="0.35">
      <c r="A1717" s="16">
        <v>42502</v>
      </c>
      <c r="B1717" s="9">
        <v>376</v>
      </c>
      <c r="C1717">
        <f t="shared" si="33"/>
        <v>2016</v>
      </c>
    </row>
    <row r="1718" spans="1:3" x14ac:dyDescent="0.35">
      <c r="A1718" s="16">
        <v>42501</v>
      </c>
      <c r="B1718" s="9">
        <v>379</v>
      </c>
      <c r="C1718">
        <f t="shared" si="33"/>
        <v>2016</v>
      </c>
    </row>
    <row r="1719" spans="1:3" x14ac:dyDescent="0.35">
      <c r="A1719" s="16">
        <v>42500</v>
      </c>
      <c r="B1719" s="9">
        <v>387</v>
      </c>
      <c r="C1719">
        <f t="shared" si="33"/>
        <v>2016</v>
      </c>
    </row>
    <row r="1720" spans="1:3" x14ac:dyDescent="0.35">
      <c r="A1720" s="16">
        <v>42499</v>
      </c>
      <c r="B1720" s="9">
        <v>394</v>
      </c>
      <c r="C1720">
        <f t="shared" si="33"/>
        <v>2016</v>
      </c>
    </row>
    <row r="1721" spans="1:3" x14ac:dyDescent="0.35">
      <c r="A1721" s="16">
        <v>42496</v>
      </c>
      <c r="B1721" s="9">
        <v>390</v>
      </c>
      <c r="C1721">
        <f t="shared" si="33"/>
        <v>2016</v>
      </c>
    </row>
    <row r="1722" spans="1:3" x14ac:dyDescent="0.35">
      <c r="A1722" s="16">
        <v>42495</v>
      </c>
      <c r="B1722" s="9">
        <v>397</v>
      </c>
      <c r="C1722">
        <f t="shared" si="33"/>
        <v>2016</v>
      </c>
    </row>
    <row r="1723" spans="1:3" x14ac:dyDescent="0.35">
      <c r="A1723" s="16">
        <v>42494</v>
      </c>
      <c r="B1723" s="9">
        <v>395</v>
      </c>
      <c r="C1723">
        <f t="shared" si="33"/>
        <v>2016</v>
      </c>
    </row>
    <row r="1724" spans="1:3" x14ac:dyDescent="0.35">
      <c r="A1724" s="16">
        <v>42493</v>
      </c>
      <c r="B1724" s="9">
        <v>392</v>
      </c>
      <c r="C1724">
        <f t="shared" si="33"/>
        <v>2016</v>
      </c>
    </row>
    <row r="1725" spans="1:3" x14ac:dyDescent="0.35">
      <c r="A1725" s="16">
        <v>42492</v>
      </c>
      <c r="B1725" s="9">
        <v>382</v>
      </c>
      <c r="C1725">
        <f t="shared" si="33"/>
        <v>2016</v>
      </c>
    </row>
    <row r="1726" spans="1:3" x14ac:dyDescent="0.35">
      <c r="A1726" s="16">
        <v>42489</v>
      </c>
      <c r="B1726" s="9">
        <v>385</v>
      </c>
      <c r="C1726">
        <f t="shared" si="33"/>
        <v>2016</v>
      </c>
    </row>
    <row r="1727" spans="1:3" x14ac:dyDescent="0.35">
      <c r="A1727" s="16">
        <v>42488</v>
      </c>
      <c r="B1727" s="9">
        <v>385</v>
      </c>
      <c r="C1727">
        <f t="shared" si="33"/>
        <v>2016</v>
      </c>
    </row>
    <row r="1728" spans="1:3" x14ac:dyDescent="0.35">
      <c r="A1728" s="16">
        <v>42487</v>
      </c>
      <c r="B1728" s="9">
        <v>382</v>
      </c>
      <c r="C1728">
        <f t="shared" si="33"/>
        <v>2016</v>
      </c>
    </row>
    <row r="1729" spans="1:3" x14ac:dyDescent="0.35">
      <c r="A1729" s="16">
        <v>42486</v>
      </c>
      <c r="B1729" s="9">
        <v>397</v>
      </c>
      <c r="C1729">
        <f t="shared" si="33"/>
        <v>2016</v>
      </c>
    </row>
    <row r="1730" spans="1:3" x14ac:dyDescent="0.35">
      <c r="A1730" s="16">
        <v>42485</v>
      </c>
      <c r="B1730" s="9">
        <v>403</v>
      </c>
      <c r="C1730">
        <f t="shared" si="33"/>
        <v>2016</v>
      </c>
    </row>
    <row r="1731" spans="1:3" x14ac:dyDescent="0.35">
      <c r="A1731" s="16">
        <v>42482</v>
      </c>
      <c r="B1731" s="9">
        <v>406</v>
      </c>
      <c r="C1731">
        <f t="shared" ref="C1731:C1794" si="34">YEAR(A1731)</f>
        <v>2016</v>
      </c>
    </row>
    <row r="1732" spans="1:3" x14ac:dyDescent="0.35">
      <c r="A1732" s="16">
        <v>42481</v>
      </c>
      <c r="B1732" s="9">
        <v>400</v>
      </c>
      <c r="C1732">
        <f t="shared" si="34"/>
        <v>2016</v>
      </c>
    </row>
    <row r="1733" spans="1:3" x14ac:dyDescent="0.35">
      <c r="A1733" s="16">
        <v>42480</v>
      </c>
      <c r="B1733" s="9">
        <v>385</v>
      </c>
      <c r="C1733">
        <f t="shared" si="34"/>
        <v>2016</v>
      </c>
    </row>
    <row r="1734" spans="1:3" x14ac:dyDescent="0.35">
      <c r="A1734" s="16">
        <v>42479</v>
      </c>
      <c r="B1734" s="9">
        <v>390</v>
      </c>
      <c r="C1734">
        <f t="shared" si="34"/>
        <v>2016</v>
      </c>
    </row>
    <row r="1735" spans="1:3" x14ac:dyDescent="0.35">
      <c r="A1735" s="16">
        <v>42478</v>
      </c>
      <c r="B1735" s="9">
        <v>394</v>
      </c>
      <c r="C1735">
        <f t="shared" si="34"/>
        <v>2016</v>
      </c>
    </row>
    <row r="1736" spans="1:3" x14ac:dyDescent="0.35">
      <c r="A1736" s="16">
        <v>42475</v>
      </c>
      <c r="B1736" s="9">
        <v>387</v>
      </c>
      <c r="C1736">
        <f t="shared" si="34"/>
        <v>2016</v>
      </c>
    </row>
    <row r="1737" spans="1:3" x14ac:dyDescent="0.35">
      <c r="A1737" s="16">
        <v>42474</v>
      </c>
      <c r="B1737" s="9">
        <v>382</v>
      </c>
      <c r="C1737">
        <f t="shared" si="34"/>
        <v>2016</v>
      </c>
    </row>
    <row r="1738" spans="1:3" x14ac:dyDescent="0.35">
      <c r="A1738" s="16">
        <v>42473</v>
      </c>
      <c r="B1738" s="9">
        <v>387</v>
      </c>
      <c r="C1738">
        <f t="shared" si="34"/>
        <v>2016</v>
      </c>
    </row>
    <row r="1739" spans="1:3" x14ac:dyDescent="0.35">
      <c r="A1739" s="16">
        <v>42472</v>
      </c>
      <c r="B1739" s="9">
        <v>397</v>
      </c>
      <c r="C1739">
        <f t="shared" si="34"/>
        <v>2016</v>
      </c>
    </row>
    <row r="1740" spans="1:3" x14ac:dyDescent="0.35">
      <c r="A1740" s="16">
        <v>42471</v>
      </c>
      <c r="B1740" s="9">
        <v>416</v>
      </c>
      <c r="C1740">
        <f t="shared" si="34"/>
        <v>2016</v>
      </c>
    </row>
    <row r="1741" spans="1:3" x14ac:dyDescent="0.35">
      <c r="A1741" s="16">
        <v>42468</v>
      </c>
      <c r="B1741" s="9">
        <v>440</v>
      </c>
      <c r="C1741">
        <f t="shared" si="34"/>
        <v>2016</v>
      </c>
    </row>
    <row r="1742" spans="1:3" x14ac:dyDescent="0.35">
      <c r="A1742" s="16">
        <v>42467</v>
      </c>
      <c r="B1742" s="9">
        <v>449</v>
      </c>
      <c r="C1742">
        <f t="shared" si="34"/>
        <v>2016</v>
      </c>
    </row>
    <row r="1743" spans="1:3" x14ac:dyDescent="0.35">
      <c r="A1743" s="16">
        <v>42466</v>
      </c>
      <c r="B1743" s="9">
        <v>430</v>
      </c>
      <c r="C1743">
        <f t="shared" si="34"/>
        <v>2016</v>
      </c>
    </row>
    <row r="1744" spans="1:3" x14ac:dyDescent="0.35">
      <c r="A1744" s="16">
        <v>42465</v>
      </c>
      <c r="B1744" s="9">
        <v>432</v>
      </c>
      <c r="C1744">
        <f t="shared" si="34"/>
        <v>2016</v>
      </c>
    </row>
    <row r="1745" spans="1:3" x14ac:dyDescent="0.35">
      <c r="A1745" s="16">
        <v>42464</v>
      </c>
      <c r="B1745" s="9">
        <v>413</v>
      </c>
      <c r="C1745">
        <f t="shared" si="34"/>
        <v>2016</v>
      </c>
    </row>
    <row r="1746" spans="1:3" x14ac:dyDescent="0.35">
      <c r="A1746" s="16">
        <v>42461</v>
      </c>
      <c r="B1746" s="9">
        <v>404</v>
      </c>
      <c r="C1746">
        <f t="shared" si="34"/>
        <v>2016</v>
      </c>
    </row>
    <row r="1747" spans="1:3" x14ac:dyDescent="0.35">
      <c r="A1747" s="16">
        <v>42460</v>
      </c>
      <c r="B1747" s="9">
        <v>409</v>
      </c>
      <c r="C1747">
        <f t="shared" si="34"/>
        <v>2016</v>
      </c>
    </row>
    <row r="1748" spans="1:3" x14ac:dyDescent="0.35">
      <c r="A1748" s="16">
        <v>42459</v>
      </c>
      <c r="B1748" s="9">
        <v>404</v>
      </c>
      <c r="C1748">
        <f t="shared" si="34"/>
        <v>2016</v>
      </c>
    </row>
    <row r="1749" spans="1:3" x14ac:dyDescent="0.35">
      <c r="A1749" s="16">
        <v>42458</v>
      </c>
      <c r="B1749" s="9">
        <v>416</v>
      </c>
      <c r="C1749">
        <f t="shared" si="34"/>
        <v>2016</v>
      </c>
    </row>
    <row r="1750" spans="1:3" x14ac:dyDescent="0.35">
      <c r="A1750" s="16">
        <v>42457</v>
      </c>
      <c r="B1750" s="9">
        <v>419</v>
      </c>
      <c r="C1750">
        <f t="shared" si="34"/>
        <v>2016</v>
      </c>
    </row>
    <row r="1751" spans="1:3" x14ac:dyDescent="0.35">
      <c r="A1751" s="16">
        <v>42453</v>
      </c>
      <c r="B1751" s="9">
        <v>427</v>
      </c>
      <c r="C1751">
        <f t="shared" si="34"/>
        <v>2016</v>
      </c>
    </row>
    <row r="1752" spans="1:3" x14ac:dyDescent="0.35">
      <c r="A1752" s="16">
        <v>42452</v>
      </c>
      <c r="B1752" s="9">
        <v>419</v>
      </c>
      <c r="C1752">
        <f t="shared" si="34"/>
        <v>2016</v>
      </c>
    </row>
    <row r="1753" spans="1:3" x14ac:dyDescent="0.35">
      <c r="A1753" s="16">
        <v>42451</v>
      </c>
      <c r="B1753" s="9">
        <v>391</v>
      </c>
      <c r="C1753">
        <f t="shared" si="34"/>
        <v>2016</v>
      </c>
    </row>
    <row r="1754" spans="1:3" x14ac:dyDescent="0.35">
      <c r="A1754" s="16">
        <v>42450</v>
      </c>
      <c r="B1754" s="9">
        <v>392</v>
      </c>
      <c r="C1754">
        <f t="shared" si="34"/>
        <v>2016</v>
      </c>
    </row>
    <row r="1755" spans="1:3" x14ac:dyDescent="0.35">
      <c r="A1755" s="16">
        <v>42447</v>
      </c>
      <c r="B1755" s="9">
        <v>409</v>
      </c>
      <c r="C1755">
        <f t="shared" si="34"/>
        <v>2016</v>
      </c>
    </row>
    <row r="1756" spans="1:3" x14ac:dyDescent="0.35">
      <c r="A1756" s="16">
        <v>42446</v>
      </c>
      <c r="B1756" s="9">
        <v>435</v>
      </c>
      <c r="C1756">
        <f t="shared" si="34"/>
        <v>2016</v>
      </c>
    </row>
    <row r="1757" spans="1:3" x14ac:dyDescent="0.35">
      <c r="A1757" s="16">
        <v>42445</v>
      </c>
      <c r="B1757" s="9">
        <v>457</v>
      </c>
      <c r="C1757">
        <f t="shared" si="34"/>
        <v>2016</v>
      </c>
    </row>
    <row r="1758" spans="1:3" x14ac:dyDescent="0.35">
      <c r="A1758" s="16">
        <v>42444</v>
      </c>
      <c r="B1758" s="9">
        <v>459</v>
      </c>
      <c r="C1758">
        <f t="shared" si="34"/>
        <v>2016</v>
      </c>
    </row>
    <row r="1759" spans="1:3" x14ac:dyDescent="0.35">
      <c r="A1759" s="16">
        <v>42443</v>
      </c>
      <c r="B1759" s="9">
        <v>437</v>
      </c>
      <c r="C1759">
        <f t="shared" si="34"/>
        <v>2016</v>
      </c>
    </row>
    <row r="1760" spans="1:3" x14ac:dyDescent="0.35">
      <c r="A1760" s="16">
        <v>42440</v>
      </c>
      <c r="B1760" s="9">
        <v>427</v>
      </c>
      <c r="C1760">
        <f t="shared" si="34"/>
        <v>2016</v>
      </c>
    </row>
    <row r="1761" spans="1:3" x14ac:dyDescent="0.35">
      <c r="A1761" s="16">
        <v>42439</v>
      </c>
      <c r="B1761" s="9">
        <v>434</v>
      </c>
      <c r="C1761">
        <f t="shared" si="34"/>
        <v>2016</v>
      </c>
    </row>
    <row r="1762" spans="1:3" x14ac:dyDescent="0.35">
      <c r="A1762" s="16">
        <v>42438</v>
      </c>
      <c r="B1762" s="9">
        <v>440</v>
      </c>
      <c r="C1762">
        <f t="shared" si="34"/>
        <v>2016</v>
      </c>
    </row>
    <row r="1763" spans="1:3" x14ac:dyDescent="0.35">
      <c r="A1763" s="16">
        <v>42437</v>
      </c>
      <c r="B1763" s="9">
        <v>460</v>
      </c>
      <c r="C1763">
        <f t="shared" si="34"/>
        <v>2016</v>
      </c>
    </row>
    <row r="1764" spans="1:3" x14ac:dyDescent="0.35">
      <c r="A1764" s="16">
        <v>42436</v>
      </c>
      <c r="B1764" s="9">
        <v>452</v>
      </c>
      <c r="C1764">
        <f t="shared" si="34"/>
        <v>2016</v>
      </c>
    </row>
    <row r="1765" spans="1:3" x14ac:dyDescent="0.35">
      <c r="A1765" s="16">
        <v>42433</v>
      </c>
      <c r="B1765" s="9">
        <v>447</v>
      </c>
      <c r="C1765">
        <f t="shared" si="34"/>
        <v>2016</v>
      </c>
    </row>
    <row r="1766" spans="1:3" x14ac:dyDescent="0.35">
      <c r="A1766" s="16">
        <v>42432</v>
      </c>
      <c r="B1766" s="9">
        <v>462</v>
      </c>
      <c r="C1766">
        <f t="shared" si="34"/>
        <v>2016</v>
      </c>
    </row>
    <row r="1767" spans="1:3" x14ac:dyDescent="0.35">
      <c r="A1767" s="16">
        <v>42431</v>
      </c>
      <c r="B1767" s="9">
        <v>485</v>
      </c>
      <c r="C1767">
        <f t="shared" si="34"/>
        <v>2016</v>
      </c>
    </row>
    <row r="1768" spans="1:3" x14ac:dyDescent="0.35">
      <c r="A1768" s="16">
        <v>42430</v>
      </c>
      <c r="B1768" s="9">
        <v>489</v>
      </c>
      <c r="C1768">
        <f t="shared" si="34"/>
        <v>2016</v>
      </c>
    </row>
    <row r="1769" spans="1:3" x14ac:dyDescent="0.35">
      <c r="A1769" s="16">
        <v>42429</v>
      </c>
      <c r="B1769" s="9">
        <v>502</v>
      </c>
      <c r="C1769">
        <f t="shared" si="34"/>
        <v>2016</v>
      </c>
    </row>
    <row r="1770" spans="1:3" x14ac:dyDescent="0.35">
      <c r="A1770" s="16">
        <v>42426</v>
      </c>
      <c r="B1770" s="9">
        <v>506</v>
      </c>
      <c r="C1770">
        <f t="shared" si="34"/>
        <v>2016</v>
      </c>
    </row>
    <row r="1771" spans="1:3" x14ac:dyDescent="0.35">
      <c r="A1771" s="16">
        <v>42425</v>
      </c>
      <c r="B1771" s="9">
        <v>513</v>
      </c>
      <c r="C1771">
        <f t="shared" si="34"/>
        <v>2016</v>
      </c>
    </row>
    <row r="1772" spans="1:3" x14ac:dyDescent="0.35">
      <c r="A1772" s="16">
        <v>42424</v>
      </c>
      <c r="B1772" s="9">
        <v>506</v>
      </c>
      <c r="C1772">
        <f t="shared" si="34"/>
        <v>2016</v>
      </c>
    </row>
    <row r="1773" spans="1:3" x14ac:dyDescent="0.35">
      <c r="A1773" s="16">
        <v>42423</v>
      </c>
      <c r="B1773" s="9">
        <v>519</v>
      </c>
      <c r="C1773">
        <f t="shared" si="34"/>
        <v>2016</v>
      </c>
    </row>
    <row r="1774" spans="1:3" x14ac:dyDescent="0.35">
      <c r="A1774" s="16">
        <v>42422</v>
      </c>
      <c r="B1774" s="9">
        <v>521</v>
      </c>
      <c r="C1774">
        <f t="shared" si="34"/>
        <v>2016</v>
      </c>
    </row>
    <row r="1775" spans="1:3" x14ac:dyDescent="0.35">
      <c r="A1775" s="16">
        <v>42419</v>
      </c>
      <c r="B1775" s="9">
        <v>529</v>
      </c>
      <c r="C1775">
        <f t="shared" si="34"/>
        <v>2016</v>
      </c>
    </row>
    <row r="1776" spans="1:3" x14ac:dyDescent="0.35">
      <c r="A1776" s="16">
        <v>42418</v>
      </c>
      <c r="B1776" s="9">
        <v>539</v>
      </c>
      <c r="C1776">
        <f t="shared" si="34"/>
        <v>2016</v>
      </c>
    </row>
    <row r="1777" spans="1:3" x14ac:dyDescent="0.35">
      <c r="A1777" s="16">
        <v>42417</v>
      </c>
      <c r="B1777" s="9">
        <v>535</v>
      </c>
      <c r="C1777">
        <f t="shared" si="34"/>
        <v>2016</v>
      </c>
    </row>
    <row r="1778" spans="1:3" x14ac:dyDescent="0.35">
      <c r="A1778" s="16">
        <v>42416</v>
      </c>
      <c r="B1778" s="9">
        <v>549</v>
      </c>
      <c r="C1778">
        <f t="shared" si="34"/>
        <v>2016</v>
      </c>
    </row>
    <row r="1779" spans="1:3" x14ac:dyDescent="0.35">
      <c r="A1779" s="16">
        <v>42415</v>
      </c>
      <c r="B1779" s="9">
        <v>554</v>
      </c>
      <c r="C1779">
        <f t="shared" si="34"/>
        <v>2016</v>
      </c>
    </row>
    <row r="1780" spans="1:3" x14ac:dyDescent="0.35">
      <c r="A1780" s="16">
        <v>42412</v>
      </c>
      <c r="B1780" s="9">
        <v>554</v>
      </c>
      <c r="C1780">
        <f t="shared" si="34"/>
        <v>2016</v>
      </c>
    </row>
    <row r="1781" spans="1:3" x14ac:dyDescent="0.35">
      <c r="A1781" s="16">
        <v>42411</v>
      </c>
      <c r="B1781" s="9">
        <v>569</v>
      </c>
      <c r="C1781">
        <f t="shared" si="34"/>
        <v>2016</v>
      </c>
    </row>
    <row r="1782" spans="1:3" x14ac:dyDescent="0.35">
      <c r="A1782" s="16">
        <v>42410</v>
      </c>
      <c r="B1782" s="9">
        <v>554</v>
      </c>
      <c r="C1782">
        <f t="shared" si="34"/>
        <v>2016</v>
      </c>
    </row>
    <row r="1783" spans="1:3" x14ac:dyDescent="0.35">
      <c r="A1783" s="16">
        <v>42409</v>
      </c>
      <c r="B1783" s="9">
        <v>547</v>
      </c>
      <c r="C1783">
        <f t="shared" si="34"/>
        <v>2016</v>
      </c>
    </row>
    <row r="1784" spans="1:3" x14ac:dyDescent="0.35">
      <c r="A1784" s="16">
        <v>42408</v>
      </c>
      <c r="B1784" s="9">
        <v>548</v>
      </c>
      <c r="C1784">
        <f t="shared" si="34"/>
        <v>2016</v>
      </c>
    </row>
    <row r="1785" spans="1:3" x14ac:dyDescent="0.35">
      <c r="A1785" s="16">
        <v>42405</v>
      </c>
      <c r="B1785" s="9">
        <v>521</v>
      </c>
      <c r="C1785">
        <f t="shared" si="34"/>
        <v>2016</v>
      </c>
    </row>
    <row r="1786" spans="1:3" x14ac:dyDescent="0.35">
      <c r="A1786" s="16">
        <v>42404</v>
      </c>
      <c r="B1786" s="9">
        <v>523</v>
      </c>
      <c r="C1786">
        <f t="shared" si="34"/>
        <v>2016</v>
      </c>
    </row>
    <row r="1787" spans="1:3" x14ac:dyDescent="0.35">
      <c r="A1787" s="16">
        <v>42403</v>
      </c>
      <c r="B1787" s="9">
        <v>525</v>
      </c>
      <c r="C1787">
        <f t="shared" si="34"/>
        <v>2016</v>
      </c>
    </row>
    <row r="1788" spans="1:3" x14ac:dyDescent="0.35">
      <c r="A1788" s="16">
        <v>42402</v>
      </c>
      <c r="B1788" s="9">
        <v>530</v>
      </c>
      <c r="C1788">
        <f t="shared" si="34"/>
        <v>2016</v>
      </c>
    </row>
    <row r="1789" spans="1:3" x14ac:dyDescent="0.35">
      <c r="A1789" s="16">
        <v>42401</v>
      </c>
      <c r="B1789" s="9">
        <v>513</v>
      </c>
      <c r="C1789">
        <f t="shared" si="34"/>
        <v>2016</v>
      </c>
    </row>
    <row r="1790" spans="1:3" x14ac:dyDescent="0.35">
      <c r="A1790" s="16">
        <v>42398</v>
      </c>
      <c r="B1790" s="9">
        <v>512</v>
      </c>
      <c r="C1790">
        <f t="shared" si="34"/>
        <v>2016</v>
      </c>
    </row>
    <row r="1791" spans="1:3" x14ac:dyDescent="0.35">
      <c r="A1791" s="16">
        <v>42397</v>
      </c>
      <c r="B1791" s="9">
        <v>499</v>
      </c>
      <c r="C1791">
        <f t="shared" si="34"/>
        <v>2016</v>
      </c>
    </row>
    <row r="1792" spans="1:3" x14ac:dyDescent="0.35">
      <c r="A1792" s="16">
        <v>42396</v>
      </c>
      <c r="B1792" s="9">
        <v>503</v>
      </c>
      <c r="C1792">
        <f t="shared" si="34"/>
        <v>2016</v>
      </c>
    </row>
    <row r="1793" spans="1:3" x14ac:dyDescent="0.35">
      <c r="A1793" s="16">
        <v>42395</v>
      </c>
      <c r="B1793" s="9">
        <v>511</v>
      </c>
      <c r="C1793">
        <f t="shared" si="34"/>
        <v>2016</v>
      </c>
    </row>
    <row r="1794" spans="1:3" x14ac:dyDescent="0.35">
      <c r="A1794" s="16">
        <v>42394</v>
      </c>
      <c r="B1794" s="9">
        <v>523</v>
      </c>
      <c r="C1794">
        <f t="shared" si="34"/>
        <v>2016</v>
      </c>
    </row>
    <row r="1795" spans="1:3" x14ac:dyDescent="0.35">
      <c r="A1795" s="16">
        <v>42391</v>
      </c>
      <c r="B1795" s="9">
        <v>514</v>
      </c>
      <c r="C1795">
        <f t="shared" ref="C1795:C1858" si="35">YEAR(A1795)</f>
        <v>2016</v>
      </c>
    </row>
    <row r="1796" spans="1:3" x14ac:dyDescent="0.35">
      <c r="A1796" s="16">
        <v>42390</v>
      </c>
      <c r="B1796" s="9">
        <v>534</v>
      </c>
      <c r="C1796">
        <f t="shared" si="35"/>
        <v>2016</v>
      </c>
    </row>
    <row r="1797" spans="1:3" x14ac:dyDescent="0.35">
      <c r="A1797" s="16">
        <v>42389</v>
      </c>
      <c r="B1797" s="9">
        <v>544</v>
      </c>
      <c r="C1797">
        <f t="shared" si="35"/>
        <v>2016</v>
      </c>
    </row>
    <row r="1798" spans="1:3" x14ac:dyDescent="0.35">
      <c r="A1798" s="16">
        <v>42388</v>
      </c>
      <c r="B1798" s="9">
        <v>533</v>
      </c>
      <c r="C1798">
        <f t="shared" si="35"/>
        <v>2016</v>
      </c>
    </row>
    <row r="1799" spans="1:3" x14ac:dyDescent="0.35">
      <c r="A1799" s="16">
        <v>42387</v>
      </c>
      <c r="B1799" s="9">
        <v>533</v>
      </c>
      <c r="C1799">
        <f t="shared" si="35"/>
        <v>2016</v>
      </c>
    </row>
    <row r="1800" spans="1:3" x14ac:dyDescent="0.35">
      <c r="A1800" s="16">
        <v>42384</v>
      </c>
      <c r="B1800" s="9">
        <v>533</v>
      </c>
      <c r="C1800">
        <f t="shared" si="35"/>
        <v>2016</v>
      </c>
    </row>
    <row r="1801" spans="1:3" x14ac:dyDescent="0.35">
      <c r="A1801" s="16">
        <v>42383</v>
      </c>
      <c r="B1801" s="9">
        <v>512</v>
      </c>
      <c r="C1801">
        <f t="shared" si="35"/>
        <v>2016</v>
      </c>
    </row>
    <row r="1802" spans="1:3" x14ac:dyDescent="0.35">
      <c r="A1802" s="16">
        <v>42382</v>
      </c>
      <c r="B1802" s="9">
        <v>521</v>
      </c>
      <c r="C1802">
        <f t="shared" si="35"/>
        <v>2016</v>
      </c>
    </row>
    <row r="1803" spans="1:3" x14ac:dyDescent="0.35">
      <c r="A1803" s="16">
        <v>42381</v>
      </c>
      <c r="B1803" s="9">
        <v>506</v>
      </c>
      <c r="C1803">
        <f t="shared" si="35"/>
        <v>2016</v>
      </c>
    </row>
    <row r="1804" spans="1:3" x14ac:dyDescent="0.35">
      <c r="A1804" s="16">
        <v>42380</v>
      </c>
      <c r="B1804" s="9">
        <v>506</v>
      </c>
      <c r="C1804">
        <f t="shared" si="35"/>
        <v>2016</v>
      </c>
    </row>
    <row r="1805" spans="1:3" x14ac:dyDescent="0.35">
      <c r="A1805" s="16">
        <v>42377</v>
      </c>
      <c r="B1805" s="9">
        <v>512</v>
      </c>
      <c r="C1805">
        <f t="shared" si="35"/>
        <v>2016</v>
      </c>
    </row>
    <row r="1806" spans="1:3" x14ac:dyDescent="0.35">
      <c r="A1806" s="16">
        <v>42376</v>
      </c>
      <c r="B1806" s="9">
        <v>506</v>
      </c>
      <c r="C1806">
        <f t="shared" si="35"/>
        <v>2016</v>
      </c>
    </row>
    <row r="1807" spans="1:3" x14ac:dyDescent="0.35">
      <c r="A1807" s="16">
        <v>42375</v>
      </c>
      <c r="B1807" s="9">
        <v>505</v>
      </c>
      <c r="C1807">
        <f t="shared" si="35"/>
        <v>2016</v>
      </c>
    </row>
    <row r="1808" spans="1:3" x14ac:dyDescent="0.35">
      <c r="A1808" s="16">
        <v>42374</v>
      </c>
      <c r="B1808" s="9">
        <v>497</v>
      </c>
      <c r="C1808">
        <f t="shared" si="35"/>
        <v>2016</v>
      </c>
    </row>
    <row r="1809" spans="1:3" x14ac:dyDescent="0.35">
      <c r="A1809" s="16">
        <v>42373</v>
      </c>
      <c r="B1809" s="9">
        <v>532</v>
      </c>
      <c r="C1809">
        <f t="shared" si="35"/>
        <v>2016</v>
      </c>
    </row>
    <row r="1810" spans="1:3" x14ac:dyDescent="0.35">
      <c r="A1810" s="16">
        <v>42369</v>
      </c>
      <c r="B1810" s="9">
        <v>523</v>
      </c>
      <c r="C1810">
        <f t="shared" si="35"/>
        <v>2015</v>
      </c>
    </row>
    <row r="1811" spans="1:3" x14ac:dyDescent="0.35">
      <c r="A1811" s="16">
        <v>42368</v>
      </c>
      <c r="B1811" s="9">
        <v>516</v>
      </c>
      <c r="C1811">
        <f t="shared" si="35"/>
        <v>2015</v>
      </c>
    </row>
    <row r="1812" spans="1:3" x14ac:dyDescent="0.35">
      <c r="A1812" s="16">
        <v>42367</v>
      </c>
      <c r="B1812" s="9">
        <v>506</v>
      </c>
      <c r="C1812">
        <f t="shared" si="35"/>
        <v>2015</v>
      </c>
    </row>
    <row r="1813" spans="1:3" x14ac:dyDescent="0.35">
      <c r="A1813" s="16">
        <v>42366</v>
      </c>
      <c r="B1813" s="9">
        <v>520</v>
      </c>
      <c r="C1813">
        <f t="shared" si="35"/>
        <v>2015</v>
      </c>
    </row>
    <row r="1814" spans="1:3" x14ac:dyDescent="0.35">
      <c r="A1814" s="16">
        <v>42362</v>
      </c>
      <c r="B1814" s="9">
        <v>518</v>
      </c>
      <c r="C1814">
        <f t="shared" si="35"/>
        <v>2015</v>
      </c>
    </row>
    <row r="1815" spans="1:3" x14ac:dyDescent="0.35">
      <c r="A1815" s="16">
        <v>42361</v>
      </c>
      <c r="B1815" s="9">
        <v>516</v>
      </c>
      <c r="C1815">
        <f t="shared" si="35"/>
        <v>2015</v>
      </c>
    </row>
    <row r="1816" spans="1:3" x14ac:dyDescent="0.35">
      <c r="A1816" s="16">
        <v>42360</v>
      </c>
      <c r="B1816" s="9">
        <v>521</v>
      </c>
      <c r="C1816">
        <f t="shared" si="35"/>
        <v>2015</v>
      </c>
    </row>
    <row r="1817" spans="1:3" x14ac:dyDescent="0.35">
      <c r="A1817" s="16">
        <v>42359</v>
      </c>
      <c r="B1817" s="9">
        <v>545</v>
      </c>
      <c r="C1817">
        <f t="shared" si="35"/>
        <v>2015</v>
      </c>
    </row>
    <row r="1818" spans="1:3" x14ac:dyDescent="0.35">
      <c r="A1818" s="16">
        <v>42356</v>
      </c>
      <c r="B1818" s="9">
        <v>524</v>
      </c>
      <c r="C1818">
        <f t="shared" si="35"/>
        <v>2015</v>
      </c>
    </row>
    <row r="1819" spans="1:3" x14ac:dyDescent="0.35">
      <c r="A1819" s="16">
        <v>42355</v>
      </c>
      <c r="B1819" s="9">
        <v>498</v>
      </c>
      <c r="C1819">
        <f t="shared" si="35"/>
        <v>2015</v>
      </c>
    </row>
    <row r="1820" spans="1:3" x14ac:dyDescent="0.35">
      <c r="A1820" s="16">
        <v>42354</v>
      </c>
      <c r="B1820" s="9">
        <v>499</v>
      </c>
      <c r="C1820">
        <f t="shared" si="35"/>
        <v>2015</v>
      </c>
    </row>
    <row r="1821" spans="1:3" x14ac:dyDescent="0.35">
      <c r="A1821" s="16">
        <v>42353</v>
      </c>
      <c r="B1821" s="9">
        <v>465</v>
      </c>
      <c r="C1821">
        <f t="shared" si="35"/>
        <v>2015</v>
      </c>
    </row>
    <row r="1822" spans="1:3" x14ac:dyDescent="0.35">
      <c r="A1822" s="16">
        <v>42352</v>
      </c>
      <c r="B1822" s="9">
        <v>484</v>
      </c>
      <c r="C1822">
        <f t="shared" si="35"/>
        <v>2015</v>
      </c>
    </row>
    <row r="1823" spans="1:3" x14ac:dyDescent="0.35">
      <c r="A1823" s="16">
        <v>42349</v>
      </c>
      <c r="B1823" s="9">
        <v>501</v>
      </c>
      <c r="C1823">
        <f t="shared" si="35"/>
        <v>2015</v>
      </c>
    </row>
    <row r="1824" spans="1:3" x14ac:dyDescent="0.35">
      <c r="A1824" s="16">
        <v>42348</v>
      </c>
      <c r="B1824" s="9">
        <v>473</v>
      </c>
      <c r="C1824">
        <f t="shared" si="35"/>
        <v>2015</v>
      </c>
    </row>
    <row r="1825" spans="1:3" x14ac:dyDescent="0.35">
      <c r="A1825" s="16">
        <v>42347</v>
      </c>
      <c r="B1825" s="9">
        <v>458</v>
      </c>
      <c r="C1825">
        <f t="shared" si="35"/>
        <v>2015</v>
      </c>
    </row>
    <row r="1826" spans="1:3" x14ac:dyDescent="0.35">
      <c r="A1826" s="16">
        <v>42346</v>
      </c>
      <c r="B1826" s="9">
        <v>453</v>
      </c>
      <c r="C1826">
        <f t="shared" si="35"/>
        <v>2015</v>
      </c>
    </row>
    <row r="1827" spans="1:3" x14ac:dyDescent="0.35">
      <c r="A1827" s="16">
        <v>42345</v>
      </c>
      <c r="B1827" s="9">
        <v>444</v>
      </c>
      <c r="C1827">
        <f t="shared" si="35"/>
        <v>2015</v>
      </c>
    </row>
    <row r="1828" spans="1:3" x14ac:dyDescent="0.35">
      <c r="A1828" s="16">
        <v>42342</v>
      </c>
      <c r="B1828" s="9">
        <v>435</v>
      </c>
      <c r="C1828">
        <f t="shared" si="35"/>
        <v>2015</v>
      </c>
    </row>
    <row r="1829" spans="1:3" x14ac:dyDescent="0.35">
      <c r="A1829" s="16">
        <v>42341</v>
      </c>
      <c r="B1829" s="9">
        <v>438</v>
      </c>
      <c r="C1829">
        <f t="shared" si="35"/>
        <v>2015</v>
      </c>
    </row>
    <row r="1830" spans="1:3" x14ac:dyDescent="0.35">
      <c r="A1830" s="16">
        <v>42340</v>
      </c>
      <c r="B1830" s="9">
        <v>440</v>
      </c>
      <c r="C1830">
        <f t="shared" si="35"/>
        <v>2015</v>
      </c>
    </row>
    <row r="1831" spans="1:3" x14ac:dyDescent="0.35">
      <c r="A1831" s="16">
        <v>42339</v>
      </c>
      <c r="B1831" s="9">
        <v>436</v>
      </c>
      <c r="C1831">
        <f t="shared" si="35"/>
        <v>2015</v>
      </c>
    </row>
    <row r="1832" spans="1:3" x14ac:dyDescent="0.35">
      <c r="A1832" s="16">
        <v>42338</v>
      </c>
      <c r="B1832" s="9">
        <v>432</v>
      </c>
      <c r="C1832">
        <f t="shared" si="35"/>
        <v>2015</v>
      </c>
    </row>
    <row r="1833" spans="1:3" x14ac:dyDescent="0.35">
      <c r="A1833" s="16">
        <v>42335</v>
      </c>
      <c r="B1833" s="9">
        <v>409</v>
      </c>
      <c r="C1833">
        <f t="shared" si="35"/>
        <v>2015</v>
      </c>
    </row>
    <row r="1834" spans="1:3" x14ac:dyDescent="0.35">
      <c r="A1834" s="16">
        <v>42334</v>
      </c>
      <c r="B1834" s="9">
        <v>411</v>
      </c>
      <c r="C1834">
        <f t="shared" si="35"/>
        <v>2015</v>
      </c>
    </row>
    <row r="1835" spans="1:3" x14ac:dyDescent="0.35">
      <c r="A1835" s="16">
        <v>42333</v>
      </c>
      <c r="B1835" s="9">
        <v>411</v>
      </c>
      <c r="C1835">
        <f t="shared" si="35"/>
        <v>2015</v>
      </c>
    </row>
    <row r="1836" spans="1:3" x14ac:dyDescent="0.35">
      <c r="A1836" s="16">
        <v>42332</v>
      </c>
      <c r="B1836" s="9">
        <v>393</v>
      </c>
      <c r="C1836">
        <f t="shared" si="35"/>
        <v>2015</v>
      </c>
    </row>
    <row r="1837" spans="1:3" x14ac:dyDescent="0.35">
      <c r="A1837" s="16">
        <v>42331</v>
      </c>
      <c r="B1837" s="9">
        <v>397</v>
      </c>
      <c r="C1837">
        <f t="shared" si="35"/>
        <v>2015</v>
      </c>
    </row>
    <row r="1838" spans="1:3" x14ac:dyDescent="0.35">
      <c r="A1838" s="16">
        <v>42328</v>
      </c>
      <c r="B1838" s="9">
        <v>386</v>
      </c>
      <c r="C1838">
        <f t="shared" si="35"/>
        <v>2015</v>
      </c>
    </row>
    <row r="1839" spans="1:3" x14ac:dyDescent="0.35">
      <c r="A1839" s="16">
        <v>42327</v>
      </c>
      <c r="B1839" s="9">
        <v>381</v>
      </c>
      <c r="C1839">
        <f t="shared" si="35"/>
        <v>2015</v>
      </c>
    </row>
    <row r="1840" spans="1:3" x14ac:dyDescent="0.35">
      <c r="A1840" s="16">
        <v>42326</v>
      </c>
      <c r="B1840" s="9">
        <v>395</v>
      </c>
      <c r="C1840">
        <f t="shared" si="35"/>
        <v>2015</v>
      </c>
    </row>
    <row r="1841" spans="1:3" x14ac:dyDescent="0.35">
      <c r="A1841" s="16">
        <v>42325</v>
      </c>
      <c r="B1841" s="9">
        <v>399</v>
      </c>
      <c r="C1841">
        <f t="shared" si="35"/>
        <v>2015</v>
      </c>
    </row>
    <row r="1842" spans="1:3" x14ac:dyDescent="0.35">
      <c r="A1842" s="16">
        <v>42324</v>
      </c>
      <c r="B1842" s="9">
        <v>410</v>
      </c>
      <c r="C1842">
        <f t="shared" si="35"/>
        <v>2015</v>
      </c>
    </row>
    <row r="1843" spans="1:3" x14ac:dyDescent="0.35">
      <c r="A1843" s="16">
        <v>42321</v>
      </c>
      <c r="B1843" s="9">
        <v>415</v>
      </c>
      <c r="C1843">
        <f t="shared" si="35"/>
        <v>2015</v>
      </c>
    </row>
    <row r="1844" spans="1:3" x14ac:dyDescent="0.35">
      <c r="A1844" s="16">
        <v>42320</v>
      </c>
      <c r="B1844" s="9">
        <v>398</v>
      </c>
      <c r="C1844">
        <f t="shared" si="35"/>
        <v>2015</v>
      </c>
    </row>
    <row r="1845" spans="1:3" x14ac:dyDescent="0.35">
      <c r="A1845" s="16">
        <v>42319</v>
      </c>
      <c r="B1845" s="9">
        <v>396</v>
      </c>
      <c r="C1845">
        <f t="shared" si="35"/>
        <v>2015</v>
      </c>
    </row>
    <row r="1846" spans="1:3" x14ac:dyDescent="0.35">
      <c r="A1846" s="16">
        <v>42318</v>
      </c>
      <c r="B1846" s="9">
        <v>396</v>
      </c>
      <c r="C1846">
        <f t="shared" si="35"/>
        <v>2015</v>
      </c>
    </row>
    <row r="1847" spans="1:3" x14ac:dyDescent="0.35">
      <c r="A1847" s="16">
        <v>42317</v>
      </c>
      <c r="B1847" s="9">
        <v>403</v>
      </c>
      <c r="C1847">
        <f t="shared" si="35"/>
        <v>2015</v>
      </c>
    </row>
    <row r="1848" spans="1:3" x14ac:dyDescent="0.35">
      <c r="A1848" s="16">
        <v>42314</v>
      </c>
      <c r="B1848" s="9">
        <v>393</v>
      </c>
      <c r="C1848">
        <f t="shared" si="35"/>
        <v>2015</v>
      </c>
    </row>
    <row r="1849" spans="1:3" x14ac:dyDescent="0.35">
      <c r="A1849" s="16">
        <v>42313</v>
      </c>
      <c r="B1849" s="9">
        <v>387</v>
      </c>
      <c r="C1849">
        <f t="shared" si="35"/>
        <v>2015</v>
      </c>
    </row>
    <row r="1850" spans="1:3" x14ac:dyDescent="0.35">
      <c r="A1850" s="16">
        <v>42312</v>
      </c>
      <c r="B1850" s="9">
        <v>378</v>
      </c>
      <c r="C1850">
        <f t="shared" si="35"/>
        <v>2015</v>
      </c>
    </row>
    <row r="1851" spans="1:3" x14ac:dyDescent="0.35">
      <c r="A1851" s="16">
        <v>42311</v>
      </c>
      <c r="B1851" s="9">
        <v>376</v>
      </c>
      <c r="C1851">
        <f t="shared" si="35"/>
        <v>2015</v>
      </c>
    </row>
    <row r="1852" spans="1:3" x14ac:dyDescent="0.35">
      <c r="A1852" s="16">
        <v>42310</v>
      </c>
      <c r="B1852" s="9">
        <v>394</v>
      </c>
      <c r="C1852">
        <f t="shared" si="35"/>
        <v>2015</v>
      </c>
    </row>
    <row r="1853" spans="1:3" x14ac:dyDescent="0.35">
      <c r="A1853" s="16">
        <v>42307</v>
      </c>
      <c r="B1853" s="9">
        <v>410</v>
      </c>
      <c r="C1853">
        <f t="shared" si="35"/>
        <v>2015</v>
      </c>
    </row>
    <row r="1854" spans="1:3" x14ac:dyDescent="0.35">
      <c r="A1854" s="16">
        <v>42306</v>
      </c>
      <c r="B1854" s="9">
        <v>410</v>
      </c>
      <c r="C1854">
        <f t="shared" si="35"/>
        <v>2015</v>
      </c>
    </row>
    <row r="1855" spans="1:3" x14ac:dyDescent="0.35">
      <c r="A1855" s="16">
        <v>42305</v>
      </c>
      <c r="B1855" s="9">
        <v>414</v>
      </c>
      <c r="C1855">
        <f t="shared" si="35"/>
        <v>2015</v>
      </c>
    </row>
    <row r="1856" spans="1:3" x14ac:dyDescent="0.35">
      <c r="A1856" s="16">
        <v>42304</v>
      </c>
      <c r="B1856" s="9">
        <v>422</v>
      </c>
      <c r="C1856">
        <f t="shared" si="35"/>
        <v>2015</v>
      </c>
    </row>
    <row r="1857" spans="1:3" x14ac:dyDescent="0.35">
      <c r="A1857" s="16">
        <v>42303</v>
      </c>
      <c r="B1857" s="9">
        <v>418</v>
      </c>
      <c r="C1857">
        <f t="shared" si="35"/>
        <v>2015</v>
      </c>
    </row>
    <row r="1858" spans="1:3" x14ac:dyDescent="0.35">
      <c r="A1858" s="16">
        <v>42300</v>
      </c>
      <c r="B1858" s="9">
        <v>423</v>
      </c>
      <c r="C1858">
        <f t="shared" si="35"/>
        <v>2015</v>
      </c>
    </row>
    <row r="1859" spans="1:3" x14ac:dyDescent="0.35">
      <c r="A1859" s="16">
        <v>42299</v>
      </c>
      <c r="B1859" s="9">
        <v>437</v>
      </c>
      <c r="C1859">
        <f t="shared" ref="C1859:C1922" si="36">YEAR(A1859)</f>
        <v>2015</v>
      </c>
    </row>
    <row r="1860" spans="1:3" x14ac:dyDescent="0.35">
      <c r="A1860" s="16">
        <v>42298</v>
      </c>
      <c r="B1860" s="9">
        <v>450</v>
      </c>
      <c r="C1860">
        <f t="shared" si="36"/>
        <v>2015</v>
      </c>
    </row>
    <row r="1861" spans="1:3" x14ac:dyDescent="0.35">
      <c r="A1861" s="16">
        <v>42297</v>
      </c>
      <c r="B1861" s="9">
        <v>454</v>
      </c>
      <c r="C1861">
        <f t="shared" si="36"/>
        <v>2015</v>
      </c>
    </row>
    <row r="1862" spans="1:3" x14ac:dyDescent="0.35">
      <c r="A1862" s="16">
        <v>42296</v>
      </c>
      <c r="B1862" s="9">
        <v>438</v>
      </c>
      <c r="C1862">
        <f t="shared" si="36"/>
        <v>2015</v>
      </c>
    </row>
    <row r="1863" spans="1:3" x14ac:dyDescent="0.35">
      <c r="A1863" s="16">
        <v>42293</v>
      </c>
      <c r="B1863" s="9">
        <v>419</v>
      </c>
      <c r="C1863">
        <f t="shared" si="36"/>
        <v>2015</v>
      </c>
    </row>
    <row r="1864" spans="1:3" x14ac:dyDescent="0.35">
      <c r="A1864" s="16">
        <v>42292</v>
      </c>
      <c r="B1864" s="9">
        <v>408</v>
      </c>
      <c r="C1864">
        <f t="shared" si="36"/>
        <v>2015</v>
      </c>
    </row>
    <row r="1865" spans="1:3" x14ac:dyDescent="0.35">
      <c r="A1865" s="16">
        <v>42291</v>
      </c>
      <c r="B1865" s="9">
        <v>411</v>
      </c>
      <c r="C1865">
        <f t="shared" si="36"/>
        <v>2015</v>
      </c>
    </row>
    <row r="1866" spans="1:3" x14ac:dyDescent="0.35">
      <c r="A1866" s="16">
        <v>42290</v>
      </c>
      <c r="B1866" s="9">
        <v>408</v>
      </c>
      <c r="C1866">
        <f t="shared" si="36"/>
        <v>2015</v>
      </c>
    </row>
    <row r="1867" spans="1:3" x14ac:dyDescent="0.35">
      <c r="A1867" s="16">
        <v>42289</v>
      </c>
      <c r="B1867" s="9">
        <v>383</v>
      </c>
      <c r="C1867">
        <f t="shared" si="36"/>
        <v>2015</v>
      </c>
    </row>
    <row r="1868" spans="1:3" x14ac:dyDescent="0.35">
      <c r="A1868" s="16">
        <v>42286</v>
      </c>
      <c r="B1868" s="9">
        <v>383</v>
      </c>
      <c r="C1868">
        <f t="shared" si="36"/>
        <v>2015</v>
      </c>
    </row>
    <row r="1869" spans="1:3" x14ac:dyDescent="0.35">
      <c r="A1869" s="16">
        <v>42285</v>
      </c>
      <c r="B1869" s="9">
        <v>389</v>
      </c>
      <c r="C1869">
        <f t="shared" si="36"/>
        <v>2015</v>
      </c>
    </row>
    <row r="1870" spans="1:3" x14ac:dyDescent="0.35">
      <c r="A1870" s="16">
        <v>42284</v>
      </c>
      <c r="B1870" s="9">
        <v>405</v>
      </c>
      <c r="C1870">
        <f t="shared" si="36"/>
        <v>2015</v>
      </c>
    </row>
    <row r="1871" spans="1:3" x14ac:dyDescent="0.35">
      <c r="A1871" s="16">
        <v>42283</v>
      </c>
      <c r="B1871" s="9">
        <v>386</v>
      </c>
      <c r="C1871">
        <f t="shared" si="36"/>
        <v>2015</v>
      </c>
    </row>
    <row r="1872" spans="1:3" x14ac:dyDescent="0.35">
      <c r="A1872" s="16">
        <v>42282</v>
      </c>
      <c r="B1872" s="9">
        <v>388</v>
      </c>
      <c r="C1872">
        <f t="shared" si="36"/>
        <v>2015</v>
      </c>
    </row>
    <row r="1873" spans="1:3" x14ac:dyDescent="0.35">
      <c r="A1873" s="16">
        <v>42279</v>
      </c>
      <c r="B1873" s="9">
        <v>406</v>
      </c>
      <c r="C1873">
        <f t="shared" si="36"/>
        <v>2015</v>
      </c>
    </row>
    <row r="1874" spans="1:3" x14ac:dyDescent="0.35">
      <c r="A1874" s="16">
        <v>42278</v>
      </c>
      <c r="B1874" s="9">
        <v>421</v>
      </c>
      <c r="C1874">
        <f t="shared" si="36"/>
        <v>2015</v>
      </c>
    </row>
    <row r="1875" spans="1:3" x14ac:dyDescent="0.35">
      <c r="A1875" s="16">
        <v>42277</v>
      </c>
      <c r="B1875" s="9">
        <v>442</v>
      </c>
      <c r="C1875">
        <f t="shared" si="36"/>
        <v>2015</v>
      </c>
    </row>
    <row r="1876" spans="1:3" x14ac:dyDescent="0.35">
      <c r="A1876" s="16">
        <v>42276</v>
      </c>
      <c r="B1876" s="9">
        <v>485</v>
      </c>
      <c r="C1876">
        <f t="shared" si="36"/>
        <v>2015</v>
      </c>
    </row>
    <row r="1877" spans="1:3" x14ac:dyDescent="0.35">
      <c r="A1877" s="16">
        <v>42275</v>
      </c>
      <c r="B1877" s="9">
        <v>489</v>
      </c>
      <c r="C1877">
        <f t="shared" si="36"/>
        <v>2015</v>
      </c>
    </row>
    <row r="1878" spans="1:3" x14ac:dyDescent="0.35">
      <c r="A1878" s="16">
        <v>42272</v>
      </c>
      <c r="B1878" s="9">
        <v>453</v>
      </c>
      <c r="C1878">
        <f t="shared" si="36"/>
        <v>2015</v>
      </c>
    </row>
    <row r="1879" spans="1:3" x14ac:dyDescent="0.35">
      <c r="A1879" s="16">
        <v>42271</v>
      </c>
      <c r="B1879" s="9">
        <v>450</v>
      </c>
      <c r="C1879">
        <f t="shared" si="36"/>
        <v>2015</v>
      </c>
    </row>
    <row r="1880" spans="1:3" x14ac:dyDescent="0.35">
      <c r="A1880" s="16">
        <v>42270</v>
      </c>
      <c r="B1880" s="9">
        <v>454</v>
      </c>
      <c r="C1880">
        <f t="shared" si="36"/>
        <v>2015</v>
      </c>
    </row>
    <row r="1881" spans="1:3" x14ac:dyDescent="0.35">
      <c r="A1881" s="16">
        <v>42269</v>
      </c>
      <c r="B1881" s="9">
        <v>443</v>
      </c>
      <c r="C1881">
        <f t="shared" si="36"/>
        <v>2015</v>
      </c>
    </row>
    <row r="1882" spans="1:3" x14ac:dyDescent="0.35">
      <c r="A1882" s="16">
        <v>42268</v>
      </c>
      <c r="B1882" s="9">
        <v>422</v>
      </c>
      <c r="C1882">
        <f t="shared" si="36"/>
        <v>2015</v>
      </c>
    </row>
    <row r="1883" spans="1:3" x14ac:dyDescent="0.35">
      <c r="A1883" s="16">
        <v>42265</v>
      </c>
      <c r="B1883" s="9">
        <v>397</v>
      </c>
      <c r="C1883">
        <f t="shared" si="36"/>
        <v>2015</v>
      </c>
    </row>
    <row r="1884" spans="1:3" x14ac:dyDescent="0.35">
      <c r="A1884" s="16">
        <v>42264</v>
      </c>
      <c r="B1884" s="9">
        <v>376</v>
      </c>
      <c r="C1884">
        <f t="shared" si="36"/>
        <v>2015</v>
      </c>
    </row>
    <row r="1885" spans="1:3" x14ac:dyDescent="0.35">
      <c r="A1885" s="16">
        <v>42263</v>
      </c>
      <c r="B1885" s="9">
        <v>374</v>
      </c>
      <c r="C1885">
        <f t="shared" si="36"/>
        <v>2015</v>
      </c>
    </row>
    <row r="1886" spans="1:3" x14ac:dyDescent="0.35">
      <c r="A1886" s="16">
        <v>42262</v>
      </c>
      <c r="B1886" s="9">
        <v>377</v>
      </c>
      <c r="C1886">
        <f t="shared" si="36"/>
        <v>2015</v>
      </c>
    </row>
    <row r="1887" spans="1:3" x14ac:dyDescent="0.35">
      <c r="A1887" s="16">
        <v>42261</v>
      </c>
      <c r="B1887" s="9">
        <v>389</v>
      </c>
      <c r="C1887">
        <f t="shared" si="36"/>
        <v>2015</v>
      </c>
    </row>
    <row r="1888" spans="1:3" x14ac:dyDescent="0.35">
      <c r="A1888" s="16">
        <v>42258</v>
      </c>
      <c r="B1888" s="9">
        <v>390</v>
      </c>
      <c r="C1888">
        <f t="shared" si="36"/>
        <v>2015</v>
      </c>
    </row>
    <row r="1889" spans="1:3" x14ac:dyDescent="0.35">
      <c r="A1889" s="16">
        <v>42257</v>
      </c>
      <c r="B1889" s="9">
        <v>388</v>
      </c>
      <c r="C1889">
        <f t="shared" si="36"/>
        <v>2015</v>
      </c>
    </row>
    <row r="1890" spans="1:3" x14ac:dyDescent="0.35">
      <c r="A1890" s="16">
        <v>42256</v>
      </c>
      <c r="B1890" s="9">
        <v>363</v>
      </c>
      <c r="C1890">
        <f t="shared" si="36"/>
        <v>2015</v>
      </c>
    </row>
    <row r="1891" spans="1:3" x14ac:dyDescent="0.35">
      <c r="A1891" s="16">
        <v>42255</v>
      </c>
      <c r="B1891" s="9">
        <v>372</v>
      </c>
      <c r="C1891">
        <f t="shared" si="36"/>
        <v>2015</v>
      </c>
    </row>
    <row r="1892" spans="1:3" x14ac:dyDescent="0.35">
      <c r="A1892" s="16">
        <v>42254</v>
      </c>
      <c r="B1892" s="9">
        <v>381</v>
      </c>
      <c r="C1892">
        <f t="shared" si="36"/>
        <v>2015</v>
      </c>
    </row>
    <row r="1893" spans="1:3" x14ac:dyDescent="0.35">
      <c r="A1893" s="16">
        <v>42251</v>
      </c>
      <c r="B1893" s="9">
        <v>381</v>
      </c>
      <c r="C1893">
        <f t="shared" si="36"/>
        <v>2015</v>
      </c>
    </row>
    <row r="1894" spans="1:3" x14ac:dyDescent="0.35">
      <c r="A1894" s="16">
        <v>42250</v>
      </c>
      <c r="B1894" s="9">
        <v>365</v>
      </c>
      <c r="C1894">
        <f t="shared" si="36"/>
        <v>2015</v>
      </c>
    </row>
    <row r="1895" spans="1:3" x14ac:dyDescent="0.35">
      <c r="A1895" s="16">
        <v>42249</v>
      </c>
      <c r="B1895" s="9">
        <v>367</v>
      </c>
      <c r="C1895">
        <f t="shared" si="36"/>
        <v>2015</v>
      </c>
    </row>
    <row r="1896" spans="1:3" x14ac:dyDescent="0.35">
      <c r="A1896" s="16">
        <v>42248</v>
      </c>
      <c r="B1896" s="9">
        <v>361</v>
      </c>
      <c r="C1896">
        <f t="shared" si="36"/>
        <v>2015</v>
      </c>
    </row>
    <row r="1897" spans="1:3" x14ac:dyDescent="0.35">
      <c r="A1897" s="16">
        <v>42247</v>
      </c>
      <c r="B1897" s="9">
        <v>340</v>
      </c>
      <c r="C1897">
        <f t="shared" si="36"/>
        <v>2015</v>
      </c>
    </row>
    <row r="1898" spans="1:3" x14ac:dyDescent="0.35">
      <c r="A1898" s="16">
        <v>42244</v>
      </c>
      <c r="B1898" s="9">
        <v>334</v>
      </c>
      <c r="C1898">
        <f t="shared" si="36"/>
        <v>2015</v>
      </c>
    </row>
    <row r="1899" spans="1:3" x14ac:dyDescent="0.35">
      <c r="A1899" s="16">
        <v>42243</v>
      </c>
      <c r="B1899" s="9">
        <v>338</v>
      </c>
      <c r="C1899">
        <f t="shared" si="36"/>
        <v>2015</v>
      </c>
    </row>
    <row r="1900" spans="1:3" x14ac:dyDescent="0.35">
      <c r="A1900" s="16">
        <v>42242</v>
      </c>
      <c r="B1900" s="9">
        <v>358</v>
      </c>
      <c r="C1900">
        <f t="shared" si="36"/>
        <v>2015</v>
      </c>
    </row>
    <row r="1901" spans="1:3" x14ac:dyDescent="0.35">
      <c r="A1901" s="16">
        <v>42241</v>
      </c>
      <c r="B1901" s="9">
        <v>352</v>
      </c>
      <c r="C1901">
        <f t="shared" si="36"/>
        <v>2015</v>
      </c>
    </row>
    <row r="1902" spans="1:3" x14ac:dyDescent="0.35">
      <c r="A1902" s="16">
        <v>42240</v>
      </c>
      <c r="B1902" s="9">
        <v>369</v>
      </c>
      <c r="C1902">
        <f t="shared" si="36"/>
        <v>2015</v>
      </c>
    </row>
    <row r="1903" spans="1:3" x14ac:dyDescent="0.35">
      <c r="A1903" s="16">
        <v>42237</v>
      </c>
      <c r="B1903" s="9">
        <v>351</v>
      </c>
      <c r="C1903">
        <f t="shared" si="36"/>
        <v>2015</v>
      </c>
    </row>
    <row r="1904" spans="1:3" x14ac:dyDescent="0.35">
      <c r="A1904" s="16">
        <v>42236</v>
      </c>
      <c r="B1904" s="9">
        <v>338</v>
      </c>
      <c r="C1904">
        <f t="shared" si="36"/>
        <v>2015</v>
      </c>
    </row>
    <row r="1905" spans="1:3" x14ac:dyDescent="0.35">
      <c r="A1905" s="16">
        <v>42235</v>
      </c>
      <c r="B1905" s="9">
        <v>329</v>
      </c>
      <c r="C1905">
        <f t="shared" si="36"/>
        <v>2015</v>
      </c>
    </row>
    <row r="1906" spans="1:3" x14ac:dyDescent="0.35">
      <c r="A1906" s="16">
        <v>42234</v>
      </c>
      <c r="B1906" s="9">
        <v>316</v>
      </c>
      <c r="C1906">
        <f t="shared" si="36"/>
        <v>2015</v>
      </c>
    </row>
    <row r="1907" spans="1:3" x14ac:dyDescent="0.35">
      <c r="A1907" s="16">
        <v>42233</v>
      </c>
      <c r="B1907" s="9">
        <v>316</v>
      </c>
      <c r="C1907">
        <f t="shared" si="36"/>
        <v>2015</v>
      </c>
    </row>
    <row r="1908" spans="1:3" x14ac:dyDescent="0.35">
      <c r="A1908" s="16">
        <v>42230</v>
      </c>
      <c r="B1908" s="9">
        <v>318</v>
      </c>
      <c r="C1908">
        <f t="shared" si="36"/>
        <v>2015</v>
      </c>
    </row>
    <row r="1909" spans="1:3" x14ac:dyDescent="0.35">
      <c r="A1909" s="16">
        <v>42229</v>
      </c>
      <c r="B1909" s="9">
        <v>322</v>
      </c>
      <c r="C1909">
        <f t="shared" si="36"/>
        <v>2015</v>
      </c>
    </row>
    <row r="1910" spans="1:3" x14ac:dyDescent="0.35">
      <c r="A1910" s="16">
        <v>42228</v>
      </c>
      <c r="B1910" s="9">
        <v>323</v>
      </c>
      <c r="C1910">
        <f t="shared" si="36"/>
        <v>2015</v>
      </c>
    </row>
    <row r="1911" spans="1:3" x14ac:dyDescent="0.35">
      <c r="A1911" s="16">
        <v>42227</v>
      </c>
      <c r="B1911" s="9">
        <v>342</v>
      </c>
      <c r="C1911">
        <f t="shared" si="36"/>
        <v>2015</v>
      </c>
    </row>
    <row r="1912" spans="1:3" x14ac:dyDescent="0.35">
      <c r="A1912" s="16">
        <v>42226</v>
      </c>
      <c r="B1912" s="9">
        <v>335</v>
      </c>
      <c r="C1912">
        <f t="shared" si="36"/>
        <v>2015</v>
      </c>
    </row>
    <row r="1913" spans="1:3" x14ac:dyDescent="0.35">
      <c r="A1913" s="16">
        <v>42223</v>
      </c>
      <c r="B1913" s="9">
        <v>343</v>
      </c>
      <c r="C1913">
        <f t="shared" si="36"/>
        <v>2015</v>
      </c>
    </row>
    <row r="1914" spans="1:3" x14ac:dyDescent="0.35">
      <c r="A1914" s="16">
        <v>42222</v>
      </c>
      <c r="B1914" s="9">
        <v>341</v>
      </c>
      <c r="C1914">
        <f t="shared" si="36"/>
        <v>2015</v>
      </c>
    </row>
    <row r="1915" spans="1:3" x14ac:dyDescent="0.35">
      <c r="A1915" s="16">
        <v>42221</v>
      </c>
      <c r="B1915" s="9">
        <v>317</v>
      </c>
      <c r="C1915">
        <f t="shared" si="36"/>
        <v>2015</v>
      </c>
    </row>
    <row r="1916" spans="1:3" x14ac:dyDescent="0.35">
      <c r="A1916" s="16">
        <v>42220</v>
      </c>
      <c r="B1916" s="9">
        <v>322</v>
      </c>
      <c r="C1916">
        <f t="shared" si="36"/>
        <v>2015</v>
      </c>
    </row>
    <row r="1917" spans="1:3" x14ac:dyDescent="0.35">
      <c r="A1917" s="16">
        <v>42219</v>
      </c>
      <c r="B1917" s="9">
        <v>323</v>
      </c>
      <c r="C1917">
        <f t="shared" si="36"/>
        <v>2015</v>
      </c>
    </row>
    <row r="1918" spans="1:3" x14ac:dyDescent="0.35">
      <c r="A1918" s="16">
        <v>42216</v>
      </c>
      <c r="B1918" s="9">
        <v>315</v>
      </c>
      <c r="C1918">
        <f t="shared" si="36"/>
        <v>2015</v>
      </c>
    </row>
    <row r="1919" spans="1:3" x14ac:dyDescent="0.35">
      <c r="A1919" s="16">
        <v>42215</v>
      </c>
      <c r="B1919" s="9">
        <v>339</v>
      </c>
      <c r="C1919">
        <f t="shared" si="36"/>
        <v>2015</v>
      </c>
    </row>
    <row r="1920" spans="1:3" x14ac:dyDescent="0.35">
      <c r="A1920" s="16">
        <v>42214</v>
      </c>
      <c r="B1920" s="9">
        <v>340</v>
      </c>
      <c r="C1920">
        <f t="shared" si="36"/>
        <v>2015</v>
      </c>
    </row>
    <row r="1921" spans="1:3" x14ac:dyDescent="0.35">
      <c r="A1921" s="16">
        <v>42213</v>
      </c>
      <c r="B1921" s="9">
        <v>350</v>
      </c>
      <c r="C1921">
        <f t="shared" si="36"/>
        <v>2015</v>
      </c>
    </row>
    <row r="1922" spans="1:3" x14ac:dyDescent="0.35">
      <c r="A1922" s="16">
        <v>42212</v>
      </c>
      <c r="B1922" s="9">
        <v>360</v>
      </c>
      <c r="C1922">
        <f t="shared" si="36"/>
        <v>2015</v>
      </c>
    </row>
    <row r="1923" spans="1:3" x14ac:dyDescent="0.35">
      <c r="A1923" s="16">
        <v>42209</v>
      </c>
      <c r="B1923" s="9">
        <v>353</v>
      </c>
      <c r="C1923">
        <f t="shared" ref="C1923:C1986" si="37">YEAR(A1923)</f>
        <v>2015</v>
      </c>
    </row>
    <row r="1924" spans="1:3" x14ac:dyDescent="0.35">
      <c r="A1924" s="16">
        <v>42208</v>
      </c>
      <c r="B1924" s="9">
        <v>344</v>
      </c>
      <c r="C1924">
        <f t="shared" si="37"/>
        <v>2015</v>
      </c>
    </row>
    <row r="1925" spans="1:3" x14ac:dyDescent="0.35">
      <c r="A1925" s="16">
        <v>42207</v>
      </c>
      <c r="B1925" s="9">
        <v>328</v>
      </c>
      <c r="C1925">
        <f t="shared" si="37"/>
        <v>2015</v>
      </c>
    </row>
    <row r="1926" spans="1:3" x14ac:dyDescent="0.35">
      <c r="A1926" s="16">
        <v>42206</v>
      </c>
      <c r="B1926" s="9">
        <v>320</v>
      </c>
      <c r="C1926">
        <f t="shared" si="37"/>
        <v>2015</v>
      </c>
    </row>
    <row r="1927" spans="1:3" x14ac:dyDescent="0.35">
      <c r="A1927" s="16">
        <v>42205</v>
      </c>
      <c r="B1927" s="9">
        <v>318</v>
      </c>
      <c r="C1927">
        <f t="shared" si="37"/>
        <v>2015</v>
      </c>
    </row>
    <row r="1928" spans="1:3" x14ac:dyDescent="0.35">
      <c r="A1928" s="16">
        <v>42202</v>
      </c>
      <c r="B1928" s="9">
        <v>311</v>
      </c>
      <c r="C1928">
        <f t="shared" si="37"/>
        <v>2015</v>
      </c>
    </row>
    <row r="1929" spans="1:3" x14ac:dyDescent="0.35">
      <c r="A1929" s="16">
        <v>42201</v>
      </c>
      <c r="B1929" s="9">
        <v>306</v>
      </c>
      <c r="C1929">
        <f t="shared" si="37"/>
        <v>2015</v>
      </c>
    </row>
    <row r="1930" spans="1:3" x14ac:dyDescent="0.35">
      <c r="A1930" s="16">
        <v>42200</v>
      </c>
      <c r="B1930" s="9">
        <v>306</v>
      </c>
      <c r="C1930">
        <f t="shared" si="37"/>
        <v>2015</v>
      </c>
    </row>
    <row r="1931" spans="1:3" x14ac:dyDescent="0.35">
      <c r="A1931" s="16">
        <v>42199</v>
      </c>
      <c r="B1931" s="9">
        <v>297</v>
      </c>
      <c r="C1931">
        <f t="shared" si="37"/>
        <v>2015</v>
      </c>
    </row>
    <row r="1932" spans="1:3" x14ac:dyDescent="0.35">
      <c r="A1932" s="16">
        <v>42198</v>
      </c>
      <c r="B1932" s="9">
        <v>296</v>
      </c>
      <c r="C1932">
        <f t="shared" si="37"/>
        <v>2015</v>
      </c>
    </row>
    <row r="1933" spans="1:3" x14ac:dyDescent="0.35">
      <c r="A1933" s="16">
        <v>42195</v>
      </c>
      <c r="B1933" s="9">
        <v>297</v>
      </c>
      <c r="C1933">
        <f t="shared" si="37"/>
        <v>2015</v>
      </c>
    </row>
    <row r="1934" spans="1:3" x14ac:dyDescent="0.35">
      <c r="A1934" s="16">
        <v>42194</v>
      </c>
      <c r="B1934" s="9">
        <v>307</v>
      </c>
      <c r="C1934">
        <f t="shared" si="37"/>
        <v>2015</v>
      </c>
    </row>
    <row r="1935" spans="1:3" x14ac:dyDescent="0.35">
      <c r="A1935" s="16">
        <v>42193</v>
      </c>
      <c r="B1935" s="9">
        <v>312</v>
      </c>
      <c r="C1935">
        <f t="shared" si="37"/>
        <v>2015</v>
      </c>
    </row>
    <row r="1936" spans="1:3" x14ac:dyDescent="0.35">
      <c r="A1936" s="16">
        <v>42192</v>
      </c>
      <c r="B1936" s="9">
        <v>309</v>
      </c>
      <c r="C1936">
        <f t="shared" si="37"/>
        <v>2015</v>
      </c>
    </row>
    <row r="1937" spans="1:3" x14ac:dyDescent="0.35">
      <c r="A1937" s="16">
        <v>42191</v>
      </c>
      <c r="B1937" s="9">
        <v>304</v>
      </c>
      <c r="C1937">
        <f t="shared" si="37"/>
        <v>2015</v>
      </c>
    </row>
    <row r="1938" spans="1:3" x14ac:dyDescent="0.35">
      <c r="A1938" s="16">
        <v>42188</v>
      </c>
      <c r="B1938" s="9">
        <v>295</v>
      </c>
      <c r="C1938">
        <f t="shared" si="37"/>
        <v>2015</v>
      </c>
    </row>
    <row r="1939" spans="1:3" x14ac:dyDescent="0.35">
      <c r="A1939" s="16">
        <v>42187</v>
      </c>
      <c r="B1939" s="9">
        <v>295</v>
      </c>
      <c r="C1939">
        <f t="shared" si="37"/>
        <v>2015</v>
      </c>
    </row>
    <row r="1940" spans="1:3" x14ac:dyDescent="0.35">
      <c r="A1940" s="16">
        <v>42186</v>
      </c>
      <c r="B1940" s="9">
        <v>299</v>
      </c>
      <c r="C1940">
        <f t="shared" si="37"/>
        <v>2015</v>
      </c>
    </row>
    <row r="1941" spans="1:3" x14ac:dyDescent="0.35">
      <c r="A1941" s="16">
        <v>42185</v>
      </c>
      <c r="B1941" s="9">
        <v>304</v>
      </c>
      <c r="C1941">
        <f t="shared" si="37"/>
        <v>2015</v>
      </c>
    </row>
    <row r="1942" spans="1:3" x14ac:dyDescent="0.35">
      <c r="A1942" s="16">
        <v>42184</v>
      </c>
      <c r="B1942" s="9">
        <v>310</v>
      </c>
      <c r="C1942">
        <f t="shared" si="37"/>
        <v>2015</v>
      </c>
    </row>
    <row r="1943" spans="1:3" x14ac:dyDescent="0.35">
      <c r="A1943" s="16">
        <v>42181</v>
      </c>
      <c r="B1943" s="9">
        <v>296</v>
      </c>
      <c r="C1943">
        <f t="shared" si="37"/>
        <v>2015</v>
      </c>
    </row>
    <row r="1944" spans="1:3" x14ac:dyDescent="0.35">
      <c r="A1944" s="16">
        <v>42180</v>
      </c>
      <c r="B1944" s="9">
        <v>298</v>
      </c>
      <c r="C1944">
        <f t="shared" si="37"/>
        <v>2015</v>
      </c>
    </row>
    <row r="1945" spans="1:3" x14ac:dyDescent="0.35">
      <c r="A1945" s="16">
        <v>42179</v>
      </c>
      <c r="B1945" s="9">
        <v>292</v>
      </c>
      <c r="C1945">
        <f t="shared" si="37"/>
        <v>2015</v>
      </c>
    </row>
    <row r="1946" spans="1:3" x14ac:dyDescent="0.35">
      <c r="A1946" s="16">
        <v>42178</v>
      </c>
      <c r="B1946" s="9">
        <v>288</v>
      </c>
      <c r="C1946">
        <f t="shared" si="37"/>
        <v>2015</v>
      </c>
    </row>
    <row r="1947" spans="1:3" x14ac:dyDescent="0.35">
      <c r="A1947" s="16">
        <v>42177</v>
      </c>
      <c r="B1947" s="9">
        <v>292</v>
      </c>
      <c r="C1947">
        <f t="shared" si="37"/>
        <v>2015</v>
      </c>
    </row>
    <row r="1948" spans="1:3" x14ac:dyDescent="0.35">
      <c r="A1948" s="16">
        <v>42174</v>
      </c>
      <c r="B1948" s="9">
        <v>292</v>
      </c>
      <c r="C1948">
        <f t="shared" si="37"/>
        <v>2015</v>
      </c>
    </row>
    <row r="1949" spans="1:3" x14ac:dyDescent="0.35">
      <c r="A1949" s="16">
        <v>42173</v>
      </c>
      <c r="B1949" s="9">
        <v>283</v>
      </c>
      <c r="C1949">
        <f t="shared" si="37"/>
        <v>2015</v>
      </c>
    </row>
    <row r="1950" spans="1:3" x14ac:dyDescent="0.35">
      <c r="A1950" s="16">
        <v>42172</v>
      </c>
      <c r="B1950" s="9">
        <v>298</v>
      </c>
      <c r="C1950">
        <f t="shared" si="37"/>
        <v>2015</v>
      </c>
    </row>
    <row r="1951" spans="1:3" x14ac:dyDescent="0.35">
      <c r="A1951" s="16">
        <v>42171</v>
      </c>
      <c r="B1951" s="9">
        <v>297</v>
      </c>
      <c r="C1951">
        <f t="shared" si="37"/>
        <v>2015</v>
      </c>
    </row>
    <row r="1952" spans="1:3" x14ac:dyDescent="0.35">
      <c r="A1952" s="16">
        <v>42170</v>
      </c>
      <c r="B1952" s="9">
        <v>292</v>
      </c>
      <c r="C1952">
        <f t="shared" si="37"/>
        <v>2015</v>
      </c>
    </row>
    <row r="1953" spans="1:3" x14ac:dyDescent="0.35">
      <c r="A1953" s="16">
        <v>42167</v>
      </c>
      <c r="B1953" s="9">
        <v>287</v>
      </c>
      <c r="C1953">
        <f t="shared" si="37"/>
        <v>2015</v>
      </c>
    </row>
    <row r="1954" spans="1:3" x14ac:dyDescent="0.35">
      <c r="A1954" s="16">
        <v>42166</v>
      </c>
      <c r="B1954" s="9">
        <v>288</v>
      </c>
      <c r="C1954">
        <f t="shared" si="37"/>
        <v>2015</v>
      </c>
    </row>
    <row r="1955" spans="1:3" x14ac:dyDescent="0.35">
      <c r="A1955" s="16">
        <v>42165</v>
      </c>
      <c r="B1955" s="9">
        <v>291</v>
      </c>
      <c r="C1955">
        <f t="shared" si="37"/>
        <v>2015</v>
      </c>
    </row>
    <row r="1956" spans="1:3" x14ac:dyDescent="0.35">
      <c r="A1956" s="16">
        <v>42164</v>
      </c>
      <c r="B1956" s="9">
        <v>290</v>
      </c>
      <c r="C1956">
        <f t="shared" si="37"/>
        <v>2015</v>
      </c>
    </row>
    <row r="1957" spans="1:3" x14ac:dyDescent="0.35">
      <c r="A1957" s="16">
        <v>42163</v>
      </c>
      <c r="B1957" s="9">
        <v>288</v>
      </c>
      <c r="C1957">
        <f t="shared" si="37"/>
        <v>2015</v>
      </c>
    </row>
    <row r="1958" spans="1:3" x14ac:dyDescent="0.35">
      <c r="A1958" s="16">
        <v>42160</v>
      </c>
      <c r="B1958" s="9">
        <v>287</v>
      </c>
      <c r="C1958">
        <f t="shared" si="37"/>
        <v>2015</v>
      </c>
    </row>
    <row r="1959" spans="1:3" x14ac:dyDescent="0.35">
      <c r="A1959" s="16">
        <v>42159</v>
      </c>
      <c r="B1959" s="9">
        <v>288</v>
      </c>
      <c r="C1959">
        <f t="shared" si="37"/>
        <v>2015</v>
      </c>
    </row>
    <row r="1960" spans="1:3" x14ac:dyDescent="0.35">
      <c r="A1960" s="16">
        <v>42158</v>
      </c>
      <c r="B1960" s="9">
        <v>283</v>
      </c>
      <c r="C1960">
        <f t="shared" si="37"/>
        <v>2015</v>
      </c>
    </row>
    <row r="1961" spans="1:3" x14ac:dyDescent="0.35">
      <c r="A1961" s="16">
        <v>42157</v>
      </c>
      <c r="B1961" s="9">
        <v>284</v>
      </c>
      <c r="C1961">
        <f t="shared" si="37"/>
        <v>2015</v>
      </c>
    </row>
    <row r="1962" spans="1:3" x14ac:dyDescent="0.35">
      <c r="A1962" s="16">
        <v>42156</v>
      </c>
      <c r="B1962" s="9">
        <v>292</v>
      </c>
      <c r="C1962">
        <f t="shared" si="37"/>
        <v>2015</v>
      </c>
    </row>
    <row r="1963" spans="1:3" x14ac:dyDescent="0.35">
      <c r="A1963" s="16">
        <v>42153</v>
      </c>
      <c r="B1963" s="9">
        <v>294</v>
      </c>
      <c r="C1963">
        <f t="shared" si="37"/>
        <v>2015</v>
      </c>
    </row>
    <row r="1964" spans="1:3" x14ac:dyDescent="0.35">
      <c r="A1964" s="16">
        <v>42152</v>
      </c>
      <c r="B1964" s="9">
        <v>287</v>
      </c>
      <c r="C1964">
        <f t="shared" si="37"/>
        <v>2015</v>
      </c>
    </row>
    <row r="1965" spans="1:3" x14ac:dyDescent="0.35">
      <c r="A1965" s="16">
        <v>42151</v>
      </c>
      <c r="B1965" s="9">
        <v>285</v>
      </c>
      <c r="C1965">
        <f t="shared" si="37"/>
        <v>2015</v>
      </c>
    </row>
    <row r="1966" spans="1:3" x14ac:dyDescent="0.35">
      <c r="A1966" s="16">
        <v>42150</v>
      </c>
      <c r="B1966" s="9">
        <v>281</v>
      </c>
      <c r="C1966">
        <f t="shared" si="37"/>
        <v>2015</v>
      </c>
    </row>
    <row r="1967" spans="1:3" x14ac:dyDescent="0.35">
      <c r="A1967" s="16">
        <v>42149</v>
      </c>
      <c r="B1967" s="9">
        <v>268</v>
      </c>
      <c r="C1967">
        <f t="shared" si="37"/>
        <v>2015</v>
      </c>
    </row>
    <row r="1968" spans="1:3" x14ac:dyDescent="0.35">
      <c r="A1968" s="16">
        <v>42146</v>
      </c>
      <c r="B1968" s="9">
        <v>268</v>
      </c>
      <c r="C1968">
        <f t="shared" si="37"/>
        <v>2015</v>
      </c>
    </row>
    <row r="1969" spans="1:3" x14ac:dyDescent="0.35">
      <c r="A1969" s="16">
        <v>42145</v>
      </c>
      <c r="B1969" s="9">
        <v>269</v>
      </c>
      <c r="C1969">
        <f t="shared" si="37"/>
        <v>2015</v>
      </c>
    </row>
    <row r="1970" spans="1:3" x14ac:dyDescent="0.35">
      <c r="A1970" s="16">
        <v>42144</v>
      </c>
      <c r="B1970" s="9">
        <v>270</v>
      </c>
      <c r="C1970">
        <f t="shared" si="37"/>
        <v>2015</v>
      </c>
    </row>
    <row r="1971" spans="1:3" x14ac:dyDescent="0.35">
      <c r="A1971" s="16">
        <v>42143</v>
      </c>
      <c r="B1971" s="9">
        <v>274</v>
      </c>
      <c r="C1971">
        <f t="shared" si="37"/>
        <v>2015</v>
      </c>
    </row>
    <row r="1972" spans="1:3" x14ac:dyDescent="0.35">
      <c r="A1972" s="16">
        <v>42142</v>
      </c>
      <c r="B1972" s="9">
        <v>275</v>
      </c>
      <c r="C1972">
        <f t="shared" si="37"/>
        <v>2015</v>
      </c>
    </row>
    <row r="1973" spans="1:3" x14ac:dyDescent="0.35">
      <c r="A1973" s="16">
        <v>42139</v>
      </c>
      <c r="B1973" s="9">
        <v>285</v>
      </c>
      <c r="C1973">
        <f t="shared" si="37"/>
        <v>2015</v>
      </c>
    </row>
    <row r="1974" spans="1:3" x14ac:dyDescent="0.35">
      <c r="A1974" s="16">
        <v>42138</v>
      </c>
      <c r="B1974" s="9">
        <v>282</v>
      </c>
      <c r="C1974">
        <f t="shared" si="37"/>
        <v>2015</v>
      </c>
    </row>
    <row r="1975" spans="1:3" x14ac:dyDescent="0.35">
      <c r="A1975" s="16">
        <v>42137</v>
      </c>
      <c r="B1975" s="9">
        <v>279</v>
      </c>
      <c r="C1975">
        <f t="shared" si="37"/>
        <v>2015</v>
      </c>
    </row>
    <row r="1976" spans="1:3" x14ac:dyDescent="0.35">
      <c r="A1976" s="16">
        <v>42136</v>
      </c>
      <c r="B1976" s="9">
        <v>283</v>
      </c>
      <c r="C1976">
        <f t="shared" si="37"/>
        <v>2015</v>
      </c>
    </row>
    <row r="1977" spans="1:3" x14ac:dyDescent="0.35">
      <c r="A1977" s="16">
        <v>42135</v>
      </c>
      <c r="B1977" s="9">
        <v>275</v>
      </c>
      <c r="C1977">
        <f t="shared" si="37"/>
        <v>2015</v>
      </c>
    </row>
    <row r="1978" spans="1:3" x14ac:dyDescent="0.35">
      <c r="A1978" s="16">
        <v>42132</v>
      </c>
      <c r="B1978" s="9">
        <v>274</v>
      </c>
      <c r="C1978">
        <f t="shared" si="37"/>
        <v>2015</v>
      </c>
    </row>
    <row r="1979" spans="1:3" x14ac:dyDescent="0.35">
      <c r="A1979" s="16">
        <v>42131</v>
      </c>
      <c r="B1979" s="9">
        <v>281</v>
      </c>
      <c r="C1979">
        <f t="shared" si="37"/>
        <v>2015</v>
      </c>
    </row>
    <row r="1980" spans="1:3" x14ac:dyDescent="0.35">
      <c r="A1980" s="16">
        <v>42130</v>
      </c>
      <c r="B1980" s="9">
        <v>277</v>
      </c>
      <c r="C1980">
        <f t="shared" si="37"/>
        <v>2015</v>
      </c>
    </row>
    <row r="1981" spans="1:3" x14ac:dyDescent="0.35">
      <c r="A1981" s="16">
        <v>42129</v>
      </c>
      <c r="B1981" s="9">
        <v>284</v>
      </c>
      <c r="C1981">
        <f t="shared" si="37"/>
        <v>2015</v>
      </c>
    </row>
    <row r="1982" spans="1:3" x14ac:dyDescent="0.35">
      <c r="A1982" s="16">
        <v>42128</v>
      </c>
      <c r="B1982" s="9">
        <v>292</v>
      </c>
      <c r="C1982">
        <f t="shared" si="37"/>
        <v>2015</v>
      </c>
    </row>
    <row r="1983" spans="1:3" x14ac:dyDescent="0.35">
      <c r="A1983" s="16">
        <v>42125</v>
      </c>
      <c r="B1983" s="9">
        <v>296</v>
      </c>
      <c r="C1983">
        <f t="shared" si="37"/>
        <v>2015</v>
      </c>
    </row>
    <row r="1984" spans="1:3" x14ac:dyDescent="0.35">
      <c r="A1984" s="16">
        <v>42124</v>
      </c>
      <c r="B1984" s="9">
        <v>295</v>
      </c>
      <c r="C1984">
        <f t="shared" si="37"/>
        <v>2015</v>
      </c>
    </row>
    <row r="1985" spans="1:3" x14ac:dyDescent="0.35">
      <c r="A1985" s="16">
        <v>42123</v>
      </c>
      <c r="B1985" s="9">
        <v>282</v>
      </c>
      <c r="C1985">
        <f t="shared" si="37"/>
        <v>2015</v>
      </c>
    </row>
    <row r="1986" spans="1:3" x14ac:dyDescent="0.35">
      <c r="A1986" s="16">
        <v>42122</v>
      </c>
      <c r="B1986" s="9">
        <v>281</v>
      </c>
      <c r="C1986">
        <f t="shared" si="37"/>
        <v>2015</v>
      </c>
    </row>
    <row r="1987" spans="1:3" x14ac:dyDescent="0.35">
      <c r="A1987" s="16">
        <v>42121</v>
      </c>
      <c r="B1987" s="9">
        <v>283</v>
      </c>
      <c r="C1987">
        <f t="shared" ref="C1987:C2050" si="38">YEAR(A1987)</f>
        <v>2015</v>
      </c>
    </row>
    <row r="1988" spans="1:3" x14ac:dyDescent="0.35">
      <c r="A1988" s="16">
        <v>42118</v>
      </c>
      <c r="B1988" s="9">
        <v>280</v>
      </c>
      <c r="C1988">
        <f t="shared" si="38"/>
        <v>2015</v>
      </c>
    </row>
    <row r="1989" spans="1:3" x14ac:dyDescent="0.35">
      <c r="A1989" s="16">
        <v>42117</v>
      </c>
      <c r="B1989" s="9">
        <v>276</v>
      </c>
      <c r="C1989">
        <f t="shared" si="38"/>
        <v>2015</v>
      </c>
    </row>
    <row r="1990" spans="1:3" x14ac:dyDescent="0.35">
      <c r="A1990" s="16">
        <v>42116</v>
      </c>
      <c r="B1990" s="9">
        <v>278</v>
      </c>
      <c r="C1990">
        <f t="shared" si="38"/>
        <v>2015</v>
      </c>
    </row>
    <row r="1991" spans="1:3" x14ac:dyDescent="0.35">
      <c r="A1991" s="16">
        <v>42115</v>
      </c>
      <c r="B1991" s="9">
        <v>288</v>
      </c>
      <c r="C1991">
        <f t="shared" si="38"/>
        <v>2015</v>
      </c>
    </row>
    <row r="1992" spans="1:3" x14ac:dyDescent="0.35">
      <c r="A1992" s="16">
        <v>42114</v>
      </c>
      <c r="B1992" s="9">
        <v>296</v>
      </c>
      <c r="C1992">
        <f t="shared" si="38"/>
        <v>2015</v>
      </c>
    </row>
    <row r="1993" spans="1:3" x14ac:dyDescent="0.35">
      <c r="A1993" s="16">
        <v>42111</v>
      </c>
      <c r="B1993" s="9">
        <v>310</v>
      </c>
      <c r="C1993">
        <f t="shared" si="38"/>
        <v>2015</v>
      </c>
    </row>
    <row r="1994" spans="1:3" x14ac:dyDescent="0.35">
      <c r="A1994" s="16">
        <v>42110</v>
      </c>
      <c r="B1994" s="9">
        <v>300</v>
      </c>
      <c r="C1994">
        <f t="shared" si="38"/>
        <v>2015</v>
      </c>
    </row>
    <row r="1995" spans="1:3" x14ac:dyDescent="0.35">
      <c r="A1995" s="16">
        <v>42109</v>
      </c>
      <c r="B1995" s="9">
        <v>293</v>
      </c>
      <c r="C1995">
        <f t="shared" si="38"/>
        <v>2015</v>
      </c>
    </row>
    <row r="1996" spans="1:3" x14ac:dyDescent="0.35">
      <c r="A1996" s="16">
        <v>42108</v>
      </c>
      <c r="B1996" s="9">
        <v>289</v>
      </c>
      <c r="C1996">
        <f t="shared" si="38"/>
        <v>2015</v>
      </c>
    </row>
    <row r="1997" spans="1:3" x14ac:dyDescent="0.35">
      <c r="A1997" s="16">
        <v>42107</v>
      </c>
      <c r="B1997" s="9">
        <v>291</v>
      </c>
      <c r="C1997">
        <f t="shared" si="38"/>
        <v>2015</v>
      </c>
    </row>
    <row r="1998" spans="1:3" x14ac:dyDescent="0.35">
      <c r="A1998" s="16">
        <v>42104</v>
      </c>
      <c r="B1998" s="9">
        <v>287</v>
      </c>
      <c r="C1998">
        <f t="shared" si="38"/>
        <v>2015</v>
      </c>
    </row>
    <row r="1999" spans="1:3" x14ac:dyDescent="0.35">
      <c r="A1999" s="16">
        <v>42103</v>
      </c>
      <c r="B1999" s="9">
        <v>283</v>
      </c>
      <c r="C1999">
        <f t="shared" si="38"/>
        <v>2015</v>
      </c>
    </row>
    <row r="2000" spans="1:3" x14ac:dyDescent="0.35">
      <c r="A2000" s="16">
        <v>42102</v>
      </c>
      <c r="B2000" s="9">
        <v>287</v>
      </c>
      <c r="C2000">
        <f t="shared" si="38"/>
        <v>2015</v>
      </c>
    </row>
    <row r="2001" spans="1:3" x14ac:dyDescent="0.35">
      <c r="A2001" s="16">
        <v>42101</v>
      </c>
      <c r="B2001" s="9">
        <v>301</v>
      </c>
      <c r="C2001">
        <f t="shared" si="38"/>
        <v>2015</v>
      </c>
    </row>
    <row r="2002" spans="1:3" x14ac:dyDescent="0.35">
      <c r="A2002" s="16">
        <v>42100</v>
      </c>
      <c r="B2002" s="9">
        <v>302</v>
      </c>
      <c r="C2002">
        <f t="shared" si="38"/>
        <v>2015</v>
      </c>
    </row>
    <row r="2003" spans="1:3" x14ac:dyDescent="0.35">
      <c r="A2003" s="16">
        <v>42097</v>
      </c>
      <c r="B2003" s="9">
        <v>312</v>
      </c>
      <c r="C2003">
        <f t="shared" si="38"/>
        <v>2015</v>
      </c>
    </row>
    <row r="2004" spans="1:3" x14ac:dyDescent="0.35">
      <c r="A2004" s="16">
        <v>42096</v>
      </c>
      <c r="B2004" s="9">
        <v>309</v>
      </c>
      <c r="C2004">
        <f t="shared" si="38"/>
        <v>2015</v>
      </c>
    </row>
    <row r="2005" spans="1:3" x14ac:dyDescent="0.35">
      <c r="A2005" s="16">
        <v>42095</v>
      </c>
      <c r="B2005" s="9">
        <v>317</v>
      </c>
      <c r="C2005">
        <f t="shared" si="38"/>
        <v>2015</v>
      </c>
    </row>
    <row r="2006" spans="1:3" x14ac:dyDescent="0.35">
      <c r="A2006" s="16">
        <v>42094</v>
      </c>
      <c r="B2006" s="9">
        <v>322</v>
      </c>
      <c r="C2006">
        <f t="shared" si="38"/>
        <v>2015</v>
      </c>
    </row>
    <row r="2007" spans="1:3" x14ac:dyDescent="0.35">
      <c r="A2007" s="16">
        <v>42093</v>
      </c>
      <c r="B2007" s="9">
        <v>318</v>
      </c>
      <c r="C2007">
        <f t="shared" si="38"/>
        <v>2015</v>
      </c>
    </row>
    <row r="2008" spans="1:3" x14ac:dyDescent="0.35">
      <c r="A2008" s="16">
        <v>42090</v>
      </c>
      <c r="B2008" s="9">
        <v>324</v>
      </c>
      <c r="C2008">
        <f t="shared" si="38"/>
        <v>2015</v>
      </c>
    </row>
    <row r="2009" spans="1:3" x14ac:dyDescent="0.35">
      <c r="A2009" s="16">
        <v>42089</v>
      </c>
      <c r="B2009" s="9">
        <v>319</v>
      </c>
      <c r="C2009">
        <f t="shared" si="38"/>
        <v>2015</v>
      </c>
    </row>
    <row r="2010" spans="1:3" x14ac:dyDescent="0.35">
      <c r="A2010" s="16">
        <v>42088</v>
      </c>
      <c r="B2010" s="9">
        <v>324</v>
      </c>
      <c r="C2010">
        <f t="shared" si="38"/>
        <v>2015</v>
      </c>
    </row>
    <row r="2011" spans="1:3" x14ac:dyDescent="0.35">
      <c r="A2011" s="16">
        <v>42087</v>
      </c>
      <c r="B2011" s="9">
        <v>328</v>
      </c>
      <c r="C2011">
        <f t="shared" si="38"/>
        <v>2015</v>
      </c>
    </row>
    <row r="2012" spans="1:3" x14ac:dyDescent="0.35">
      <c r="A2012" s="16">
        <v>42086</v>
      </c>
      <c r="B2012" s="9">
        <v>333</v>
      </c>
      <c r="C2012">
        <f t="shared" si="38"/>
        <v>2015</v>
      </c>
    </row>
    <row r="2013" spans="1:3" x14ac:dyDescent="0.35">
      <c r="A2013" s="16">
        <v>42083</v>
      </c>
      <c r="B2013" s="9">
        <v>344</v>
      </c>
      <c r="C2013">
        <f t="shared" si="38"/>
        <v>2015</v>
      </c>
    </row>
    <row r="2014" spans="1:3" x14ac:dyDescent="0.35">
      <c r="A2014" s="16">
        <v>42082</v>
      </c>
      <c r="B2014" s="9">
        <v>351</v>
      </c>
      <c r="C2014">
        <f t="shared" si="38"/>
        <v>2015</v>
      </c>
    </row>
    <row r="2015" spans="1:3" x14ac:dyDescent="0.35">
      <c r="A2015" s="16">
        <v>42081</v>
      </c>
      <c r="B2015" s="9">
        <v>360</v>
      </c>
      <c r="C2015">
        <f t="shared" si="38"/>
        <v>2015</v>
      </c>
    </row>
    <row r="2016" spans="1:3" x14ac:dyDescent="0.35">
      <c r="A2016" s="16">
        <v>42080</v>
      </c>
      <c r="B2016" s="9">
        <v>361</v>
      </c>
      <c r="C2016">
        <f t="shared" si="38"/>
        <v>2015</v>
      </c>
    </row>
    <row r="2017" spans="1:3" x14ac:dyDescent="0.35">
      <c r="A2017" s="16">
        <v>42079</v>
      </c>
      <c r="B2017" s="9">
        <v>344</v>
      </c>
      <c r="C2017">
        <f t="shared" si="38"/>
        <v>2015</v>
      </c>
    </row>
    <row r="2018" spans="1:3" x14ac:dyDescent="0.35">
      <c r="A2018" s="16">
        <v>42076</v>
      </c>
      <c r="B2018" s="9">
        <v>344</v>
      </c>
      <c r="C2018">
        <f t="shared" si="38"/>
        <v>2015</v>
      </c>
    </row>
    <row r="2019" spans="1:3" x14ac:dyDescent="0.35">
      <c r="A2019" s="16">
        <v>42075</v>
      </c>
      <c r="B2019" s="9">
        <v>324</v>
      </c>
      <c r="C2019">
        <f t="shared" si="38"/>
        <v>2015</v>
      </c>
    </row>
    <row r="2020" spans="1:3" x14ac:dyDescent="0.35">
      <c r="A2020" s="16">
        <v>42074</v>
      </c>
      <c r="B2020" s="9">
        <v>333</v>
      </c>
      <c r="C2020">
        <f t="shared" si="38"/>
        <v>2015</v>
      </c>
    </row>
    <row r="2021" spans="1:3" x14ac:dyDescent="0.35">
      <c r="A2021" s="16">
        <v>42073</v>
      </c>
      <c r="B2021" s="9">
        <v>328</v>
      </c>
      <c r="C2021">
        <f t="shared" si="38"/>
        <v>2015</v>
      </c>
    </row>
    <row r="2022" spans="1:3" x14ac:dyDescent="0.35">
      <c r="A2022" s="16">
        <v>42072</v>
      </c>
      <c r="B2022" s="9">
        <v>327</v>
      </c>
      <c r="C2022">
        <f t="shared" si="38"/>
        <v>2015</v>
      </c>
    </row>
    <row r="2023" spans="1:3" x14ac:dyDescent="0.35">
      <c r="A2023" s="16">
        <v>42069</v>
      </c>
      <c r="B2023" s="9">
        <v>308</v>
      </c>
      <c r="C2023">
        <f t="shared" si="38"/>
        <v>2015</v>
      </c>
    </row>
    <row r="2024" spans="1:3" x14ac:dyDescent="0.35">
      <c r="A2024" s="16">
        <v>42068</v>
      </c>
      <c r="B2024" s="9">
        <v>307</v>
      </c>
      <c r="C2024">
        <f t="shared" si="38"/>
        <v>2015</v>
      </c>
    </row>
    <row r="2025" spans="1:3" x14ac:dyDescent="0.35">
      <c r="A2025" s="16">
        <v>42067</v>
      </c>
      <c r="B2025" s="9">
        <v>307</v>
      </c>
      <c r="C2025">
        <f t="shared" si="38"/>
        <v>2015</v>
      </c>
    </row>
    <row r="2026" spans="1:3" x14ac:dyDescent="0.35">
      <c r="A2026" s="16">
        <v>42066</v>
      </c>
      <c r="B2026" s="9">
        <v>303</v>
      </c>
      <c r="C2026">
        <f t="shared" si="38"/>
        <v>2015</v>
      </c>
    </row>
    <row r="2027" spans="1:3" x14ac:dyDescent="0.35">
      <c r="A2027" s="16">
        <v>42065</v>
      </c>
      <c r="B2027" s="9">
        <v>310</v>
      </c>
      <c r="C2027">
        <f t="shared" si="38"/>
        <v>2015</v>
      </c>
    </row>
    <row r="2028" spans="1:3" x14ac:dyDescent="0.35">
      <c r="A2028" s="16">
        <v>42062</v>
      </c>
      <c r="B2028" s="9">
        <v>322</v>
      </c>
      <c r="C2028">
        <f t="shared" si="38"/>
        <v>2015</v>
      </c>
    </row>
    <row r="2029" spans="1:3" x14ac:dyDescent="0.35">
      <c r="A2029" s="16">
        <v>42061</v>
      </c>
      <c r="B2029" s="9">
        <v>329</v>
      </c>
      <c r="C2029">
        <f t="shared" si="38"/>
        <v>2015</v>
      </c>
    </row>
    <row r="2030" spans="1:3" x14ac:dyDescent="0.35">
      <c r="A2030" s="16">
        <v>42060</v>
      </c>
      <c r="B2030" s="9">
        <v>322</v>
      </c>
      <c r="C2030">
        <f t="shared" si="38"/>
        <v>2015</v>
      </c>
    </row>
    <row r="2031" spans="1:3" x14ac:dyDescent="0.35">
      <c r="A2031" s="16">
        <v>42059</v>
      </c>
      <c r="B2031" s="9">
        <v>314</v>
      </c>
      <c r="C2031">
        <f t="shared" si="38"/>
        <v>2015</v>
      </c>
    </row>
    <row r="2032" spans="1:3" x14ac:dyDescent="0.35">
      <c r="A2032" s="16">
        <v>42058</v>
      </c>
      <c r="B2032" s="9">
        <v>314</v>
      </c>
      <c r="C2032">
        <f t="shared" si="38"/>
        <v>2015</v>
      </c>
    </row>
    <row r="2033" spans="1:3" x14ac:dyDescent="0.35">
      <c r="A2033" s="16">
        <v>42055</v>
      </c>
      <c r="B2033" s="9">
        <v>306</v>
      </c>
      <c r="C2033">
        <f t="shared" si="38"/>
        <v>2015</v>
      </c>
    </row>
    <row r="2034" spans="1:3" x14ac:dyDescent="0.35">
      <c r="A2034" s="16">
        <v>42054</v>
      </c>
      <c r="B2034" s="9">
        <v>297</v>
      </c>
      <c r="C2034">
        <f t="shared" si="38"/>
        <v>2015</v>
      </c>
    </row>
    <row r="2035" spans="1:3" x14ac:dyDescent="0.35">
      <c r="A2035" s="16">
        <v>42053</v>
      </c>
      <c r="B2035" s="9">
        <v>304</v>
      </c>
      <c r="C2035">
        <f t="shared" si="38"/>
        <v>2015</v>
      </c>
    </row>
    <row r="2036" spans="1:3" x14ac:dyDescent="0.35">
      <c r="A2036" s="16">
        <v>42052</v>
      </c>
      <c r="B2036" s="9">
        <v>301</v>
      </c>
      <c r="C2036">
        <f t="shared" si="38"/>
        <v>2015</v>
      </c>
    </row>
    <row r="2037" spans="1:3" x14ac:dyDescent="0.35">
      <c r="A2037" s="16">
        <v>42051</v>
      </c>
      <c r="B2037" s="9">
        <v>305</v>
      </c>
      <c r="C2037">
        <f t="shared" si="38"/>
        <v>2015</v>
      </c>
    </row>
    <row r="2038" spans="1:3" x14ac:dyDescent="0.35">
      <c r="A2038" s="16">
        <v>42048</v>
      </c>
      <c r="B2038" s="9">
        <v>305</v>
      </c>
      <c r="C2038">
        <f t="shared" si="38"/>
        <v>2015</v>
      </c>
    </row>
    <row r="2039" spans="1:3" x14ac:dyDescent="0.35">
      <c r="A2039" s="16">
        <v>42047</v>
      </c>
      <c r="B2039" s="9">
        <v>313</v>
      </c>
      <c r="C2039">
        <f t="shared" si="38"/>
        <v>2015</v>
      </c>
    </row>
    <row r="2040" spans="1:3" x14ac:dyDescent="0.35">
      <c r="A2040" s="16">
        <v>42046</v>
      </c>
      <c r="B2040" s="9">
        <v>312</v>
      </c>
      <c r="C2040">
        <f t="shared" si="38"/>
        <v>2015</v>
      </c>
    </row>
    <row r="2041" spans="1:3" x14ac:dyDescent="0.35">
      <c r="A2041" s="16">
        <v>42045</v>
      </c>
      <c r="B2041" s="9">
        <v>300</v>
      </c>
      <c r="C2041">
        <f t="shared" si="38"/>
        <v>2015</v>
      </c>
    </row>
    <row r="2042" spans="1:3" x14ac:dyDescent="0.35">
      <c r="A2042" s="16">
        <v>42044</v>
      </c>
      <c r="B2042" s="9">
        <v>296</v>
      </c>
      <c r="C2042">
        <f t="shared" si="38"/>
        <v>2015</v>
      </c>
    </row>
    <row r="2043" spans="1:3" x14ac:dyDescent="0.35">
      <c r="A2043" s="16">
        <v>42041</v>
      </c>
      <c r="B2043" s="9">
        <v>297</v>
      </c>
      <c r="C2043">
        <f t="shared" si="38"/>
        <v>2015</v>
      </c>
    </row>
    <row r="2044" spans="1:3" x14ac:dyDescent="0.35">
      <c r="A2044" s="16">
        <v>42040</v>
      </c>
      <c r="B2044" s="9">
        <v>300</v>
      </c>
      <c r="C2044">
        <f t="shared" si="38"/>
        <v>2015</v>
      </c>
    </row>
    <row r="2045" spans="1:3" x14ac:dyDescent="0.35">
      <c r="A2045" s="16">
        <v>42039</v>
      </c>
      <c r="B2045" s="9">
        <v>307</v>
      </c>
      <c r="C2045">
        <f t="shared" si="38"/>
        <v>2015</v>
      </c>
    </row>
    <row r="2046" spans="1:3" x14ac:dyDescent="0.35">
      <c r="A2046" s="16">
        <v>42038</v>
      </c>
      <c r="B2046" s="9">
        <v>311</v>
      </c>
      <c r="C2046">
        <f t="shared" si="38"/>
        <v>2015</v>
      </c>
    </row>
    <row r="2047" spans="1:3" x14ac:dyDescent="0.35">
      <c r="A2047" s="16">
        <v>42037</v>
      </c>
      <c r="B2047" s="9">
        <v>324</v>
      </c>
      <c r="C2047">
        <f t="shared" si="38"/>
        <v>2015</v>
      </c>
    </row>
    <row r="2048" spans="1:3" x14ac:dyDescent="0.35">
      <c r="A2048" s="16">
        <v>42034</v>
      </c>
      <c r="B2048" s="9">
        <v>324</v>
      </c>
      <c r="C2048">
        <f t="shared" si="38"/>
        <v>2015</v>
      </c>
    </row>
    <row r="2049" spans="1:3" x14ac:dyDescent="0.35">
      <c r="A2049" s="16">
        <v>42033</v>
      </c>
      <c r="B2049" s="9">
        <v>294</v>
      </c>
      <c r="C2049">
        <f t="shared" si="38"/>
        <v>2015</v>
      </c>
    </row>
    <row r="2050" spans="1:3" x14ac:dyDescent="0.35">
      <c r="A2050" s="16">
        <v>42032</v>
      </c>
      <c r="B2050" s="9">
        <v>297</v>
      </c>
      <c r="C2050">
        <f t="shared" si="38"/>
        <v>2015</v>
      </c>
    </row>
    <row r="2051" spans="1:3" x14ac:dyDescent="0.35">
      <c r="A2051" s="16">
        <v>42031</v>
      </c>
      <c r="B2051" s="9">
        <v>284</v>
      </c>
      <c r="C2051">
        <f t="shared" ref="C2051:C2114" si="39">YEAR(A2051)</f>
        <v>2015</v>
      </c>
    </row>
    <row r="2052" spans="1:3" x14ac:dyDescent="0.35">
      <c r="A2052" s="16">
        <v>42030</v>
      </c>
      <c r="B2052" s="9">
        <v>286</v>
      </c>
      <c r="C2052">
        <f t="shared" si="39"/>
        <v>2015</v>
      </c>
    </row>
    <row r="2053" spans="1:3" x14ac:dyDescent="0.35">
      <c r="A2053" s="16">
        <v>42027</v>
      </c>
      <c r="B2053" s="9">
        <v>283</v>
      </c>
      <c r="C2053">
        <f t="shared" si="39"/>
        <v>2015</v>
      </c>
    </row>
    <row r="2054" spans="1:3" x14ac:dyDescent="0.35">
      <c r="A2054" s="16">
        <v>42026</v>
      </c>
      <c r="B2054" s="9">
        <v>286</v>
      </c>
      <c r="C2054">
        <f t="shared" si="39"/>
        <v>2015</v>
      </c>
    </row>
    <row r="2055" spans="1:3" x14ac:dyDescent="0.35">
      <c r="A2055" s="16">
        <v>42025</v>
      </c>
      <c r="B2055" s="9">
        <v>288</v>
      </c>
      <c r="C2055">
        <f t="shared" si="39"/>
        <v>2015</v>
      </c>
    </row>
    <row r="2056" spans="1:3" x14ac:dyDescent="0.35">
      <c r="A2056" s="16">
        <v>42024</v>
      </c>
      <c r="B2056" s="9">
        <v>290</v>
      </c>
      <c r="C2056">
        <f t="shared" si="39"/>
        <v>2015</v>
      </c>
    </row>
    <row r="2057" spans="1:3" x14ac:dyDescent="0.35">
      <c r="A2057" s="16">
        <v>42023</v>
      </c>
      <c r="B2057" s="9">
        <v>294</v>
      </c>
      <c r="C2057">
        <f t="shared" si="39"/>
        <v>2015</v>
      </c>
    </row>
    <row r="2058" spans="1:3" x14ac:dyDescent="0.35">
      <c r="A2058" s="16">
        <v>42020</v>
      </c>
      <c r="B2058" s="9">
        <v>294</v>
      </c>
      <c r="C2058">
        <f t="shared" si="39"/>
        <v>2015</v>
      </c>
    </row>
    <row r="2059" spans="1:3" x14ac:dyDescent="0.35">
      <c r="A2059" s="16">
        <v>42019</v>
      </c>
      <c r="B2059" s="9">
        <v>294</v>
      </c>
      <c r="C2059">
        <f t="shared" si="39"/>
        <v>2015</v>
      </c>
    </row>
    <row r="2060" spans="1:3" x14ac:dyDescent="0.35">
      <c r="A2060" s="16">
        <v>42018</v>
      </c>
      <c r="B2060" s="9">
        <v>289</v>
      </c>
      <c r="C2060">
        <f t="shared" si="39"/>
        <v>2015</v>
      </c>
    </row>
    <row r="2061" spans="1:3" x14ac:dyDescent="0.35">
      <c r="A2061" s="16">
        <v>42017</v>
      </c>
      <c r="B2061" s="9">
        <v>292</v>
      </c>
      <c r="C2061">
        <f t="shared" si="39"/>
        <v>2015</v>
      </c>
    </row>
    <row r="2062" spans="1:3" x14ac:dyDescent="0.35">
      <c r="A2062" s="16">
        <v>42016</v>
      </c>
      <c r="B2062" s="9">
        <v>293</v>
      </c>
      <c r="C2062">
        <f t="shared" si="39"/>
        <v>2015</v>
      </c>
    </row>
    <row r="2063" spans="1:3" x14ac:dyDescent="0.35">
      <c r="A2063" s="16">
        <v>42013</v>
      </c>
      <c r="B2063" s="9">
        <v>281</v>
      </c>
      <c r="C2063">
        <f t="shared" si="39"/>
        <v>2015</v>
      </c>
    </row>
    <row r="2064" spans="1:3" x14ac:dyDescent="0.35">
      <c r="A2064" s="16">
        <v>42012</v>
      </c>
      <c r="B2064" s="9">
        <v>278</v>
      </c>
      <c r="C2064">
        <f t="shared" si="39"/>
        <v>2015</v>
      </c>
    </row>
    <row r="2065" spans="1:3" x14ac:dyDescent="0.35">
      <c r="A2065" s="16">
        <v>42011</v>
      </c>
      <c r="B2065" s="9">
        <v>284</v>
      </c>
      <c r="C2065">
        <f t="shared" si="39"/>
        <v>2015</v>
      </c>
    </row>
    <row r="2066" spans="1:3" x14ac:dyDescent="0.35">
      <c r="A2066" s="16">
        <v>42010</v>
      </c>
      <c r="B2066" s="9">
        <v>287</v>
      </c>
      <c r="C2066">
        <f t="shared" si="39"/>
        <v>2015</v>
      </c>
    </row>
    <row r="2067" spans="1:3" x14ac:dyDescent="0.35">
      <c r="A2067" s="16">
        <v>42009</v>
      </c>
      <c r="B2067" s="9">
        <v>281</v>
      </c>
      <c r="C2067">
        <f t="shared" si="39"/>
        <v>2015</v>
      </c>
    </row>
    <row r="2068" spans="1:3" x14ac:dyDescent="0.35">
      <c r="A2068" s="16">
        <v>42006</v>
      </c>
      <c r="B2068" s="9">
        <v>264</v>
      </c>
      <c r="C2068">
        <f t="shared" si="39"/>
        <v>2015</v>
      </c>
    </row>
    <row r="2069" spans="1:3" x14ac:dyDescent="0.35">
      <c r="A2069" s="16">
        <v>42004</v>
      </c>
      <c r="B2069" s="9">
        <v>259</v>
      </c>
      <c r="C2069">
        <f t="shared" si="39"/>
        <v>2014</v>
      </c>
    </row>
    <row r="2070" spans="1:3" x14ac:dyDescent="0.35">
      <c r="A2070" s="16">
        <v>42003</v>
      </c>
      <c r="B2070" s="9">
        <v>261</v>
      </c>
      <c r="C2070">
        <f t="shared" si="39"/>
        <v>2014</v>
      </c>
    </row>
    <row r="2071" spans="1:3" x14ac:dyDescent="0.35">
      <c r="A2071" s="16">
        <v>42002</v>
      </c>
      <c r="B2071" s="9">
        <v>257</v>
      </c>
      <c r="C2071">
        <f t="shared" si="39"/>
        <v>2014</v>
      </c>
    </row>
    <row r="2072" spans="1:3" x14ac:dyDescent="0.35">
      <c r="A2072" s="16">
        <v>41999</v>
      </c>
      <c r="B2072" s="9">
        <v>256</v>
      </c>
      <c r="C2072">
        <f t="shared" si="39"/>
        <v>2014</v>
      </c>
    </row>
    <row r="2073" spans="1:3" x14ac:dyDescent="0.35">
      <c r="A2073" s="16">
        <v>41997</v>
      </c>
      <c r="B2073" s="9">
        <v>254</v>
      </c>
      <c r="C2073">
        <f t="shared" si="39"/>
        <v>2014</v>
      </c>
    </row>
    <row r="2074" spans="1:3" x14ac:dyDescent="0.35">
      <c r="A2074" s="16">
        <v>41996</v>
      </c>
      <c r="B2074" s="9">
        <v>250</v>
      </c>
      <c r="C2074">
        <f t="shared" si="39"/>
        <v>2014</v>
      </c>
    </row>
    <row r="2075" spans="1:3" x14ac:dyDescent="0.35">
      <c r="A2075" s="16">
        <v>41995</v>
      </c>
      <c r="B2075" s="9">
        <v>263</v>
      </c>
      <c r="C2075">
        <f t="shared" si="39"/>
        <v>2014</v>
      </c>
    </row>
    <row r="2076" spans="1:3" x14ac:dyDescent="0.35">
      <c r="A2076" s="16">
        <v>41992</v>
      </c>
      <c r="B2076" s="9">
        <v>266</v>
      </c>
      <c r="C2076">
        <f t="shared" si="39"/>
        <v>2014</v>
      </c>
    </row>
    <row r="2077" spans="1:3" x14ac:dyDescent="0.35">
      <c r="A2077" s="16">
        <v>41991</v>
      </c>
      <c r="B2077" s="9">
        <v>283</v>
      </c>
      <c r="C2077">
        <f t="shared" si="39"/>
        <v>2014</v>
      </c>
    </row>
    <row r="2078" spans="1:3" x14ac:dyDescent="0.35">
      <c r="A2078" s="16">
        <v>41990</v>
      </c>
      <c r="B2078" s="9">
        <v>284</v>
      </c>
      <c r="C2078">
        <f t="shared" si="39"/>
        <v>2014</v>
      </c>
    </row>
    <row r="2079" spans="1:3" x14ac:dyDescent="0.35">
      <c r="A2079" s="16">
        <v>41989</v>
      </c>
      <c r="B2079" s="9">
        <v>318</v>
      </c>
      <c r="C2079">
        <f t="shared" si="39"/>
        <v>2014</v>
      </c>
    </row>
    <row r="2080" spans="1:3" x14ac:dyDescent="0.35">
      <c r="A2080" s="16">
        <v>41988</v>
      </c>
      <c r="B2080" s="9">
        <v>312</v>
      </c>
      <c r="C2080">
        <f t="shared" si="39"/>
        <v>2014</v>
      </c>
    </row>
    <row r="2081" spans="1:3" x14ac:dyDescent="0.35">
      <c r="A2081" s="16">
        <v>41985</v>
      </c>
      <c r="B2081" s="9">
        <v>301</v>
      </c>
      <c r="C2081">
        <f t="shared" si="39"/>
        <v>2014</v>
      </c>
    </row>
    <row r="2082" spans="1:3" x14ac:dyDescent="0.35">
      <c r="A2082" s="16">
        <v>41984</v>
      </c>
      <c r="B2082" s="9">
        <v>273</v>
      </c>
      <c r="C2082">
        <f t="shared" si="39"/>
        <v>2014</v>
      </c>
    </row>
    <row r="2083" spans="1:3" x14ac:dyDescent="0.35">
      <c r="A2083" s="16">
        <v>41983</v>
      </c>
      <c r="B2083" s="9">
        <v>280</v>
      </c>
      <c r="C2083">
        <f t="shared" si="39"/>
        <v>2014</v>
      </c>
    </row>
    <row r="2084" spans="1:3" x14ac:dyDescent="0.35">
      <c r="A2084" s="16">
        <v>41982</v>
      </c>
      <c r="B2084" s="9">
        <v>266</v>
      </c>
      <c r="C2084">
        <f t="shared" si="39"/>
        <v>2014</v>
      </c>
    </row>
    <row r="2085" spans="1:3" x14ac:dyDescent="0.35">
      <c r="A2085" s="16">
        <v>41981</v>
      </c>
      <c r="B2085" s="9">
        <v>255</v>
      </c>
      <c r="C2085">
        <f t="shared" si="39"/>
        <v>2014</v>
      </c>
    </row>
    <row r="2086" spans="1:3" x14ac:dyDescent="0.35">
      <c r="A2086" s="16">
        <v>41978</v>
      </c>
      <c r="B2086" s="9">
        <v>243</v>
      </c>
      <c r="C2086">
        <f t="shared" si="39"/>
        <v>2014</v>
      </c>
    </row>
    <row r="2087" spans="1:3" x14ac:dyDescent="0.35">
      <c r="A2087" s="16">
        <v>41977</v>
      </c>
      <c r="B2087" s="9">
        <v>238</v>
      </c>
      <c r="C2087">
        <f t="shared" si="39"/>
        <v>2014</v>
      </c>
    </row>
    <row r="2088" spans="1:3" x14ac:dyDescent="0.35">
      <c r="A2088" s="16">
        <v>41976</v>
      </c>
      <c r="B2088" s="9">
        <v>233</v>
      </c>
      <c r="C2088">
        <f t="shared" si="39"/>
        <v>2014</v>
      </c>
    </row>
    <row r="2089" spans="1:3" x14ac:dyDescent="0.35">
      <c r="A2089" s="16">
        <v>41975</v>
      </c>
      <c r="B2089" s="9">
        <v>238</v>
      </c>
      <c r="C2089">
        <f t="shared" si="39"/>
        <v>2014</v>
      </c>
    </row>
    <row r="2090" spans="1:3" x14ac:dyDescent="0.35">
      <c r="A2090" s="16">
        <v>41974</v>
      </c>
      <c r="B2090" s="9">
        <v>244</v>
      </c>
      <c r="C2090">
        <f t="shared" si="39"/>
        <v>2014</v>
      </c>
    </row>
    <row r="2091" spans="1:3" x14ac:dyDescent="0.35">
      <c r="A2091" s="16">
        <v>41971</v>
      </c>
      <c r="B2091" s="9">
        <v>238</v>
      </c>
      <c r="C2091">
        <f t="shared" si="39"/>
        <v>2014</v>
      </c>
    </row>
    <row r="2092" spans="1:3" x14ac:dyDescent="0.35">
      <c r="A2092" s="16">
        <v>41970</v>
      </c>
      <c r="B2092" s="9">
        <v>238</v>
      </c>
      <c r="C2092">
        <f t="shared" si="39"/>
        <v>2014</v>
      </c>
    </row>
    <row r="2093" spans="1:3" x14ac:dyDescent="0.35">
      <c r="A2093" s="16">
        <v>41969</v>
      </c>
      <c r="B2093" s="9">
        <v>238</v>
      </c>
      <c r="C2093">
        <f t="shared" si="39"/>
        <v>2014</v>
      </c>
    </row>
    <row r="2094" spans="1:3" x14ac:dyDescent="0.35">
      <c r="A2094" s="16">
        <v>41968</v>
      </c>
      <c r="B2094" s="9">
        <v>245</v>
      </c>
      <c r="C2094">
        <f t="shared" si="39"/>
        <v>2014</v>
      </c>
    </row>
    <row r="2095" spans="1:3" x14ac:dyDescent="0.35">
      <c r="A2095" s="16">
        <v>41967</v>
      </c>
      <c r="B2095" s="9">
        <v>241</v>
      </c>
      <c r="C2095">
        <f t="shared" si="39"/>
        <v>2014</v>
      </c>
    </row>
    <row r="2096" spans="1:3" x14ac:dyDescent="0.35">
      <c r="A2096" s="16">
        <v>41964</v>
      </c>
      <c r="B2096" s="9">
        <v>237</v>
      </c>
      <c r="C2096">
        <f t="shared" si="39"/>
        <v>2014</v>
      </c>
    </row>
    <row r="2097" spans="1:3" x14ac:dyDescent="0.35">
      <c r="A2097" s="16">
        <v>41963</v>
      </c>
      <c r="B2097" s="9">
        <v>252</v>
      </c>
      <c r="C2097">
        <f t="shared" si="39"/>
        <v>2014</v>
      </c>
    </row>
    <row r="2098" spans="1:3" x14ac:dyDescent="0.35">
      <c r="A2098" s="16">
        <v>41962</v>
      </c>
      <c r="B2098" s="9">
        <v>255</v>
      </c>
      <c r="C2098">
        <f t="shared" si="39"/>
        <v>2014</v>
      </c>
    </row>
    <row r="2099" spans="1:3" x14ac:dyDescent="0.35">
      <c r="A2099" s="16">
        <v>41961</v>
      </c>
      <c r="B2099" s="9">
        <v>264</v>
      </c>
      <c r="C2099">
        <f t="shared" si="39"/>
        <v>2014</v>
      </c>
    </row>
    <row r="2100" spans="1:3" x14ac:dyDescent="0.35">
      <c r="A2100" s="16">
        <v>41960</v>
      </c>
      <c r="B2100" s="9">
        <v>264</v>
      </c>
      <c r="C2100">
        <f t="shared" si="39"/>
        <v>2014</v>
      </c>
    </row>
    <row r="2101" spans="1:3" x14ac:dyDescent="0.35">
      <c r="A2101" s="16">
        <v>41957</v>
      </c>
      <c r="B2101" s="9">
        <v>263</v>
      </c>
      <c r="C2101">
        <f t="shared" si="39"/>
        <v>2014</v>
      </c>
    </row>
    <row r="2102" spans="1:3" x14ac:dyDescent="0.35">
      <c r="A2102" s="16">
        <v>41956</v>
      </c>
      <c r="B2102" s="9">
        <v>250</v>
      </c>
      <c r="C2102">
        <f t="shared" si="39"/>
        <v>2014</v>
      </c>
    </row>
    <row r="2103" spans="1:3" x14ac:dyDescent="0.35">
      <c r="A2103" s="16">
        <v>41955</v>
      </c>
      <c r="B2103" s="9">
        <v>249</v>
      </c>
      <c r="C2103">
        <f t="shared" si="39"/>
        <v>2014</v>
      </c>
    </row>
    <row r="2104" spans="1:3" x14ac:dyDescent="0.35">
      <c r="A2104" s="16">
        <v>41954</v>
      </c>
      <c r="B2104" s="9">
        <v>249</v>
      </c>
      <c r="C2104">
        <f t="shared" si="39"/>
        <v>2014</v>
      </c>
    </row>
    <row r="2105" spans="1:3" x14ac:dyDescent="0.35">
      <c r="A2105" s="16">
        <v>41953</v>
      </c>
      <c r="B2105" s="9">
        <v>249</v>
      </c>
      <c r="C2105">
        <f t="shared" si="39"/>
        <v>2014</v>
      </c>
    </row>
    <row r="2106" spans="1:3" x14ac:dyDescent="0.35">
      <c r="A2106" s="16">
        <v>41950</v>
      </c>
      <c r="B2106" s="9">
        <v>252</v>
      </c>
      <c r="C2106">
        <f t="shared" si="39"/>
        <v>2014</v>
      </c>
    </row>
    <row r="2107" spans="1:3" x14ac:dyDescent="0.35">
      <c r="A2107" s="16">
        <v>41949</v>
      </c>
      <c r="B2107" s="9">
        <v>243</v>
      </c>
      <c r="C2107">
        <f t="shared" si="39"/>
        <v>2014</v>
      </c>
    </row>
    <row r="2108" spans="1:3" x14ac:dyDescent="0.35">
      <c r="A2108" s="16">
        <v>41948</v>
      </c>
      <c r="B2108" s="9">
        <v>242</v>
      </c>
      <c r="C2108">
        <f t="shared" si="39"/>
        <v>2014</v>
      </c>
    </row>
    <row r="2109" spans="1:3" x14ac:dyDescent="0.35">
      <c r="A2109" s="16">
        <v>41947</v>
      </c>
      <c r="B2109" s="9">
        <v>244</v>
      </c>
      <c r="C2109">
        <f t="shared" si="39"/>
        <v>2014</v>
      </c>
    </row>
    <row r="2110" spans="1:3" x14ac:dyDescent="0.35">
      <c r="A2110" s="16">
        <v>41946</v>
      </c>
      <c r="B2110" s="9">
        <v>237</v>
      </c>
      <c r="C2110">
        <f t="shared" si="39"/>
        <v>2014</v>
      </c>
    </row>
    <row r="2111" spans="1:3" x14ac:dyDescent="0.35">
      <c r="A2111" s="16">
        <v>41943</v>
      </c>
      <c r="B2111" s="9">
        <v>233</v>
      </c>
      <c r="C2111">
        <f t="shared" si="39"/>
        <v>2014</v>
      </c>
    </row>
    <row r="2112" spans="1:3" x14ac:dyDescent="0.35">
      <c r="A2112" s="16">
        <v>41942</v>
      </c>
      <c r="B2112" s="9">
        <v>233</v>
      </c>
      <c r="C2112">
        <f t="shared" si="39"/>
        <v>2014</v>
      </c>
    </row>
    <row r="2113" spans="1:3" x14ac:dyDescent="0.35">
      <c r="A2113" s="16">
        <v>41941</v>
      </c>
      <c r="B2113" s="9">
        <v>236</v>
      </c>
      <c r="C2113">
        <f t="shared" si="39"/>
        <v>2014</v>
      </c>
    </row>
    <row r="2114" spans="1:3" x14ac:dyDescent="0.35">
      <c r="A2114" s="16">
        <v>41940</v>
      </c>
      <c r="B2114" s="9">
        <v>239</v>
      </c>
      <c r="C2114">
        <f t="shared" si="39"/>
        <v>2014</v>
      </c>
    </row>
    <row r="2115" spans="1:3" x14ac:dyDescent="0.35">
      <c r="A2115" s="16">
        <v>41939</v>
      </c>
      <c r="B2115" s="9">
        <v>245</v>
      </c>
      <c r="C2115">
        <f t="shared" ref="C2115:C2178" si="40">YEAR(A2115)</f>
        <v>2014</v>
      </c>
    </row>
    <row r="2116" spans="1:3" x14ac:dyDescent="0.35">
      <c r="A2116" s="16">
        <v>41936</v>
      </c>
      <c r="B2116" s="9">
        <v>243</v>
      </c>
      <c r="C2116">
        <f t="shared" si="40"/>
        <v>2014</v>
      </c>
    </row>
    <row r="2117" spans="1:3" x14ac:dyDescent="0.35">
      <c r="A2117" s="16">
        <v>41935</v>
      </c>
      <c r="B2117" s="9">
        <v>243</v>
      </c>
      <c r="C2117">
        <f t="shared" si="40"/>
        <v>2014</v>
      </c>
    </row>
    <row r="2118" spans="1:3" x14ac:dyDescent="0.35">
      <c r="A2118" s="16">
        <v>41934</v>
      </c>
      <c r="B2118" s="9">
        <v>243</v>
      </c>
      <c r="C2118">
        <f t="shared" si="40"/>
        <v>2014</v>
      </c>
    </row>
    <row r="2119" spans="1:3" x14ac:dyDescent="0.35">
      <c r="A2119" s="16">
        <v>41933</v>
      </c>
      <c r="B2119" s="9">
        <v>244</v>
      </c>
      <c r="C2119">
        <f t="shared" si="40"/>
        <v>2014</v>
      </c>
    </row>
    <row r="2120" spans="1:3" x14ac:dyDescent="0.35">
      <c r="A2120" s="16">
        <v>41932</v>
      </c>
      <c r="B2120" s="9">
        <v>241</v>
      </c>
      <c r="C2120">
        <f t="shared" si="40"/>
        <v>2014</v>
      </c>
    </row>
    <row r="2121" spans="1:3" x14ac:dyDescent="0.35">
      <c r="A2121" s="16">
        <v>41929</v>
      </c>
      <c r="B2121" s="9">
        <v>239</v>
      </c>
      <c r="C2121">
        <f t="shared" si="40"/>
        <v>2014</v>
      </c>
    </row>
    <row r="2122" spans="1:3" x14ac:dyDescent="0.35">
      <c r="A2122" s="16">
        <v>41928</v>
      </c>
      <c r="B2122" s="9">
        <v>245</v>
      </c>
      <c r="C2122">
        <f t="shared" si="40"/>
        <v>2014</v>
      </c>
    </row>
    <row r="2123" spans="1:3" x14ac:dyDescent="0.35">
      <c r="A2123" s="16">
        <v>41927</v>
      </c>
      <c r="B2123" s="9">
        <v>244</v>
      </c>
      <c r="C2123">
        <f t="shared" si="40"/>
        <v>2014</v>
      </c>
    </row>
    <row r="2124" spans="1:3" x14ac:dyDescent="0.35">
      <c r="A2124" s="16">
        <v>41926</v>
      </c>
      <c r="B2124" s="9">
        <v>245</v>
      </c>
      <c r="C2124">
        <f t="shared" si="40"/>
        <v>2014</v>
      </c>
    </row>
    <row r="2125" spans="1:3" x14ac:dyDescent="0.35">
      <c r="A2125" s="16">
        <v>41925</v>
      </c>
      <c r="B2125" s="9">
        <v>236</v>
      </c>
      <c r="C2125">
        <f t="shared" si="40"/>
        <v>2014</v>
      </c>
    </row>
    <row r="2126" spans="1:3" x14ac:dyDescent="0.35">
      <c r="A2126" s="16">
        <v>41922</v>
      </c>
      <c r="B2126" s="9">
        <v>236</v>
      </c>
      <c r="C2126">
        <f t="shared" si="40"/>
        <v>2014</v>
      </c>
    </row>
    <row r="2127" spans="1:3" x14ac:dyDescent="0.35">
      <c r="A2127" s="16">
        <v>41921</v>
      </c>
      <c r="B2127" s="9">
        <v>232</v>
      </c>
      <c r="C2127">
        <f t="shared" si="40"/>
        <v>2014</v>
      </c>
    </row>
    <row r="2128" spans="1:3" x14ac:dyDescent="0.35">
      <c r="A2128" s="16">
        <v>41920</v>
      </c>
      <c r="B2128" s="9">
        <v>239</v>
      </c>
      <c r="C2128">
        <f t="shared" si="40"/>
        <v>2014</v>
      </c>
    </row>
    <row r="2129" spans="1:3" x14ac:dyDescent="0.35">
      <c r="A2129" s="16">
        <v>41919</v>
      </c>
      <c r="B2129" s="9">
        <v>240</v>
      </c>
      <c r="C2129">
        <f t="shared" si="40"/>
        <v>2014</v>
      </c>
    </row>
    <row r="2130" spans="1:3" x14ac:dyDescent="0.35">
      <c r="A2130" s="16">
        <v>41918</v>
      </c>
      <c r="B2130" s="9">
        <v>237</v>
      </c>
      <c r="C2130">
        <f t="shared" si="40"/>
        <v>2014</v>
      </c>
    </row>
    <row r="2131" spans="1:3" x14ac:dyDescent="0.35">
      <c r="A2131" s="16">
        <v>41915</v>
      </c>
      <c r="B2131" s="9">
        <v>239</v>
      </c>
      <c r="C2131">
        <f t="shared" si="40"/>
        <v>2014</v>
      </c>
    </row>
    <row r="2132" spans="1:3" x14ac:dyDescent="0.35">
      <c r="A2132" s="16">
        <v>41914</v>
      </c>
      <c r="B2132" s="9">
        <v>240</v>
      </c>
      <c r="C2132">
        <f t="shared" si="40"/>
        <v>2014</v>
      </c>
    </row>
    <row r="2133" spans="1:3" x14ac:dyDescent="0.35">
      <c r="A2133" s="16">
        <v>41913</v>
      </c>
      <c r="B2133" s="9">
        <v>246</v>
      </c>
      <c r="C2133">
        <f t="shared" si="40"/>
        <v>2014</v>
      </c>
    </row>
    <row r="2134" spans="1:3" x14ac:dyDescent="0.35">
      <c r="A2134" s="16">
        <v>41912</v>
      </c>
      <c r="B2134" s="9">
        <v>239</v>
      </c>
      <c r="C2134">
        <f t="shared" si="40"/>
        <v>2014</v>
      </c>
    </row>
    <row r="2135" spans="1:3" x14ac:dyDescent="0.35">
      <c r="A2135" s="16">
        <v>41911</v>
      </c>
      <c r="B2135" s="9">
        <v>243</v>
      </c>
      <c r="C2135">
        <f t="shared" si="40"/>
        <v>2014</v>
      </c>
    </row>
    <row r="2136" spans="1:3" x14ac:dyDescent="0.35">
      <c r="A2136" s="16">
        <v>41908</v>
      </c>
      <c r="B2136" s="9">
        <v>230</v>
      </c>
      <c r="C2136">
        <f t="shared" si="40"/>
        <v>2014</v>
      </c>
    </row>
    <row r="2137" spans="1:3" x14ac:dyDescent="0.35">
      <c r="A2137" s="16">
        <v>41907</v>
      </c>
      <c r="B2137" s="9">
        <v>228</v>
      </c>
      <c r="C2137">
        <f t="shared" si="40"/>
        <v>2014</v>
      </c>
    </row>
    <row r="2138" spans="1:3" x14ac:dyDescent="0.35">
      <c r="A2138" s="16">
        <v>41906</v>
      </c>
      <c r="B2138" s="9">
        <v>218</v>
      </c>
      <c r="C2138">
        <f t="shared" si="40"/>
        <v>2014</v>
      </c>
    </row>
    <row r="2139" spans="1:3" x14ac:dyDescent="0.35">
      <c r="A2139" s="16">
        <v>41905</v>
      </c>
      <c r="B2139" s="9">
        <v>220</v>
      </c>
      <c r="C2139">
        <f t="shared" si="40"/>
        <v>2014</v>
      </c>
    </row>
    <row r="2140" spans="1:3" x14ac:dyDescent="0.35">
      <c r="A2140" s="16">
        <v>41904</v>
      </c>
      <c r="B2140" s="9">
        <v>219</v>
      </c>
      <c r="C2140">
        <f t="shared" si="40"/>
        <v>2014</v>
      </c>
    </row>
    <row r="2141" spans="1:3" x14ac:dyDescent="0.35">
      <c r="A2141" s="16">
        <v>41901</v>
      </c>
      <c r="B2141" s="9">
        <v>212</v>
      </c>
      <c r="C2141">
        <f t="shared" si="40"/>
        <v>2014</v>
      </c>
    </row>
    <row r="2142" spans="1:3" x14ac:dyDescent="0.35">
      <c r="A2142" s="16">
        <v>41900</v>
      </c>
      <c r="B2142" s="9">
        <v>210</v>
      </c>
      <c r="C2142">
        <f t="shared" si="40"/>
        <v>2014</v>
      </c>
    </row>
    <row r="2143" spans="1:3" x14ac:dyDescent="0.35">
      <c r="A2143" s="16">
        <v>41899</v>
      </c>
      <c r="B2143" s="9">
        <v>209</v>
      </c>
      <c r="C2143">
        <f t="shared" si="40"/>
        <v>2014</v>
      </c>
    </row>
    <row r="2144" spans="1:3" x14ac:dyDescent="0.35">
      <c r="A2144" s="16">
        <v>41898</v>
      </c>
      <c r="B2144" s="9">
        <v>218</v>
      </c>
      <c r="C2144">
        <f t="shared" si="40"/>
        <v>2014</v>
      </c>
    </row>
    <row r="2145" spans="1:3" x14ac:dyDescent="0.35">
      <c r="A2145" s="16">
        <v>41897</v>
      </c>
      <c r="B2145" s="9">
        <v>219</v>
      </c>
      <c r="C2145">
        <f t="shared" si="40"/>
        <v>2014</v>
      </c>
    </row>
    <row r="2146" spans="1:3" x14ac:dyDescent="0.35">
      <c r="A2146" s="16">
        <v>41894</v>
      </c>
      <c r="B2146" s="9">
        <v>214</v>
      </c>
      <c r="C2146">
        <f t="shared" si="40"/>
        <v>2014</v>
      </c>
    </row>
    <row r="2147" spans="1:3" x14ac:dyDescent="0.35">
      <c r="A2147" s="16">
        <v>41893</v>
      </c>
      <c r="B2147" s="9">
        <v>209</v>
      </c>
      <c r="C2147">
        <f t="shared" si="40"/>
        <v>2014</v>
      </c>
    </row>
    <row r="2148" spans="1:3" x14ac:dyDescent="0.35">
      <c r="A2148" s="16">
        <v>41892</v>
      </c>
      <c r="B2148" s="9">
        <v>208</v>
      </c>
      <c r="C2148">
        <f t="shared" si="40"/>
        <v>2014</v>
      </c>
    </row>
    <row r="2149" spans="1:3" x14ac:dyDescent="0.35">
      <c r="A2149" s="16">
        <v>41891</v>
      </c>
      <c r="B2149" s="9">
        <v>210</v>
      </c>
      <c r="C2149">
        <f t="shared" si="40"/>
        <v>2014</v>
      </c>
    </row>
    <row r="2150" spans="1:3" x14ac:dyDescent="0.35">
      <c r="A2150" s="16">
        <v>41890</v>
      </c>
      <c r="B2150" s="9">
        <v>200</v>
      </c>
      <c r="C2150">
        <f t="shared" si="40"/>
        <v>2014</v>
      </c>
    </row>
    <row r="2151" spans="1:3" x14ac:dyDescent="0.35">
      <c r="A2151" s="16">
        <v>41887</v>
      </c>
      <c r="B2151" s="9">
        <v>200</v>
      </c>
      <c r="C2151">
        <f t="shared" si="40"/>
        <v>2014</v>
      </c>
    </row>
    <row r="2152" spans="1:3" x14ac:dyDescent="0.35">
      <c r="A2152" s="16">
        <v>41886</v>
      </c>
      <c r="B2152" s="9">
        <v>203</v>
      </c>
      <c r="C2152">
        <f t="shared" si="40"/>
        <v>2014</v>
      </c>
    </row>
    <row r="2153" spans="1:3" x14ac:dyDescent="0.35">
      <c r="A2153" s="16">
        <v>41885</v>
      </c>
      <c r="B2153" s="9">
        <v>201</v>
      </c>
      <c r="C2153">
        <f t="shared" si="40"/>
        <v>2014</v>
      </c>
    </row>
    <row r="2154" spans="1:3" x14ac:dyDescent="0.35">
      <c r="A2154" s="16">
        <v>41884</v>
      </c>
      <c r="B2154" s="9">
        <v>203</v>
      </c>
      <c r="C2154">
        <f t="shared" si="40"/>
        <v>2014</v>
      </c>
    </row>
    <row r="2155" spans="1:3" x14ac:dyDescent="0.35">
      <c r="A2155" s="16">
        <v>41883</v>
      </c>
      <c r="B2155" s="9">
        <v>205</v>
      </c>
      <c r="C2155">
        <f t="shared" si="40"/>
        <v>2014</v>
      </c>
    </row>
    <row r="2156" spans="1:3" x14ac:dyDescent="0.35">
      <c r="A2156" s="16">
        <v>41880</v>
      </c>
      <c r="B2156" s="9">
        <v>205</v>
      </c>
      <c r="C2156">
        <f t="shared" si="40"/>
        <v>2014</v>
      </c>
    </row>
    <row r="2157" spans="1:3" x14ac:dyDescent="0.35">
      <c r="A2157" s="16">
        <v>41879</v>
      </c>
      <c r="B2157" s="9">
        <v>204</v>
      </c>
      <c r="C2157">
        <f t="shared" si="40"/>
        <v>2014</v>
      </c>
    </row>
    <row r="2158" spans="1:3" x14ac:dyDescent="0.35">
      <c r="A2158" s="16">
        <v>41878</v>
      </c>
      <c r="B2158" s="9">
        <v>205</v>
      </c>
      <c r="C2158">
        <f t="shared" si="40"/>
        <v>2014</v>
      </c>
    </row>
    <row r="2159" spans="1:3" x14ac:dyDescent="0.35">
      <c r="A2159" s="16">
        <v>41877</v>
      </c>
      <c r="B2159" s="9">
        <v>209</v>
      </c>
      <c r="C2159">
        <f t="shared" si="40"/>
        <v>2014</v>
      </c>
    </row>
    <row r="2160" spans="1:3" x14ac:dyDescent="0.35">
      <c r="A2160" s="16">
        <v>41876</v>
      </c>
      <c r="B2160" s="9">
        <v>212</v>
      </c>
      <c r="C2160">
        <f t="shared" si="40"/>
        <v>2014</v>
      </c>
    </row>
    <row r="2161" spans="1:3" x14ac:dyDescent="0.35">
      <c r="A2161" s="16">
        <v>41873</v>
      </c>
      <c r="B2161" s="9">
        <v>212</v>
      </c>
      <c r="C2161">
        <f t="shared" si="40"/>
        <v>2014</v>
      </c>
    </row>
    <row r="2162" spans="1:3" x14ac:dyDescent="0.35">
      <c r="A2162" s="16">
        <v>41872</v>
      </c>
      <c r="B2162" s="9">
        <v>211</v>
      </c>
      <c r="C2162">
        <f t="shared" si="40"/>
        <v>2014</v>
      </c>
    </row>
    <row r="2163" spans="1:3" x14ac:dyDescent="0.35">
      <c r="A2163" s="16">
        <v>41871</v>
      </c>
      <c r="B2163" s="9">
        <v>213</v>
      </c>
      <c r="C2163">
        <f t="shared" si="40"/>
        <v>2014</v>
      </c>
    </row>
    <row r="2164" spans="1:3" x14ac:dyDescent="0.35">
      <c r="A2164" s="16">
        <v>41870</v>
      </c>
      <c r="B2164" s="9">
        <v>215</v>
      </c>
      <c r="C2164">
        <f t="shared" si="40"/>
        <v>2014</v>
      </c>
    </row>
    <row r="2165" spans="1:3" x14ac:dyDescent="0.35">
      <c r="A2165" s="16">
        <v>41869</v>
      </c>
      <c r="B2165" s="9">
        <v>218</v>
      </c>
      <c r="C2165">
        <f t="shared" si="40"/>
        <v>2014</v>
      </c>
    </row>
    <row r="2166" spans="1:3" x14ac:dyDescent="0.35">
      <c r="A2166" s="16">
        <v>41866</v>
      </c>
      <c r="B2166" s="9">
        <v>222</v>
      </c>
      <c r="C2166">
        <f t="shared" si="40"/>
        <v>2014</v>
      </c>
    </row>
    <row r="2167" spans="1:3" x14ac:dyDescent="0.35">
      <c r="A2167" s="16">
        <v>41865</v>
      </c>
      <c r="B2167" s="9">
        <v>221</v>
      </c>
      <c r="C2167">
        <f t="shared" si="40"/>
        <v>2014</v>
      </c>
    </row>
    <row r="2168" spans="1:3" x14ac:dyDescent="0.35">
      <c r="A2168" s="16">
        <v>41864</v>
      </c>
      <c r="B2168" s="9">
        <v>227</v>
      </c>
      <c r="C2168">
        <f t="shared" si="40"/>
        <v>2014</v>
      </c>
    </row>
    <row r="2169" spans="1:3" x14ac:dyDescent="0.35">
      <c r="A2169" s="16">
        <v>41863</v>
      </c>
      <c r="B2169" s="9">
        <v>228</v>
      </c>
      <c r="C2169">
        <f t="shared" si="40"/>
        <v>2014</v>
      </c>
    </row>
    <row r="2170" spans="1:3" x14ac:dyDescent="0.35">
      <c r="A2170" s="16">
        <v>41862</v>
      </c>
      <c r="B2170" s="9">
        <v>231</v>
      </c>
      <c r="C2170">
        <f t="shared" si="40"/>
        <v>2014</v>
      </c>
    </row>
    <row r="2171" spans="1:3" x14ac:dyDescent="0.35">
      <c r="A2171" s="16">
        <v>41859</v>
      </c>
      <c r="B2171" s="9">
        <v>233</v>
      </c>
      <c r="C2171">
        <f t="shared" si="40"/>
        <v>2014</v>
      </c>
    </row>
    <row r="2172" spans="1:3" x14ac:dyDescent="0.35">
      <c r="A2172" s="16">
        <v>41858</v>
      </c>
      <c r="B2172" s="9">
        <v>234</v>
      </c>
      <c r="C2172">
        <f t="shared" si="40"/>
        <v>2014</v>
      </c>
    </row>
    <row r="2173" spans="1:3" x14ac:dyDescent="0.35">
      <c r="A2173" s="16">
        <v>41857</v>
      </c>
      <c r="B2173" s="9">
        <v>230</v>
      </c>
      <c r="C2173">
        <f t="shared" si="40"/>
        <v>2014</v>
      </c>
    </row>
    <row r="2174" spans="1:3" x14ac:dyDescent="0.35">
      <c r="A2174" s="16">
        <v>41856</v>
      </c>
      <c r="B2174" s="9">
        <v>231</v>
      </c>
      <c r="C2174">
        <f t="shared" si="40"/>
        <v>2014</v>
      </c>
    </row>
    <row r="2175" spans="1:3" x14ac:dyDescent="0.35">
      <c r="A2175" s="16">
        <v>41855</v>
      </c>
      <c r="B2175" s="9">
        <v>224</v>
      </c>
      <c r="C2175">
        <f t="shared" si="40"/>
        <v>2014</v>
      </c>
    </row>
    <row r="2176" spans="1:3" x14ac:dyDescent="0.35">
      <c r="A2176" s="16">
        <v>41852</v>
      </c>
      <c r="B2176" s="9">
        <v>225</v>
      </c>
      <c r="C2176">
        <f t="shared" si="40"/>
        <v>2014</v>
      </c>
    </row>
    <row r="2177" spans="1:3" x14ac:dyDescent="0.35">
      <c r="A2177" s="16">
        <v>41851</v>
      </c>
      <c r="B2177" s="9">
        <v>212</v>
      </c>
      <c r="C2177">
        <f t="shared" si="40"/>
        <v>2014</v>
      </c>
    </row>
    <row r="2178" spans="1:3" x14ac:dyDescent="0.35">
      <c r="A2178" s="16">
        <v>41850</v>
      </c>
      <c r="B2178" s="9">
        <v>206</v>
      </c>
      <c r="C2178">
        <f t="shared" si="40"/>
        <v>2014</v>
      </c>
    </row>
    <row r="2179" spans="1:3" x14ac:dyDescent="0.35">
      <c r="A2179" s="16">
        <v>41849</v>
      </c>
      <c r="B2179" s="9">
        <v>215</v>
      </c>
      <c r="C2179">
        <f t="shared" ref="C2179:C2242" si="41">YEAR(A2179)</f>
        <v>2014</v>
      </c>
    </row>
    <row r="2180" spans="1:3" x14ac:dyDescent="0.35">
      <c r="A2180" s="16">
        <v>41848</v>
      </c>
      <c r="B2180" s="9">
        <v>210</v>
      </c>
      <c r="C2180">
        <f t="shared" si="41"/>
        <v>2014</v>
      </c>
    </row>
    <row r="2181" spans="1:3" x14ac:dyDescent="0.35">
      <c r="A2181" s="16">
        <v>41845</v>
      </c>
      <c r="B2181" s="9">
        <v>209</v>
      </c>
      <c r="C2181">
        <f t="shared" si="41"/>
        <v>2014</v>
      </c>
    </row>
    <row r="2182" spans="1:3" x14ac:dyDescent="0.35">
      <c r="A2182" s="16">
        <v>41844</v>
      </c>
      <c r="B2182" s="9">
        <v>203</v>
      </c>
      <c r="C2182">
        <f t="shared" si="41"/>
        <v>2014</v>
      </c>
    </row>
    <row r="2183" spans="1:3" x14ac:dyDescent="0.35">
      <c r="A2183" s="16">
        <v>41843</v>
      </c>
      <c r="B2183" s="9">
        <v>203</v>
      </c>
      <c r="C2183">
        <f t="shared" si="41"/>
        <v>2014</v>
      </c>
    </row>
    <row r="2184" spans="1:3" x14ac:dyDescent="0.35">
      <c r="A2184" s="16">
        <v>41842</v>
      </c>
      <c r="B2184" s="9">
        <v>207</v>
      </c>
      <c r="C2184">
        <f t="shared" si="41"/>
        <v>2014</v>
      </c>
    </row>
    <row r="2185" spans="1:3" x14ac:dyDescent="0.35">
      <c r="A2185" s="16">
        <v>41841</v>
      </c>
      <c r="B2185" s="9">
        <v>208</v>
      </c>
      <c r="C2185">
        <f t="shared" si="41"/>
        <v>2014</v>
      </c>
    </row>
    <row r="2186" spans="1:3" x14ac:dyDescent="0.35">
      <c r="A2186" s="16">
        <v>41838</v>
      </c>
      <c r="B2186" s="9">
        <v>209</v>
      </c>
      <c r="C2186">
        <f t="shared" si="41"/>
        <v>2014</v>
      </c>
    </row>
    <row r="2187" spans="1:3" x14ac:dyDescent="0.35">
      <c r="A2187" s="16">
        <v>41837</v>
      </c>
      <c r="B2187" s="9">
        <v>219</v>
      </c>
      <c r="C2187">
        <f t="shared" si="41"/>
        <v>2014</v>
      </c>
    </row>
    <row r="2188" spans="1:3" x14ac:dyDescent="0.35">
      <c r="A2188" s="16">
        <v>41836</v>
      </c>
      <c r="B2188" s="9">
        <v>214</v>
      </c>
      <c r="C2188">
        <f t="shared" si="41"/>
        <v>2014</v>
      </c>
    </row>
    <row r="2189" spans="1:3" x14ac:dyDescent="0.35">
      <c r="A2189" s="16">
        <v>41835</v>
      </c>
      <c r="B2189" s="9">
        <v>214</v>
      </c>
      <c r="C2189">
        <f t="shared" si="41"/>
        <v>2014</v>
      </c>
    </row>
    <row r="2190" spans="1:3" x14ac:dyDescent="0.35">
      <c r="A2190" s="16">
        <v>41834</v>
      </c>
      <c r="B2190" s="9">
        <v>213</v>
      </c>
      <c r="C2190">
        <f t="shared" si="41"/>
        <v>2014</v>
      </c>
    </row>
    <row r="2191" spans="1:3" x14ac:dyDescent="0.35">
      <c r="A2191" s="16">
        <v>41831</v>
      </c>
      <c r="B2191" s="9">
        <v>215</v>
      </c>
      <c r="C2191">
        <f t="shared" si="41"/>
        <v>2014</v>
      </c>
    </row>
    <row r="2192" spans="1:3" x14ac:dyDescent="0.35">
      <c r="A2192" s="16">
        <v>41830</v>
      </c>
      <c r="B2192" s="9">
        <v>214</v>
      </c>
      <c r="C2192">
        <f t="shared" si="41"/>
        <v>2014</v>
      </c>
    </row>
    <row r="2193" spans="1:3" x14ac:dyDescent="0.35">
      <c r="A2193" s="16">
        <v>41829</v>
      </c>
      <c r="B2193" s="9">
        <v>212</v>
      </c>
      <c r="C2193">
        <f t="shared" si="41"/>
        <v>2014</v>
      </c>
    </row>
    <row r="2194" spans="1:3" x14ac:dyDescent="0.35">
      <c r="A2194" s="16">
        <v>41828</v>
      </c>
      <c r="B2194" s="9">
        <v>208</v>
      </c>
      <c r="C2194">
        <f t="shared" si="41"/>
        <v>2014</v>
      </c>
    </row>
    <row r="2195" spans="1:3" x14ac:dyDescent="0.35">
      <c r="A2195" s="16">
        <v>41827</v>
      </c>
      <c r="B2195" s="9">
        <v>206</v>
      </c>
      <c r="C2195">
        <f t="shared" si="41"/>
        <v>2014</v>
      </c>
    </row>
    <row r="2196" spans="1:3" x14ac:dyDescent="0.35">
      <c r="A2196" s="16">
        <v>41824</v>
      </c>
      <c r="B2196" s="9">
        <v>206</v>
      </c>
      <c r="C2196">
        <f t="shared" si="41"/>
        <v>2014</v>
      </c>
    </row>
    <row r="2197" spans="1:3" x14ac:dyDescent="0.35">
      <c r="A2197" s="16">
        <v>41823</v>
      </c>
      <c r="B2197" s="9">
        <v>206</v>
      </c>
      <c r="C2197">
        <f t="shared" si="41"/>
        <v>2014</v>
      </c>
    </row>
    <row r="2198" spans="1:3" x14ac:dyDescent="0.35">
      <c r="A2198" s="16">
        <v>41822</v>
      </c>
      <c r="B2198" s="9">
        <v>207</v>
      </c>
      <c r="C2198">
        <f t="shared" si="41"/>
        <v>2014</v>
      </c>
    </row>
    <row r="2199" spans="1:3" x14ac:dyDescent="0.35">
      <c r="A2199" s="16">
        <v>41821</v>
      </c>
      <c r="B2199" s="9">
        <v>206</v>
      </c>
      <c r="C2199">
        <f t="shared" si="41"/>
        <v>2014</v>
      </c>
    </row>
    <row r="2200" spans="1:3" x14ac:dyDescent="0.35">
      <c r="A2200" s="16">
        <v>41820</v>
      </c>
      <c r="B2200" s="9">
        <v>208</v>
      </c>
      <c r="C2200">
        <f t="shared" si="41"/>
        <v>2014</v>
      </c>
    </row>
    <row r="2201" spans="1:3" x14ac:dyDescent="0.35">
      <c r="A2201" s="16">
        <v>41817</v>
      </c>
      <c r="B2201" s="9">
        <v>205</v>
      </c>
      <c r="C2201">
        <f t="shared" si="41"/>
        <v>2014</v>
      </c>
    </row>
    <row r="2202" spans="1:3" x14ac:dyDescent="0.35">
      <c r="A2202" s="16">
        <v>41816</v>
      </c>
      <c r="B2202" s="9">
        <v>203</v>
      </c>
      <c r="C2202">
        <f t="shared" si="41"/>
        <v>2014</v>
      </c>
    </row>
    <row r="2203" spans="1:3" x14ac:dyDescent="0.35">
      <c r="A2203" s="16">
        <v>41815</v>
      </c>
      <c r="B2203" s="9">
        <v>203</v>
      </c>
      <c r="C2203">
        <f t="shared" si="41"/>
        <v>2014</v>
      </c>
    </row>
    <row r="2204" spans="1:3" x14ac:dyDescent="0.35">
      <c r="A2204" s="16">
        <v>41814</v>
      </c>
      <c r="B2204" s="9">
        <v>207</v>
      </c>
      <c r="C2204">
        <f t="shared" si="41"/>
        <v>2014</v>
      </c>
    </row>
    <row r="2205" spans="1:3" x14ac:dyDescent="0.35">
      <c r="A2205" s="16">
        <v>41813</v>
      </c>
      <c r="B2205" s="9">
        <v>208</v>
      </c>
      <c r="C2205">
        <f t="shared" si="41"/>
        <v>2014</v>
      </c>
    </row>
    <row r="2206" spans="1:3" x14ac:dyDescent="0.35">
      <c r="A2206" s="16">
        <v>41810</v>
      </c>
      <c r="B2206" s="9">
        <v>209</v>
      </c>
      <c r="C2206">
        <f t="shared" si="41"/>
        <v>2014</v>
      </c>
    </row>
    <row r="2207" spans="1:3" x14ac:dyDescent="0.35">
      <c r="A2207" s="16">
        <v>41809</v>
      </c>
      <c r="B2207" s="9">
        <v>208</v>
      </c>
      <c r="C2207">
        <f t="shared" si="41"/>
        <v>2014</v>
      </c>
    </row>
    <row r="2208" spans="1:3" x14ac:dyDescent="0.35">
      <c r="A2208" s="16">
        <v>41808</v>
      </c>
      <c r="B2208" s="9">
        <v>206</v>
      </c>
      <c r="C2208">
        <f t="shared" si="41"/>
        <v>2014</v>
      </c>
    </row>
    <row r="2209" spans="1:3" x14ac:dyDescent="0.35">
      <c r="A2209" s="16">
        <v>41807</v>
      </c>
      <c r="B2209" s="9">
        <v>207</v>
      </c>
      <c r="C2209">
        <f t="shared" si="41"/>
        <v>2014</v>
      </c>
    </row>
    <row r="2210" spans="1:3" x14ac:dyDescent="0.35">
      <c r="A2210" s="16">
        <v>41806</v>
      </c>
      <c r="B2210" s="9">
        <v>208</v>
      </c>
      <c r="C2210">
        <f t="shared" si="41"/>
        <v>2014</v>
      </c>
    </row>
    <row r="2211" spans="1:3" x14ac:dyDescent="0.35">
      <c r="A2211" s="16">
        <v>41803</v>
      </c>
      <c r="B2211" s="9">
        <v>204</v>
      </c>
      <c r="C2211">
        <f t="shared" si="41"/>
        <v>2014</v>
      </c>
    </row>
    <row r="2212" spans="1:3" x14ac:dyDescent="0.35">
      <c r="A2212" s="16">
        <v>41802</v>
      </c>
      <c r="B2212" s="9">
        <v>211</v>
      </c>
      <c r="C2212">
        <f t="shared" si="41"/>
        <v>2014</v>
      </c>
    </row>
    <row r="2213" spans="1:3" x14ac:dyDescent="0.35">
      <c r="A2213" s="16">
        <v>41801</v>
      </c>
      <c r="B2213" s="9">
        <v>212</v>
      </c>
      <c r="C2213">
        <f t="shared" si="41"/>
        <v>2014</v>
      </c>
    </row>
    <row r="2214" spans="1:3" x14ac:dyDescent="0.35">
      <c r="A2214" s="16">
        <v>41800</v>
      </c>
      <c r="B2214" s="9">
        <v>201</v>
      </c>
      <c r="C2214">
        <f t="shared" si="41"/>
        <v>2014</v>
      </c>
    </row>
    <row r="2215" spans="1:3" x14ac:dyDescent="0.35">
      <c r="A2215" s="16">
        <v>41799</v>
      </c>
      <c r="B2215" s="9">
        <v>197</v>
      </c>
      <c r="C2215">
        <f t="shared" si="41"/>
        <v>2014</v>
      </c>
    </row>
    <row r="2216" spans="1:3" x14ac:dyDescent="0.35">
      <c r="A2216" s="16">
        <v>41796</v>
      </c>
      <c r="B2216" s="9">
        <v>198</v>
      </c>
      <c r="C2216">
        <f t="shared" si="41"/>
        <v>2014</v>
      </c>
    </row>
    <row r="2217" spans="1:3" x14ac:dyDescent="0.35">
      <c r="A2217" s="16">
        <v>41795</v>
      </c>
      <c r="B2217" s="9">
        <v>207</v>
      </c>
      <c r="C2217">
        <f t="shared" si="41"/>
        <v>2014</v>
      </c>
    </row>
    <row r="2218" spans="1:3" x14ac:dyDescent="0.35">
      <c r="A2218" s="16">
        <v>41794</v>
      </c>
      <c r="B2218" s="9">
        <v>210</v>
      </c>
      <c r="C2218">
        <f t="shared" si="41"/>
        <v>2014</v>
      </c>
    </row>
    <row r="2219" spans="1:3" x14ac:dyDescent="0.35">
      <c r="A2219" s="16">
        <v>41793</v>
      </c>
      <c r="B2219" s="9">
        <v>207</v>
      </c>
      <c r="C2219">
        <f t="shared" si="41"/>
        <v>2014</v>
      </c>
    </row>
    <row r="2220" spans="1:3" x14ac:dyDescent="0.35">
      <c r="A2220" s="16">
        <v>41792</v>
      </c>
      <c r="B2220" s="9">
        <v>208</v>
      </c>
      <c r="C2220">
        <f t="shared" si="41"/>
        <v>2014</v>
      </c>
    </row>
    <row r="2221" spans="1:3" x14ac:dyDescent="0.35">
      <c r="A2221" s="16">
        <v>41789</v>
      </c>
      <c r="B2221" s="9">
        <v>208</v>
      </c>
      <c r="C2221">
        <f t="shared" si="41"/>
        <v>2014</v>
      </c>
    </row>
    <row r="2222" spans="1:3" x14ac:dyDescent="0.35">
      <c r="A2222" s="16">
        <v>41788</v>
      </c>
      <c r="B2222" s="9">
        <v>206</v>
      </c>
      <c r="C2222">
        <f t="shared" si="41"/>
        <v>2014</v>
      </c>
    </row>
    <row r="2223" spans="1:3" x14ac:dyDescent="0.35">
      <c r="A2223" s="16">
        <v>41787</v>
      </c>
      <c r="B2223" s="9">
        <v>212</v>
      </c>
      <c r="C2223">
        <f t="shared" si="41"/>
        <v>2014</v>
      </c>
    </row>
    <row r="2224" spans="1:3" x14ac:dyDescent="0.35">
      <c r="A2224" s="16">
        <v>41786</v>
      </c>
      <c r="B2224" s="9">
        <v>216</v>
      </c>
      <c r="C2224">
        <f t="shared" si="41"/>
        <v>2014</v>
      </c>
    </row>
    <row r="2225" spans="1:3" x14ac:dyDescent="0.35">
      <c r="A2225" s="16">
        <v>41785</v>
      </c>
      <c r="B2225" s="9">
        <v>214</v>
      </c>
      <c r="C2225">
        <f t="shared" si="41"/>
        <v>2014</v>
      </c>
    </row>
    <row r="2226" spans="1:3" x14ac:dyDescent="0.35">
      <c r="A2226" s="16">
        <v>41782</v>
      </c>
      <c r="B2226" s="9">
        <v>214</v>
      </c>
      <c r="C2226">
        <f t="shared" si="41"/>
        <v>2014</v>
      </c>
    </row>
    <row r="2227" spans="1:3" x14ac:dyDescent="0.35">
      <c r="A2227" s="16">
        <v>41781</v>
      </c>
      <c r="B2227" s="9">
        <v>215</v>
      </c>
      <c r="C2227">
        <f t="shared" si="41"/>
        <v>2014</v>
      </c>
    </row>
    <row r="2228" spans="1:3" x14ac:dyDescent="0.35">
      <c r="A2228" s="16">
        <v>41780</v>
      </c>
      <c r="B2228" s="9">
        <v>212</v>
      </c>
      <c r="C2228">
        <f t="shared" si="41"/>
        <v>2014</v>
      </c>
    </row>
    <row r="2229" spans="1:3" x14ac:dyDescent="0.35">
      <c r="A2229" s="16">
        <v>41779</v>
      </c>
      <c r="B2229" s="9">
        <v>216</v>
      </c>
      <c r="C2229">
        <f t="shared" si="41"/>
        <v>2014</v>
      </c>
    </row>
    <row r="2230" spans="1:3" x14ac:dyDescent="0.35">
      <c r="A2230" s="16">
        <v>41778</v>
      </c>
      <c r="B2230" s="9">
        <v>210</v>
      </c>
      <c r="C2230">
        <f t="shared" si="41"/>
        <v>2014</v>
      </c>
    </row>
    <row r="2231" spans="1:3" x14ac:dyDescent="0.35">
      <c r="A2231" s="16">
        <v>41775</v>
      </c>
      <c r="B2231" s="9">
        <v>212</v>
      </c>
      <c r="C2231">
        <f t="shared" si="41"/>
        <v>2014</v>
      </c>
    </row>
    <row r="2232" spans="1:3" x14ac:dyDescent="0.35">
      <c r="A2232" s="16">
        <v>41774</v>
      </c>
      <c r="B2232" s="9">
        <v>214</v>
      </c>
      <c r="C2232">
        <f t="shared" si="41"/>
        <v>2014</v>
      </c>
    </row>
    <row r="2233" spans="1:3" x14ac:dyDescent="0.35">
      <c r="A2233" s="16">
        <v>41773</v>
      </c>
      <c r="B2233" s="9">
        <v>207</v>
      </c>
      <c r="C2233">
        <f t="shared" si="41"/>
        <v>2014</v>
      </c>
    </row>
    <row r="2234" spans="1:3" x14ac:dyDescent="0.35">
      <c r="A2234" s="16">
        <v>41772</v>
      </c>
      <c r="B2234" s="9">
        <v>205</v>
      </c>
      <c r="C2234">
        <f t="shared" si="41"/>
        <v>2014</v>
      </c>
    </row>
    <row r="2235" spans="1:3" x14ac:dyDescent="0.35">
      <c r="A2235" s="16">
        <v>41771</v>
      </c>
      <c r="B2235" s="9">
        <v>205</v>
      </c>
      <c r="C2235">
        <f t="shared" si="41"/>
        <v>2014</v>
      </c>
    </row>
    <row r="2236" spans="1:3" x14ac:dyDescent="0.35">
      <c r="A2236" s="16">
        <v>41768</v>
      </c>
      <c r="B2236" s="9">
        <v>205</v>
      </c>
      <c r="C2236">
        <f t="shared" si="41"/>
        <v>2014</v>
      </c>
    </row>
    <row r="2237" spans="1:3" x14ac:dyDescent="0.35">
      <c r="A2237" s="16">
        <v>41767</v>
      </c>
      <c r="B2237" s="9">
        <v>202</v>
      </c>
      <c r="C2237">
        <f t="shared" si="41"/>
        <v>2014</v>
      </c>
    </row>
    <row r="2238" spans="1:3" x14ac:dyDescent="0.35">
      <c r="A2238" s="16">
        <v>41766</v>
      </c>
      <c r="B2238" s="9">
        <v>204</v>
      </c>
      <c r="C2238">
        <f t="shared" si="41"/>
        <v>2014</v>
      </c>
    </row>
    <row r="2239" spans="1:3" x14ac:dyDescent="0.35">
      <c r="A2239" s="16">
        <v>41765</v>
      </c>
      <c r="B2239" s="9">
        <v>204</v>
      </c>
      <c r="C2239">
        <f t="shared" si="41"/>
        <v>2014</v>
      </c>
    </row>
    <row r="2240" spans="1:3" x14ac:dyDescent="0.35">
      <c r="A2240" s="16">
        <v>41764</v>
      </c>
      <c r="B2240" s="9">
        <v>207</v>
      </c>
      <c r="C2240">
        <f t="shared" si="41"/>
        <v>2014</v>
      </c>
    </row>
    <row r="2241" spans="1:3" x14ac:dyDescent="0.35">
      <c r="A2241" s="16">
        <v>41761</v>
      </c>
      <c r="B2241" s="9">
        <v>207</v>
      </c>
      <c r="C2241">
        <f t="shared" si="41"/>
        <v>2014</v>
      </c>
    </row>
    <row r="2242" spans="1:3" x14ac:dyDescent="0.35">
      <c r="A2242" s="16">
        <v>41760</v>
      </c>
      <c r="B2242" s="9">
        <v>209</v>
      </c>
      <c r="C2242">
        <f t="shared" si="41"/>
        <v>2014</v>
      </c>
    </row>
    <row r="2243" spans="1:3" x14ac:dyDescent="0.35">
      <c r="A2243" s="16">
        <v>41759</v>
      </c>
      <c r="B2243" s="9">
        <v>211</v>
      </c>
      <c r="C2243">
        <f t="shared" ref="C2243:C2306" si="42">YEAR(A2243)</f>
        <v>2014</v>
      </c>
    </row>
    <row r="2244" spans="1:3" x14ac:dyDescent="0.35">
      <c r="A2244" s="16">
        <v>41758</v>
      </c>
      <c r="B2244" s="9">
        <v>214</v>
      </c>
      <c r="C2244">
        <f t="shared" si="42"/>
        <v>2014</v>
      </c>
    </row>
    <row r="2245" spans="1:3" x14ac:dyDescent="0.35">
      <c r="A2245" s="16">
        <v>41757</v>
      </c>
      <c r="B2245" s="9">
        <v>219</v>
      </c>
      <c r="C2245">
        <f t="shared" si="42"/>
        <v>2014</v>
      </c>
    </row>
    <row r="2246" spans="1:3" x14ac:dyDescent="0.35">
      <c r="A2246" s="16">
        <v>41754</v>
      </c>
      <c r="B2246" s="9">
        <v>222</v>
      </c>
      <c r="C2246">
        <f t="shared" si="42"/>
        <v>2014</v>
      </c>
    </row>
    <row r="2247" spans="1:3" x14ac:dyDescent="0.35">
      <c r="A2247" s="16">
        <v>41753</v>
      </c>
      <c r="B2247" s="9">
        <v>220</v>
      </c>
      <c r="C2247">
        <f t="shared" si="42"/>
        <v>2014</v>
      </c>
    </row>
    <row r="2248" spans="1:3" x14ac:dyDescent="0.35">
      <c r="A2248" s="16">
        <v>41752</v>
      </c>
      <c r="B2248" s="9">
        <v>219</v>
      </c>
      <c r="C2248">
        <f t="shared" si="42"/>
        <v>2014</v>
      </c>
    </row>
    <row r="2249" spans="1:3" x14ac:dyDescent="0.35">
      <c r="A2249" s="16">
        <v>41751</v>
      </c>
      <c r="B2249" s="9">
        <v>215</v>
      </c>
      <c r="C2249">
        <f t="shared" si="42"/>
        <v>2014</v>
      </c>
    </row>
    <row r="2250" spans="1:3" x14ac:dyDescent="0.35">
      <c r="A2250" s="16">
        <v>41750</v>
      </c>
      <c r="B2250" s="9">
        <v>213</v>
      </c>
      <c r="C2250">
        <f t="shared" si="42"/>
        <v>2014</v>
      </c>
    </row>
    <row r="2251" spans="1:3" x14ac:dyDescent="0.35">
      <c r="A2251" s="16">
        <v>41746</v>
      </c>
      <c r="B2251" s="9">
        <v>212</v>
      </c>
      <c r="C2251">
        <f t="shared" si="42"/>
        <v>2014</v>
      </c>
    </row>
    <row r="2252" spans="1:3" x14ac:dyDescent="0.35">
      <c r="A2252" s="16">
        <v>41745</v>
      </c>
      <c r="B2252" s="9">
        <v>221</v>
      </c>
      <c r="C2252">
        <f t="shared" si="42"/>
        <v>2014</v>
      </c>
    </row>
    <row r="2253" spans="1:3" x14ac:dyDescent="0.35">
      <c r="A2253" s="16">
        <v>41744</v>
      </c>
      <c r="B2253" s="9">
        <v>224</v>
      </c>
      <c r="C2253">
        <f t="shared" si="42"/>
        <v>2014</v>
      </c>
    </row>
    <row r="2254" spans="1:3" x14ac:dyDescent="0.35">
      <c r="A2254" s="16">
        <v>41743</v>
      </c>
      <c r="B2254" s="9">
        <v>223</v>
      </c>
      <c r="C2254">
        <f t="shared" si="42"/>
        <v>2014</v>
      </c>
    </row>
    <row r="2255" spans="1:3" x14ac:dyDescent="0.35">
      <c r="A2255" s="16">
        <v>41740</v>
      </c>
      <c r="B2255" s="9">
        <v>222</v>
      </c>
      <c r="C2255">
        <f t="shared" si="42"/>
        <v>2014</v>
      </c>
    </row>
    <row r="2256" spans="1:3" x14ac:dyDescent="0.35">
      <c r="A2256" s="16">
        <v>41739</v>
      </c>
      <c r="B2256" s="9">
        <v>220</v>
      </c>
      <c r="C2256">
        <f t="shared" si="42"/>
        <v>2014</v>
      </c>
    </row>
    <row r="2257" spans="1:3" x14ac:dyDescent="0.35">
      <c r="A2257" s="16">
        <v>41738</v>
      </c>
      <c r="B2257" s="9">
        <v>222</v>
      </c>
      <c r="C2257">
        <f t="shared" si="42"/>
        <v>2014</v>
      </c>
    </row>
    <row r="2258" spans="1:3" x14ac:dyDescent="0.35">
      <c r="A2258" s="16">
        <v>41737</v>
      </c>
      <c r="B2258" s="9">
        <v>221</v>
      </c>
      <c r="C2258">
        <f t="shared" si="42"/>
        <v>2014</v>
      </c>
    </row>
    <row r="2259" spans="1:3" x14ac:dyDescent="0.35">
      <c r="A2259" s="16">
        <v>41736</v>
      </c>
      <c r="B2259" s="9">
        <v>222</v>
      </c>
      <c r="C2259">
        <f t="shared" si="42"/>
        <v>2014</v>
      </c>
    </row>
    <row r="2260" spans="1:3" x14ac:dyDescent="0.35">
      <c r="A2260" s="16">
        <v>41733</v>
      </c>
      <c r="B2260" s="9">
        <v>221</v>
      </c>
      <c r="C2260">
        <f t="shared" si="42"/>
        <v>2014</v>
      </c>
    </row>
    <row r="2261" spans="1:3" x14ac:dyDescent="0.35">
      <c r="A2261" s="16">
        <v>41732</v>
      </c>
      <c r="B2261" s="9">
        <v>223</v>
      </c>
      <c r="C2261">
        <f t="shared" si="42"/>
        <v>2014</v>
      </c>
    </row>
    <row r="2262" spans="1:3" x14ac:dyDescent="0.35">
      <c r="A2262" s="16">
        <v>41731</v>
      </c>
      <c r="B2262" s="9">
        <v>223</v>
      </c>
      <c r="C2262">
        <f t="shared" si="42"/>
        <v>2014</v>
      </c>
    </row>
    <row r="2263" spans="1:3" x14ac:dyDescent="0.35">
      <c r="A2263" s="16">
        <v>41730</v>
      </c>
      <c r="B2263" s="9">
        <v>222</v>
      </c>
      <c r="C2263">
        <f t="shared" si="42"/>
        <v>2014</v>
      </c>
    </row>
    <row r="2264" spans="1:3" x14ac:dyDescent="0.35">
      <c r="A2264" s="16">
        <v>41729</v>
      </c>
      <c r="B2264" s="9">
        <v>228</v>
      </c>
      <c r="C2264">
        <f t="shared" si="42"/>
        <v>2014</v>
      </c>
    </row>
    <row r="2265" spans="1:3" x14ac:dyDescent="0.35">
      <c r="A2265" s="16">
        <v>41726</v>
      </c>
      <c r="B2265" s="9">
        <v>227</v>
      </c>
      <c r="C2265">
        <f t="shared" si="42"/>
        <v>2014</v>
      </c>
    </row>
    <row r="2266" spans="1:3" x14ac:dyDescent="0.35">
      <c r="A2266" s="16">
        <v>41725</v>
      </c>
      <c r="B2266" s="9">
        <v>224</v>
      </c>
      <c r="C2266">
        <f t="shared" si="42"/>
        <v>2014</v>
      </c>
    </row>
    <row r="2267" spans="1:3" x14ac:dyDescent="0.35">
      <c r="A2267" s="16">
        <v>41724</v>
      </c>
      <c r="B2267" s="9">
        <v>223</v>
      </c>
      <c r="C2267">
        <f t="shared" si="42"/>
        <v>2014</v>
      </c>
    </row>
    <row r="2268" spans="1:3" x14ac:dyDescent="0.35">
      <c r="A2268" s="16">
        <v>41723</v>
      </c>
      <c r="B2268" s="9">
        <v>230</v>
      </c>
      <c r="C2268">
        <f t="shared" si="42"/>
        <v>2014</v>
      </c>
    </row>
    <row r="2269" spans="1:3" x14ac:dyDescent="0.35">
      <c r="A2269" s="16">
        <v>41722</v>
      </c>
      <c r="B2269" s="9">
        <v>237</v>
      </c>
      <c r="C2269">
        <f t="shared" si="42"/>
        <v>2014</v>
      </c>
    </row>
    <row r="2270" spans="1:3" x14ac:dyDescent="0.35">
      <c r="A2270" s="16">
        <v>41719</v>
      </c>
      <c r="B2270" s="9">
        <v>234</v>
      </c>
      <c r="C2270">
        <f t="shared" si="42"/>
        <v>2014</v>
      </c>
    </row>
    <row r="2271" spans="1:3" x14ac:dyDescent="0.35">
      <c r="A2271" s="16">
        <v>41718</v>
      </c>
      <c r="B2271" s="9">
        <v>236</v>
      </c>
      <c r="C2271">
        <f t="shared" si="42"/>
        <v>2014</v>
      </c>
    </row>
    <row r="2272" spans="1:3" x14ac:dyDescent="0.35">
      <c r="A2272" s="16">
        <v>41717</v>
      </c>
      <c r="B2272" s="9">
        <v>232</v>
      </c>
      <c r="C2272">
        <f t="shared" si="42"/>
        <v>2014</v>
      </c>
    </row>
    <row r="2273" spans="1:3" x14ac:dyDescent="0.35">
      <c r="A2273" s="16">
        <v>41716</v>
      </c>
      <c r="B2273" s="9">
        <v>234</v>
      </c>
      <c r="C2273">
        <f t="shared" si="42"/>
        <v>2014</v>
      </c>
    </row>
    <row r="2274" spans="1:3" x14ac:dyDescent="0.35">
      <c r="A2274" s="16">
        <v>41715</v>
      </c>
      <c r="B2274" s="9">
        <v>240</v>
      </c>
      <c r="C2274">
        <f t="shared" si="42"/>
        <v>2014</v>
      </c>
    </row>
    <row r="2275" spans="1:3" x14ac:dyDescent="0.35">
      <c r="A2275" s="16">
        <v>41712</v>
      </c>
      <c r="B2275" s="9">
        <v>245</v>
      </c>
      <c r="C2275">
        <f t="shared" si="42"/>
        <v>2014</v>
      </c>
    </row>
    <row r="2276" spans="1:3" x14ac:dyDescent="0.35">
      <c r="A2276" s="16">
        <v>41711</v>
      </c>
      <c r="B2276" s="9">
        <v>245</v>
      </c>
      <c r="C2276">
        <f t="shared" si="42"/>
        <v>2014</v>
      </c>
    </row>
    <row r="2277" spans="1:3" x14ac:dyDescent="0.35">
      <c r="A2277" s="16">
        <v>41710</v>
      </c>
      <c r="B2277" s="9">
        <v>238</v>
      </c>
      <c r="C2277">
        <f t="shared" si="42"/>
        <v>2014</v>
      </c>
    </row>
    <row r="2278" spans="1:3" x14ac:dyDescent="0.35">
      <c r="A2278" s="16">
        <v>41709</v>
      </c>
      <c r="B2278" s="9">
        <v>237</v>
      </c>
      <c r="C2278">
        <f t="shared" si="42"/>
        <v>2014</v>
      </c>
    </row>
    <row r="2279" spans="1:3" x14ac:dyDescent="0.35">
      <c r="A2279" s="16">
        <v>41708</v>
      </c>
      <c r="B2279" s="9">
        <v>232</v>
      </c>
      <c r="C2279">
        <f t="shared" si="42"/>
        <v>2014</v>
      </c>
    </row>
    <row r="2280" spans="1:3" x14ac:dyDescent="0.35">
      <c r="A2280" s="16">
        <v>41705</v>
      </c>
      <c r="B2280" s="9">
        <v>230</v>
      </c>
      <c r="C2280">
        <f t="shared" si="42"/>
        <v>2014</v>
      </c>
    </row>
    <row r="2281" spans="1:3" x14ac:dyDescent="0.35">
      <c r="A2281" s="16">
        <v>41704</v>
      </c>
      <c r="B2281" s="9">
        <v>226</v>
      </c>
      <c r="C2281">
        <f t="shared" si="42"/>
        <v>2014</v>
      </c>
    </row>
    <row r="2282" spans="1:3" x14ac:dyDescent="0.35">
      <c r="A2282" s="16">
        <v>41703</v>
      </c>
      <c r="B2282" s="9">
        <v>229</v>
      </c>
      <c r="C2282">
        <f t="shared" si="42"/>
        <v>2014</v>
      </c>
    </row>
    <row r="2283" spans="1:3" x14ac:dyDescent="0.35">
      <c r="A2283" s="16">
        <v>41702</v>
      </c>
      <c r="B2283" s="9">
        <v>238</v>
      </c>
      <c r="C2283">
        <f t="shared" si="42"/>
        <v>2014</v>
      </c>
    </row>
    <row r="2284" spans="1:3" x14ac:dyDescent="0.35">
      <c r="A2284" s="16">
        <v>41701</v>
      </c>
      <c r="B2284" s="9">
        <v>251</v>
      </c>
      <c r="C2284">
        <f t="shared" si="42"/>
        <v>2014</v>
      </c>
    </row>
    <row r="2285" spans="1:3" x14ac:dyDescent="0.35">
      <c r="A2285" s="16">
        <v>41698</v>
      </c>
      <c r="B2285" s="9">
        <v>245</v>
      </c>
      <c r="C2285">
        <f t="shared" si="42"/>
        <v>2014</v>
      </c>
    </row>
    <row r="2286" spans="1:3" x14ac:dyDescent="0.35">
      <c r="A2286" s="16">
        <v>41697</v>
      </c>
      <c r="B2286" s="9">
        <v>247</v>
      </c>
      <c r="C2286">
        <f t="shared" si="42"/>
        <v>2014</v>
      </c>
    </row>
    <row r="2287" spans="1:3" x14ac:dyDescent="0.35">
      <c r="A2287" s="16">
        <v>41696</v>
      </c>
      <c r="B2287" s="9">
        <v>249</v>
      </c>
      <c r="C2287">
        <f t="shared" si="42"/>
        <v>2014</v>
      </c>
    </row>
    <row r="2288" spans="1:3" x14ac:dyDescent="0.35">
      <c r="A2288" s="16">
        <v>41695</v>
      </c>
      <c r="B2288" s="9">
        <v>244</v>
      </c>
      <c r="C2288">
        <f t="shared" si="42"/>
        <v>2014</v>
      </c>
    </row>
    <row r="2289" spans="1:3" x14ac:dyDescent="0.35">
      <c r="A2289" s="16">
        <v>41694</v>
      </c>
      <c r="B2289" s="9">
        <v>239</v>
      </c>
      <c r="C2289">
        <f t="shared" si="42"/>
        <v>2014</v>
      </c>
    </row>
    <row r="2290" spans="1:3" x14ac:dyDescent="0.35">
      <c r="A2290" s="16">
        <v>41691</v>
      </c>
      <c r="B2290" s="9">
        <v>246</v>
      </c>
      <c r="C2290">
        <f t="shared" si="42"/>
        <v>2014</v>
      </c>
    </row>
    <row r="2291" spans="1:3" x14ac:dyDescent="0.35">
      <c r="A2291" s="16">
        <v>41690</v>
      </c>
      <c r="B2291" s="9">
        <v>249</v>
      </c>
      <c r="C2291">
        <f t="shared" si="42"/>
        <v>2014</v>
      </c>
    </row>
    <row r="2292" spans="1:3" x14ac:dyDescent="0.35">
      <c r="A2292" s="16">
        <v>41689</v>
      </c>
      <c r="B2292" s="9">
        <v>251</v>
      </c>
      <c r="C2292">
        <f t="shared" si="42"/>
        <v>2014</v>
      </c>
    </row>
    <row r="2293" spans="1:3" x14ac:dyDescent="0.35">
      <c r="A2293" s="16">
        <v>41688</v>
      </c>
      <c r="B2293" s="9">
        <v>259</v>
      </c>
      <c r="C2293">
        <f t="shared" si="42"/>
        <v>2014</v>
      </c>
    </row>
    <row r="2294" spans="1:3" x14ac:dyDescent="0.35">
      <c r="A2294" s="16">
        <v>41687</v>
      </c>
      <c r="B2294" s="9">
        <v>256</v>
      </c>
      <c r="C2294">
        <f t="shared" si="42"/>
        <v>2014</v>
      </c>
    </row>
    <row r="2295" spans="1:3" x14ac:dyDescent="0.35">
      <c r="A2295" s="16">
        <v>41684</v>
      </c>
      <c r="B2295" s="9">
        <v>256</v>
      </c>
      <c r="C2295">
        <f t="shared" si="42"/>
        <v>2014</v>
      </c>
    </row>
    <row r="2296" spans="1:3" x14ac:dyDescent="0.35">
      <c r="A2296" s="16">
        <v>41683</v>
      </c>
      <c r="B2296" s="9">
        <v>257</v>
      </c>
      <c r="C2296">
        <f t="shared" si="42"/>
        <v>2014</v>
      </c>
    </row>
    <row r="2297" spans="1:3" x14ac:dyDescent="0.35">
      <c r="A2297" s="16">
        <v>41682</v>
      </c>
      <c r="B2297" s="9">
        <v>255</v>
      </c>
      <c r="C2297">
        <f t="shared" si="42"/>
        <v>2014</v>
      </c>
    </row>
    <row r="2298" spans="1:3" x14ac:dyDescent="0.35">
      <c r="A2298" s="16">
        <v>41681</v>
      </c>
      <c r="B2298" s="9">
        <v>255</v>
      </c>
      <c r="C2298">
        <f t="shared" si="42"/>
        <v>2014</v>
      </c>
    </row>
    <row r="2299" spans="1:3" x14ac:dyDescent="0.35">
      <c r="A2299" s="16">
        <v>41680</v>
      </c>
      <c r="B2299" s="9">
        <v>256</v>
      </c>
      <c r="C2299">
        <f t="shared" si="42"/>
        <v>2014</v>
      </c>
    </row>
    <row r="2300" spans="1:3" x14ac:dyDescent="0.35">
      <c r="A2300" s="16">
        <v>41677</v>
      </c>
      <c r="B2300" s="9">
        <v>252</v>
      </c>
      <c r="C2300">
        <f t="shared" si="42"/>
        <v>2014</v>
      </c>
    </row>
    <row r="2301" spans="1:3" x14ac:dyDescent="0.35">
      <c r="A2301" s="16">
        <v>41676</v>
      </c>
      <c r="B2301" s="9">
        <v>254</v>
      </c>
      <c r="C2301">
        <f t="shared" si="42"/>
        <v>2014</v>
      </c>
    </row>
    <row r="2302" spans="1:3" x14ac:dyDescent="0.35">
      <c r="A2302" s="16">
        <v>41675</v>
      </c>
      <c r="B2302" s="9">
        <v>260</v>
      </c>
      <c r="C2302">
        <f t="shared" si="42"/>
        <v>2014</v>
      </c>
    </row>
    <row r="2303" spans="1:3" x14ac:dyDescent="0.35">
      <c r="A2303" s="16">
        <v>41674</v>
      </c>
      <c r="B2303" s="9">
        <v>268</v>
      </c>
      <c r="C2303">
        <f t="shared" si="42"/>
        <v>2014</v>
      </c>
    </row>
    <row r="2304" spans="1:3" x14ac:dyDescent="0.35">
      <c r="A2304" s="16">
        <v>41673</v>
      </c>
      <c r="B2304" s="9">
        <v>278</v>
      </c>
      <c r="C2304">
        <f t="shared" si="42"/>
        <v>2014</v>
      </c>
    </row>
    <row r="2305" spans="1:3" x14ac:dyDescent="0.35">
      <c r="A2305" s="16">
        <v>41670</v>
      </c>
      <c r="B2305" s="9">
        <v>272</v>
      </c>
      <c r="C2305">
        <f t="shared" si="42"/>
        <v>2014</v>
      </c>
    </row>
    <row r="2306" spans="1:3" x14ac:dyDescent="0.35">
      <c r="A2306" s="16">
        <v>41669</v>
      </c>
      <c r="B2306" s="9">
        <v>273</v>
      </c>
      <c r="C2306">
        <f t="shared" si="42"/>
        <v>2014</v>
      </c>
    </row>
    <row r="2307" spans="1:3" x14ac:dyDescent="0.35">
      <c r="A2307" s="16">
        <v>41668</v>
      </c>
      <c r="B2307" s="9">
        <v>273</v>
      </c>
      <c r="C2307">
        <f t="shared" ref="C2307:C2370" si="43">YEAR(A2307)</f>
        <v>2014</v>
      </c>
    </row>
    <row r="2308" spans="1:3" x14ac:dyDescent="0.35">
      <c r="A2308" s="16">
        <v>41667</v>
      </c>
      <c r="B2308" s="9">
        <v>264</v>
      </c>
      <c r="C2308">
        <f t="shared" si="43"/>
        <v>2014</v>
      </c>
    </row>
    <row r="2309" spans="1:3" x14ac:dyDescent="0.35">
      <c r="A2309" s="16">
        <v>41666</v>
      </c>
      <c r="B2309" s="9">
        <v>264</v>
      </c>
      <c r="C2309">
        <f t="shared" si="43"/>
        <v>2014</v>
      </c>
    </row>
    <row r="2310" spans="1:3" x14ac:dyDescent="0.35">
      <c r="A2310" s="16">
        <v>41663</v>
      </c>
      <c r="B2310" s="9">
        <v>264</v>
      </c>
      <c r="C2310">
        <f t="shared" si="43"/>
        <v>2014</v>
      </c>
    </row>
    <row r="2311" spans="1:3" x14ac:dyDescent="0.35">
      <c r="A2311" s="16">
        <v>41662</v>
      </c>
      <c r="B2311" s="9">
        <v>261</v>
      </c>
      <c r="C2311">
        <f t="shared" si="43"/>
        <v>2014</v>
      </c>
    </row>
    <row r="2312" spans="1:3" x14ac:dyDescent="0.35">
      <c r="A2312" s="16">
        <v>41661</v>
      </c>
      <c r="B2312" s="9">
        <v>252</v>
      </c>
      <c r="C2312">
        <f t="shared" si="43"/>
        <v>2014</v>
      </c>
    </row>
    <row r="2313" spans="1:3" x14ac:dyDescent="0.35">
      <c r="A2313" s="16">
        <v>41660</v>
      </c>
      <c r="B2313" s="9">
        <v>248</v>
      </c>
      <c r="C2313">
        <f t="shared" si="43"/>
        <v>2014</v>
      </c>
    </row>
    <row r="2314" spans="1:3" x14ac:dyDescent="0.35">
      <c r="A2314" s="16">
        <v>41659</v>
      </c>
      <c r="B2314" s="9">
        <v>248</v>
      </c>
      <c r="C2314">
        <f t="shared" si="43"/>
        <v>2014</v>
      </c>
    </row>
    <row r="2315" spans="1:3" x14ac:dyDescent="0.35">
      <c r="A2315" s="16">
        <v>41656</v>
      </c>
      <c r="B2315" s="9">
        <v>248</v>
      </c>
      <c r="C2315">
        <f t="shared" si="43"/>
        <v>2014</v>
      </c>
    </row>
    <row r="2316" spans="1:3" x14ac:dyDescent="0.35">
      <c r="A2316" s="16">
        <v>41655</v>
      </c>
      <c r="B2316" s="9">
        <v>246</v>
      </c>
      <c r="C2316">
        <f t="shared" si="43"/>
        <v>2014</v>
      </c>
    </row>
    <row r="2317" spans="1:3" x14ac:dyDescent="0.35">
      <c r="A2317" s="16">
        <v>41654</v>
      </c>
      <c r="B2317" s="9">
        <v>243</v>
      </c>
      <c r="C2317">
        <f t="shared" si="43"/>
        <v>2014</v>
      </c>
    </row>
    <row r="2318" spans="1:3" x14ac:dyDescent="0.35">
      <c r="A2318" s="16">
        <v>41653</v>
      </c>
      <c r="B2318" s="9">
        <v>248</v>
      </c>
      <c r="C2318">
        <f t="shared" si="43"/>
        <v>2014</v>
      </c>
    </row>
    <row r="2319" spans="1:3" x14ac:dyDescent="0.35">
      <c r="A2319" s="16">
        <v>41652</v>
      </c>
      <c r="B2319" s="9">
        <v>251</v>
      </c>
      <c r="C2319">
        <f t="shared" si="43"/>
        <v>2014</v>
      </c>
    </row>
    <row r="2320" spans="1:3" x14ac:dyDescent="0.35">
      <c r="A2320" s="16">
        <v>41649</v>
      </c>
      <c r="B2320" s="9">
        <v>249</v>
      </c>
      <c r="C2320">
        <f t="shared" si="43"/>
        <v>2014</v>
      </c>
    </row>
    <row r="2321" spans="1:3" x14ac:dyDescent="0.35">
      <c r="A2321" s="16">
        <v>41648</v>
      </c>
      <c r="B2321" s="9">
        <v>245</v>
      </c>
      <c r="C2321">
        <f t="shared" si="43"/>
        <v>2014</v>
      </c>
    </row>
    <row r="2322" spans="1:3" x14ac:dyDescent="0.35">
      <c r="A2322" s="16">
        <v>41647</v>
      </c>
      <c r="B2322" s="9">
        <v>248</v>
      </c>
      <c r="C2322">
        <f t="shared" si="43"/>
        <v>2014</v>
      </c>
    </row>
    <row r="2323" spans="1:3" x14ac:dyDescent="0.35">
      <c r="A2323" s="16">
        <v>41646</v>
      </c>
      <c r="B2323" s="9">
        <v>245</v>
      </c>
      <c r="C2323">
        <f t="shared" si="43"/>
        <v>2014</v>
      </c>
    </row>
    <row r="2324" spans="1:3" x14ac:dyDescent="0.35">
      <c r="A2324" s="16">
        <v>41645</v>
      </c>
      <c r="B2324" s="9">
        <v>236</v>
      </c>
      <c r="C2324">
        <f t="shared" si="43"/>
        <v>2014</v>
      </c>
    </row>
    <row r="2325" spans="1:3" x14ac:dyDescent="0.35">
      <c r="A2325" s="16">
        <v>41642</v>
      </c>
      <c r="B2325" s="9">
        <v>229</v>
      </c>
      <c r="C2325">
        <f t="shared" si="43"/>
        <v>2014</v>
      </c>
    </row>
    <row r="2326" spans="1:3" x14ac:dyDescent="0.35">
      <c r="A2326" s="16">
        <v>41641</v>
      </c>
      <c r="B2326" s="9">
        <v>230</v>
      </c>
      <c r="C2326">
        <f t="shared" si="43"/>
        <v>2014</v>
      </c>
    </row>
    <row r="2327" spans="1:3" x14ac:dyDescent="0.35">
      <c r="A2327" s="16">
        <v>41639</v>
      </c>
      <c r="B2327" s="9">
        <v>224</v>
      </c>
      <c r="C2327">
        <f t="shared" si="43"/>
        <v>2013</v>
      </c>
    </row>
    <row r="2328" spans="1:3" x14ac:dyDescent="0.35">
      <c r="A2328" s="16">
        <v>41638</v>
      </c>
      <c r="B2328" s="9">
        <v>228</v>
      </c>
      <c r="C2328">
        <f t="shared" si="43"/>
        <v>2013</v>
      </c>
    </row>
    <row r="2329" spans="1:3" x14ac:dyDescent="0.35">
      <c r="A2329" s="16">
        <v>41635</v>
      </c>
      <c r="B2329" s="9">
        <v>226</v>
      </c>
      <c r="C2329">
        <f t="shared" si="43"/>
        <v>2013</v>
      </c>
    </row>
    <row r="2330" spans="1:3" x14ac:dyDescent="0.35">
      <c r="A2330" s="16">
        <v>41634</v>
      </c>
      <c r="B2330" s="9">
        <v>222</v>
      </c>
      <c r="C2330">
        <f t="shared" si="43"/>
        <v>2013</v>
      </c>
    </row>
    <row r="2331" spans="1:3" x14ac:dyDescent="0.35">
      <c r="A2331" s="16">
        <v>41632</v>
      </c>
      <c r="B2331" s="9">
        <v>223</v>
      </c>
      <c r="C2331">
        <f t="shared" si="43"/>
        <v>2013</v>
      </c>
    </row>
    <row r="2332" spans="1:3" x14ac:dyDescent="0.35">
      <c r="A2332" s="16">
        <v>41631</v>
      </c>
      <c r="B2332" s="9">
        <v>229</v>
      </c>
      <c r="C2332">
        <f t="shared" si="43"/>
        <v>2013</v>
      </c>
    </row>
    <row r="2333" spans="1:3" x14ac:dyDescent="0.35">
      <c r="A2333" s="16">
        <v>41628</v>
      </c>
      <c r="B2333" s="9">
        <v>232</v>
      </c>
      <c r="C2333">
        <f t="shared" si="43"/>
        <v>2013</v>
      </c>
    </row>
    <row r="2334" spans="1:3" x14ac:dyDescent="0.35">
      <c r="A2334" s="16">
        <v>41627</v>
      </c>
      <c r="B2334" s="9">
        <v>230</v>
      </c>
      <c r="C2334">
        <f t="shared" si="43"/>
        <v>2013</v>
      </c>
    </row>
    <row r="2335" spans="1:3" x14ac:dyDescent="0.35">
      <c r="A2335" s="16">
        <v>41626</v>
      </c>
      <c r="B2335" s="9">
        <v>235</v>
      </c>
      <c r="C2335">
        <f t="shared" si="43"/>
        <v>2013</v>
      </c>
    </row>
    <row r="2336" spans="1:3" x14ac:dyDescent="0.35">
      <c r="A2336" s="16">
        <v>41625</v>
      </c>
      <c r="B2336" s="9">
        <v>238</v>
      </c>
      <c r="C2336">
        <f t="shared" si="43"/>
        <v>2013</v>
      </c>
    </row>
    <row r="2337" spans="1:3" x14ac:dyDescent="0.35">
      <c r="A2337" s="16">
        <v>41624</v>
      </c>
      <c r="B2337" s="9">
        <v>232</v>
      </c>
      <c r="C2337">
        <f t="shared" si="43"/>
        <v>2013</v>
      </c>
    </row>
    <row r="2338" spans="1:3" x14ac:dyDescent="0.35">
      <c r="A2338" s="16">
        <v>41621</v>
      </c>
      <c r="B2338" s="9">
        <v>234</v>
      </c>
      <c r="C2338">
        <f t="shared" si="43"/>
        <v>2013</v>
      </c>
    </row>
    <row r="2339" spans="1:3" x14ac:dyDescent="0.35">
      <c r="A2339" s="16">
        <v>41620</v>
      </c>
      <c r="B2339" s="9">
        <v>235</v>
      </c>
      <c r="C2339">
        <f t="shared" si="43"/>
        <v>2013</v>
      </c>
    </row>
    <row r="2340" spans="1:3" x14ac:dyDescent="0.35">
      <c r="A2340" s="16">
        <v>41619</v>
      </c>
      <c r="B2340" s="9">
        <v>243</v>
      </c>
      <c r="C2340">
        <f t="shared" si="43"/>
        <v>2013</v>
      </c>
    </row>
    <row r="2341" spans="1:3" x14ac:dyDescent="0.35">
      <c r="A2341" s="16">
        <v>41618</v>
      </c>
      <c r="B2341" s="9">
        <v>247</v>
      </c>
      <c r="C2341">
        <f t="shared" si="43"/>
        <v>2013</v>
      </c>
    </row>
    <row r="2342" spans="1:3" x14ac:dyDescent="0.35">
      <c r="A2342" s="16">
        <v>41617</v>
      </c>
      <c r="B2342" s="9">
        <v>246</v>
      </c>
      <c r="C2342">
        <f t="shared" si="43"/>
        <v>2013</v>
      </c>
    </row>
    <row r="2343" spans="1:3" x14ac:dyDescent="0.35">
      <c r="A2343" s="16">
        <v>41614</v>
      </c>
      <c r="B2343" s="9">
        <v>246</v>
      </c>
      <c r="C2343">
        <f t="shared" si="43"/>
        <v>2013</v>
      </c>
    </row>
    <row r="2344" spans="1:3" x14ac:dyDescent="0.35">
      <c r="A2344" s="16">
        <v>41613</v>
      </c>
      <c r="B2344" s="9">
        <v>255</v>
      </c>
      <c r="C2344">
        <f t="shared" si="43"/>
        <v>2013</v>
      </c>
    </row>
    <row r="2345" spans="1:3" x14ac:dyDescent="0.35">
      <c r="A2345" s="16">
        <v>41612</v>
      </c>
      <c r="B2345" s="9">
        <v>257</v>
      </c>
      <c r="C2345">
        <f t="shared" si="43"/>
        <v>2013</v>
      </c>
    </row>
    <row r="2346" spans="1:3" x14ac:dyDescent="0.35">
      <c r="A2346" s="16">
        <v>41611</v>
      </c>
      <c r="B2346" s="9">
        <v>259</v>
      </c>
      <c r="C2346">
        <f t="shared" si="43"/>
        <v>2013</v>
      </c>
    </row>
    <row r="2347" spans="1:3" x14ac:dyDescent="0.35">
      <c r="A2347" s="16">
        <v>41610</v>
      </c>
      <c r="B2347" s="9">
        <v>255</v>
      </c>
      <c r="C2347">
        <f t="shared" si="43"/>
        <v>2013</v>
      </c>
    </row>
    <row r="2348" spans="1:3" x14ac:dyDescent="0.35">
      <c r="A2348" s="16">
        <v>41607</v>
      </c>
      <c r="B2348" s="9">
        <v>247</v>
      </c>
      <c r="C2348">
        <f t="shared" si="43"/>
        <v>2013</v>
      </c>
    </row>
    <row r="2349" spans="1:3" x14ac:dyDescent="0.35">
      <c r="A2349" s="16">
        <v>41606</v>
      </c>
      <c r="B2349" s="9">
        <v>247</v>
      </c>
      <c r="C2349">
        <f t="shared" si="43"/>
        <v>2013</v>
      </c>
    </row>
    <row r="2350" spans="1:3" x14ac:dyDescent="0.35">
      <c r="A2350" s="16">
        <v>41605</v>
      </c>
      <c r="B2350" s="9">
        <v>247</v>
      </c>
      <c r="C2350">
        <f t="shared" si="43"/>
        <v>2013</v>
      </c>
    </row>
    <row r="2351" spans="1:3" x14ac:dyDescent="0.35">
      <c r="A2351" s="16">
        <v>41604</v>
      </c>
      <c r="B2351" s="9">
        <v>243</v>
      </c>
      <c r="C2351">
        <f t="shared" si="43"/>
        <v>2013</v>
      </c>
    </row>
    <row r="2352" spans="1:3" x14ac:dyDescent="0.35">
      <c r="A2352" s="16">
        <v>41603</v>
      </c>
      <c r="B2352" s="9">
        <v>242</v>
      </c>
      <c r="C2352">
        <f t="shared" si="43"/>
        <v>2013</v>
      </c>
    </row>
    <row r="2353" spans="1:3" x14ac:dyDescent="0.35">
      <c r="A2353" s="16">
        <v>41600</v>
      </c>
      <c r="B2353" s="9">
        <v>237</v>
      </c>
      <c r="C2353">
        <f t="shared" si="43"/>
        <v>2013</v>
      </c>
    </row>
    <row r="2354" spans="1:3" x14ac:dyDescent="0.35">
      <c r="A2354" s="16">
        <v>41599</v>
      </c>
      <c r="B2354" s="9">
        <v>236</v>
      </c>
      <c r="C2354">
        <f t="shared" si="43"/>
        <v>2013</v>
      </c>
    </row>
    <row r="2355" spans="1:3" x14ac:dyDescent="0.35">
      <c r="A2355" s="16">
        <v>41598</v>
      </c>
      <c r="B2355" s="9">
        <v>235</v>
      </c>
      <c r="C2355">
        <f t="shared" si="43"/>
        <v>2013</v>
      </c>
    </row>
    <row r="2356" spans="1:3" x14ac:dyDescent="0.35">
      <c r="A2356" s="16">
        <v>41597</v>
      </c>
      <c r="B2356" s="9">
        <v>236</v>
      </c>
      <c r="C2356">
        <f t="shared" si="43"/>
        <v>2013</v>
      </c>
    </row>
    <row r="2357" spans="1:3" x14ac:dyDescent="0.35">
      <c r="A2357" s="16">
        <v>41596</v>
      </c>
      <c r="B2357" s="9">
        <v>232</v>
      </c>
      <c r="C2357">
        <f t="shared" si="43"/>
        <v>2013</v>
      </c>
    </row>
    <row r="2358" spans="1:3" x14ac:dyDescent="0.35">
      <c r="A2358" s="16">
        <v>41593</v>
      </c>
      <c r="B2358" s="9">
        <v>233</v>
      </c>
      <c r="C2358">
        <f t="shared" si="43"/>
        <v>2013</v>
      </c>
    </row>
    <row r="2359" spans="1:3" x14ac:dyDescent="0.35">
      <c r="A2359" s="16">
        <v>41592</v>
      </c>
      <c r="B2359" s="9">
        <v>235</v>
      </c>
      <c r="C2359">
        <f t="shared" si="43"/>
        <v>2013</v>
      </c>
    </row>
    <row r="2360" spans="1:3" x14ac:dyDescent="0.35">
      <c r="A2360" s="16">
        <v>41591</v>
      </c>
      <c r="B2360" s="9">
        <v>241</v>
      </c>
      <c r="C2360">
        <f t="shared" si="43"/>
        <v>2013</v>
      </c>
    </row>
    <row r="2361" spans="1:3" x14ac:dyDescent="0.35">
      <c r="A2361" s="16">
        <v>41590</v>
      </c>
      <c r="B2361" s="9">
        <v>242</v>
      </c>
      <c r="C2361">
        <f t="shared" si="43"/>
        <v>2013</v>
      </c>
    </row>
    <row r="2362" spans="1:3" x14ac:dyDescent="0.35">
      <c r="A2362" s="16">
        <v>41589</v>
      </c>
      <c r="B2362" s="9">
        <v>237</v>
      </c>
      <c r="C2362">
        <f t="shared" si="43"/>
        <v>2013</v>
      </c>
    </row>
    <row r="2363" spans="1:3" x14ac:dyDescent="0.35">
      <c r="A2363" s="16">
        <v>41586</v>
      </c>
      <c r="B2363" s="9">
        <v>237</v>
      </c>
      <c r="C2363">
        <f t="shared" si="43"/>
        <v>2013</v>
      </c>
    </row>
    <row r="2364" spans="1:3" x14ac:dyDescent="0.35">
      <c r="A2364" s="16">
        <v>41585</v>
      </c>
      <c r="B2364" s="9">
        <v>233</v>
      </c>
      <c r="C2364">
        <f t="shared" si="43"/>
        <v>2013</v>
      </c>
    </row>
    <row r="2365" spans="1:3" x14ac:dyDescent="0.35">
      <c r="A2365" s="16">
        <v>41584</v>
      </c>
      <c r="B2365" s="9">
        <v>226</v>
      </c>
      <c r="C2365">
        <f t="shared" si="43"/>
        <v>2013</v>
      </c>
    </row>
    <row r="2366" spans="1:3" x14ac:dyDescent="0.35">
      <c r="A2366" s="16">
        <v>41583</v>
      </c>
      <c r="B2366" s="9">
        <v>224</v>
      </c>
      <c r="C2366">
        <f t="shared" si="43"/>
        <v>2013</v>
      </c>
    </row>
    <row r="2367" spans="1:3" x14ac:dyDescent="0.35">
      <c r="A2367" s="16">
        <v>41582</v>
      </c>
      <c r="B2367" s="9">
        <v>223</v>
      </c>
      <c r="C2367">
        <f t="shared" si="43"/>
        <v>2013</v>
      </c>
    </row>
    <row r="2368" spans="1:3" x14ac:dyDescent="0.35">
      <c r="A2368" s="16">
        <v>41579</v>
      </c>
      <c r="B2368" s="9">
        <v>224</v>
      </c>
      <c r="C2368">
        <f t="shared" si="43"/>
        <v>2013</v>
      </c>
    </row>
    <row r="2369" spans="1:3" x14ac:dyDescent="0.35">
      <c r="A2369" s="16">
        <v>41578</v>
      </c>
      <c r="B2369" s="9">
        <v>220</v>
      </c>
      <c r="C2369">
        <f t="shared" si="43"/>
        <v>2013</v>
      </c>
    </row>
    <row r="2370" spans="1:3" x14ac:dyDescent="0.35">
      <c r="A2370" s="16">
        <v>41577</v>
      </c>
      <c r="B2370" s="9">
        <v>216</v>
      </c>
      <c r="C2370">
        <f t="shared" si="43"/>
        <v>2013</v>
      </c>
    </row>
    <row r="2371" spans="1:3" x14ac:dyDescent="0.35">
      <c r="A2371" s="16">
        <v>41576</v>
      </c>
      <c r="B2371" s="9">
        <v>219</v>
      </c>
      <c r="C2371">
        <f t="shared" ref="C2371:C2434" si="44">YEAR(A2371)</f>
        <v>2013</v>
      </c>
    </row>
    <row r="2372" spans="1:3" x14ac:dyDescent="0.35">
      <c r="A2372" s="16">
        <v>41575</v>
      </c>
      <c r="B2372" s="9">
        <v>219</v>
      </c>
      <c r="C2372">
        <f t="shared" si="44"/>
        <v>2013</v>
      </c>
    </row>
    <row r="2373" spans="1:3" x14ac:dyDescent="0.35">
      <c r="A2373" s="16">
        <v>41572</v>
      </c>
      <c r="B2373" s="9">
        <v>219</v>
      </c>
      <c r="C2373">
        <f t="shared" si="44"/>
        <v>2013</v>
      </c>
    </row>
    <row r="2374" spans="1:3" x14ac:dyDescent="0.35">
      <c r="A2374" s="16">
        <v>41571</v>
      </c>
      <c r="B2374" s="9">
        <v>215</v>
      </c>
      <c r="C2374">
        <f t="shared" si="44"/>
        <v>2013</v>
      </c>
    </row>
    <row r="2375" spans="1:3" x14ac:dyDescent="0.35">
      <c r="A2375" s="16">
        <v>41570</v>
      </c>
      <c r="B2375" s="9">
        <v>213</v>
      </c>
      <c r="C2375">
        <f t="shared" si="44"/>
        <v>2013</v>
      </c>
    </row>
    <row r="2376" spans="1:3" x14ac:dyDescent="0.35">
      <c r="A2376" s="16">
        <v>41569</v>
      </c>
      <c r="B2376" s="9">
        <v>213</v>
      </c>
      <c r="C2376">
        <f t="shared" si="44"/>
        <v>2013</v>
      </c>
    </row>
    <row r="2377" spans="1:3" x14ac:dyDescent="0.35">
      <c r="A2377" s="16">
        <v>41568</v>
      </c>
      <c r="B2377" s="9">
        <v>211</v>
      </c>
      <c r="C2377">
        <f t="shared" si="44"/>
        <v>2013</v>
      </c>
    </row>
    <row r="2378" spans="1:3" x14ac:dyDescent="0.35">
      <c r="A2378" s="16">
        <v>41565</v>
      </c>
      <c r="B2378" s="9">
        <v>206</v>
      </c>
      <c r="C2378">
        <f t="shared" si="44"/>
        <v>2013</v>
      </c>
    </row>
    <row r="2379" spans="1:3" x14ac:dyDescent="0.35">
      <c r="A2379" s="16">
        <v>41564</v>
      </c>
      <c r="B2379" s="9">
        <v>214</v>
      </c>
      <c r="C2379">
        <f t="shared" si="44"/>
        <v>2013</v>
      </c>
    </row>
    <row r="2380" spans="1:3" x14ac:dyDescent="0.35">
      <c r="A2380" s="16">
        <v>41563</v>
      </c>
      <c r="B2380" s="9">
        <v>211</v>
      </c>
      <c r="C2380">
        <f t="shared" si="44"/>
        <v>2013</v>
      </c>
    </row>
    <row r="2381" spans="1:3" x14ac:dyDescent="0.35">
      <c r="A2381" s="16">
        <v>41562</v>
      </c>
      <c r="B2381" s="9">
        <v>207</v>
      </c>
      <c r="C2381">
        <f t="shared" si="44"/>
        <v>2013</v>
      </c>
    </row>
    <row r="2382" spans="1:3" x14ac:dyDescent="0.35">
      <c r="A2382" s="16">
        <v>41561</v>
      </c>
      <c r="B2382" s="9">
        <v>213</v>
      </c>
      <c r="C2382">
        <f t="shared" si="44"/>
        <v>2013</v>
      </c>
    </row>
    <row r="2383" spans="1:3" x14ac:dyDescent="0.35">
      <c r="A2383" s="16">
        <v>41558</v>
      </c>
      <c r="B2383" s="9">
        <v>213</v>
      </c>
      <c r="C2383">
        <f t="shared" si="44"/>
        <v>2013</v>
      </c>
    </row>
    <row r="2384" spans="1:3" x14ac:dyDescent="0.35">
      <c r="A2384" s="16">
        <v>41557</v>
      </c>
      <c r="B2384" s="9">
        <v>219</v>
      </c>
      <c r="C2384">
        <f t="shared" si="44"/>
        <v>2013</v>
      </c>
    </row>
    <row r="2385" spans="1:3" x14ac:dyDescent="0.35">
      <c r="A2385" s="16">
        <v>41556</v>
      </c>
      <c r="B2385" s="9">
        <v>222</v>
      </c>
      <c r="C2385">
        <f t="shared" si="44"/>
        <v>2013</v>
      </c>
    </row>
    <row r="2386" spans="1:3" x14ac:dyDescent="0.35">
      <c r="A2386" s="16">
        <v>41555</v>
      </c>
      <c r="B2386" s="9">
        <v>225</v>
      </c>
      <c r="C2386">
        <f t="shared" si="44"/>
        <v>2013</v>
      </c>
    </row>
    <row r="2387" spans="1:3" x14ac:dyDescent="0.35">
      <c r="A2387" s="16">
        <v>41554</v>
      </c>
      <c r="B2387" s="9">
        <v>228</v>
      </c>
      <c r="C2387">
        <f t="shared" si="44"/>
        <v>2013</v>
      </c>
    </row>
    <row r="2388" spans="1:3" x14ac:dyDescent="0.35">
      <c r="A2388" s="16">
        <v>41551</v>
      </c>
      <c r="B2388" s="9">
        <v>230</v>
      </c>
      <c r="C2388">
        <f t="shared" si="44"/>
        <v>2013</v>
      </c>
    </row>
    <row r="2389" spans="1:3" x14ac:dyDescent="0.35">
      <c r="A2389" s="16">
        <v>41550</v>
      </c>
      <c r="B2389" s="9">
        <v>234</v>
      </c>
      <c r="C2389">
        <f t="shared" si="44"/>
        <v>2013</v>
      </c>
    </row>
    <row r="2390" spans="1:3" x14ac:dyDescent="0.35">
      <c r="A2390" s="16">
        <v>41549</v>
      </c>
      <c r="B2390" s="9">
        <v>234</v>
      </c>
      <c r="C2390">
        <f t="shared" si="44"/>
        <v>2013</v>
      </c>
    </row>
    <row r="2391" spans="1:3" x14ac:dyDescent="0.35">
      <c r="A2391" s="16">
        <v>41548</v>
      </c>
      <c r="B2391" s="9">
        <v>234</v>
      </c>
      <c r="C2391">
        <f t="shared" si="44"/>
        <v>2013</v>
      </c>
    </row>
    <row r="2392" spans="1:3" x14ac:dyDescent="0.35">
      <c r="A2392" s="16">
        <v>41547</v>
      </c>
      <c r="B2392" s="9">
        <v>236</v>
      </c>
      <c r="C2392">
        <f t="shared" si="44"/>
        <v>2013</v>
      </c>
    </row>
    <row r="2393" spans="1:3" x14ac:dyDescent="0.35">
      <c r="A2393" s="16">
        <v>41544</v>
      </c>
      <c r="B2393" s="9">
        <v>231</v>
      </c>
      <c r="C2393">
        <f t="shared" si="44"/>
        <v>2013</v>
      </c>
    </row>
    <row r="2394" spans="1:3" x14ac:dyDescent="0.35">
      <c r="A2394" s="16">
        <v>41543</v>
      </c>
      <c r="B2394" s="9">
        <v>228</v>
      </c>
      <c r="C2394">
        <f t="shared" si="44"/>
        <v>2013</v>
      </c>
    </row>
    <row r="2395" spans="1:3" x14ac:dyDescent="0.35">
      <c r="A2395" s="16">
        <v>41542</v>
      </c>
      <c r="B2395" s="9">
        <v>221</v>
      </c>
      <c r="C2395">
        <f t="shared" si="44"/>
        <v>2013</v>
      </c>
    </row>
    <row r="2396" spans="1:3" x14ac:dyDescent="0.35">
      <c r="A2396" s="16">
        <v>41541</v>
      </c>
      <c r="B2396" s="9">
        <v>221</v>
      </c>
      <c r="C2396">
        <f t="shared" si="44"/>
        <v>2013</v>
      </c>
    </row>
    <row r="2397" spans="1:3" x14ac:dyDescent="0.35">
      <c r="A2397" s="16">
        <v>41540</v>
      </c>
      <c r="B2397" s="9">
        <v>213</v>
      </c>
      <c r="C2397">
        <f t="shared" si="44"/>
        <v>2013</v>
      </c>
    </row>
    <row r="2398" spans="1:3" x14ac:dyDescent="0.35">
      <c r="A2398" s="16">
        <v>41537</v>
      </c>
      <c r="B2398" s="9">
        <v>213</v>
      </c>
      <c r="C2398">
        <f t="shared" si="44"/>
        <v>2013</v>
      </c>
    </row>
    <row r="2399" spans="1:3" x14ac:dyDescent="0.35">
      <c r="A2399" s="16">
        <v>41536</v>
      </c>
      <c r="B2399" s="9">
        <v>208</v>
      </c>
      <c r="C2399">
        <f t="shared" si="44"/>
        <v>2013</v>
      </c>
    </row>
    <row r="2400" spans="1:3" x14ac:dyDescent="0.35">
      <c r="A2400" s="16">
        <v>41535</v>
      </c>
      <c r="B2400" s="9">
        <v>211</v>
      </c>
      <c r="C2400">
        <f t="shared" si="44"/>
        <v>2013</v>
      </c>
    </row>
    <row r="2401" spans="1:3" x14ac:dyDescent="0.35">
      <c r="A2401" s="16">
        <v>41534</v>
      </c>
      <c r="B2401" s="9">
        <v>217</v>
      </c>
      <c r="C2401">
        <f t="shared" si="44"/>
        <v>2013</v>
      </c>
    </row>
    <row r="2402" spans="1:3" x14ac:dyDescent="0.35">
      <c r="A2402" s="16">
        <v>41533</v>
      </c>
      <c r="B2402" s="9">
        <v>222</v>
      </c>
      <c r="C2402">
        <f t="shared" si="44"/>
        <v>2013</v>
      </c>
    </row>
    <row r="2403" spans="1:3" x14ac:dyDescent="0.35">
      <c r="A2403" s="16">
        <v>41530</v>
      </c>
      <c r="B2403" s="9">
        <v>229</v>
      </c>
      <c r="C2403">
        <f t="shared" si="44"/>
        <v>2013</v>
      </c>
    </row>
    <row r="2404" spans="1:3" x14ac:dyDescent="0.35">
      <c r="A2404" s="16">
        <v>41529</v>
      </c>
      <c r="B2404" s="9">
        <v>231</v>
      </c>
      <c r="C2404">
        <f t="shared" si="44"/>
        <v>2013</v>
      </c>
    </row>
    <row r="2405" spans="1:3" x14ac:dyDescent="0.35">
      <c r="A2405" s="16">
        <v>41528</v>
      </c>
      <c r="B2405" s="9">
        <v>230</v>
      </c>
      <c r="C2405">
        <f t="shared" si="44"/>
        <v>2013</v>
      </c>
    </row>
    <row r="2406" spans="1:3" x14ac:dyDescent="0.35">
      <c r="A2406" s="16">
        <v>41527</v>
      </c>
      <c r="B2406" s="9">
        <v>235</v>
      </c>
      <c r="C2406">
        <f t="shared" si="44"/>
        <v>2013</v>
      </c>
    </row>
    <row r="2407" spans="1:3" x14ac:dyDescent="0.35">
      <c r="A2407" s="16">
        <v>41526</v>
      </c>
      <c r="B2407" s="9">
        <v>230</v>
      </c>
      <c r="C2407">
        <f t="shared" si="44"/>
        <v>2013</v>
      </c>
    </row>
    <row r="2408" spans="1:3" x14ac:dyDescent="0.35">
      <c r="A2408" s="16">
        <v>41523</v>
      </c>
      <c r="B2408" s="9">
        <v>237</v>
      </c>
      <c r="C2408">
        <f t="shared" si="44"/>
        <v>2013</v>
      </c>
    </row>
    <row r="2409" spans="1:3" x14ac:dyDescent="0.35">
      <c r="A2409" s="16">
        <v>41522</v>
      </c>
      <c r="B2409" s="9">
        <v>243</v>
      </c>
      <c r="C2409">
        <f t="shared" si="44"/>
        <v>2013</v>
      </c>
    </row>
    <row r="2410" spans="1:3" x14ac:dyDescent="0.35">
      <c r="A2410" s="16">
        <v>41521</v>
      </c>
      <c r="B2410" s="9">
        <v>250</v>
      </c>
      <c r="C2410">
        <f t="shared" si="44"/>
        <v>2013</v>
      </c>
    </row>
    <row r="2411" spans="1:3" x14ac:dyDescent="0.35">
      <c r="A2411" s="16">
        <v>41520</v>
      </c>
      <c r="B2411" s="9">
        <v>248</v>
      </c>
      <c r="C2411">
        <f t="shared" si="44"/>
        <v>2013</v>
      </c>
    </row>
    <row r="2412" spans="1:3" x14ac:dyDescent="0.35">
      <c r="A2412" s="16">
        <v>41519</v>
      </c>
      <c r="B2412" s="9">
        <v>251</v>
      </c>
      <c r="C2412">
        <f t="shared" si="44"/>
        <v>2013</v>
      </c>
    </row>
    <row r="2413" spans="1:3" x14ac:dyDescent="0.35">
      <c r="A2413" s="16">
        <v>41516</v>
      </c>
      <c r="B2413" s="9">
        <v>251</v>
      </c>
      <c r="C2413">
        <f t="shared" si="44"/>
        <v>2013</v>
      </c>
    </row>
    <row r="2414" spans="1:3" x14ac:dyDescent="0.35">
      <c r="A2414" s="16">
        <v>41515</v>
      </c>
      <c r="B2414" s="9">
        <v>251</v>
      </c>
      <c r="C2414">
        <f t="shared" si="44"/>
        <v>2013</v>
      </c>
    </row>
    <row r="2415" spans="1:3" x14ac:dyDescent="0.35">
      <c r="A2415" s="16">
        <v>41514</v>
      </c>
      <c r="B2415" s="9">
        <v>248</v>
      </c>
      <c r="C2415">
        <f t="shared" si="44"/>
        <v>2013</v>
      </c>
    </row>
    <row r="2416" spans="1:3" x14ac:dyDescent="0.35">
      <c r="A2416" s="16">
        <v>41513</v>
      </c>
      <c r="B2416" s="9">
        <v>249</v>
      </c>
      <c r="C2416">
        <f t="shared" si="44"/>
        <v>2013</v>
      </c>
    </row>
    <row r="2417" spans="1:3" x14ac:dyDescent="0.35">
      <c r="A2417" s="16">
        <v>41512</v>
      </c>
      <c r="B2417" s="9">
        <v>242</v>
      </c>
      <c r="C2417">
        <f t="shared" si="44"/>
        <v>2013</v>
      </c>
    </row>
    <row r="2418" spans="1:3" x14ac:dyDescent="0.35">
      <c r="A2418" s="16">
        <v>41509</v>
      </c>
      <c r="B2418" s="9">
        <v>242</v>
      </c>
      <c r="C2418">
        <f t="shared" si="44"/>
        <v>2013</v>
      </c>
    </row>
    <row r="2419" spans="1:3" x14ac:dyDescent="0.35">
      <c r="A2419" s="16">
        <v>41508</v>
      </c>
      <c r="B2419" s="9">
        <v>238</v>
      </c>
      <c r="C2419">
        <f t="shared" si="44"/>
        <v>2013</v>
      </c>
    </row>
    <row r="2420" spans="1:3" x14ac:dyDescent="0.35">
      <c r="A2420" s="16">
        <v>41507</v>
      </c>
      <c r="B2420" s="9">
        <v>246</v>
      </c>
      <c r="C2420">
        <f t="shared" si="44"/>
        <v>2013</v>
      </c>
    </row>
    <row r="2421" spans="1:3" x14ac:dyDescent="0.35">
      <c r="A2421" s="16">
        <v>41506</v>
      </c>
      <c r="B2421" s="9">
        <v>241</v>
      </c>
      <c r="C2421">
        <f t="shared" si="44"/>
        <v>2013</v>
      </c>
    </row>
    <row r="2422" spans="1:3" x14ac:dyDescent="0.35">
      <c r="A2422" s="16">
        <v>41505</v>
      </c>
      <c r="B2422" s="9">
        <v>240</v>
      </c>
      <c r="C2422">
        <f t="shared" si="44"/>
        <v>2013</v>
      </c>
    </row>
    <row r="2423" spans="1:3" x14ac:dyDescent="0.35">
      <c r="A2423" s="16">
        <v>41502</v>
      </c>
      <c r="B2423" s="9">
        <v>232</v>
      </c>
      <c r="C2423">
        <f t="shared" si="44"/>
        <v>2013</v>
      </c>
    </row>
    <row r="2424" spans="1:3" x14ac:dyDescent="0.35">
      <c r="A2424" s="16">
        <v>41501</v>
      </c>
      <c r="B2424" s="9">
        <v>228</v>
      </c>
      <c r="C2424">
        <f t="shared" si="44"/>
        <v>2013</v>
      </c>
    </row>
    <row r="2425" spans="1:3" x14ac:dyDescent="0.35">
      <c r="A2425" s="16">
        <v>41500</v>
      </c>
      <c r="B2425" s="9">
        <v>226</v>
      </c>
      <c r="C2425">
        <f t="shared" si="44"/>
        <v>2013</v>
      </c>
    </row>
    <row r="2426" spans="1:3" x14ac:dyDescent="0.35">
      <c r="A2426" s="16">
        <v>41499</v>
      </c>
      <c r="B2426" s="9">
        <v>222</v>
      </c>
      <c r="C2426">
        <f t="shared" si="44"/>
        <v>2013</v>
      </c>
    </row>
    <row r="2427" spans="1:3" x14ac:dyDescent="0.35">
      <c r="A2427" s="16">
        <v>41498</v>
      </c>
      <c r="B2427" s="9">
        <v>230</v>
      </c>
      <c r="C2427">
        <f t="shared" si="44"/>
        <v>2013</v>
      </c>
    </row>
    <row r="2428" spans="1:3" x14ac:dyDescent="0.35">
      <c r="A2428" s="16">
        <v>41495</v>
      </c>
      <c r="B2428" s="9">
        <v>236</v>
      </c>
      <c r="C2428">
        <f t="shared" si="44"/>
        <v>2013</v>
      </c>
    </row>
    <row r="2429" spans="1:3" x14ac:dyDescent="0.35">
      <c r="A2429" s="16">
        <v>41494</v>
      </c>
      <c r="B2429" s="9">
        <v>234</v>
      </c>
      <c r="C2429">
        <f t="shared" si="44"/>
        <v>2013</v>
      </c>
    </row>
    <row r="2430" spans="1:3" x14ac:dyDescent="0.35">
      <c r="A2430" s="16">
        <v>41493</v>
      </c>
      <c r="B2430" s="9">
        <v>237</v>
      </c>
      <c r="C2430">
        <f t="shared" si="44"/>
        <v>2013</v>
      </c>
    </row>
    <row r="2431" spans="1:3" x14ac:dyDescent="0.35">
      <c r="A2431" s="16">
        <v>41492</v>
      </c>
      <c r="B2431" s="9">
        <v>232</v>
      </c>
      <c r="C2431">
        <f t="shared" si="44"/>
        <v>2013</v>
      </c>
    </row>
    <row r="2432" spans="1:3" x14ac:dyDescent="0.35">
      <c r="A2432" s="16">
        <v>41491</v>
      </c>
      <c r="B2432" s="9">
        <v>233</v>
      </c>
      <c r="C2432">
        <f t="shared" si="44"/>
        <v>2013</v>
      </c>
    </row>
    <row r="2433" spans="1:3" x14ac:dyDescent="0.35">
      <c r="A2433" s="16">
        <v>41488</v>
      </c>
      <c r="B2433" s="9">
        <v>236</v>
      </c>
      <c r="C2433">
        <f t="shared" si="44"/>
        <v>2013</v>
      </c>
    </row>
    <row r="2434" spans="1:3" x14ac:dyDescent="0.35">
      <c r="A2434" s="16">
        <v>41487</v>
      </c>
      <c r="B2434" s="9">
        <v>233</v>
      </c>
      <c r="C2434">
        <f t="shared" si="44"/>
        <v>2013</v>
      </c>
    </row>
    <row r="2435" spans="1:3" x14ac:dyDescent="0.35">
      <c r="A2435" s="16">
        <v>41486</v>
      </c>
      <c r="B2435" s="9">
        <v>235</v>
      </c>
      <c r="C2435">
        <f t="shared" ref="C2435:C2498" si="45">YEAR(A2435)</f>
        <v>2013</v>
      </c>
    </row>
    <row r="2436" spans="1:3" x14ac:dyDescent="0.35">
      <c r="A2436" s="16">
        <v>41485</v>
      </c>
      <c r="B2436" s="9">
        <v>236</v>
      </c>
      <c r="C2436">
        <f t="shared" si="45"/>
        <v>2013</v>
      </c>
    </row>
    <row r="2437" spans="1:3" x14ac:dyDescent="0.35">
      <c r="A2437" s="16">
        <v>41484</v>
      </c>
      <c r="B2437" s="9">
        <v>233</v>
      </c>
      <c r="C2437">
        <f t="shared" si="45"/>
        <v>2013</v>
      </c>
    </row>
    <row r="2438" spans="1:3" x14ac:dyDescent="0.35">
      <c r="A2438" s="16">
        <v>41481</v>
      </c>
      <c r="B2438" s="9">
        <v>230</v>
      </c>
      <c r="C2438">
        <f t="shared" si="45"/>
        <v>2013</v>
      </c>
    </row>
    <row r="2439" spans="1:3" x14ac:dyDescent="0.35">
      <c r="A2439" s="16">
        <v>41480</v>
      </c>
      <c r="B2439" s="9">
        <v>217</v>
      </c>
      <c r="C2439">
        <f t="shared" si="45"/>
        <v>2013</v>
      </c>
    </row>
    <row r="2440" spans="1:3" x14ac:dyDescent="0.35">
      <c r="A2440" s="16">
        <v>41479</v>
      </c>
      <c r="B2440" s="9">
        <v>211</v>
      </c>
      <c r="C2440">
        <f t="shared" si="45"/>
        <v>2013</v>
      </c>
    </row>
    <row r="2441" spans="1:3" x14ac:dyDescent="0.35">
      <c r="A2441" s="16">
        <v>41478</v>
      </c>
      <c r="B2441" s="9">
        <v>208</v>
      </c>
      <c r="C2441">
        <f t="shared" si="45"/>
        <v>2013</v>
      </c>
    </row>
    <row r="2442" spans="1:3" x14ac:dyDescent="0.35">
      <c r="A2442" s="16">
        <v>41477</v>
      </c>
      <c r="B2442" s="9">
        <v>207</v>
      </c>
      <c r="C2442">
        <f t="shared" si="45"/>
        <v>2013</v>
      </c>
    </row>
    <row r="2443" spans="1:3" x14ac:dyDescent="0.35">
      <c r="A2443" s="16">
        <v>41474</v>
      </c>
      <c r="B2443" s="9">
        <v>207</v>
      </c>
      <c r="C2443">
        <f t="shared" si="45"/>
        <v>2013</v>
      </c>
    </row>
    <row r="2444" spans="1:3" x14ac:dyDescent="0.35">
      <c r="A2444" s="16">
        <v>41473</v>
      </c>
      <c r="B2444" s="9">
        <v>203</v>
      </c>
      <c r="C2444">
        <f t="shared" si="45"/>
        <v>2013</v>
      </c>
    </row>
    <row r="2445" spans="1:3" x14ac:dyDescent="0.35">
      <c r="A2445" s="16">
        <v>41472</v>
      </c>
      <c r="B2445" s="9">
        <v>211</v>
      </c>
      <c r="C2445">
        <f t="shared" si="45"/>
        <v>2013</v>
      </c>
    </row>
    <row r="2446" spans="1:3" x14ac:dyDescent="0.35">
      <c r="A2446" s="16">
        <v>41471</v>
      </c>
      <c r="B2446" s="9">
        <v>221</v>
      </c>
      <c r="C2446">
        <f t="shared" si="45"/>
        <v>2013</v>
      </c>
    </row>
    <row r="2447" spans="1:3" x14ac:dyDescent="0.35">
      <c r="A2447" s="16">
        <v>41470</v>
      </c>
      <c r="B2447" s="9">
        <v>224</v>
      </c>
      <c r="C2447">
        <f t="shared" si="45"/>
        <v>2013</v>
      </c>
    </row>
    <row r="2448" spans="1:3" x14ac:dyDescent="0.35">
      <c r="A2448" s="16">
        <v>41467</v>
      </c>
      <c r="B2448" s="9">
        <v>234</v>
      </c>
      <c r="C2448">
        <f t="shared" si="45"/>
        <v>2013</v>
      </c>
    </row>
    <row r="2449" spans="1:3" x14ac:dyDescent="0.35">
      <c r="A2449" s="16">
        <v>41466</v>
      </c>
      <c r="B2449" s="9">
        <v>239</v>
      </c>
      <c r="C2449">
        <f t="shared" si="45"/>
        <v>2013</v>
      </c>
    </row>
    <row r="2450" spans="1:3" x14ac:dyDescent="0.35">
      <c r="A2450" s="16">
        <v>41465</v>
      </c>
      <c r="B2450" s="9">
        <v>238</v>
      </c>
      <c r="C2450">
        <f t="shared" si="45"/>
        <v>2013</v>
      </c>
    </row>
    <row r="2451" spans="1:3" x14ac:dyDescent="0.35">
      <c r="A2451" s="16">
        <v>41464</v>
      </c>
      <c r="B2451" s="9">
        <v>243</v>
      </c>
      <c r="C2451">
        <f t="shared" si="45"/>
        <v>2013</v>
      </c>
    </row>
    <row r="2452" spans="1:3" x14ac:dyDescent="0.35">
      <c r="A2452" s="16">
        <v>41463</v>
      </c>
      <c r="B2452" s="9">
        <v>241</v>
      </c>
      <c r="C2452">
        <f t="shared" si="45"/>
        <v>2013</v>
      </c>
    </row>
    <row r="2453" spans="1:3" x14ac:dyDescent="0.35">
      <c r="A2453" s="16">
        <v>41460</v>
      </c>
      <c r="B2453" s="9">
        <v>236</v>
      </c>
      <c r="C2453">
        <f t="shared" si="45"/>
        <v>2013</v>
      </c>
    </row>
    <row r="2454" spans="1:3" x14ac:dyDescent="0.35">
      <c r="A2454" s="16">
        <v>41459</v>
      </c>
      <c r="B2454" s="9">
        <v>239</v>
      </c>
      <c r="C2454">
        <f t="shared" si="45"/>
        <v>2013</v>
      </c>
    </row>
    <row r="2455" spans="1:3" x14ac:dyDescent="0.35">
      <c r="A2455" s="16">
        <v>41458</v>
      </c>
      <c r="B2455" s="9">
        <v>239</v>
      </c>
      <c r="C2455">
        <f t="shared" si="45"/>
        <v>2013</v>
      </c>
    </row>
    <row r="2456" spans="1:3" x14ac:dyDescent="0.35">
      <c r="A2456" s="16">
        <v>41457</v>
      </c>
      <c r="B2456" s="9">
        <v>236</v>
      </c>
      <c r="C2456">
        <f t="shared" si="45"/>
        <v>2013</v>
      </c>
    </row>
    <row r="2457" spans="1:3" x14ac:dyDescent="0.35">
      <c r="A2457" s="16">
        <v>41456</v>
      </c>
      <c r="B2457" s="9">
        <v>232</v>
      </c>
      <c r="C2457">
        <f t="shared" si="45"/>
        <v>2013</v>
      </c>
    </row>
    <row r="2458" spans="1:3" x14ac:dyDescent="0.35">
      <c r="A2458" s="16">
        <v>41453</v>
      </c>
      <c r="B2458" s="9">
        <v>237</v>
      </c>
      <c r="C2458">
        <f t="shared" si="45"/>
        <v>2013</v>
      </c>
    </row>
    <row r="2459" spans="1:3" x14ac:dyDescent="0.35">
      <c r="A2459" s="16">
        <v>41452</v>
      </c>
      <c r="B2459" s="9">
        <v>244</v>
      </c>
      <c r="C2459">
        <f t="shared" si="45"/>
        <v>2013</v>
      </c>
    </row>
    <row r="2460" spans="1:3" x14ac:dyDescent="0.35">
      <c r="A2460" s="16">
        <v>41451</v>
      </c>
      <c r="B2460" s="9">
        <v>248</v>
      </c>
      <c r="C2460">
        <f t="shared" si="45"/>
        <v>2013</v>
      </c>
    </row>
    <row r="2461" spans="1:3" x14ac:dyDescent="0.35">
      <c r="A2461" s="16">
        <v>41450</v>
      </c>
      <c r="B2461" s="9">
        <v>252</v>
      </c>
      <c r="C2461">
        <f t="shared" si="45"/>
        <v>2013</v>
      </c>
    </row>
    <row r="2462" spans="1:3" x14ac:dyDescent="0.35">
      <c r="A2462" s="16">
        <v>41449</v>
      </c>
      <c r="B2462" s="9">
        <v>263</v>
      </c>
      <c r="C2462">
        <f t="shared" si="45"/>
        <v>2013</v>
      </c>
    </row>
    <row r="2463" spans="1:3" x14ac:dyDescent="0.35">
      <c r="A2463" s="16">
        <v>41446</v>
      </c>
      <c r="B2463" s="9">
        <v>253</v>
      </c>
      <c r="C2463">
        <f t="shared" si="45"/>
        <v>2013</v>
      </c>
    </row>
    <row r="2464" spans="1:3" x14ac:dyDescent="0.35">
      <c r="A2464" s="16">
        <v>41445</v>
      </c>
      <c r="B2464" s="9">
        <v>249</v>
      </c>
      <c r="C2464">
        <f t="shared" si="45"/>
        <v>2013</v>
      </c>
    </row>
    <row r="2465" spans="1:3" x14ac:dyDescent="0.35">
      <c r="A2465" s="16">
        <v>41444</v>
      </c>
      <c r="B2465" s="9">
        <v>233</v>
      </c>
      <c r="C2465">
        <f t="shared" si="45"/>
        <v>2013</v>
      </c>
    </row>
    <row r="2466" spans="1:3" x14ac:dyDescent="0.35">
      <c r="A2466" s="16">
        <v>41443</v>
      </c>
      <c r="B2466" s="9">
        <v>224</v>
      </c>
      <c r="C2466">
        <f t="shared" si="45"/>
        <v>2013</v>
      </c>
    </row>
    <row r="2467" spans="1:3" x14ac:dyDescent="0.35">
      <c r="A2467" s="16">
        <v>41442</v>
      </c>
      <c r="B2467" s="9">
        <v>216</v>
      </c>
      <c r="C2467">
        <f t="shared" si="45"/>
        <v>2013</v>
      </c>
    </row>
    <row r="2468" spans="1:3" x14ac:dyDescent="0.35">
      <c r="A2468" s="16">
        <v>41439</v>
      </c>
      <c r="B2468" s="9">
        <v>216</v>
      </c>
      <c r="C2468">
        <f t="shared" si="45"/>
        <v>2013</v>
      </c>
    </row>
    <row r="2469" spans="1:3" x14ac:dyDescent="0.35">
      <c r="A2469" s="16">
        <v>41438</v>
      </c>
      <c r="B2469" s="9">
        <v>212</v>
      </c>
      <c r="C2469">
        <f t="shared" si="45"/>
        <v>2013</v>
      </c>
    </row>
    <row r="2470" spans="1:3" x14ac:dyDescent="0.35">
      <c r="A2470" s="16">
        <v>41437</v>
      </c>
      <c r="B2470" s="9">
        <v>226</v>
      </c>
      <c r="C2470">
        <f t="shared" si="45"/>
        <v>2013</v>
      </c>
    </row>
    <row r="2471" spans="1:3" x14ac:dyDescent="0.35">
      <c r="A2471" s="16">
        <v>41436</v>
      </c>
      <c r="B2471" s="9">
        <v>236</v>
      </c>
      <c r="C2471">
        <f t="shared" si="45"/>
        <v>2013</v>
      </c>
    </row>
    <row r="2472" spans="1:3" x14ac:dyDescent="0.35">
      <c r="A2472" s="16">
        <v>41435</v>
      </c>
      <c r="B2472" s="9">
        <v>222</v>
      </c>
      <c r="C2472">
        <f t="shared" si="45"/>
        <v>2013</v>
      </c>
    </row>
    <row r="2473" spans="1:3" x14ac:dyDescent="0.35">
      <c r="A2473" s="16">
        <v>41432</v>
      </c>
      <c r="B2473" s="9">
        <v>213</v>
      </c>
      <c r="C2473">
        <f t="shared" si="45"/>
        <v>2013</v>
      </c>
    </row>
    <row r="2474" spans="1:3" x14ac:dyDescent="0.35">
      <c r="A2474" s="16">
        <v>41431</v>
      </c>
      <c r="B2474" s="9">
        <v>218</v>
      </c>
      <c r="C2474">
        <f t="shared" si="45"/>
        <v>2013</v>
      </c>
    </row>
    <row r="2475" spans="1:3" x14ac:dyDescent="0.35">
      <c r="A2475" s="16">
        <v>41430</v>
      </c>
      <c r="B2475" s="9">
        <v>210</v>
      </c>
      <c r="C2475">
        <f t="shared" si="45"/>
        <v>2013</v>
      </c>
    </row>
    <row r="2476" spans="1:3" x14ac:dyDescent="0.35">
      <c r="A2476" s="16">
        <v>41429</v>
      </c>
      <c r="B2476" s="9">
        <v>206</v>
      </c>
      <c r="C2476">
        <f t="shared" si="45"/>
        <v>2013</v>
      </c>
    </row>
    <row r="2477" spans="1:3" x14ac:dyDescent="0.35">
      <c r="A2477" s="16">
        <v>41428</v>
      </c>
      <c r="B2477" s="9">
        <v>207</v>
      </c>
      <c r="C2477">
        <f t="shared" si="45"/>
        <v>2013</v>
      </c>
    </row>
    <row r="2478" spans="1:3" x14ac:dyDescent="0.35">
      <c r="A2478" s="16">
        <v>41425</v>
      </c>
      <c r="B2478" s="9">
        <v>206</v>
      </c>
      <c r="C2478">
        <f t="shared" si="45"/>
        <v>2013</v>
      </c>
    </row>
    <row r="2479" spans="1:3" x14ac:dyDescent="0.35">
      <c r="A2479" s="16">
        <v>41424</v>
      </c>
      <c r="B2479" s="9">
        <v>198</v>
      </c>
      <c r="C2479">
        <f t="shared" si="45"/>
        <v>2013</v>
      </c>
    </row>
    <row r="2480" spans="1:3" x14ac:dyDescent="0.35">
      <c r="A2480" s="16">
        <v>41423</v>
      </c>
      <c r="B2480" s="9">
        <v>203</v>
      </c>
      <c r="C2480">
        <f t="shared" si="45"/>
        <v>2013</v>
      </c>
    </row>
    <row r="2481" spans="1:3" x14ac:dyDescent="0.35">
      <c r="A2481" s="16">
        <v>41422</v>
      </c>
      <c r="B2481" s="9">
        <v>197</v>
      </c>
      <c r="C2481">
        <f t="shared" si="45"/>
        <v>2013</v>
      </c>
    </row>
    <row r="2482" spans="1:3" x14ac:dyDescent="0.35">
      <c r="A2482" s="16">
        <v>41421</v>
      </c>
      <c r="B2482" s="9">
        <v>191</v>
      </c>
      <c r="C2482">
        <f t="shared" si="45"/>
        <v>2013</v>
      </c>
    </row>
    <row r="2483" spans="1:3" x14ac:dyDescent="0.35">
      <c r="A2483" s="16">
        <v>41418</v>
      </c>
      <c r="B2483" s="9">
        <v>191</v>
      </c>
      <c r="C2483">
        <f t="shared" si="45"/>
        <v>2013</v>
      </c>
    </row>
    <row r="2484" spans="1:3" x14ac:dyDescent="0.35">
      <c r="A2484" s="16">
        <v>41417</v>
      </c>
      <c r="B2484" s="9">
        <v>189</v>
      </c>
      <c r="C2484">
        <f t="shared" si="45"/>
        <v>2013</v>
      </c>
    </row>
    <row r="2485" spans="1:3" x14ac:dyDescent="0.35">
      <c r="A2485" s="16">
        <v>41416</v>
      </c>
      <c r="B2485" s="9">
        <v>178</v>
      </c>
      <c r="C2485">
        <f t="shared" si="45"/>
        <v>2013</v>
      </c>
    </row>
    <row r="2486" spans="1:3" x14ac:dyDescent="0.35">
      <c r="A2486" s="16">
        <v>41415</v>
      </c>
      <c r="B2486" s="9">
        <v>181</v>
      </c>
      <c r="C2486">
        <f t="shared" si="45"/>
        <v>2013</v>
      </c>
    </row>
    <row r="2487" spans="1:3" x14ac:dyDescent="0.35">
      <c r="A2487" s="16">
        <v>41414</v>
      </c>
      <c r="B2487" s="9">
        <v>176</v>
      </c>
      <c r="C2487">
        <f t="shared" si="45"/>
        <v>2013</v>
      </c>
    </row>
    <row r="2488" spans="1:3" x14ac:dyDescent="0.35">
      <c r="A2488" s="16">
        <v>41411</v>
      </c>
      <c r="B2488" s="9">
        <v>175</v>
      </c>
      <c r="C2488">
        <f t="shared" si="45"/>
        <v>2013</v>
      </c>
    </row>
    <row r="2489" spans="1:3" x14ac:dyDescent="0.35">
      <c r="A2489" s="16">
        <v>41410</v>
      </c>
      <c r="B2489" s="9">
        <v>177</v>
      </c>
      <c r="C2489">
        <f t="shared" si="45"/>
        <v>2013</v>
      </c>
    </row>
    <row r="2490" spans="1:3" x14ac:dyDescent="0.35">
      <c r="A2490" s="16">
        <v>41409</v>
      </c>
      <c r="B2490" s="9">
        <v>168</v>
      </c>
      <c r="C2490">
        <f t="shared" si="45"/>
        <v>2013</v>
      </c>
    </row>
    <row r="2491" spans="1:3" x14ac:dyDescent="0.35">
      <c r="A2491" s="16">
        <v>41408</v>
      </c>
      <c r="B2491" s="9">
        <v>162</v>
      </c>
      <c r="C2491">
        <f t="shared" si="45"/>
        <v>2013</v>
      </c>
    </row>
    <row r="2492" spans="1:3" x14ac:dyDescent="0.35">
      <c r="A2492" s="16">
        <v>41407</v>
      </c>
      <c r="B2492" s="9">
        <v>165</v>
      </c>
      <c r="C2492">
        <f t="shared" si="45"/>
        <v>2013</v>
      </c>
    </row>
    <row r="2493" spans="1:3" x14ac:dyDescent="0.35">
      <c r="A2493" s="16">
        <v>41404</v>
      </c>
      <c r="B2493" s="9">
        <v>161</v>
      </c>
      <c r="C2493">
        <f t="shared" si="45"/>
        <v>2013</v>
      </c>
    </row>
    <row r="2494" spans="1:3" x14ac:dyDescent="0.35">
      <c r="A2494" s="16">
        <v>41403</v>
      </c>
      <c r="B2494" s="9">
        <v>161</v>
      </c>
      <c r="C2494">
        <f t="shared" si="45"/>
        <v>2013</v>
      </c>
    </row>
    <row r="2495" spans="1:3" x14ac:dyDescent="0.35">
      <c r="A2495" s="16">
        <v>41402</v>
      </c>
      <c r="B2495" s="9">
        <v>164</v>
      </c>
      <c r="C2495">
        <f t="shared" si="45"/>
        <v>2013</v>
      </c>
    </row>
    <row r="2496" spans="1:3" x14ac:dyDescent="0.35">
      <c r="A2496" s="16">
        <v>41401</v>
      </c>
      <c r="B2496" s="9">
        <v>161</v>
      </c>
      <c r="C2496">
        <f t="shared" si="45"/>
        <v>2013</v>
      </c>
    </row>
    <row r="2497" spans="1:3" x14ac:dyDescent="0.35">
      <c r="A2497" s="16">
        <v>41400</v>
      </c>
      <c r="B2497" s="9">
        <v>162</v>
      </c>
      <c r="C2497">
        <f t="shared" si="45"/>
        <v>2013</v>
      </c>
    </row>
    <row r="2498" spans="1:3" x14ac:dyDescent="0.35">
      <c r="A2498" s="16">
        <v>41397</v>
      </c>
      <c r="B2498" s="9">
        <v>165</v>
      </c>
      <c r="C2498">
        <f t="shared" si="45"/>
        <v>2013</v>
      </c>
    </row>
    <row r="2499" spans="1:3" x14ac:dyDescent="0.35">
      <c r="A2499" s="16">
        <v>41396</v>
      </c>
      <c r="B2499" s="9">
        <v>169</v>
      </c>
      <c r="C2499">
        <f t="shared" ref="C2499:C2562" si="46">YEAR(A2499)</f>
        <v>2013</v>
      </c>
    </row>
    <row r="2500" spans="1:3" x14ac:dyDescent="0.35">
      <c r="A2500" s="16">
        <v>41395</v>
      </c>
      <c r="B2500" s="9">
        <v>170</v>
      </c>
      <c r="C2500">
        <f t="shared" si="46"/>
        <v>2013</v>
      </c>
    </row>
    <row r="2501" spans="1:3" x14ac:dyDescent="0.35">
      <c r="A2501" s="16">
        <v>41394</v>
      </c>
      <c r="B2501" s="9">
        <v>171</v>
      </c>
      <c r="C2501">
        <f t="shared" si="46"/>
        <v>2013</v>
      </c>
    </row>
    <row r="2502" spans="1:3" x14ac:dyDescent="0.35">
      <c r="A2502" s="16">
        <v>41393</v>
      </c>
      <c r="B2502" s="9">
        <v>173</v>
      </c>
      <c r="C2502">
        <f t="shared" si="46"/>
        <v>2013</v>
      </c>
    </row>
    <row r="2503" spans="1:3" x14ac:dyDescent="0.35">
      <c r="A2503" s="16">
        <v>41390</v>
      </c>
      <c r="B2503" s="9">
        <v>175</v>
      </c>
      <c r="C2503">
        <f t="shared" si="46"/>
        <v>2013</v>
      </c>
    </row>
    <row r="2504" spans="1:3" x14ac:dyDescent="0.35">
      <c r="A2504" s="16">
        <v>41389</v>
      </c>
      <c r="B2504" s="9">
        <v>174</v>
      </c>
      <c r="C2504">
        <f t="shared" si="46"/>
        <v>2013</v>
      </c>
    </row>
    <row r="2505" spans="1:3" x14ac:dyDescent="0.35">
      <c r="A2505" s="16">
        <v>41388</v>
      </c>
      <c r="B2505" s="9">
        <v>176</v>
      </c>
      <c r="C2505">
        <f t="shared" si="46"/>
        <v>2013</v>
      </c>
    </row>
    <row r="2506" spans="1:3" x14ac:dyDescent="0.35">
      <c r="A2506" s="16">
        <v>41387</v>
      </c>
      <c r="B2506" s="9">
        <v>174</v>
      </c>
      <c r="C2506">
        <f t="shared" si="46"/>
        <v>2013</v>
      </c>
    </row>
    <row r="2507" spans="1:3" x14ac:dyDescent="0.35">
      <c r="A2507" s="16">
        <v>41386</v>
      </c>
      <c r="B2507" s="9">
        <v>174</v>
      </c>
      <c r="C2507">
        <f t="shared" si="46"/>
        <v>2013</v>
      </c>
    </row>
    <row r="2508" spans="1:3" x14ac:dyDescent="0.35">
      <c r="A2508" s="16">
        <v>41383</v>
      </c>
      <c r="B2508" s="9">
        <v>176</v>
      </c>
      <c r="C2508">
        <f t="shared" si="46"/>
        <v>2013</v>
      </c>
    </row>
    <row r="2509" spans="1:3" x14ac:dyDescent="0.35">
      <c r="A2509" s="16">
        <v>41382</v>
      </c>
      <c r="B2509" s="9">
        <v>178</v>
      </c>
      <c r="C2509">
        <f t="shared" si="46"/>
        <v>2013</v>
      </c>
    </row>
    <row r="2510" spans="1:3" x14ac:dyDescent="0.35">
      <c r="A2510" s="16">
        <v>41381</v>
      </c>
      <c r="B2510" s="9">
        <v>173</v>
      </c>
      <c r="C2510">
        <f t="shared" si="46"/>
        <v>2013</v>
      </c>
    </row>
    <row r="2511" spans="1:3" x14ac:dyDescent="0.35">
      <c r="A2511" s="16">
        <v>41380</v>
      </c>
      <c r="B2511" s="9">
        <v>172</v>
      </c>
      <c r="C2511">
        <f t="shared" si="46"/>
        <v>2013</v>
      </c>
    </row>
    <row r="2512" spans="1:3" x14ac:dyDescent="0.35">
      <c r="A2512" s="16">
        <v>41379</v>
      </c>
      <c r="B2512" s="9">
        <v>174</v>
      </c>
      <c r="C2512">
        <f t="shared" si="46"/>
        <v>2013</v>
      </c>
    </row>
    <row r="2513" spans="1:3" x14ac:dyDescent="0.35">
      <c r="A2513" s="16">
        <v>41376</v>
      </c>
      <c r="B2513" s="9">
        <v>168</v>
      </c>
      <c r="C2513">
        <f t="shared" si="46"/>
        <v>2013</v>
      </c>
    </row>
    <row r="2514" spans="1:3" x14ac:dyDescent="0.35">
      <c r="A2514" s="16">
        <v>41375</v>
      </c>
      <c r="B2514" s="9">
        <v>165</v>
      </c>
      <c r="C2514">
        <f t="shared" si="46"/>
        <v>2013</v>
      </c>
    </row>
    <row r="2515" spans="1:3" x14ac:dyDescent="0.35">
      <c r="A2515" s="16">
        <v>41374</v>
      </c>
      <c r="B2515" s="9">
        <v>169</v>
      </c>
      <c r="C2515">
        <f t="shared" si="46"/>
        <v>2013</v>
      </c>
    </row>
    <row r="2516" spans="1:3" x14ac:dyDescent="0.35">
      <c r="A2516" s="16">
        <v>41373</v>
      </c>
      <c r="B2516" s="9">
        <v>174</v>
      </c>
      <c r="C2516">
        <f t="shared" si="46"/>
        <v>2013</v>
      </c>
    </row>
    <row r="2517" spans="1:3" x14ac:dyDescent="0.35">
      <c r="A2517" s="16">
        <v>41372</v>
      </c>
      <c r="B2517" s="9">
        <v>178</v>
      </c>
      <c r="C2517">
        <f t="shared" si="46"/>
        <v>2013</v>
      </c>
    </row>
    <row r="2518" spans="1:3" x14ac:dyDescent="0.35">
      <c r="A2518" s="16">
        <v>41369</v>
      </c>
      <c r="B2518" s="9">
        <v>181</v>
      </c>
      <c r="C2518">
        <f t="shared" si="46"/>
        <v>2013</v>
      </c>
    </row>
    <row r="2519" spans="1:3" x14ac:dyDescent="0.35">
      <c r="A2519" s="16">
        <v>41368</v>
      </c>
      <c r="B2519" s="9">
        <v>181</v>
      </c>
      <c r="C2519">
        <f t="shared" si="46"/>
        <v>2013</v>
      </c>
    </row>
    <row r="2520" spans="1:3" x14ac:dyDescent="0.35">
      <c r="A2520" s="16">
        <v>41367</v>
      </c>
      <c r="B2520" s="9">
        <v>185</v>
      </c>
      <c r="C2520">
        <f t="shared" si="46"/>
        <v>2013</v>
      </c>
    </row>
    <row r="2521" spans="1:3" x14ac:dyDescent="0.35">
      <c r="A2521" s="16">
        <v>41366</v>
      </c>
      <c r="B2521" s="9">
        <v>188</v>
      </c>
      <c r="C2521">
        <f t="shared" si="46"/>
        <v>2013</v>
      </c>
    </row>
    <row r="2522" spans="1:3" x14ac:dyDescent="0.35">
      <c r="A2522" s="16">
        <v>41365</v>
      </c>
      <c r="B2522" s="9">
        <v>191</v>
      </c>
      <c r="C2522">
        <f t="shared" si="46"/>
        <v>2013</v>
      </c>
    </row>
    <row r="2523" spans="1:3" x14ac:dyDescent="0.35">
      <c r="A2523" s="16">
        <v>41361</v>
      </c>
      <c r="B2523" s="9">
        <v>189</v>
      </c>
      <c r="C2523">
        <f t="shared" si="46"/>
        <v>2013</v>
      </c>
    </row>
    <row r="2524" spans="1:3" x14ac:dyDescent="0.35">
      <c r="A2524" s="16">
        <v>41360</v>
      </c>
      <c r="B2524" s="9">
        <v>191</v>
      </c>
      <c r="C2524">
        <f t="shared" si="46"/>
        <v>2013</v>
      </c>
    </row>
    <row r="2525" spans="1:3" x14ac:dyDescent="0.35">
      <c r="A2525" s="16">
        <v>41359</v>
      </c>
      <c r="B2525" s="9">
        <v>191</v>
      </c>
      <c r="C2525">
        <f t="shared" si="46"/>
        <v>2013</v>
      </c>
    </row>
    <row r="2526" spans="1:3" x14ac:dyDescent="0.35">
      <c r="A2526" s="16">
        <v>41358</v>
      </c>
      <c r="B2526" s="9">
        <v>191</v>
      </c>
      <c r="C2526">
        <f t="shared" si="46"/>
        <v>2013</v>
      </c>
    </row>
    <row r="2527" spans="1:3" x14ac:dyDescent="0.35">
      <c r="A2527" s="16">
        <v>41355</v>
      </c>
      <c r="B2527" s="9">
        <v>194</v>
      </c>
      <c r="C2527">
        <f t="shared" si="46"/>
        <v>2013</v>
      </c>
    </row>
    <row r="2528" spans="1:3" x14ac:dyDescent="0.35">
      <c r="A2528" s="16">
        <v>41354</v>
      </c>
      <c r="B2528" s="9">
        <v>189</v>
      </c>
      <c r="C2528">
        <f t="shared" si="46"/>
        <v>2013</v>
      </c>
    </row>
    <row r="2529" spans="1:3" x14ac:dyDescent="0.35">
      <c r="A2529" s="16">
        <v>41353</v>
      </c>
      <c r="B2529" s="9">
        <v>187</v>
      </c>
      <c r="C2529">
        <f t="shared" si="46"/>
        <v>2013</v>
      </c>
    </row>
    <row r="2530" spans="1:3" x14ac:dyDescent="0.35">
      <c r="A2530" s="16">
        <v>41352</v>
      </c>
      <c r="B2530" s="9">
        <v>188</v>
      </c>
      <c r="C2530">
        <f t="shared" si="46"/>
        <v>2013</v>
      </c>
    </row>
    <row r="2531" spans="1:3" x14ac:dyDescent="0.35">
      <c r="A2531" s="16">
        <v>41351</v>
      </c>
      <c r="B2531" s="9">
        <v>179</v>
      </c>
      <c r="C2531">
        <f t="shared" si="46"/>
        <v>2013</v>
      </c>
    </row>
    <row r="2532" spans="1:3" x14ac:dyDescent="0.35">
      <c r="A2532" s="16">
        <v>41348</v>
      </c>
      <c r="B2532" s="9">
        <v>179</v>
      </c>
      <c r="C2532">
        <f t="shared" si="46"/>
        <v>2013</v>
      </c>
    </row>
    <row r="2533" spans="1:3" x14ac:dyDescent="0.35">
      <c r="A2533" s="16">
        <v>41347</v>
      </c>
      <c r="B2533" s="9">
        <v>174</v>
      </c>
      <c r="C2533">
        <f t="shared" si="46"/>
        <v>2013</v>
      </c>
    </row>
    <row r="2534" spans="1:3" x14ac:dyDescent="0.35">
      <c r="A2534" s="16">
        <v>41346</v>
      </c>
      <c r="B2534" s="9">
        <v>177</v>
      </c>
      <c r="C2534">
        <f t="shared" si="46"/>
        <v>2013</v>
      </c>
    </row>
    <row r="2535" spans="1:3" x14ac:dyDescent="0.35">
      <c r="A2535" s="16">
        <v>41345</v>
      </c>
      <c r="B2535" s="9">
        <v>169</v>
      </c>
      <c r="C2535">
        <f t="shared" si="46"/>
        <v>2013</v>
      </c>
    </row>
    <row r="2536" spans="1:3" x14ac:dyDescent="0.35">
      <c r="A2536" s="16">
        <v>41344</v>
      </c>
      <c r="B2536" s="9">
        <v>170</v>
      </c>
      <c r="C2536">
        <f t="shared" si="46"/>
        <v>2013</v>
      </c>
    </row>
    <row r="2537" spans="1:3" x14ac:dyDescent="0.35">
      <c r="A2537" s="16">
        <v>41341</v>
      </c>
      <c r="B2537" s="9">
        <v>167</v>
      </c>
      <c r="C2537">
        <f t="shared" si="46"/>
        <v>2013</v>
      </c>
    </row>
    <row r="2538" spans="1:3" x14ac:dyDescent="0.35">
      <c r="A2538" s="16">
        <v>41340</v>
      </c>
      <c r="B2538" s="9">
        <v>166</v>
      </c>
      <c r="C2538">
        <f t="shared" si="46"/>
        <v>2013</v>
      </c>
    </row>
    <row r="2539" spans="1:3" x14ac:dyDescent="0.35">
      <c r="A2539" s="16">
        <v>41339</v>
      </c>
      <c r="B2539" s="9">
        <v>167</v>
      </c>
      <c r="C2539">
        <f t="shared" si="46"/>
        <v>2013</v>
      </c>
    </row>
    <row r="2540" spans="1:3" x14ac:dyDescent="0.35">
      <c r="A2540" s="16">
        <v>41338</v>
      </c>
      <c r="B2540" s="9">
        <v>171</v>
      </c>
      <c r="C2540">
        <f t="shared" si="46"/>
        <v>2013</v>
      </c>
    </row>
    <row r="2541" spans="1:3" x14ac:dyDescent="0.35">
      <c r="A2541" s="16">
        <v>41337</v>
      </c>
      <c r="B2541" s="9">
        <v>178</v>
      </c>
      <c r="C2541">
        <f t="shared" si="46"/>
        <v>2013</v>
      </c>
    </row>
    <row r="2542" spans="1:3" x14ac:dyDescent="0.35">
      <c r="A2542" s="16">
        <v>41334</v>
      </c>
      <c r="B2542" s="9">
        <v>182</v>
      </c>
      <c r="C2542">
        <f t="shared" si="46"/>
        <v>2013</v>
      </c>
    </row>
    <row r="2543" spans="1:3" x14ac:dyDescent="0.35">
      <c r="A2543" s="16">
        <v>41333</v>
      </c>
      <c r="B2543" s="9">
        <v>178</v>
      </c>
      <c r="C2543">
        <f t="shared" si="46"/>
        <v>2013</v>
      </c>
    </row>
    <row r="2544" spans="1:3" x14ac:dyDescent="0.35">
      <c r="A2544" s="16">
        <v>41332</v>
      </c>
      <c r="B2544" s="9">
        <v>173</v>
      </c>
      <c r="C2544">
        <f t="shared" si="46"/>
        <v>2013</v>
      </c>
    </row>
    <row r="2545" spans="1:3" x14ac:dyDescent="0.35">
      <c r="A2545" s="16">
        <v>41331</v>
      </c>
      <c r="B2545" s="9">
        <v>176</v>
      </c>
      <c r="C2545">
        <f t="shared" si="46"/>
        <v>2013</v>
      </c>
    </row>
    <row r="2546" spans="1:3" x14ac:dyDescent="0.35">
      <c r="A2546" s="16">
        <v>41330</v>
      </c>
      <c r="B2546" s="9">
        <v>173</v>
      </c>
      <c r="C2546">
        <f t="shared" si="46"/>
        <v>2013</v>
      </c>
    </row>
    <row r="2547" spans="1:3" x14ac:dyDescent="0.35">
      <c r="A2547" s="16">
        <v>41327</v>
      </c>
      <c r="B2547" s="9">
        <v>171</v>
      </c>
      <c r="C2547">
        <f t="shared" si="46"/>
        <v>2013</v>
      </c>
    </row>
    <row r="2548" spans="1:3" x14ac:dyDescent="0.35">
      <c r="A2548" s="16">
        <v>41326</v>
      </c>
      <c r="B2548" s="9">
        <v>171</v>
      </c>
      <c r="C2548">
        <f t="shared" si="46"/>
        <v>2013</v>
      </c>
    </row>
    <row r="2549" spans="1:3" x14ac:dyDescent="0.35">
      <c r="A2549" s="16">
        <v>41325</v>
      </c>
      <c r="B2549" s="9">
        <v>169</v>
      </c>
      <c r="C2549">
        <f t="shared" si="46"/>
        <v>2013</v>
      </c>
    </row>
    <row r="2550" spans="1:3" x14ac:dyDescent="0.35">
      <c r="A2550" s="16">
        <v>41324</v>
      </c>
      <c r="B2550" s="9">
        <v>158</v>
      </c>
      <c r="C2550">
        <f t="shared" si="46"/>
        <v>2013</v>
      </c>
    </row>
    <row r="2551" spans="1:3" x14ac:dyDescent="0.35">
      <c r="A2551" s="16">
        <v>41323</v>
      </c>
      <c r="B2551" s="9">
        <v>158</v>
      </c>
      <c r="C2551">
        <f t="shared" si="46"/>
        <v>2013</v>
      </c>
    </row>
    <row r="2552" spans="1:3" x14ac:dyDescent="0.35">
      <c r="A2552" s="16">
        <v>41320</v>
      </c>
      <c r="B2552" s="9">
        <v>158</v>
      </c>
      <c r="C2552">
        <f t="shared" si="46"/>
        <v>2013</v>
      </c>
    </row>
    <row r="2553" spans="1:3" x14ac:dyDescent="0.35">
      <c r="A2553" s="16">
        <v>41319</v>
      </c>
      <c r="B2553" s="9">
        <v>156</v>
      </c>
      <c r="C2553">
        <f t="shared" si="46"/>
        <v>2013</v>
      </c>
    </row>
    <row r="2554" spans="1:3" x14ac:dyDescent="0.35">
      <c r="A2554" s="16">
        <v>41318</v>
      </c>
      <c r="B2554" s="9">
        <v>154</v>
      </c>
      <c r="C2554">
        <f t="shared" si="46"/>
        <v>2013</v>
      </c>
    </row>
    <row r="2555" spans="1:3" x14ac:dyDescent="0.35">
      <c r="A2555" s="16">
        <v>41317</v>
      </c>
      <c r="B2555" s="9">
        <v>156</v>
      </c>
      <c r="C2555">
        <f t="shared" si="46"/>
        <v>2013</v>
      </c>
    </row>
    <row r="2556" spans="1:3" x14ac:dyDescent="0.35">
      <c r="A2556" s="16">
        <v>41316</v>
      </c>
      <c r="B2556" s="9">
        <v>156</v>
      </c>
      <c r="C2556">
        <f t="shared" si="46"/>
        <v>2013</v>
      </c>
    </row>
    <row r="2557" spans="1:3" x14ac:dyDescent="0.35">
      <c r="A2557" s="16">
        <v>41313</v>
      </c>
      <c r="B2557" s="9">
        <v>155</v>
      </c>
      <c r="C2557">
        <f t="shared" si="46"/>
        <v>2013</v>
      </c>
    </row>
    <row r="2558" spans="1:3" x14ac:dyDescent="0.35">
      <c r="A2558" s="16">
        <v>41312</v>
      </c>
      <c r="B2558" s="9">
        <v>156</v>
      </c>
      <c r="C2558">
        <f t="shared" si="46"/>
        <v>2013</v>
      </c>
    </row>
    <row r="2559" spans="1:3" x14ac:dyDescent="0.35">
      <c r="A2559" s="16">
        <v>41311</v>
      </c>
      <c r="B2559" s="9">
        <v>156</v>
      </c>
      <c r="C2559">
        <f t="shared" si="46"/>
        <v>2013</v>
      </c>
    </row>
    <row r="2560" spans="1:3" x14ac:dyDescent="0.35">
      <c r="A2560" s="16">
        <v>41310</v>
      </c>
      <c r="B2560" s="9">
        <v>153</v>
      </c>
      <c r="C2560">
        <f t="shared" si="46"/>
        <v>2013</v>
      </c>
    </row>
    <row r="2561" spans="1:3" x14ac:dyDescent="0.35">
      <c r="A2561" s="16">
        <v>41309</v>
      </c>
      <c r="B2561" s="9">
        <v>155</v>
      </c>
      <c r="C2561">
        <f t="shared" si="46"/>
        <v>2013</v>
      </c>
    </row>
    <row r="2562" spans="1:3" x14ac:dyDescent="0.35">
      <c r="A2562" s="16">
        <v>41306</v>
      </c>
      <c r="B2562" s="9">
        <v>151</v>
      </c>
      <c r="C2562">
        <f t="shared" si="46"/>
        <v>2013</v>
      </c>
    </row>
    <row r="2563" spans="1:3" x14ac:dyDescent="0.35">
      <c r="A2563" s="16">
        <v>41305</v>
      </c>
      <c r="B2563" s="9">
        <v>155</v>
      </c>
      <c r="C2563">
        <f t="shared" ref="C2563:C2626" si="47">YEAR(A2563)</f>
        <v>2013</v>
      </c>
    </row>
    <row r="2564" spans="1:3" x14ac:dyDescent="0.35">
      <c r="A2564" s="16">
        <v>41304</v>
      </c>
      <c r="B2564" s="9">
        <v>153</v>
      </c>
      <c r="C2564">
        <f t="shared" si="47"/>
        <v>2013</v>
      </c>
    </row>
    <row r="2565" spans="1:3" x14ac:dyDescent="0.35">
      <c r="A2565" s="16">
        <v>41303</v>
      </c>
      <c r="B2565" s="9">
        <v>150</v>
      </c>
      <c r="C2565">
        <f t="shared" si="47"/>
        <v>2013</v>
      </c>
    </row>
    <row r="2566" spans="1:3" x14ac:dyDescent="0.35">
      <c r="A2566" s="16">
        <v>41302</v>
      </c>
      <c r="B2566" s="9">
        <v>148</v>
      </c>
      <c r="C2566">
        <f t="shared" si="47"/>
        <v>2013</v>
      </c>
    </row>
    <row r="2567" spans="1:3" x14ac:dyDescent="0.35">
      <c r="A2567" s="16">
        <v>41299</v>
      </c>
      <c r="B2567" s="9">
        <v>147</v>
      </c>
      <c r="C2567">
        <f t="shared" si="47"/>
        <v>2013</v>
      </c>
    </row>
    <row r="2568" spans="1:3" x14ac:dyDescent="0.35">
      <c r="A2568" s="16">
        <v>41298</v>
      </c>
      <c r="B2568" s="9">
        <v>151</v>
      </c>
      <c r="C2568">
        <f t="shared" si="47"/>
        <v>2013</v>
      </c>
    </row>
    <row r="2569" spans="1:3" x14ac:dyDescent="0.35">
      <c r="A2569" s="16">
        <v>41297</v>
      </c>
      <c r="B2569" s="9">
        <v>149</v>
      </c>
      <c r="C2569">
        <f t="shared" si="47"/>
        <v>2013</v>
      </c>
    </row>
    <row r="2570" spans="1:3" x14ac:dyDescent="0.35">
      <c r="A2570" s="16">
        <v>41296</v>
      </c>
      <c r="B2570" s="9">
        <v>148</v>
      </c>
      <c r="C2570">
        <f t="shared" si="47"/>
        <v>2013</v>
      </c>
    </row>
    <row r="2571" spans="1:3" x14ac:dyDescent="0.35">
      <c r="A2571" s="16">
        <v>41295</v>
      </c>
      <c r="B2571" s="9">
        <v>147</v>
      </c>
      <c r="C2571">
        <f t="shared" si="47"/>
        <v>2013</v>
      </c>
    </row>
    <row r="2572" spans="1:3" x14ac:dyDescent="0.35">
      <c r="A2572" s="16">
        <v>41292</v>
      </c>
      <c r="B2572" s="9">
        <v>147</v>
      </c>
      <c r="C2572">
        <f t="shared" si="47"/>
        <v>2013</v>
      </c>
    </row>
    <row r="2573" spans="1:3" x14ac:dyDescent="0.35">
      <c r="A2573" s="16">
        <v>41291</v>
      </c>
      <c r="B2573" s="9">
        <v>146</v>
      </c>
      <c r="C2573">
        <f t="shared" si="47"/>
        <v>2013</v>
      </c>
    </row>
    <row r="2574" spans="1:3" x14ac:dyDescent="0.35">
      <c r="A2574" s="16">
        <v>41290</v>
      </c>
      <c r="B2574" s="9">
        <v>148</v>
      </c>
      <c r="C2574">
        <f t="shared" si="47"/>
        <v>2013</v>
      </c>
    </row>
    <row r="2575" spans="1:3" x14ac:dyDescent="0.35">
      <c r="A2575" s="16">
        <v>41289</v>
      </c>
      <c r="B2575" s="9">
        <v>147</v>
      </c>
      <c r="C2575">
        <f t="shared" si="47"/>
        <v>2013</v>
      </c>
    </row>
    <row r="2576" spans="1:3" x14ac:dyDescent="0.35">
      <c r="A2576" s="16">
        <v>41288</v>
      </c>
      <c r="B2576" s="9">
        <v>143</v>
      </c>
      <c r="C2576">
        <f t="shared" si="47"/>
        <v>2013</v>
      </c>
    </row>
    <row r="2577" spans="1:3" x14ac:dyDescent="0.35">
      <c r="A2577" s="16">
        <v>41285</v>
      </c>
      <c r="B2577" s="9">
        <v>147</v>
      </c>
      <c r="C2577">
        <f t="shared" si="47"/>
        <v>2013</v>
      </c>
    </row>
    <row r="2578" spans="1:3" x14ac:dyDescent="0.35">
      <c r="A2578" s="16">
        <v>41284</v>
      </c>
      <c r="B2578" s="9">
        <v>146</v>
      </c>
      <c r="C2578">
        <f t="shared" si="47"/>
        <v>2013</v>
      </c>
    </row>
    <row r="2579" spans="1:3" x14ac:dyDescent="0.35">
      <c r="A2579" s="16">
        <v>41283</v>
      </c>
      <c r="B2579" s="9">
        <v>148</v>
      </c>
      <c r="C2579">
        <f t="shared" si="47"/>
        <v>2013</v>
      </c>
    </row>
    <row r="2580" spans="1:3" x14ac:dyDescent="0.35">
      <c r="A2580" s="16">
        <v>41282</v>
      </c>
      <c r="B2580" s="9">
        <v>146</v>
      </c>
      <c r="C2580">
        <f t="shared" si="47"/>
        <v>2013</v>
      </c>
    </row>
    <row r="2581" spans="1:3" x14ac:dyDescent="0.35">
      <c r="A2581" s="16">
        <v>41281</v>
      </c>
      <c r="B2581" s="9">
        <v>142</v>
      </c>
      <c r="C2581">
        <f t="shared" si="47"/>
        <v>2013</v>
      </c>
    </row>
    <row r="2582" spans="1:3" x14ac:dyDescent="0.35">
      <c r="A2582" s="16">
        <v>41278</v>
      </c>
      <c r="B2582" s="9">
        <v>137</v>
      </c>
      <c r="C2582">
        <f t="shared" si="47"/>
        <v>2013</v>
      </c>
    </row>
    <row r="2583" spans="1:3" x14ac:dyDescent="0.35">
      <c r="A2583" s="16">
        <v>41277</v>
      </c>
      <c r="B2583" s="9">
        <v>137</v>
      </c>
      <c r="C2583">
        <f t="shared" si="47"/>
        <v>2013</v>
      </c>
    </row>
    <row r="2584" spans="1:3" x14ac:dyDescent="0.35">
      <c r="A2584" s="16">
        <v>41276</v>
      </c>
      <c r="B2584" s="9">
        <v>136</v>
      </c>
      <c r="C2584">
        <f t="shared" si="47"/>
        <v>2013</v>
      </c>
    </row>
    <row r="2585" spans="1:3" x14ac:dyDescent="0.35">
      <c r="A2585" s="16">
        <v>41274</v>
      </c>
      <c r="B2585" s="9">
        <v>142</v>
      </c>
      <c r="C2585">
        <f t="shared" si="47"/>
        <v>2012</v>
      </c>
    </row>
    <row r="2586" spans="1:3" x14ac:dyDescent="0.35">
      <c r="A2586" s="16">
        <v>41271</v>
      </c>
      <c r="B2586" s="9">
        <v>148</v>
      </c>
      <c r="C2586">
        <f t="shared" si="47"/>
        <v>2012</v>
      </c>
    </row>
    <row r="2587" spans="1:3" x14ac:dyDescent="0.35">
      <c r="A2587" s="16">
        <v>41270</v>
      </c>
      <c r="B2587" s="9">
        <v>146</v>
      </c>
      <c r="C2587">
        <f t="shared" si="47"/>
        <v>2012</v>
      </c>
    </row>
    <row r="2588" spans="1:3" x14ac:dyDescent="0.35">
      <c r="A2588" s="16">
        <v>41269</v>
      </c>
      <c r="B2588" s="9">
        <v>142</v>
      </c>
      <c r="C2588">
        <f t="shared" si="47"/>
        <v>2012</v>
      </c>
    </row>
    <row r="2589" spans="1:3" x14ac:dyDescent="0.35">
      <c r="A2589" s="16">
        <v>41267</v>
      </c>
      <c r="B2589" s="9">
        <v>141</v>
      </c>
      <c r="C2589">
        <f t="shared" si="47"/>
        <v>2012</v>
      </c>
    </row>
    <row r="2590" spans="1:3" x14ac:dyDescent="0.35">
      <c r="A2590" s="16">
        <v>41264</v>
      </c>
      <c r="B2590" s="9">
        <v>143</v>
      </c>
      <c r="C2590">
        <f t="shared" si="47"/>
        <v>2012</v>
      </c>
    </row>
    <row r="2591" spans="1:3" x14ac:dyDescent="0.35">
      <c r="A2591" s="16">
        <v>41263</v>
      </c>
      <c r="B2591" s="9">
        <v>138</v>
      </c>
      <c r="C2591">
        <f t="shared" si="47"/>
        <v>2012</v>
      </c>
    </row>
    <row r="2592" spans="1:3" x14ac:dyDescent="0.35">
      <c r="A2592" s="16">
        <v>41262</v>
      </c>
      <c r="B2592" s="9">
        <v>137</v>
      </c>
      <c r="C2592">
        <f t="shared" si="47"/>
        <v>2012</v>
      </c>
    </row>
    <row r="2593" spans="1:3" x14ac:dyDescent="0.35">
      <c r="A2593" s="16">
        <v>41261</v>
      </c>
      <c r="B2593" s="9">
        <v>138</v>
      </c>
      <c r="C2593">
        <f t="shared" si="47"/>
        <v>2012</v>
      </c>
    </row>
    <row r="2594" spans="1:3" x14ac:dyDescent="0.35">
      <c r="A2594" s="16">
        <v>41260</v>
      </c>
      <c r="B2594" s="9">
        <v>140</v>
      </c>
      <c r="C2594">
        <f t="shared" si="47"/>
        <v>2012</v>
      </c>
    </row>
    <row r="2595" spans="1:3" x14ac:dyDescent="0.35">
      <c r="A2595" s="16">
        <v>41257</v>
      </c>
      <c r="B2595" s="9">
        <v>146</v>
      </c>
      <c r="C2595">
        <f t="shared" si="47"/>
        <v>2012</v>
      </c>
    </row>
    <row r="2596" spans="1:3" x14ac:dyDescent="0.35">
      <c r="A2596" s="16">
        <v>41256</v>
      </c>
      <c r="B2596" s="9">
        <v>147</v>
      </c>
      <c r="C2596">
        <f t="shared" si="47"/>
        <v>2012</v>
      </c>
    </row>
    <row r="2597" spans="1:3" x14ac:dyDescent="0.35">
      <c r="A2597" s="16">
        <v>41255</v>
      </c>
      <c r="B2597" s="9">
        <v>148</v>
      </c>
      <c r="C2597">
        <f t="shared" si="47"/>
        <v>2012</v>
      </c>
    </row>
    <row r="2598" spans="1:3" x14ac:dyDescent="0.35">
      <c r="A2598" s="16">
        <v>41254</v>
      </c>
      <c r="B2598" s="9">
        <v>153</v>
      </c>
      <c r="C2598">
        <f t="shared" si="47"/>
        <v>2012</v>
      </c>
    </row>
    <row r="2599" spans="1:3" x14ac:dyDescent="0.35">
      <c r="A2599" s="16">
        <v>41253</v>
      </c>
      <c r="B2599" s="9">
        <v>155</v>
      </c>
      <c r="C2599">
        <f t="shared" si="47"/>
        <v>2012</v>
      </c>
    </row>
    <row r="2600" spans="1:3" x14ac:dyDescent="0.35">
      <c r="A2600" s="16">
        <v>41250</v>
      </c>
      <c r="B2600" s="9">
        <v>154</v>
      </c>
      <c r="C2600">
        <f t="shared" si="47"/>
        <v>2012</v>
      </c>
    </row>
    <row r="2601" spans="1:3" x14ac:dyDescent="0.35">
      <c r="A2601" s="16">
        <v>41249</v>
      </c>
      <c r="B2601" s="9">
        <v>158</v>
      </c>
      <c r="C2601">
        <f t="shared" si="47"/>
        <v>2012</v>
      </c>
    </row>
    <row r="2602" spans="1:3" x14ac:dyDescent="0.35">
      <c r="A2602" s="16">
        <v>41248</v>
      </c>
      <c r="B2602" s="9">
        <v>156</v>
      </c>
      <c r="C2602">
        <f t="shared" si="47"/>
        <v>2012</v>
      </c>
    </row>
    <row r="2603" spans="1:3" x14ac:dyDescent="0.35">
      <c r="A2603" s="16">
        <v>41247</v>
      </c>
      <c r="B2603" s="9">
        <v>156</v>
      </c>
      <c r="C2603">
        <f t="shared" si="47"/>
        <v>2012</v>
      </c>
    </row>
    <row r="2604" spans="1:3" x14ac:dyDescent="0.35">
      <c r="A2604" s="16">
        <v>41246</v>
      </c>
      <c r="B2604" s="9">
        <v>155</v>
      </c>
      <c r="C2604">
        <f t="shared" si="47"/>
        <v>2012</v>
      </c>
    </row>
    <row r="2605" spans="1:3" x14ac:dyDescent="0.35">
      <c r="A2605" s="16">
        <v>41243</v>
      </c>
      <c r="B2605" s="9">
        <v>153</v>
      </c>
      <c r="C2605">
        <f t="shared" si="47"/>
        <v>2012</v>
      </c>
    </row>
    <row r="2606" spans="1:3" x14ac:dyDescent="0.35">
      <c r="A2606" s="16">
        <v>41242</v>
      </c>
      <c r="B2606" s="9">
        <v>152</v>
      </c>
      <c r="C2606">
        <f t="shared" si="47"/>
        <v>2012</v>
      </c>
    </row>
    <row r="2607" spans="1:3" x14ac:dyDescent="0.35">
      <c r="A2607" s="16">
        <v>41241</v>
      </c>
      <c r="B2607" s="9">
        <v>155</v>
      </c>
      <c r="C2607">
        <f t="shared" si="47"/>
        <v>2012</v>
      </c>
    </row>
    <row r="2608" spans="1:3" x14ac:dyDescent="0.35">
      <c r="A2608" s="16">
        <v>41240</v>
      </c>
      <c r="B2608" s="9">
        <v>154</v>
      </c>
      <c r="C2608">
        <f t="shared" si="47"/>
        <v>2012</v>
      </c>
    </row>
    <row r="2609" spans="1:3" x14ac:dyDescent="0.35">
      <c r="A2609" s="16">
        <v>41239</v>
      </c>
      <c r="B2609" s="9">
        <v>155</v>
      </c>
      <c r="C2609">
        <f t="shared" si="47"/>
        <v>2012</v>
      </c>
    </row>
    <row r="2610" spans="1:3" x14ac:dyDescent="0.35">
      <c r="A2610" s="16">
        <v>41236</v>
      </c>
      <c r="B2610" s="9">
        <v>154</v>
      </c>
      <c r="C2610">
        <f t="shared" si="47"/>
        <v>2012</v>
      </c>
    </row>
    <row r="2611" spans="1:3" x14ac:dyDescent="0.35">
      <c r="A2611" s="16">
        <v>41235</v>
      </c>
      <c r="B2611" s="9">
        <v>154</v>
      </c>
      <c r="C2611">
        <f t="shared" si="47"/>
        <v>2012</v>
      </c>
    </row>
    <row r="2612" spans="1:3" x14ac:dyDescent="0.35">
      <c r="A2612" s="16">
        <v>41234</v>
      </c>
      <c r="B2612" s="9">
        <v>154</v>
      </c>
      <c r="C2612">
        <f t="shared" si="47"/>
        <v>2012</v>
      </c>
    </row>
    <row r="2613" spans="1:3" x14ac:dyDescent="0.35">
      <c r="A2613" s="16">
        <v>41233</v>
      </c>
      <c r="B2613" s="9">
        <v>158</v>
      </c>
      <c r="C2613">
        <f t="shared" si="47"/>
        <v>2012</v>
      </c>
    </row>
    <row r="2614" spans="1:3" x14ac:dyDescent="0.35">
      <c r="A2614" s="16">
        <v>41232</v>
      </c>
      <c r="B2614" s="9">
        <v>162</v>
      </c>
      <c r="C2614">
        <f t="shared" si="47"/>
        <v>2012</v>
      </c>
    </row>
    <row r="2615" spans="1:3" x14ac:dyDescent="0.35">
      <c r="A2615" s="16">
        <v>41229</v>
      </c>
      <c r="B2615" s="9">
        <v>165</v>
      </c>
      <c r="C2615">
        <f t="shared" si="47"/>
        <v>2012</v>
      </c>
    </row>
    <row r="2616" spans="1:3" x14ac:dyDescent="0.35">
      <c r="A2616" s="16">
        <v>41228</v>
      </c>
      <c r="B2616" s="9">
        <v>166</v>
      </c>
      <c r="C2616">
        <f t="shared" si="47"/>
        <v>2012</v>
      </c>
    </row>
    <row r="2617" spans="1:3" x14ac:dyDescent="0.35">
      <c r="A2617" s="16">
        <v>41227</v>
      </c>
      <c r="B2617" s="9">
        <v>164</v>
      </c>
      <c r="C2617">
        <f t="shared" si="47"/>
        <v>2012</v>
      </c>
    </row>
    <row r="2618" spans="1:3" x14ac:dyDescent="0.35">
      <c r="A2618" s="16">
        <v>41226</v>
      </c>
      <c r="B2618" s="9">
        <v>160</v>
      </c>
      <c r="C2618">
        <f t="shared" si="47"/>
        <v>2012</v>
      </c>
    </row>
    <row r="2619" spans="1:3" x14ac:dyDescent="0.35">
      <c r="A2619" s="16">
        <v>41225</v>
      </c>
      <c r="B2619" s="9">
        <v>154</v>
      </c>
      <c r="C2619">
        <f t="shared" si="47"/>
        <v>2012</v>
      </c>
    </row>
    <row r="2620" spans="1:3" x14ac:dyDescent="0.35">
      <c r="A2620" s="16">
        <v>41222</v>
      </c>
      <c r="B2620" s="9">
        <v>154</v>
      </c>
      <c r="C2620">
        <f t="shared" si="47"/>
        <v>2012</v>
      </c>
    </row>
    <row r="2621" spans="1:3" x14ac:dyDescent="0.35">
      <c r="A2621" s="16">
        <v>41221</v>
      </c>
      <c r="B2621" s="9">
        <v>152</v>
      </c>
      <c r="C2621">
        <f t="shared" si="47"/>
        <v>2012</v>
      </c>
    </row>
    <row r="2622" spans="1:3" x14ac:dyDescent="0.35">
      <c r="A2622" s="16">
        <v>41220</v>
      </c>
      <c r="B2622" s="9">
        <v>147</v>
      </c>
      <c r="C2622">
        <f t="shared" si="47"/>
        <v>2012</v>
      </c>
    </row>
    <row r="2623" spans="1:3" x14ac:dyDescent="0.35">
      <c r="A2623" s="16">
        <v>41219</v>
      </c>
      <c r="B2623" s="9">
        <v>143</v>
      </c>
      <c r="C2623">
        <f t="shared" si="47"/>
        <v>2012</v>
      </c>
    </row>
    <row r="2624" spans="1:3" x14ac:dyDescent="0.35">
      <c r="A2624" s="16">
        <v>41218</v>
      </c>
      <c r="B2624" s="9">
        <v>147</v>
      </c>
      <c r="C2624">
        <f t="shared" si="47"/>
        <v>2012</v>
      </c>
    </row>
    <row r="2625" spans="1:3" x14ac:dyDescent="0.35">
      <c r="A2625" s="16">
        <v>41215</v>
      </c>
      <c r="B2625" s="9">
        <v>153</v>
      </c>
      <c r="C2625">
        <f t="shared" si="47"/>
        <v>2012</v>
      </c>
    </row>
    <row r="2626" spans="1:3" x14ac:dyDescent="0.35">
      <c r="A2626" s="16">
        <v>41214</v>
      </c>
      <c r="B2626" s="9">
        <v>152</v>
      </c>
      <c r="C2626">
        <f t="shared" si="47"/>
        <v>2012</v>
      </c>
    </row>
    <row r="2627" spans="1:3" x14ac:dyDescent="0.35">
      <c r="A2627" s="16">
        <v>41213</v>
      </c>
      <c r="B2627" s="9">
        <v>158</v>
      </c>
      <c r="C2627">
        <f t="shared" ref="C2627:C2690" si="48">YEAR(A2627)</f>
        <v>2012</v>
      </c>
    </row>
    <row r="2628" spans="1:3" x14ac:dyDescent="0.35">
      <c r="A2628" s="16">
        <v>41212</v>
      </c>
      <c r="B2628" s="9">
        <v>157</v>
      </c>
      <c r="C2628">
        <f t="shared" si="48"/>
        <v>2012</v>
      </c>
    </row>
    <row r="2629" spans="1:3" x14ac:dyDescent="0.35">
      <c r="A2629" s="16">
        <v>41211</v>
      </c>
      <c r="B2629" s="9">
        <v>157</v>
      </c>
      <c r="C2629">
        <f t="shared" si="48"/>
        <v>2012</v>
      </c>
    </row>
    <row r="2630" spans="1:3" x14ac:dyDescent="0.35">
      <c r="A2630" s="16">
        <v>41208</v>
      </c>
      <c r="B2630" s="9">
        <v>154</v>
      </c>
      <c r="C2630">
        <f t="shared" si="48"/>
        <v>2012</v>
      </c>
    </row>
    <row r="2631" spans="1:3" x14ac:dyDescent="0.35">
      <c r="A2631" s="16">
        <v>41207</v>
      </c>
      <c r="B2631" s="9">
        <v>144</v>
      </c>
      <c r="C2631">
        <f t="shared" si="48"/>
        <v>2012</v>
      </c>
    </row>
    <row r="2632" spans="1:3" x14ac:dyDescent="0.35">
      <c r="A2632" s="16">
        <v>41206</v>
      </c>
      <c r="B2632" s="9">
        <v>145</v>
      </c>
      <c r="C2632">
        <f t="shared" si="48"/>
        <v>2012</v>
      </c>
    </row>
    <row r="2633" spans="1:3" x14ac:dyDescent="0.35">
      <c r="A2633" s="16">
        <v>41205</v>
      </c>
      <c r="B2633" s="9">
        <v>146</v>
      </c>
      <c r="C2633">
        <f t="shared" si="48"/>
        <v>2012</v>
      </c>
    </row>
    <row r="2634" spans="1:3" x14ac:dyDescent="0.35">
      <c r="A2634" s="16">
        <v>41204</v>
      </c>
      <c r="B2634" s="9">
        <v>145</v>
      </c>
      <c r="C2634">
        <f t="shared" si="48"/>
        <v>2012</v>
      </c>
    </row>
    <row r="2635" spans="1:3" x14ac:dyDescent="0.35">
      <c r="A2635" s="16">
        <v>41201</v>
      </c>
      <c r="B2635" s="9">
        <v>145</v>
      </c>
      <c r="C2635">
        <f t="shared" si="48"/>
        <v>2012</v>
      </c>
    </row>
    <row r="2636" spans="1:3" x14ac:dyDescent="0.35">
      <c r="A2636" s="16">
        <v>41200</v>
      </c>
      <c r="B2636" s="9">
        <v>137</v>
      </c>
      <c r="C2636">
        <f t="shared" si="48"/>
        <v>2012</v>
      </c>
    </row>
    <row r="2637" spans="1:3" x14ac:dyDescent="0.35">
      <c r="A2637" s="16">
        <v>41199</v>
      </c>
      <c r="B2637" s="9">
        <v>140</v>
      </c>
      <c r="C2637">
        <f t="shared" si="48"/>
        <v>2012</v>
      </c>
    </row>
    <row r="2638" spans="1:3" x14ac:dyDescent="0.35">
      <c r="A2638" s="16">
        <v>41198</v>
      </c>
      <c r="B2638" s="9">
        <v>146</v>
      </c>
      <c r="C2638">
        <f t="shared" si="48"/>
        <v>2012</v>
      </c>
    </row>
    <row r="2639" spans="1:3" x14ac:dyDescent="0.35">
      <c r="A2639" s="16">
        <v>41197</v>
      </c>
      <c r="B2639" s="9">
        <v>151</v>
      </c>
      <c r="C2639">
        <f t="shared" si="48"/>
        <v>2012</v>
      </c>
    </row>
    <row r="2640" spans="1:3" x14ac:dyDescent="0.35">
      <c r="A2640" s="16">
        <v>41194</v>
      </c>
      <c r="B2640" s="9">
        <v>152</v>
      </c>
      <c r="C2640">
        <f t="shared" si="48"/>
        <v>2012</v>
      </c>
    </row>
    <row r="2641" spans="1:3" x14ac:dyDescent="0.35">
      <c r="A2641" s="16">
        <v>41193</v>
      </c>
      <c r="B2641" s="9">
        <v>155</v>
      </c>
      <c r="C2641">
        <f t="shared" si="48"/>
        <v>2012</v>
      </c>
    </row>
    <row r="2642" spans="1:3" x14ac:dyDescent="0.35">
      <c r="A2642" s="16">
        <v>41192</v>
      </c>
      <c r="B2642" s="9">
        <v>153</v>
      </c>
      <c r="C2642">
        <f t="shared" si="48"/>
        <v>2012</v>
      </c>
    </row>
    <row r="2643" spans="1:3" x14ac:dyDescent="0.35">
      <c r="A2643" s="16">
        <v>41191</v>
      </c>
      <c r="B2643" s="9">
        <v>149</v>
      </c>
      <c r="C2643">
        <f t="shared" si="48"/>
        <v>2012</v>
      </c>
    </row>
    <row r="2644" spans="1:3" x14ac:dyDescent="0.35">
      <c r="A2644" s="16">
        <v>41190</v>
      </c>
      <c r="B2644" s="9">
        <v>146</v>
      </c>
      <c r="C2644">
        <f t="shared" si="48"/>
        <v>2012</v>
      </c>
    </row>
    <row r="2645" spans="1:3" x14ac:dyDescent="0.35">
      <c r="A2645" s="16">
        <v>41187</v>
      </c>
      <c r="B2645" s="9">
        <v>146</v>
      </c>
      <c r="C2645">
        <f t="shared" si="48"/>
        <v>2012</v>
      </c>
    </row>
    <row r="2646" spans="1:3" x14ac:dyDescent="0.35">
      <c r="A2646" s="16">
        <v>41186</v>
      </c>
      <c r="B2646" s="9">
        <v>153</v>
      </c>
      <c r="C2646">
        <f t="shared" si="48"/>
        <v>2012</v>
      </c>
    </row>
    <row r="2647" spans="1:3" x14ac:dyDescent="0.35">
      <c r="A2647" s="16">
        <v>41185</v>
      </c>
      <c r="B2647" s="9">
        <v>157</v>
      </c>
      <c r="C2647">
        <f t="shared" si="48"/>
        <v>2012</v>
      </c>
    </row>
    <row r="2648" spans="1:3" x14ac:dyDescent="0.35">
      <c r="A2648" s="16">
        <v>41184</v>
      </c>
      <c r="B2648" s="9">
        <v>159</v>
      </c>
      <c r="C2648">
        <f t="shared" si="48"/>
        <v>2012</v>
      </c>
    </row>
    <row r="2649" spans="1:3" x14ac:dyDescent="0.35">
      <c r="A2649" s="16">
        <v>41183</v>
      </c>
      <c r="B2649" s="9">
        <v>162</v>
      </c>
      <c r="C2649">
        <f t="shared" si="48"/>
        <v>2012</v>
      </c>
    </row>
    <row r="2650" spans="1:3" x14ac:dyDescent="0.35">
      <c r="A2650" s="16">
        <v>41180</v>
      </c>
      <c r="B2650" s="9">
        <v>166</v>
      </c>
      <c r="C2650">
        <f t="shared" si="48"/>
        <v>2012</v>
      </c>
    </row>
    <row r="2651" spans="1:3" x14ac:dyDescent="0.35">
      <c r="A2651" s="16">
        <v>41179</v>
      </c>
      <c r="B2651" s="9">
        <v>166</v>
      </c>
      <c r="C2651">
        <f t="shared" si="48"/>
        <v>2012</v>
      </c>
    </row>
    <row r="2652" spans="1:3" x14ac:dyDescent="0.35">
      <c r="A2652" s="16">
        <v>41178</v>
      </c>
      <c r="B2652" s="9">
        <v>168</v>
      </c>
      <c r="C2652">
        <f t="shared" si="48"/>
        <v>2012</v>
      </c>
    </row>
    <row r="2653" spans="1:3" x14ac:dyDescent="0.35">
      <c r="A2653" s="16">
        <v>41177</v>
      </c>
      <c r="B2653" s="9">
        <v>164</v>
      </c>
      <c r="C2653">
        <f t="shared" si="48"/>
        <v>2012</v>
      </c>
    </row>
    <row r="2654" spans="1:3" x14ac:dyDescent="0.35">
      <c r="A2654" s="16">
        <v>41176</v>
      </c>
      <c r="B2654" s="9">
        <v>157</v>
      </c>
      <c r="C2654">
        <f t="shared" si="48"/>
        <v>2012</v>
      </c>
    </row>
    <row r="2655" spans="1:3" x14ac:dyDescent="0.35">
      <c r="A2655" s="16">
        <v>41173</v>
      </c>
      <c r="B2655" s="9">
        <v>154</v>
      </c>
      <c r="C2655">
        <f t="shared" si="48"/>
        <v>2012</v>
      </c>
    </row>
    <row r="2656" spans="1:3" x14ac:dyDescent="0.35">
      <c r="A2656" s="16">
        <v>41172</v>
      </c>
      <c r="B2656" s="9">
        <v>156</v>
      </c>
      <c r="C2656">
        <f t="shared" si="48"/>
        <v>2012</v>
      </c>
    </row>
    <row r="2657" spans="1:3" x14ac:dyDescent="0.35">
      <c r="A2657" s="16">
        <v>41171</v>
      </c>
      <c r="B2657" s="9">
        <v>156</v>
      </c>
      <c r="C2657">
        <f t="shared" si="48"/>
        <v>2012</v>
      </c>
    </row>
    <row r="2658" spans="1:3" x14ac:dyDescent="0.35">
      <c r="A2658" s="16">
        <v>41170</v>
      </c>
      <c r="B2658" s="9">
        <v>155</v>
      </c>
      <c r="C2658">
        <f t="shared" si="48"/>
        <v>2012</v>
      </c>
    </row>
    <row r="2659" spans="1:3" x14ac:dyDescent="0.35">
      <c r="A2659" s="16">
        <v>41169</v>
      </c>
      <c r="B2659" s="9">
        <v>153</v>
      </c>
      <c r="C2659">
        <f t="shared" si="48"/>
        <v>2012</v>
      </c>
    </row>
    <row r="2660" spans="1:3" x14ac:dyDescent="0.35">
      <c r="A2660" s="16">
        <v>41166</v>
      </c>
      <c r="B2660" s="9">
        <v>149</v>
      </c>
      <c r="C2660">
        <f t="shared" si="48"/>
        <v>2012</v>
      </c>
    </row>
    <row r="2661" spans="1:3" x14ac:dyDescent="0.35">
      <c r="A2661" s="16">
        <v>41165</v>
      </c>
      <c r="B2661" s="9">
        <v>157</v>
      </c>
      <c r="C2661">
        <f t="shared" si="48"/>
        <v>2012</v>
      </c>
    </row>
    <row r="2662" spans="1:3" x14ac:dyDescent="0.35">
      <c r="A2662" s="16">
        <v>41164</v>
      </c>
      <c r="B2662" s="9">
        <v>157</v>
      </c>
      <c r="C2662">
        <f t="shared" si="48"/>
        <v>2012</v>
      </c>
    </row>
    <row r="2663" spans="1:3" x14ac:dyDescent="0.35">
      <c r="A2663" s="16">
        <v>41163</v>
      </c>
      <c r="B2663" s="9">
        <v>163</v>
      </c>
      <c r="C2663">
        <f t="shared" si="48"/>
        <v>2012</v>
      </c>
    </row>
    <row r="2664" spans="1:3" x14ac:dyDescent="0.35">
      <c r="A2664" s="16">
        <v>41162</v>
      </c>
      <c r="B2664" s="9">
        <v>165</v>
      </c>
      <c r="C2664">
        <f t="shared" si="48"/>
        <v>2012</v>
      </c>
    </row>
    <row r="2665" spans="1:3" x14ac:dyDescent="0.35">
      <c r="A2665" s="16">
        <v>41159</v>
      </c>
      <c r="B2665" s="9">
        <v>166</v>
      </c>
      <c r="C2665">
        <f t="shared" si="48"/>
        <v>2012</v>
      </c>
    </row>
    <row r="2666" spans="1:3" x14ac:dyDescent="0.35">
      <c r="A2666" s="16">
        <v>41158</v>
      </c>
      <c r="B2666" s="9">
        <v>165</v>
      </c>
      <c r="C2666">
        <f t="shared" si="48"/>
        <v>2012</v>
      </c>
    </row>
    <row r="2667" spans="1:3" x14ac:dyDescent="0.35">
      <c r="A2667" s="16">
        <v>41157</v>
      </c>
      <c r="B2667" s="9">
        <v>176</v>
      </c>
      <c r="C2667">
        <f t="shared" si="48"/>
        <v>2012</v>
      </c>
    </row>
    <row r="2668" spans="1:3" x14ac:dyDescent="0.35">
      <c r="A2668" s="16">
        <v>41156</v>
      </c>
      <c r="B2668" s="9">
        <v>176</v>
      </c>
      <c r="C2668">
        <f t="shared" si="48"/>
        <v>2012</v>
      </c>
    </row>
    <row r="2669" spans="1:3" x14ac:dyDescent="0.35">
      <c r="A2669" s="16">
        <v>41155</v>
      </c>
      <c r="B2669" s="9">
        <v>181</v>
      </c>
      <c r="C2669">
        <f t="shared" si="48"/>
        <v>2012</v>
      </c>
    </row>
    <row r="2670" spans="1:3" x14ac:dyDescent="0.35">
      <c r="A2670" s="16">
        <v>41152</v>
      </c>
      <c r="B2670" s="9">
        <v>181</v>
      </c>
      <c r="C2670">
        <f t="shared" si="48"/>
        <v>2012</v>
      </c>
    </row>
    <row r="2671" spans="1:3" x14ac:dyDescent="0.35">
      <c r="A2671" s="16">
        <v>41151</v>
      </c>
      <c r="B2671" s="9">
        <v>175</v>
      </c>
      <c r="C2671">
        <f t="shared" si="48"/>
        <v>2012</v>
      </c>
    </row>
    <row r="2672" spans="1:3" x14ac:dyDescent="0.35">
      <c r="A2672" s="16">
        <v>41150</v>
      </c>
      <c r="B2672" s="9">
        <v>173</v>
      </c>
      <c r="C2672">
        <f t="shared" si="48"/>
        <v>2012</v>
      </c>
    </row>
    <row r="2673" spans="1:3" x14ac:dyDescent="0.35">
      <c r="A2673" s="16">
        <v>41149</v>
      </c>
      <c r="B2673" s="9">
        <v>173</v>
      </c>
      <c r="C2673">
        <f t="shared" si="48"/>
        <v>2012</v>
      </c>
    </row>
    <row r="2674" spans="1:3" x14ac:dyDescent="0.35">
      <c r="A2674" s="16">
        <v>41148</v>
      </c>
      <c r="B2674" s="9">
        <v>177</v>
      </c>
      <c r="C2674">
        <f t="shared" si="48"/>
        <v>2012</v>
      </c>
    </row>
    <row r="2675" spans="1:3" x14ac:dyDescent="0.35">
      <c r="A2675" s="16">
        <v>41145</v>
      </c>
      <c r="B2675" s="9">
        <v>174</v>
      </c>
      <c r="C2675">
        <f t="shared" si="48"/>
        <v>2012</v>
      </c>
    </row>
    <row r="2676" spans="1:3" x14ac:dyDescent="0.35">
      <c r="A2676" s="16">
        <v>41144</v>
      </c>
      <c r="B2676" s="9">
        <v>172</v>
      </c>
      <c r="C2676">
        <f t="shared" si="48"/>
        <v>2012</v>
      </c>
    </row>
    <row r="2677" spans="1:3" x14ac:dyDescent="0.35">
      <c r="A2677" s="16">
        <v>41143</v>
      </c>
      <c r="B2677" s="9">
        <v>169</v>
      </c>
      <c r="C2677">
        <f t="shared" si="48"/>
        <v>2012</v>
      </c>
    </row>
    <row r="2678" spans="1:3" x14ac:dyDescent="0.35">
      <c r="A2678" s="16">
        <v>41142</v>
      </c>
      <c r="B2678" s="9">
        <v>167</v>
      </c>
      <c r="C2678">
        <f t="shared" si="48"/>
        <v>2012</v>
      </c>
    </row>
    <row r="2679" spans="1:3" x14ac:dyDescent="0.35">
      <c r="A2679" s="16">
        <v>41141</v>
      </c>
      <c r="B2679" s="9">
        <v>168</v>
      </c>
      <c r="C2679">
        <f t="shared" si="48"/>
        <v>2012</v>
      </c>
    </row>
    <row r="2680" spans="1:3" x14ac:dyDescent="0.35">
      <c r="A2680" s="16">
        <v>41138</v>
      </c>
      <c r="B2680" s="9">
        <v>167</v>
      </c>
      <c r="C2680">
        <f t="shared" si="48"/>
        <v>2012</v>
      </c>
    </row>
    <row r="2681" spans="1:3" x14ac:dyDescent="0.35">
      <c r="A2681" s="16">
        <v>41137</v>
      </c>
      <c r="B2681" s="9">
        <v>166</v>
      </c>
      <c r="C2681">
        <f t="shared" si="48"/>
        <v>2012</v>
      </c>
    </row>
    <row r="2682" spans="1:3" x14ac:dyDescent="0.35">
      <c r="A2682" s="16">
        <v>41136</v>
      </c>
      <c r="B2682" s="9">
        <v>163</v>
      </c>
      <c r="C2682">
        <f t="shared" si="48"/>
        <v>2012</v>
      </c>
    </row>
    <row r="2683" spans="1:3" x14ac:dyDescent="0.35">
      <c r="A2683" s="16">
        <v>41135</v>
      </c>
      <c r="B2683" s="9">
        <v>166</v>
      </c>
      <c r="C2683">
        <f t="shared" si="48"/>
        <v>2012</v>
      </c>
    </row>
    <row r="2684" spans="1:3" x14ac:dyDescent="0.35">
      <c r="A2684" s="16">
        <v>41134</v>
      </c>
      <c r="B2684" s="9">
        <v>169</v>
      </c>
      <c r="C2684">
        <f t="shared" si="48"/>
        <v>2012</v>
      </c>
    </row>
    <row r="2685" spans="1:3" x14ac:dyDescent="0.35">
      <c r="A2685" s="16">
        <v>41131</v>
      </c>
      <c r="B2685" s="9">
        <v>169</v>
      </c>
      <c r="C2685">
        <f t="shared" si="48"/>
        <v>2012</v>
      </c>
    </row>
    <row r="2686" spans="1:3" x14ac:dyDescent="0.35">
      <c r="A2686" s="16">
        <v>41130</v>
      </c>
      <c r="B2686" s="9">
        <v>165</v>
      </c>
      <c r="C2686">
        <f t="shared" si="48"/>
        <v>2012</v>
      </c>
    </row>
    <row r="2687" spans="1:3" x14ac:dyDescent="0.35">
      <c r="A2687" s="16">
        <v>41129</v>
      </c>
      <c r="B2687" s="9">
        <v>164</v>
      </c>
      <c r="C2687">
        <f t="shared" si="48"/>
        <v>2012</v>
      </c>
    </row>
    <row r="2688" spans="1:3" x14ac:dyDescent="0.35">
      <c r="A2688" s="16">
        <v>41128</v>
      </c>
      <c r="B2688" s="9">
        <v>169</v>
      </c>
      <c r="C2688">
        <f t="shared" si="48"/>
        <v>2012</v>
      </c>
    </row>
    <row r="2689" spans="1:3" x14ac:dyDescent="0.35">
      <c r="A2689" s="16">
        <v>41127</v>
      </c>
      <c r="B2689" s="9">
        <v>173</v>
      </c>
      <c r="C2689">
        <f t="shared" si="48"/>
        <v>2012</v>
      </c>
    </row>
    <row r="2690" spans="1:3" x14ac:dyDescent="0.35">
      <c r="A2690" s="16">
        <v>41124</v>
      </c>
      <c r="B2690" s="9">
        <v>174</v>
      </c>
      <c r="C2690">
        <f t="shared" si="48"/>
        <v>2012</v>
      </c>
    </row>
    <row r="2691" spans="1:3" x14ac:dyDescent="0.35">
      <c r="A2691" s="16">
        <v>41123</v>
      </c>
      <c r="B2691" s="9">
        <v>182</v>
      </c>
      <c r="C2691">
        <f t="shared" ref="C2691:C2754" si="49">YEAR(A2691)</f>
        <v>2012</v>
      </c>
    </row>
    <row r="2692" spans="1:3" x14ac:dyDescent="0.35">
      <c r="A2692" s="16">
        <v>41122</v>
      </c>
      <c r="B2692" s="9">
        <v>175</v>
      </c>
      <c r="C2692">
        <f t="shared" si="49"/>
        <v>2012</v>
      </c>
    </row>
    <row r="2693" spans="1:3" x14ac:dyDescent="0.35">
      <c r="A2693" s="16">
        <v>41121</v>
      </c>
      <c r="B2693" s="9">
        <v>183</v>
      </c>
      <c r="C2693">
        <f t="shared" si="49"/>
        <v>2012</v>
      </c>
    </row>
    <row r="2694" spans="1:3" x14ac:dyDescent="0.35">
      <c r="A2694" s="16">
        <v>41120</v>
      </c>
      <c r="B2694" s="9">
        <v>182</v>
      </c>
      <c r="C2694">
        <f t="shared" si="49"/>
        <v>2012</v>
      </c>
    </row>
    <row r="2695" spans="1:3" x14ac:dyDescent="0.35">
      <c r="A2695" s="16">
        <v>41117</v>
      </c>
      <c r="B2695" s="9">
        <v>190</v>
      </c>
      <c r="C2695">
        <f t="shared" si="49"/>
        <v>2012</v>
      </c>
    </row>
    <row r="2696" spans="1:3" x14ac:dyDescent="0.35">
      <c r="A2696" s="16">
        <v>41116</v>
      </c>
      <c r="B2696" s="9">
        <v>207</v>
      </c>
      <c r="C2696">
        <f t="shared" si="49"/>
        <v>2012</v>
      </c>
    </row>
    <row r="2697" spans="1:3" x14ac:dyDescent="0.35">
      <c r="A2697" s="16">
        <v>41115</v>
      </c>
      <c r="B2697" s="9">
        <v>210</v>
      </c>
      <c r="C2697">
        <f t="shared" si="49"/>
        <v>2012</v>
      </c>
    </row>
    <row r="2698" spans="1:3" x14ac:dyDescent="0.35">
      <c r="A2698" s="16">
        <v>41114</v>
      </c>
      <c r="B2698" s="9">
        <v>211</v>
      </c>
      <c r="C2698">
        <f t="shared" si="49"/>
        <v>2012</v>
      </c>
    </row>
    <row r="2699" spans="1:3" x14ac:dyDescent="0.35">
      <c r="A2699" s="16">
        <v>41113</v>
      </c>
      <c r="B2699" s="9">
        <v>205</v>
      </c>
      <c r="C2699">
        <f t="shared" si="49"/>
        <v>2012</v>
      </c>
    </row>
    <row r="2700" spans="1:3" x14ac:dyDescent="0.35">
      <c r="A2700" s="16">
        <v>41110</v>
      </c>
      <c r="B2700" s="9">
        <v>198</v>
      </c>
      <c r="C2700">
        <f t="shared" si="49"/>
        <v>2012</v>
      </c>
    </row>
    <row r="2701" spans="1:3" x14ac:dyDescent="0.35">
      <c r="A2701" s="16">
        <v>41109</v>
      </c>
      <c r="B2701" s="9">
        <v>197</v>
      </c>
      <c r="C2701">
        <f t="shared" si="49"/>
        <v>2012</v>
      </c>
    </row>
    <row r="2702" spans="1:3" x14ac:dyDescent="0.35">
      <c r="A2702" s="16">
        <v>41108</v>
      </c>
      <c r="B2702" s="9">
        <v>199</v>
      </c>
      <c r="C2702">
        <f t="shared" si="49"/>
        <v>2012</v>
      </c>
    </row>
    <row r="2703" spans="1:3" x14ac:dyDescent="0.35">
      <c r="A2703" s="16">
        <v>41107</v>
      </c>
      <c r="B2703" s="9">
        <v>195</v>
      </c>
      <c r="C2703">
        <f t="shared" si="49"/>
        <v>2012</v>
      </c>
    </row>
    <row r="2704" spans="1:3" x14ac:dyDescent="0.35">
      <c r="A2704" s="16">
        <v>41106</v>
      </c>
      <c r="B2704" s="9">
        <v>200</v>
      </c>
      <c r="C2704">
        <f t="shared" si="49"/>
        <v>2012</v>
      </c>
    </row>
    <row r="2705" spans="1:3" x14ac:dyDescent="0.35">
      <c r="A2705" s="16">
        <v>41103</v>
      </c>
      <c r="B2705" s="9">
        <v>203</v>
      </c>
      <c r="C2705">
        <f t="shared" si="49"/>
        <v>2012</v>
      </c>
    </row>
    <row r="2706" spans="1:3" x14ac:dyDescent="0.35">
      <c r="A2706" s="16">
        <v>41102</v>
      </c>
      <c r="B2706" s="9">
        <v>206</v>
      </c>
      <c r="C2706">
        <f t="shared" si="49"/>
        <v>2012</v>
      </c>
    </row>
    <row r="2707" spans="1:3" x14ac:dyDescent="0.35">
      <c r="A2707" s="16">
        <v>41101</v>
      </c>
      <c r="B2707" s="9">
        <v>208</v>
      </c>
      <c r="C2707">
        <f t="shared" si="49"/>
        <v>2012</v>
      </c>
    </row>
    <row r="2708" spans="1:3" x14ac:dyDescent="0.35">
      <c r="A2708" s="16">
        <v>41100</v>
      </c>
      <c r="B2708" s="9">
        <v>211</v>
      </c>
      <c r="C2708">
        <f t="shared" si="49"/>
        <v>2012</v>
      </c>
    </row>
    <row r="2709" spans="1:3" x14ac:dyDescent="0.35">
      <c r="A2709" s="16">
        <v>41099</v>
      </c>
      <c r="B2709" s="9">
        <v>208</v>
      </c>
      <c r="C2709">
        <f t="shared" si="49"/>
        <v>2012</v>
      </c>
    </row>
    <row r="2710" spans="1:3" x14ac:dyDescent="0.35">
      <c r="A2710" s="16">
        <v>41096</v>
      </c>
      <c r="B2710" s="9">
        <v>208</v>
      </c>
      <c r="C2710">
        <f t="shared" si="49"/>
        <v>2012</v>
      </c>
    </row>
    <row r="2711" spans="1:3" x14ac:dyDescent="0.35">
      <c r="A2711" s="16">
        <v>41095</v>
      </c>
      <c r="B2711" s="9">
        <v>205</v>
      </c>
      <c r="C2711">
        <f t="shared" si="49"/>
        <v>2012</v>
      </c>
    </row>
    <row r="2712" spans="1:3" x14ac:dyDescent="0.35">
      <c r="A2712" s="16">
        <v>41094</v>
      </c>
      <c r="B2712" s="9">
        <v>205</v>
      </c>
      <c r="C2712">
        <f t="shared" si="49"/>
        <v>2012</v>
      </c>
    </row>
    <row r="2713" spans="1:3" x14ac:dyDescent="0.35">
      <c r="A2713" s="16">
        <v>41093</v>
      </c>
      <c r="B2713" s="9">
        <v>205</v>
      </c>
      <c r="C2713">
        <f t="shared" si="49"/>
        <v>2012</v>
      </c>
    </row>
    <row r="2714" spans="1:3" x14ac:dyDescent="0.35">
      <c r="A2714" s="16">
        <v>41092</v>
      </c>
      <c r="B2714" s="9">
        <v>213</v>
      </c>
      <c r="C2714">
        <f t="shared" si="49"/>
        <v>2012</v>
      </c>
    </row>
    <row r="2715" spans="1:3" x14ac:dyDescent="0.35">
      <c r="A2715" s="16">
        <v>41089</v>
      </c>
      <c r="B2715" s="9">
        <v>208</v>
      </c>
      <c r="C2715">
        <f t="shared" si="49"/>
        <v>2012</v>
      </c>
    </row>
    <row r="2716" spans="1:3" x14ac:dyDescent="0.35">
      <c r="A2716" s="16">
        <v>41088</v>
      </c>
      <c r="B2716" s="9">
        <v>219</v>
      </c>
      <c r="C2716">
        <f t="shared" si="49"/>
        <v>2012</v>
      </c>
    </row>
    <row r="2717" spans="1:3" x14ac:dyDescent="0.35">
      <c r="A2717" s="16">
        <v>41087</v>
      </c>
      <c r="B2717" s="9">
        <v>213</v>
      </c>
      <c r="C2717">
        <f t="shared" si="49"/>
        <v>2012</v>
      </c>
    </row>
    <row r="2718" spans="1:3" x14ac:dyDescent="0.35">
      <c r="A2718" s="16">
        <v>41086</v>
      </c>
      <c r="B2718" s="9">
        <v>213</v>
      </c>
      <c r="C2718">
        <f t="shared" si="49"/>
        <v>2012</v>
      </c>
    </row>
    <row r="2719" spans="1:3" x14ac:dyDescent="0.35">
      <c r="A2719" s="16">
        <v>41085</v>
      </c>
      <c r="B2719" s="9">
        <v>214</v>
      </c>
      <c r="C2719">
        <f t="shared" si="49"/>
        <v>2012</v>
      </c>
    </row>
    <row r="2720" spans="1:3" x14ac:dyDescent="0.35">
      <c r="A2720" s="16">
        <v>41082</v>
      </c>
      <c r="B2720" s="9">
        <v>208</v>
      </c>
      <c r="C2720">
        <f t="shared" si="49"/>
        <v>2012</v>
      </c>
    </row>
    <row r="2721" spans="1:3" x14ac:dyDescent="0.35">
      <c r="A2721" s="16">
        <v>41081</v>
      </c>
      <c r="B2721" s="9">
        <v>212</v>
      </c>
      <c r="C2721">
        <f t="shared" si="49"/>
        <v>2012</v>
      </c>
    </row>
    <row r="2722" spans="1:3" x14ac:dyDescent="0.35">
      <c r="A2722" s="16">
        <v>41080</v>
      </c>
      <c r="B2722" s="9">
        <v>211</v>
      </c>
      <c r="C2722">
        <f t="shared" si="49"/>
        <v>2012</v>
      </c>
    </row>
    <row r="2723" spans="1:3" x14ac:dyDescent="0.35">
      <c r="A2723" s="16">
        <v>41079</v>
      </c>
      <c r="B2723" s="9">
        <v>211</v>
      </c>
      <c r="C2723">
        <f t="shared" si="49"/>
        <v>2012</v>
      </c>
    </row>
    <row r="2724" spans="1:3" x14ac:dyDescent="0.35">
      <c r="A2724" s="16">
        <v>41078</v>
      </c>
      <c r="B2724" s="9">
        <v>211</v>
      </c>
      <c r="C2724">
        <f t="shared" si="49"/>
        <v>2012</v>
      </c>
    </row>
    <row r="2725" spans="1:3" x14ac:dyDescent="0.35">
      <c r="A2725" s="16">
        <v>41075</v>
      </c>
      <c r="B2725" s="9">
        <v>203</v>
      </c>
      <c r="C2725">
        <f t="shared" si="49"/>
        <v>2012</v>
      </c>
    </row>
    <row r="2726" spans="1:3" x14ac:dyDescent="0.35">
      <c r="A2726" s="16">
        <v>41074</v>
      </c>
      <c r="B2726" s="9">
        <v>213</v>
      </c>
      <c r="C2726">
        <f t="shared" si="49"/>
        <v>2012</v>
      </c>
    </row>
    <row r="2727" spans="1:3" x14ac:dyDescent="0.35">
      <c r="A2727" s="16">
        <v>41073</v>
      </c>
      <c r="B2727" s="9">
        <v>214</v>
      </c>
      <c r="C2727">
        <f t="shared" si="49"/>
        <v>2012</v>
      </c>
    </row>
    <row r="2728" spans="1:3" x14ac:dyDescent="0.35">
      <c r="A2728" s="16">
        <v>41072</v>
      </c>
      <c r="B2728" s="9">
        <v>216</v>
      </c>
      <c r="C2728">
        <f t="shared" si="49"/>
        <v>2012</v>
      </c>
    </row>
    <row r="2729" spans="1:3" x14ac:dyDescent="0.35">
      <c r="A2729" s="16">
        <v>41071</v>
      </c>
      <c r="B2729" s="9">
        <v>226</v>
      </c>
      <c r="C2729">
        <f t="shared" si="49"/>
        <v>2012</v>
      </c>
    </row>
    <row r="2730" spans="1:3" x14ac:dyDescent="0.35">
      <c r="A2730" s="16">
        <v>41068</v>
      </c>
      <c r="B2730" s="9">
        <v>222</v>
      </c>
      <c r="C2730">
        <f t="shared" si="49"/>
        <v>2012</v>
      </c>
    </row>
    <row r="2731" spans="1:3" x14ac:dyDescent="0.35">
      <c r="A2731" s="16">
        <v>41067</v>
      </c>
      <c r="B2731" s="9">
        <v>222</v>
      </c>
      <c r="C2731">
        <f t="shared" si="49"/>
        <v>2012</v>
      </c>
    </row>
    <row r="2732" spans="1:3" x14ac:dyDescent="0.35">
      <c r="A2732" s="16">
        <v>41066</v>
      </c>
      <c r="B2732" s="9">
        <v>221</v>
      </c>
      <c r="C2732">
        <f t="shared" si="49"/>
        <v>2012</v>
      </c>
    </row>
    <row r="2733" spans="1:3" x14ac:dyDescent="0.35">
      <c r="A2733" s="16">
        <v>41065</v>
      </c>
      <c r="B2733" s="9">
        <v>234</v>
      </c>
      <c r="C2733">
        <f t="shared" si="49"/>
        <v>2012</v>
      </c>
    </row>
    <row r="2734" spans="1:3" x14ac:dyDescent="0.35">
      <c r="A2734" s="16">
        <v>41064</v>
      </c>
      <c r="B2734" s="9">
        <v>244</v>
      </c>
      <c r="C2734">
        <f t="shared" si="49"/>
        <v>2012</v>
      </c>
    </row>
    <row r="2735" spans="1:3" x14ac:dyDescent="0.35">
      <c r="A2735" s="16">
        <v>41061</v>
      </c>
      <c r="B2735" s="9">
        <v>251</v>
      </c>
      <c r="C2735">
        <f t="shared" si="49"/>
        <v>2012</v>
      </c>
    </row>
    <row r="2736" spans="1:3" x14ac:dyDescent="0.35">
      <c r="A2736" s="16">
        <v>41060</v>
      </c>
      <c r="B2736" s="9">
        <v>244</v>
      </c>
      <c r="C2736">
        <f t="shared" si="49"/>
        <v>2012</v>
      </c>
    </row>
    <row r="2737" spans="1:3" x14ac:dyDescent="0.35">
      <c r="A2737" s="16">
        <v>41059</v>
      </c>
      <c r="B2737" s="9">
        <v>237</v>
      </c>
      <c r="C2737">
        <f t="shared" si="49"/>
        <v>2012</v>
      </c>
    </row>
    <row r="2738" spans="1:3" x14ac:dyDescent="0.35">
      <c r="A2738" s="16">
        <v>41058</v>
      </c>
      <c r="B2738" s="9">
        <v>229</v>
      </c>
      <c r="C2738">
        <f t="shared" si="49"/>
        <v>2012</v>
      </c>
    </row>
    <row r="2739" spans="1:3" x14ac:dyDescent="0.35">
      <c r="A2739" s="16">
        <v>41057</v>
      </c>
      <c r="B2739" s="9">
        <v>229</v>
      </c>
      <c r="C2739">
        <f t="shared" si="49"/>
        <v>2012</v>
      </c>
    </row>
    <row r="2740" spans="1:3" x14ac:dyDescent="0.35">
      <c r="A2740" s="16">
        <v>41054</v>
      </c>
      <c r="B2740" s="9">
        <v>229</v>
      </c>
      <c r="C2740">
        <f t="shared" si="49"/>
        <v>2012</v>
      </c>
    </row>
    <row r="2741" spans="1:3" x14ac:dyDescent="0.35">
      <c r="A2741" s="16">
        <v>41053</v>
      </c>
      <c r="B2741" s="9">
        <v>229</v>
      </c>
      <c r="C2741">
        <f t="shared" si="49"/>
        <v>2012</v>
      </c>
    </row>
    <row r="2742" spans="1:3" x14ac:dyDescent="0.35">
      <c r="A2742" s="16">
        <v>41052</v>
      </c>
      <c r="B2742" s="9">
        <v>234</v>
      </c>
      <c r="C2742">
        <f t="shared" si="49"/>
        <v>2012</v>
      </c>
    </row>
    <row r="2743" spans="1:3" x14ac:dyDescent="0.35">
      <c r="A2743" s="16">
        <v>41051</v>
      </c>
      <c r="B2743" s="9">
        <v>223</v>
      </c>
      <c r="C2743">
        <f t="shared" si="49"/>
        <v>2012</v>
      </c>
    </row>
    <row r="2744" spans="1:3" x14ac:dyDescent="0.35">
      <c r="A2744" s="16">
        <v>41050</v>
      </c>
      <c r="B2744" s="9">
        <v>226</v>
      </c>
      <c r="C2744">
        <f t="shared" si="49"/>
        <v>2012</v>
      </c>
    </row>
    <row r="2745" spans="1:3" x14ac:dyDescent="0.35">
      <c r="A2745" s="16">
        <v>41047</v>
      </c>
      <c r="B2745" s="9">
        <v>228</v>
      </c>
      <c r="C2745">
        <f t="shared" si="49"/>
        <v>2012</v>
      </c>
    </row>
    <row r="2746" spans="1:3" x14ac:dyDescent="0.35">
      <c r="A2746" s="16">
        <v>41046</v>
      </c>
      <c r="B2746" s="9">
        <v>227</v>
      </c>
      <c r="C2746">
        <f t="shared" si="49"/>
        <v>2012</v>
      </c>
    </row>
    <row r="2747" spans="1:3" x14ac:dyDescent="0.35">
      <c r="A2747" s="16">
        <v>41045</v>
      </c>
      <c r="B2747" s="9">
        <v>216</v>
      </c>
      <c r="C2747">
        <f t="shared" si="49"/>
        <v>2012</v>
      </c>
    </row>
    <row r="2748" spans="1:3" x14ac:dyDescent="0.35">
      <c r="A2748" s="16">
        <v>41044</v>
      </c>
      <c r="B2748" s="9">
        <v>212</v>
      </c>
      <c r="C2748">
        <f t="shared" si="49"/>
        <v>2012</v>
      </c>
    </row>
    <row r="2749" spans="1:3" x14ac:dyDescent="0.35">
      <c r="A2749" s="16">
        <v>41043</v>
      </c>
      <c r="B2749" s="9">
        <v>208</v>
      </c>
      <c r="C2749">
        <f t="shared" si="49"/>
        <v>2012</v>
      </c>
    </row>
    <row r="2750" spans="1:3" x14ac:dyDescent="0.35">
      <c r="A2750" s="16">
        <v>41040</v>
      </c>
      <c r="B2750" s="9">
        <v>201</v>
      </c>
      <c r="C2750">
        <f t="shared" si="49"/>
        <v>2012</v>
      </c>
    </row>
    <row r="2751" spans="1:3" x14ac:dyDescent="0.35">
      <c r="A2751" s="16">
        <v>41039</v>
      </c>
      <c r="B2751" s="9">
        <v>195</v>
      </c>
      <c r="C2751">
        <f t="shared" si="49"/>
        <v>2012</v>
      </c>
    </row>
    <row r="2752" spans="1:3" x14ac:dyDescent="0.35">
      <c r="A2752" s="16">
        <v>41038</v>
      </c>
      <c r="B2752" s="9">
        <v>196</v>
      </c>
      <c r="C2752">
        <f t="shared" si="49"/>
        <v>2012</v>
      </c>
    </row>
    <row r="2753" spans="1:3" x14ac:dyDescent="0.35">
      <c r="A2753" s="16">
        <v>41037</v>
      </c>
      <c r="B2753" s="9">
        <v>193</v>
      </c>
      <c r="C2753">
        <f t="shared" si="49"/>
        <v>2012</v>
      </c>
    </row>
    <row r="2754" spans="1:3" x14ac:dyDescent="0.35">
      <c r="A2754" s="16">
        <v>41036</v>
      </c>
      <c r="B2754" s="9">
        <v>188</v>
      </c>
      <c r="C2754">
        <f t="shared" si="49"/>
        <v>2012</v>
      </c>
    </row>
    <row r="2755" spans="1:3" x14ac:dyDescent="0.35">
      <c r="A2755" s="16">
        <v>41033</v>
      </c>
      <c r="B2755" s="9">
        <v>187</v>
      </c>
      <c r="C2755">
        <f t="shared" ref="C2755:C2818" si="50">YEAR(A2755)</f>
        <v>2012</v>
      </c>
    </row>
    <row r="2756" spans="1:3" x14ac:dyDescent="0.35">
      <c r="A2756" s="16">
        <v>41032</v>
      </c>
      <c r="B2756" s="9">
        <v>182</v>
      </c>
      <c r="C2756">
        <f t="shared" si="50"/>
        <v>2012</v>
      </c>
    </row>
    <row r="2757" spans="1:3" x14ac:dyDescent="0.35">
      <c r="A2757" s="16">
        <v>41031</v>
      </c>
      <c r="B2757" s="9">
        <v>183</v>
      </c>
      <c r="C2757">
        <f t="shared" si="50"/>
        <v>2012</v>
      </c>
    </row>
    <row r="2758" spans="1:3" x14ac:dyDescent="0.35">
      <c r="A2758" s="16">
        <v>41030</v>
      </c>
      <c r="B2758" s="9">
        <v>184</v>
      </c>
      <c r="C2758">
        <f t="shared" si="50"/>
        <v>2012</v>
      </c>
    </row>
    <row r="2759" spans="1:3" x14ac:dyDescent="0.35">
      <c r="A2759" s="16">
        <v>41029</v>
      </c>
      <c r="B2759" s="9">
        <v>188</v>
      </c>
      <c r="C2759">
        <f t="shared" si="50"/>
        <v>2012</v>
      </c>
    </row>
    <row r="2760" spans="1:3" x14ac:dyDescent="0.35">
      <c r="A2760" s="16">
        <v>41026</v>
      </c>
      <c r="B2760" s="9">
        <v>188</v>
      </c>
      <c r="C2760">
        <f t="shared" si="50"/>
        <v>2012</v>
      </c>
    </row>
    <row r="2761" spans="1:3" x14ac:dyDescent="0.35">
      <c r="A2761" s="16">
        <v>41025</v>
      </c>
      <c r="B2761" s="9">
        <v>186</v>
      </c>
      <c r="C2761">
        <f t="shared" si="50"/>
        <v>2012</v>
      </c>
    </row>
    <row r="2762" spans="1:3" x14ac:dyDescent="0.35">
      <c r="A2762" s="16">
        <v>41024</v>
      </c>
      <c r="B2762" s="9">
        <v>185</v>
      </c>
      <c r="C2762">
        <f t="shared" si="50"/>
        <v>2012</v>
      </c>
    </row>
    <row r="2763" spans="1:3" x14ac:dyDescent="0.35">
      <c r="A2763" s="16">
        <v>41023</v>
      </c>
      <c r="B2763" s="9">
        <v>185</v>
      </c>
      <c r="C2763">
        <f t="shared" si="50"/>
        <v>2012</v>
      </c>
    </row>
    <row r="2764" spans="1:3" x14ac:dyDescent="0.35">
      <c r="A2764" s="16">
        <v>41022</v>
      </c>
      <c r="B2764" s="9">
        <v>188</v>
      </c>
      <c r="C2764">
        <f t="shared" si="50"/>
        <v>2012</v>
      </c>
    </row>
    <row r="2765" spans="1:3" x14ac:dyDescent="0.35">
      <c r="A2765" s="16">
        <v>41019</v>
      </c>
      <c r="B2765" s="9">
        <v>183</v>
      </c>
      <c r="C2765">
        <f t="shared" si="50"/>
        <v>2012</v>
      </c>
    </row>
    <row r="2766" spans="1:3" x14ac:dyDescent="0.35">
      <c r="A2766" s="16">
        <v>41018</v>
      </c>
      <c r="B2766" s="9">
        <v>181</v>
      </c>
      <c r="C2766">
        <f t="shared" si="50"/>
        <v>2012</v>
      </c>
    </row>
    <row r="2767" spans="1:3" x14ac:dyDescent="0.35">
      <c r="A2767" s="16">
        <v>41017</v>
      </c>
      <c r="B2767" s="9">
        <v>184</v>
      </c>
      <c r="C2767">
        <f t="shared" si="50"/>
        <v>2012</v>
      </c>
    </row>
    <row r="2768" spans="1:3" x14ac:dyDescent="0.35">
      <c r="A2768" s="16">
        <v>41016</v>
      </c>
      <c r="B2768" s="9">
        <v>183</v>
      </c>
      <c r="C2768">
        <f t="shared" si="50"/>
        <v>2012</v>
      </c>
    </row>
    <row r="2769" spans="1:3" x14ac:dyDescent="0.35">
      <c r="A2769" s="16">
        <v>41015</v>
      </c>
      <c r="B2769" s="9">
        <v>190</v>
      </c>
      <c r="C2769">
        <f t="shared" si="50"/>
        <v>2012</v>
      </c>
    </row>
    <row r="2770" spans="1:3" x14ac:dyDescent="0.35">
      <c r="A2770" s="16">
        <v>41012</v>
      </c>
      <c r="B2770" s="9">
        <v>188</v>
      </c>
      <c r="C2770">
        <f t="shared" si="50"/>
        <v>2012</v>
      </c>
    </row>
    <row r="2771" spans="1:3" x14ac:dyDescent="0.35">
      <c r="A2771" s="16">
        <v>41011</v>
      </c>
      <c r="B2771" s="9">
        <v>181</v>
      </c>
      <c r="C2771">
        <f t="shared" si="50"/>
        <v>2012</v>
      </c>
    </row>
    <row r="2772" spans="1:3" x14ac:dyDescent="0.35">
      <c r="A2772" s="16">
        <v>41010</v>
      </c>
      <c r="B2772" s="9">
        <v>188</v>
      </c>
      <c r="C2772">
        <f t="shared" si="50"/>
        <v>2012</v>
      </c>
    </row>
    <row r="2773" spans="1:3" x14ac:dyDescent="0.35">
      <c r="A2773" s="16">
        <v>41009</v>
      </c>
      <c r="B2773" s="9">
        <v>194</v>
      </c>
      <c r="C2773">
        <f t="shared" si="50"/>
        <v>2012</v>
      </c>
    </row>
    <row r="2774" spans="1:3" x14ac:dyDescent="0.35">
      <c r="A2774" s="16">
        <v>41008</v>
      </c>
      <c r="B2774" s="9">
        <v>196</v>
      </c>
      <c r="C2774">
        <f t="shared" si="50"/>
        <v>2012</v>
      </c>
    </row>
    <row r="2775" spans="1:3" x14ac:dyDescent="0.35">
      <c r="A2775" s="16">
        <v>41004</v>
      </c>
      <c r="B2775" s="9">
        <v>185</v>
      </c>
      <c r="C2775">
        <f t="shared" si="50"/>
        <v>2012</v>
      </c>
    </row>
    <row r="2776" spans="1:3" x14ac:dyDescent="0.35">
      <c r="A2776" s="16">
        <v>41003</v>
      </c>
      <c r="B2776" s="9">
        <v>178</v>
      </c>
      <c r="C2776">
        <f t="shared" si="50"/>
        <v>2012</v>
      </c>
    </row>
    <row r="2777" spans="1:3" x14ac:dyDescent="0.35">
      <c r="A2777" s="16">
        <v>41002</v>
      </c>
      <c r="B2777" s="9">
        <v>167</v>
      </c>
      <c r="C2777">
        <f t="shared" si="50"/>
        <v>2012</v>
      </c>
    </row>
    <row r="2778" spans="1:3" x14ac:dyDescent="0.35">
      <c r="A2778" s="16">
        <v>41001</v>
      </c>
      <c r="B2778" s="9">
        <v>178</v>
      </c>
      <c r="C2778">
        <f t="shared" si="50"/>
        <v>2012</v>
      </c>
    </row>
    <row r="2779" spans="1:3" x14ac:dyDescent="0.35">
      <c r="A2779" s="16">
        <v>40998</v>
      </c>
      <c r="B2779" s="9">
        <v>177</v>
      </c>
      <c r="C2779">
        <f t="shared" si="50"/>
        <v>2012</v>
      </c>
    </row>
    <row r="2780" spans="1:3" x14ac:dyDescent="0.35">
      <c r="A2780" s="16">
        <v>40997</v>
      </c>
      <c r="B2780" s="9">
        <v>183</v>
      </c>
      <c r="C2780">
        <f t="shared" si="50"/>
        <v>2012</v>
      </c>
    </row>
    <row r="2781" spans="1:3" x14ac:dyDescent="0.35">
      <c r="A2781" s="16">
        <v>40996</v>
      </c>
      <c r="B2781" s="9">
        <v>179</v>
      </c>
      <c r="C2781">
        <f t="shared" si="50"/>
        <v>2012</v>
      </c>
    </row>
    <row r="2782" spans="1:3" x14ac:dyDescent="0.35">
      <c r="A2782" s="16">
        <v>40995</v>
      </c>
      <c r="B2782" s="9">
        <v>177</v>
      </c>
      <c r="C2782">
        <f t="shared" si="50"/>
        <v>2012</v>
      </c>
    </row>
    <row r="2783" spans="1:3" x14ac:dyDescent="0.35">
      <c r="A2783" s="16">
        <v>40994</v>
      </c>
      <c r="B2783" s="9">
        <v>173</v>
      </c>
      <c r="C2783">
        <f t="shared" si="50"/>
        <v>2012</v>
      </c>
    </row>
    <row r="2784" spans="1:3" x14ac:dyDescent="0.35">
      <c r="A2784" s="16">
        <v>40991</v>
      </c>
      <c r="B2784" s="9">
        <v>174</v>
      </c>
      <c r="C2784">
        <f t="shared" si="50"/>
        <v>2012</v>
      </c>
    </row>
    <row r="2785" spans="1:3" x14ac:dyDescent="0.35">
      <c r="A2785" s="16">
        <v>40990</v>
      </c>
      <c r="B2785" s="9">
        <v>171</v>
      </c>
      <c r="C2785">
        <f t="shared" si="50"/>
        <v>2012</v>
      </c>
    </row>
    <row r="2786" spans="1:3" x14ac:dyDescent="0.35">
      <c r="A2786" s="16">
        <v>40989</v>
      </c>
      <c r="B2786" s="9">
        <v>167</v>
      </c>
      <c r="C2786">
        <f t="shared" si="50"/>
        <v>2012</v>
      </c>
    </row>
    <row r="2787" spans="1:3" x14ac:dyDescent="0.35">
      <c r="A2787" s="16">
        <v>40988</v>
      </c>
      <c r="B2787" s="9">
        <v>165</v>
      </c>
      <c r="C2787">
        <f t="shared" si="50"/>
        <v>2012</v>
      </c>
    </row>
    <row r="2788" spans="1:3" x14ac:dyDescent="0.35">
      <c r="A2788" s="16">
        <v>40987</v>
      </c>
      <c r="B2788" s="9">
        <v>166</v>
      </c>
      <c r="C2788">
        <f t="shared" si="50"/>
        <v>2012</v>
      </c>
    </row>
    <row r="2789" spans="1:3" x14ac:dyDescent="0.35">
      <c r="A2789" s="16">
        <v>40984</v>
      </c>
      <c r="B2789" s="9">
        <v>171</v>
      </c>
      <c r="C2789">
        <f t="shared" si="50"/>
        <v>2012</v>
      </c>
    </row>
    <row r="2790" spans="1:3" x14ac:dyDescent="0.35">
      <c r="A2790" s="16">
        <v>40983</v>
      </c>
      <c r="B2790" s="9">
        <v>169</v>
      </c>
      <c r="C2790">
        <f t="shared" si="50"/>
        <v>2012</v>
      </c>
    </row>
    <row r="2791" spans="1:3" x14ac:dyDescent="0.35">
      <c r="A2791" s="16">
        <v>40982</v>
      </c>
      <c r="B2791" s="9">
        <v>166</v>
      </c>
      <c r="C2791">
        <f t="shared" si="50"/>
        <v>2012</v>
      </c>
    </row>
    <row r="2792" spans="1:3" x14ac:dyDescent="0.35">
      <c r="A2792" s="16">
        <v>40981</v>
      </c>
      <c r="B2792" s="9">
        <v>172</v>
      </c>
      <c r="C2792">
        <f t="shared" si="50"/>
        <v>2012</v>
      </c>
    </row>
    <row r="2793" spans="1:3" x14ac:dyDescent="0.35">
      <c r="A2793" s="16">
        <v>40980</v>
      </c>
      <c r="B2793" s="9">
        <v>176</v>
      </c>
      <c r="C2793">
        <f t="shared" si="50"/>
        <v>2012</v>
      </c>
    </row>
    <row r="2794" spans="1:3" x14ac:dyDescent="0.35">
      <c r="A2794" s="16">
        <v>40977</v>
      </c>
      <c r="B2794" s="9">
        <v>182</v>
      </c>
      <c r="C2794">
        <f t="shared" si="50"/>
        <v>2012</v>
      </c>
    </row>
    <row r="2795" spans="1:3" x14ac:dyDescent="0.35">
      <c r="A2795" s="16">
        <v>40976</v>
      </c>
      <c r="B2795" s="9">
        <v>186</v>
      </c>
      <c r="C2795">
        <f t="shared" si="50"/>
        <v>2012</v>
      </c>
    </row>
    <row r="2796" spans="1:3" x14ac:dyDescent="0.35">
      <c r="A2796" s="16">
        <v>40975</v>
      </c>
      <c r="B2796" s="9">
        <v>195</v>
      </c>
      <c r="C2796">
        <f t="shared" si="50"/>
        <v>2012</v>
      </c>
    </row>
    <row r="2797" spans="1:3" x14ac:dyDescent="0.35">
      <c r="A2797" s="16">
        <v>40974</v>
      </c>
      <c r="B2797" s="9">
        <v>200</v>
      </c>
      <c r="C2797">
        <f t="shared" si="50"/>
        <v>2012</v>
      </c>
    </row>
    <row r="2798" spans="1:3" x14ac:dyDescent="0.35">
      <c r="A2798" s="16">
        <v>40973</v>
      </c>
      <c r="B2798" s="9">
        <v>191</v>
      </c>
      <c r="C2798">
        <f t="shared" si="50"/>
        <v>2012</v>
      </c>
    </row>
    <row r="2799" spans="1:3" x14ac:dyDescent="0.35">
      <c r="A2799" s="16">
        <v>40970</v>
      </c>
      <c r="B2799" s="9">
        <v>190</v>
      </c>
      <c r="C2799">
        <f t="shared" si="50"/>
        <v>2012</v>
      </c>
    </row>
    <row r="2800" spans="1:3" x14ac:dyDescent="0.35">
      <c r="A2800" s="16">
        <v>40969</v>
      </c>
      <c r="B2800" s="9">
        <v>193</v>
      </c>
      <c r="C2800">
        <f t="shared" si="50"/>
        <v>2012</v>
      </c>
    </row>
    <row r="2801" spans="1:3" x14ac:dyDescent="0.35">
      <c r="A2801" s="16">
        <v>40968</v>
      </c>
      <c r="B2801" s="9">
        <v>196</v>
      </c>
      <c r="C2801">
        <f t="shared" si="50"/>
        <v>2012</v>
      </c>
    </row>
    <row r="2802" spans="1:3" x14ac:dyDescent="0.35">
      <c r="A2802" s="16">
        <v>40967</v>
      </c>
      <c r="B2802" s="9">
        <v>202</v>
      </c>
      <c r="C2802">
        <f t="shared" si="50"/>
        <v>2012</v>
      </c>
    </row>
    <row r="2803" spans="1:3" x14ac:dyDescent="0.35">
      <c r="A2803" s="16">
        <v>40966</v>
      </c>
      <c r="B2803" s="9">
        <v>206</v>
      </c>
      <c r="C2803">
        <f t="shared" si="50"/>
        <v>2012</v>
      </c>
    </row>
    <row r="2804" spans="1:3" x14ac:dyDescent="0.35">
      <c r="A2804" s="16">
        <v>40963</v>
      </c>
      <c r="B2804" s="9">
        <v>201</v>
      </c>
      <c r="C2804">
        <f t="shared" si="50"/>
        <v>2012</v>
      </c>
    </row>
    <row r="2805" spans="1:3" x14ac:dyDescent="0.35">
      <c r="A2805" s="16">
        <v>40962</v>
      </c>
      <c r="B2805" s="9">
        <v>201</v>
      </c>
      <c r="C2805">
        <f t="shared" si="50"/>
        <v>2012</v>
      </c>
    </row>
    <row r="2806" spans="1:3" x14ac:dyDescent="0.35">
      <c r="A2806" s="16">
        <v>40961</v>
      </c>
      <c r="B2806" s="9">
        <v>197</v>
      </c>
      <c r="C2806">
        <f t="shared" si="50"/>
        <v>2012</v>
      </c>
    </row>
    <row r="2807" spans="1:3" x14ac:dyDescent="0.35">
      <c r="A2807" s="16">
        <v>40960</v>
      </c>
      <c r="B2807" s="9">
        <v>194</v>
      </c>
      <c r="C2807">
        <f t="shared" si="50"/>
        <v>2012</v>
      </c>
    </row>
    <row r="2808" spans="1:3" x14ac:dyDescent="0.35">
      <c r="A2808" s="16">
        <v>40959</v>
      </c>
      <c r="B2808" s="9">
        <v>198</v>
      </c>
      <c r="C2808">
        <f t="shared" si="50"/>
        <v>2012</v>
      </c>
    </row>
    <row r="2809" spans="1:3" x14ac:dyDescent="0.35">
      <c r="A2809" s="16">
        <v>40956</v>
      </c>
      <c r="B2809" s="9">
        <v>198</v>
      </c>
      <c r="C2809">
        <f t="shared" si="50"/>
        <v>2012</v>
      </c>
    </row>
    <row r="2810" spans="1:3" x14ac:dyDescent="0.35">
      <c r="A2810" s="16">
        <v>40955</v>
      </c>
      <c r="B2810" s="9">
        <v>202</v>
      </c>
      <c r="C2810">
        <f t="shared" si="50"/>
        <v>2012</v>
      </c>
    </row>
    <row r="2811" spans="1:3" x14ac:dyDescent="0.35">
      <c r="A2811" s="16">
        <v>40954</v>
      </c>
      <c r="B2811" s="9">
        <v>205</v>
      </c>
      <c r="C2811">
        <f t="shared" si="50"/>
        <v>2012</v>
      </c>
    </row>
    <row r="2812" spans="1:3" x14ac:dyDescent="0.35">
      <c r="A2812" s="16">
        <v>40953</v>
      </c>
      <c r="B2812" s="9">
        <v>203</v>
      </c>
      <c r="C2812">
        <f t="shared" si="50"/>
        <v>2012</v>
      </c>
    </row>
    <row r="2813" spans="1:3" x14ac:dyDescent="0.35">
      <c r="A2813" s="16">
        <v>40952</v>
      </c>
      <c r="B2813" s="9">
        <v>196</v>
      </c>
      <c r="C2813">
        <f t="shared" si="50"/>
        <v>2012</v>
      </c>
    </row>
    <row r="2814" spans="1:3" x14ac:dyDescent="0.35">
      <c r="A2814" s="16">
        <v>40949</v>
      </c>
      <c r="B2814" s="9">
        <v>201</v>
      </c>
      <c r="C2814">
        <f t="shared" si="50"/>
        <v>2012</v>
      </c>
    </row>
    <row r="2815" spans="1:3" x14ac:dyDescent="0.35">
      <c r="A2815" s="16">
        <v>40948</v>
      </c>
      <c r="B2815" s="9">
        <v>196</v>
      </c>
      <c r="C2815">
        <f t="shared" si="50"/>
        <v>2012</v>
      </c>
    </row>
    <row r="2816" spans="1:3" x14ac:dyDescent="0.35">
      <c r="A2816" s="16">
        <v>40947</v>
      </c>
      <c r="B2816" s="9">
        <v>203</v>
      </c>
      <c r="C2816">
        <f t="shared" si="50"/>
        <v>2012</v>
      </c>
    </row>
    <row r="2817" spans="1:3" x14ac:dyDescent="0.35">
      <c r="A2817" s="16">
        <v>40946</v>
      </c>
      <c r="B2817" s="9">
        <v>203</v>
      </c>
      <c r="C2817">
        <f t="shared" si="50"/>
        <v>2012</v>
      </c>
    </row>
    <row r="2818" spans="1:3" x14ac:dyDescent="0.35">
      <c r="A2818" s="16">
        <v>40945</v>
      </c>
      <c r="B2818" s="9">
        <v>210</v>
      </c>
      <c r="C2818">
        <f t="shared" si="50"/>
        <v>2012</v>
      </c>
    </row>
    <row r="2819" spans="1:3" x14ac:dyDescent="0.35">
      <c r="A2819" s="16">
        <v>40942</v>
      </c>
      <c r="B2819" s="9">
        <v>207</v>
      </c>
      <c r="C2819">
        <f t="shared" ref="C2819:C2882" si="51">YEAR(A2819)</f>
        <v>2012</v>
      </c>
    </row>
    <row r="2820" spans="1:3" x14ac:dyDescent="0.35">
      <c r="A2820" s="16">
        <v>40941</v>
      </c>
      <c r="B2820" s="9">
        <v>218</v>
      </c>
      <c r="C2820">
        <f t="shared" si="51"/>
        <v>2012</v>
      </c>
    </row>
    <row r="2821" spans="1:3" x14ac:dyDescent="0.35">
      <c r="A2821" s="16">
        <v>40940</v>
      </c>
      <c r="B2821" s="9">
        <v>216</v>
      </c>
      <c r="C2821">
        <f t="shared" si="51"/>
        <v>2012</v>
      </c>
    </row>
    <row r="2822" spans="1:3" x14ac:dyDescent="0.35">
      <c r="A2822" s="16">
        <v>40939</v>
      </c>
      <c r="B2822" s="9">
        <v>224</v>
      </c>
      <c r="C2822">
        <f t="shared" si="51"/>
        <v>2012</v>
      </c>
    </row>
    <row r="2823" spans="1:3" x14ac:dyDescent="0.35">
      <c r="A2823" s="16">
        <v>40938</v>
      </c>
      <c r="B2823" s="9">
        <v>224</v>
      </c>
      <c r="C2823">
        <f t="shared" si="51"/>
        <v>2012</v>
      </c>
    </row>
    <row r="2824" spans="1:3" x14ac:dyDescent="0.35">
      <c r="A2824" s="16">
        <v>40935</v>
      </c>
      <c r="B2824" s="9">
        <v>218</v>
      </c>
      <c r="C2824">
        <f t="shared" si="51"/>
        <v>2012</v>
      </c>
    </row>
    <row r="2825" spans="1:3" x14ac:dyDescent="0.35">
      <c r="A2825" s="16">
        <v>40934</v>
      </c>
      <c r="B2825" s="9">
        <v>218</v>
      </c>
      <c r="C2825">
        <f t="shared" si="51"/>
        <v>2012</v>
      </c>
    </row>
    <row r="2826" spans="1:3" x14ac:dyDescent="0.35">
      <c r="A2826" s="16">
        <v>40933</v>
      </c>
      <c r="B2826" s="9">
        <v>210</v>
      </c>
      <c r="C2826">
        <f t="shared" si="51"/>
        <v>2012</v>
      </c>
    </row>
    <row r="2827" spans="1:3" x14ac:dyDescent="0.35">
      <c r="A2827" s="16">
        <v>40932</v>
      </c>
      <c r="B2827" s="9">
        <v>212</v>
      </c>
      <c r="C2827">
        <f t="shared" si="51"/>
        <v>2012</v>
      </c>
    </row>
    <row r="2828" spans="1:3" x14ac:dyDescent="0.35">
      <c r="A2828" s="16">
        <v>40931</v>
      </c>
      <c r="B2828" s="9">
        <v>209</v>
      </c>
      <c r="C2828">
        <f t="shared" si="51"/>
        <v>2012</v>
      </c>
    </row>
    <row r="2829" spans="1:3" x14ac:dyDescent="0.35">
      <c r="A2829" s="16">
        <v>40928</v>
      </c>
      <c r="B2829" s="9">
        <v>213</v>
      </c>
      <c r="C2829">
        <f t="shared" si="51"/>
        <v>2012</v>
      </c>
    </row>
    <row r="2830" spans="1:3" x14ac:dyDescent="0.35">
      <c r="A2830" s="16">
        <v>40927</v>
      </c>
      <c r="B2830" s="9">
        <v>218</v>
      </c>
      <c r="C2830">
        <f t="shared" si="51"/>
        <v>2012</v>
      </c>
    </row>
    <row r="2831" spans="1:3" x14ac:dyDescent="0.35">
      <c r="A2831" s="16">
        <v>40926</v>
      </c>
      <c r="B2831" s="9">
        <v>230</v>
      </c>
      <c r="C2831">
        <f t="shared" si="51"/>
        <v>2012</v>
      </c>
    </row>
    <row r="2832" spans="1:3" x14ac:dyDescent="0.35">
      <c r="A2832" s="16">
        <v>40925</v>
      </c>
      <c r="B2832" s="9">
        <v>234</v>
      </c>
      <c r="C2832">
        <f t="shared" si="51"/>
        <v>2012</v>
      </c>
    </row>
    <row r="2833" spans="1:3" x14ac:dyDescent="0.35">
      <c r="A2833" s="16">
        <v>40924</v>
      </c>
      <c r="B2833" s="9">
        <v>237</v>
      </c>
      <c r="C2833">
        <f t="shared" si="51"/>
        <v>2012</v>
      </c>
    </row>
    <row r="2834" spans="1:3" x14ac:dyDescent="0.35">
      <c r="A2834" s="16">
        <v>40921</v>
      </c>
      <c r="B2834" s="9">
        <v>237</v>
      </c>
      <c r="C2834">
        <f t="shared" si="51"/>
        <v>2012</v>
      </c>
    </row>
    <row r="2835" spans="1:3" x14ac:dyDescent="0.35">
      <c r="A2835" s="16">
        <v>40920</v>
      </c>
      <c r="B2835" s="9">
        <v>229</v>
      </c>
      <c r="C2835">
        <f t="shared" si="51"/>
        <v>2012</v>
      </c>
    </row>
    <row r="2836" spans="1:3" x14ac:dyDescent="0.35">
      <c r="A2836" s="16">
        <v>40919</v>
      </c>
      <c r="B2836" s="9">
        <v>233</v>
      </c>
      <c r="C2836">
        <f t="shared" si="51"/>
        <v>2012</v>
      </c>
    </row>
    <row r="2837" spans="1:3" x14ac:dyDescent="0.35">
      <c r="A2837" s="16">
        <v>40918</v>
      </c>
      <c r="B2837" s="9">
        <v>224</v>
      </c>
      <c r="C2837">
        <f t="shared" si="51"/>
        <v>2012</v>
      </c>
    </row>
    <row r="2838" spans="1:3" x14ac:dyDescent="0.35">
      <c r="A2838" s="16">
        <v>40917</v>
      </c>
      <c r="B2838" s="9">
        <v>220</v>
      </c>
      <c r="C2838">
        <f t="shared" si="51"/>
        <v>2012</v>
      </c>
    </row>
    <row r="2839" spans="1:3" x14ac:dyDescent="0.35">
      <c r="A2839" s="16">
        <v>40914</v>
      </c>
      <c r="B2839" s="9">
        <v>219</v>
      </c>
      <c r="C2839">
        <f t="shared" si="51"/>
        <v>2012</v>
      </c>
    </row>
    <row r="2840" spans="1:3" x14ac:dyDescent="0.35">
      <c r="A2840" s="16">
        <v>40913</v>
      </c>
      <c r="B2840" s="9">
        <v>214</v>
      </c>
      <c r="C2840">
        <f t="shared" si="51"/>
        <v>2012</v>
      </c>
    </row>
    <row r="2841" spans="1:3" x14ac:dyDescent="0.35">
      <c r="A2841" s="16">
        <v>40912</v>
      </c>
      <c r="B2841" s="9">
        <v>216</v>
      </c>
      <c r="C2841">
        <f t="shared" si="51"/>
        <v>2012</v>
      </c>
    </row>
    <row r="2842" spans="1:3" x14ac:dyDescent="0.35">
      <c r="A2842" s="16">
        <v>40911</v>
      </c>
      <c r="B2842" s="9">
        <v>217</v>
      </c>
      <c r="C2842">
        <f t="shared" si="51"/>
        <v>2012</v>
      </c>
    </row>
    <row r="2843" spans="1:3" x14ac:dyDescent="0.35">
      <c r="A2843" s="16">
        <v>40910</v>
      </c>
      <c r="B2843" s="9">
        <v>223</v>
      </c>
      <c r="C2843">
        <f t="shared" si="51"/>
        <v>2012</v>
      </c>
    </row>
    <row r="2844" spans="1:3" x14ac:dyDescent="0.35">
      <c r="A2844" s="16">
        <v>40907</v>
      </c>
      <c r="B2844" s="9">
        <v>223</v>
      </c>
      <c r="C2844">
        <f t="shared" si="51"/>
        <v>2011</v>
      </c>
    </row>
    <row r="2845" spans="1:3" x14ac:dyDescent="0.35">
      <c r="A2845" s="16">
        <v>40906</v>
      </c>
      <c r="B2845" s="9">
        <v>223</v>
      </c>
      <c r="C2845">
        <f t="shared" si="51"/>
        <v>2011</v>
      </c>
    </row>
    <row r="2846" spans="1:3" x14ac:dyDescent="0.35">
      <c r="A2846" s="16">
        <v>40905</v>
      </c>
      <c r="B2846" s="9">
        <v>220</v>
      </c>
      <c r="C2846">
        <f t="shared" si="51"/>
        <v>2011</v>
      </c>
    </row>
    <row r="2847" spans="1:3" x14ac:dyDescent="0.35">
      <c r="A2847" s="16">
        <v>40904</v>
      </c>
      <c r="B2847" s="9">
        <v>211</v>
      </c>
      <c r="C2847">
        <f t="shared" si="51"/>
        <v>2011</v>
      </c>
    </row>
    <row r="2848" spans="1:3" x14ac:dyDescent="0.35">
      <c r="A2848" s="16">
        <v>40903</v>
      </c>
      <c r="B2848" s="9">
        <v>210</v>
      </c>
      <c r="C2848">
        <f t="shared" si="51"/>
        <v>2011</v>
      </c>
    </row>
    <row r="2849" spans="1:3" x14ac:dyDescent="0.35">
      <c r="A2849" s="16">
        <v>40900</v>
      </c>
      <c r="B2849" s="9">
        <v>210</v>
      </c>
      <c r="C2849">
        <f t="shared" si="51"/>
        <v>2011</v>
      </c>
    </row>
    <row r="2850" spans="1:3" x14ac:dyDescent="0.35">
      <c r="A2850" s="16">
        <v>40899</v>
      </c>
      <c r="B2850" s="9">
        <v>219</v>
      </c>
      <c r="C2850">
        <f t="shared" si="51"/>
        <v>2011</v>
      </c>
    </row>
    <row r="2851" spans="1:3" x14ac:dyDescent="0.35">
      <c r="A2851" s="16">
        <v>40898</v>
      </c>
      <c r="B2851" s="9">
        <v>217</v>
      </c>
      <c r="C2851">
        <f t="shared" si="51"/>
        <v>2011</v>
      </c>
    </row>
    <row r="2852" spans="1:3" x14ac:dyDescent="0.35">
      <c r="A2852" s="16">
        <v>40897</v>
      </c>
      <c r="B2852" s="9">
        <v>223</v>
      </c>
      <c r="C2852">
        <f t="shared" si="51"/>
        <v>2011</v>
      </c>
    </row>
    <row r="2853" spans="1:3" x14ac:dyDescent="0.35">
      <c r="A2853" s="16">
        <v>40896</v>
      </c>
      <c r="B2853" s="9">
        <v>235</v>
      </c>
      <c r="C2853">
        <f t="shared" si="51"/>
        <v>2011</v>
      </c>
    </row>
    <row r="2854" spans="1:3" x14ac:dyDescent="0.35">
      <c r="A2854" s="16">
        <v>40893</v>
      </c>
      <c r="B2854" s="9">
        <v>231</v>
      </c>
      <c r="C2854">
        <f t="shared" si="51"/>
        <v>2011</v>
      </c>
    </row>
    <row r="2855" spans="1:3" x14ac:dyDescent="0.35">
      <c r="A2855" s="16">
        <v>40892</v>
      </c>
      <c r="B2855" s="9">
        <v>221</v>
      </c>
      <c r="C2855">
        <f t="shared" si="51"/>
        <v>2011</v>
      </c>
    </row>
    <row r="2856" spans="1:3" x14ac:dyDescent="0.35">
      <c r="A2856" s="16">
        <v>40891</v>
      </c>
      <c r="B2856" s="9">
        <v>222</v>
      </c>
      <c r="C2856">
        <f t="shared" si="51"/>
        <v>2011</v>
      </c>
    </row>
    <row r="2857" spans="1:3" x14ac:dyDescent="0.35">
      <c r="A2857" s="16">
        <v>40890</v>
      </c>
      <c r="B2857" s="9">
        <v>213</v>
      </c>
      <c r="C2857">
        <f t="shared" si="51"/>
        <v>2011</v>
      </c>
    </row>
    <row r="2858" spans="1:3" x14ac:dyDescent="0.35">
      <c r="A2858" s="16">
        <v>40889</v>
      </c>
      <c r="B2858" s="9">
        <v>211</v>
      </c>
      <c r="C2858">
        <f t="shared" si="51"/>
        <v>2011</v>
      </c>
    </row>
    <row r="2859" spans="1:3" x14ac:dyDescent="0.35">
      <c r="A2859" s="16">
        <v>40886</v>
      </c>
      <c r="B2859" s="9">
        <v>208</v>
      </c>
      <c r="C2859">
        <f t="shared" si="51"/>
        <v>2011</v>
      </c>
    </row>
    <row r="2860" spans="1:3" x14ac:dyDescent="0.35">
      <c r="A2860" s="16">
        <v>40885</v>
      </c>
      <c r="B2860" s="9">
        <v>221</v>
      </c>
      <c r="C2860">
        <f t="shared" si="51"/>
        <v>2011</v>
      </c>
    </row>
    <row r="2861" spans="1:3" x14ac:dyDescent="0.35">
      <c r="A2861" s="16">
        <v>40884</v>
      </c>
      <c r="B2861" s="9">
        <v>221</v>
      </c>
      <c r="C2861">
        <f t="shared" si="51"/>
        <v>2011</v>
      </c>
    </row>
    <row r="2862" spans="1:3" x14ac:dyDescent="0.35">
      <c r="A2862" s="16">
        <v>40883</v>
      </c>
      <c r="B2862" s="9">
        <v>214</v>
      </c>
      <c r="C2862">
        <f t="shared" si="51"/>
        <v>2011</v>
      </c>
    </row>
    <row r="2863" spans="1:3" x14ac:dyDescent="0.35">
      <c r="A2863" s="16">
        <v>40882</v>
      </c>
      <c r="B2863" s="9">
        <v>220</v>
      </c>
      <c r="C2863">
        <f t="shared" si="51"/>
        <v>2011</v>
      </c>
    </row>
    <row r="2864" spans="1:3" x14ac:dyDescent="0.35">
      <c r="A2864" s="16">
        <v>40879</v>
      </c>
      <c r="B2864" s="9">
        <v>224</v>
      </c>
      <c r="C2864">
        <f t="shared" si="51"/>
        <v>2011</v>
      </c>
    </row>
    <row r="2865" spans="1:3" x14ac:dyDescent="0.35">
      <c r="A2865" s="16">
        <v>40878</v>
      </c>
      <c r="B2865" s="9">
        <v>219</v>
      </c>
      <c r="C2865">
        <f t="shared" si="51"/>
        <v>2011</v>
      </c>
    </row>
    <row r="2866" spans="1:3" x14ac:dyDescent="0.35">
      <c r="A2866" s="16">
        <v>40877</v>
      </c>
      <c r="B2866" s="9">
        <v>228</v>
      </c>
      <c r="C2866">
        <f t="shared" si="51"/>
        <v>2011</v>
      </c>
    </row>
    <row r="2867" spans="1:3" x14ac:dyDescent="0.35">
      <c r="A2867" s="16">
        <v>40876</v>
      </c>
      <c r="B2867" s="9">
        <v>237</v>
      </c>
      <c r="C2867">
        <f t="shared" si="51"/>
        <v>2011</v>
      </c>
    </row>
    <row r="2868" spans="1:3" x14ac:dyDescent="0.35">
      <c r="A2868" s="16">
        <v>40875</v>
      </c>
      <c r="B2868" s="9">
        <v>241</v>
      </c>
      <c r="C2868">
        <f t="shared" si="51"/>
        <v>2011</v>
      </c>
    </row>
    <row r="2869" spans="1:3" x14ac:dyDescent="0.35">
      <c r="A2869" s="16">
        <v>40872</v>
      </c>
      <c r="B2869" s="9">
        <v>241</v>
      </c>
      <c r="C2869">
        <f t="shared" si="51"/>
        <v>2011</v>
      </c>
    </row>
    <row r="2870" spans="1:3" x14ac:dyDescent="0.35">
      <c r="A2870" s="16">
        <v>40871</v>
      </c>
      <c r="B2870" s="9">
        <v>248</v>
      </c>
      <c r="C2870">
        <f t="shared" si="51"/>
        <v>2011</v>
      </c>
    </row>
    <row r="2871" spans="1:3" x14ac:dyDescent="0.35">
      <c r="A2871" s="16">
        <v>40870</v>
      </c>
      <c r="B2871" s="9">
        <v>248</v>
      </c>
      <c r="C2871">
        <f t="shared" si="51"/>
        <v>2011</v>
      </c>
    </row>
    <row r="2872" spans="1:3" x14ac:dyDescent="0.35">
      <c r="A2872" s="16">
        <v>40869</v>
      </c>
      <c r="B2872" s="9">
        <v>239</v>
      </c>
      <c r="C2872">
        <f t="shared" si="51"/>
        <v>2011</v>
      </c>
    </row>
    <row r="2873" spans="1:3" x14ac:dyDescent="0.35">
      <c r="A2873" s="16">
        <v>40868</v>
      </c>
      <c r="B2873" s="9">
        <v>241</v>
      </c>
      <c r="C2873">
        <f t="shared" si="51"/>
        <v>2011</v>
      </c>
    </row>
    <row r="2874" spans="1:3" x14ac:dyDescent="0.35">
      <c r="A2874" s="16">
        <v>40865</v>
      </c>
      <c r="B2874" s="9">
        <v>232</v>
      </c>
      <c r="C2874">
        <f t="shared" si="51"/>
        <v>2011</v>
      </c>
    </row>
    <row r="2875" spans="1:3" x14ac:dyDescent="0.35">
      <c r="A2875" s="16">
        <v>40864</v>
      </c>
      <c r="B2875" s="9">
        <v>236</v>
      </c>
      <c r="C2875">
        <f t="shared" si="51"/>
        <v>2011</v>
      </c>
    </row>
    <row r="2876" spans="1:3" x14ac:dyDescent="0.35">
      <c r="A2876" s="16">
        <v>40863</v>
      </c>
      <c r="B2876" s="9">
        <v>225</v>
      </c>
      <c r="C2876">
        <f t="shared" si="51"/>
        <v>2011</v>
      </c>
    </row>
    <row r="2877" spans="1:3" x14ac:dyDescent="0.35">
      <c r="A2877" s="16">
        <v>40862</v>
      </c>
      <c r="B2877" s="9">
        <v>219</v>
      </c>
      <c r="C2877">
        <f t="shared" si="51"/>
        <v>2011</v>
      </c>
    </row>
    <row r="2878" spans="1:3" x14ac:dyDescent="0.35">
      <c r="A2878" s="16">
        <v>40861</v>
      </c>
      <c r="B2878" s="9">
        <v>220</v>
      </c>
      <c r="C2878">
        <f t="shared" si="51"/>
        <v>2011</v>
      </c>
    </row>
    <row r="2879" spans="1:3" x14ac:dyDescent="0.35">
      <c r="A2879" s="16">
        <v>40858</v>
      </c>
      <c r="B2879" s="9">
        <v>220</v>
      </c>
      <c r="C2879">
        <f t="shared" si="51"/>
        <v>2011</v>
      </c>
    </row>
    <row r="2880" spans="1:3" x14ac:dyDescent="0.35">
      <c r="A2880" s="16">
        <v>40857</v>
      </c>
      <c r="B2880" s="9">
        <v>220</v>
      </c>
      <c r="C2880">
        <f t="shared" si="51"/>
        <v>2011</v>
      </c>
    </row>
    <row r="2881" spans="1:3" x14ac:dyDescent="0.35">
      <c r="A2881" s="16">
        <v>40856</v>
      </c>
      <c r="B2881" s="9">
        <v>230</v>
      </c>
      <c r="C2881">
        <f t="shared" si="51"/>
        <v>2011</v>
      </c>
    </row>
    <row r="2882" spans="1:3" x14ac:dyDescent="0.35">
      <c r="A2882" s="16">
        <v>40855</v>
      </c>
      <c r="B2882" s="9">
        <v>213</v>
      </c>
      <c r="C2882">
        <f t="shared" si="51"/>
        <v>2011</v>
      </c>
    </row>
    <row r="2883" spans="1:3" x14ac:dyDescent="0.35">
      <c r="A2883" s="16">
        <v>40854</v>
      </c>
      <c r="B2883" s="9">
        <v>223</v>
      </c>
      <c r="C2883">
        <f t="shared" ref="C2883:C2946" si="52">YEAR(A2883)</f>
        <v>2011</v>
      </c>
    </row>
    <row r="2884" spans="1:3" x14ac:dyDescent="0.35">
      <c r="A2884" s="16">
        <v>40851</v>
      </c>
      <c r="B2884" s="9">
        <v>219</v>
      </c>
      <c r="C2884">
        <f t="shared" si="52"/>
        <v>2011</v>
      </c>
    </row>
    <row r="2885" spans="1:3" x14ac:dyDescent="0.35">
      <c r="A2885" s="16">
        <v>40850</v>
      </c>
      <c r="B2885" s="9">
        <v>215</v>
      </c>
      <c r="C2885">
        <f t="shared" si="52"/>
        <v>2011</v>
      </c>
    </row>
    <row r="2886" spans="1:3" x14ac:dyDescent="0.35">
      <c r="A2886" s="16">
        <v>40849</v>
      </c>
      <c r="B2886" s="9">
        <v>225</v>
      </c>
      <c r="C2886">
        <f t="shared" si="52"/>
        <v>2011</v>
      </c>
    </row>
    <row r="2887" spans="1:3" x14ac:dyDescent="0.35">
      <c r="A2887" s="16">
        <v>40848</v>
      </c>
      <c r="B2887" s="9">
        <v>229</v>
      </c>
      <c r="C2887">
        <f t="shared" si="52"/>
        <v>2011</v>
      </c>
    </row>
    <row r="2888" spans="1:3" x14ac:dyDescent="0.35">
      <c r="A2888" s="16">
        <v>40847</v>
      </c>
      <c r="B2888" s="9">
        <v>222</v>
      </c>
      <c r="C2888">
        <f t="shared" si="52"/>
        <v>2011</v>
      </c>
    </row>
    <row r="2889" spans="1:3" x14ac:dyDescent="0.35">
      <c r="A2889" s="16">
        <v>40844</v>
      </c>
      <c r="B2889" s="9">
        <v>212</v>
      </c>
      <c r="C2889">
        <f t="shared" si="52"/>
        <v>2011</v>
      </c>
    </row>
    <row r="2890" spans="1:3" x14ac:dyDescent="0.35">
      <c r="A2890" s="16">
        <v>40843</v>
      </c>
      <c r="B2890" s="9">
        <v>197</v>
      </c>
      <c r="C2890">
        <f t="shared" si="52"/>
        <v>2011</v>
      </c>
    </row>
    <row r="2891" spans="1:3" x14ac:dyDescent="0.35">
      <c r="A2891" s="16">
        <v>40842</v>
      </c>
      <c r="B2891" s="9">
        <v>224</v>
      </c>
      <c r="C2891">
        <f t="shared" si="52"/>
        <v>2011</v>
      </c>
    </row>
    <row r="2892" spans="1:3" x14ac:dyDescent="0.35">
      <c r="A2892" s="16">
        <v>40841</v>
      </c>
      <c r="B2892" s="9">
        <v>233</v>
      </c>
      <c r="C2892">
        <f t="shared" si="52"/>
        <v>2011</v>
      </c>
    </row>
    <row r="2893" spans="1:3" x14ac:dyDescent="0.35">
      <c r="A2893" s="16">
        <v>40840</v>
      </c>
      <c r="B2893" s="9">
        <v>226</v>
      </c>
      <c r="C2893">
        <f t="shared" si="52"/>
        <v>2011</v>
      </c>
    </row>
    <row r="2894" spans="1:3" x14ac:dyDescent="0.35">
      <c r="A2894" s="16">
        <v>40837</v>
      </c>
      <c r="B2894" s="9">
        <v>231</v>
      </c>
      <c r="C2894">
        <f t="shared" si="52"/>
        <v>2011</v>
      </c>
    </row>
    <row r="2895" spans="1:3" x14ac:dyDescent="0.35">
      <c r="A2895" s="16">
        <v>40836</v>
      </c>
      <c r="B2895" s="9">
        <v>237</v>
      </c>
      <c r="C2895">
        <f t="shared" si="52"/>
        <v>2011</v>
      </c>
    </row>
    <row r="2896" spans="1:3" x14ac:dyDescent="0.35">
      <c r="A2896" s="16">
        <v>40835</v>
      </c>
      <c r="B2896" s="9">
        <v>235</v>
      </c>
      <c r="C2896">
        <f t="shared" si="52"/>
        <v>2011</v>
      </c>
    </row>
    <row r="2897" spans="1:3" x14ac:dyDescent="0.35">
      <c r="A2897" s="16">
        <v>40834</v>
      </c>
      <c r="B2897" s="9">
        <v>232</v>
      </c>
      <c r="C2897">
        <f t="shared" si="52"/>
        <v>2011</v>
      </c>
    </row>
    <row r="2898" spans="1:3" x14ac:dyDescent="0.35">
      <c r="A2898" s="16">
        <v>40833</v>
      </c>
      <c r="B2898" s="9">
        <v>232</v>
      </c>
      <c r="C2898">
        <f t="shared" si="52"/>
        <v>2011</v>
      </c>
    </row>
    <row r="2899" spans="1:3" x14ac:dyDescent="0.35">
      <c r="A2899" s="16">
        <v>40830</v>
      </c>
      <c r="B2899" s="9">
        <v>225</v>
      </c>
      <c r="C2899">
        <f t="shared" si="52"/>
        <v>2011</v>
      </c>
    </row>
    <row r="2900" spans="1:3" x14ac:dyDescent="0.35">
      <c r="A2900" s="16">
        <v>40829</v>
      </c>
      <c r="B2900" s="9">
        <v>233</v>
      </c>
      <c r="C2900">
        <f t="shared" si="52"/>
        <v>2011</v>
      </c>
    </row>
    <row r="2901" spans="1:3" x14ac:dyDescent="0.35">
      <c r="A2901" s="16">
        <v>40828</v>
      </c>
      <c r="B2901" s="9">
        <v>223</v>
      </c>
      <c r="C2901">
        <f t="shared" si="52"/>
        <v>2011</v>
      </c>
    </row>
    <row r="2902" spans="1:3" x14ac:dyDescent="0.35">
      <c r="A2902" s="16">
        <v>40827</v>
      </c>
      <c r="B2902" s="9">
        <v>239</v>
      </c>
      <c r="C2902">
        <f t="shared" si="52"/>
        <v>2011</v>
      </c>
    </row>
    <row r="2903" spans="1:3" x14ac:dyDescent="0.35">
      <c r="A2903" s="16">
        <v>40826</v>
      </c>
      <c r="B2903" s="9">
        <v>257</v>
      </c>
      <c r="C2903">
        <f t="shared" si="52"/>
        <v>2011</v>
      </c>
    </row>
    <row r="2904" spans="1:3" x14ac:dyDescent="0.35">
      <c r="A2904" s="16">
        <v>40823</v>
      </c>
      <c r="B2904" s="9">
        <v>257</v>
      </c>
      <c r="C2904">
        <f t="shared" si="52"/>
        <v>2011</v>
      </c>
    </row>
    <row r="2905" spans="1:3" x14ac:dyDescent="0.35">
      <c r="A2905" s="16">
        <v>40822</v>
      </c>
      <c r="B2905" s="9">
        <v>262</v>
      </c>
      <c r="C2905">
        <f t="shared" si="52"/>
        <v>2011</v>
      </c>
    </row>
    <row r="2906" spans="1:3" x14ac:dyDescent="0.35">
      <c r="A2906" s="16">
        <v>40821</v>
      </c>
      <c r="B2906" s="9">
        <v>279</v>
      </c>
      <c r="C2906">
        <f t="shared" si="52"/>
        <v>2011</v>
      </c>
    </row>
    <row r="2907" spans="1:3" x14ac:dyDescent="0.35">
      <c r="A2907" s="16">
        <v>40820</v>
      </c>
      <c r="B2907" s="9">
        <v>289</v>
      </c>
      <c r="C2907">
        <f t="shared" si="52"/>
        <v>2011</v>
      </c>
    </row>
    <row r="2908" spans="1:3" x14ac:dyDescent="0.35">
      <c r="A2908" s="16">
        <v>40819</v>
      </c>
      <c r="B2908" s="9">
        <v>288</v>
      </c>
      <c r="C2908">
        <f t="shared" si="52"/>
        <v>2011</v>
      </c>
    </row>
    <row r="2909" spans="1:3" x14ac:dyDescent="0.35">
      <c r="A2909" s="16">
        <v>40816</v>
      </c>
      <c r="B2909" s="9">
        <v>275</v>
      </c>
      <c r="C2909">
        <f t="shared" si="52"/>
        <v>2011</v>
      </c>
    </row>
    <row r="2910" spans="1:3" x14ac:dyDescent="0.35">
      <c r="A2910" s="16">
        <v>40815</v>
      </c>
      <c r="B2910" s="9">
        <v>270</v>
      </c>
      <c r="C2910">
        <f t="shared" si="52"/>
        <v>2011</v>
      </c>
    </row>
    <row r="2911" spans="1:3" x14ac:dyDescent="0.35">
      <c r="A2911" s="16">
        <v>40814</v>
      </c>
      <c r="B2911" s="9">
        <v>265</v>
      </c>
      <c r="C2911">
        <f t="shared" si="52"/>
        <v>2011</v>
      </c>
    </row>
    <row r="2912" spans="1:3" x14ac:dyDescent="0.35">
      <c r="A2912" s="16">
        <v>40813</v>
      </c>
      <c r="B2912" s="9">
        <v>264</v>
      </c>
      <c r="C2912">
        <f t="shared" si="52"/>
        <v>2011</v>
      </c>
    </row>
    <row r="2913" spans="1:3" x14ac:dyDescent="0.35">
      <c r="A2913" s="16">
        <v>40812</v>
      </c>
      <c r="B2913" s="9">
        <v>282</v>
      </c>
      <c r="C2913">
        <f t="shared" si="52"/>
        <v>2011</v>
      </c>
    </row>
    <row r="2914" spans="1:3" x14ac:dyDescent="0.35">
      <c r="A2914" s="16">
        <v>40809</v>
      </c>
      <c r="B2914" s="9">
        <v>278</v>
      </c>
      <c r="C2914">
        <f t="shared" si="52"/>
        <v>2011</v>
      </c>
    </row>
    <row r="2915" spans="1:3" x14ac:dyDescent="0.35">
      <c r="A2915" s="16">
        <v>40808</v>
      </c>
      <c r="B2915" s="9">
        <v>282</v>
      </c>
      <c r="C2915">
        <f t="shared" si="52"/>
        <v>2011</v>
      </c>
    </row>
    <row r="2916" spans="1:3" x14ac:dyDescent="0.35">
      <c r="A2916" s="16">
        <v>40807</v>
      </c>
      <c r="B2916" s="9">
        <v>254</v>
      </c>
      <c r="C2916">
        <f t="shared" si="52"/>
        <v>2011</v>
      </c>
    </row>
    <row r="2917" spans="1:3" x14ac:dyDescent="0.35">
      <c r="A2917" s="16">
        <v>40806</v>
      </c>
      <c r="B2917" s="9">
        <v>244</v>
      </c>
      <c r="C2917">
        <f t="shared" si="52"/>
        <v>2011</v>
      </c>
    </row>
    <row r="2918" spans="1:3" x14ac:dyDescent="0.35">
      <c r="A2918" s="16">
        <v>40805</v>
      </c>
      <c r="B2918" s="9">
        <v>251</v>
      </c>
      <c r="C2918">
        <f t="shared" si="52"/>
        <v>2011</v>
      </c>
    </row>
    <row r="2919" spans="1:3" x14ac:dyDescent="0.35">
      <c r="A2919" s="16">
        <v>40802</v>
      </c>
      <c r="B2919" s="9">
        <v>231</v>
      </c>
      <c r="C2919">
        <f t="shared" si="52"/>
        <v>2011</v>
      </c>
    </row>
    <row r="2920" spans="1:3" x14ac:dyDescent="0.35">
      <c r="A2920" s="16">
        <v>40801</v>
      </c>
      <c r="B2920" s="9">
        <v>228</v>
      </c>
      <c r="C2920">
        <f t="shared" si="52"/>
        <v>2011</v>
      </c>
    </row>
    <row r="2921" spans="1:3" x14ac:dyDescent="0.35">
      <c r="A2921" s="16">
        <v>40800</v>
      </c>
      <c r="B2921" s="9">
        <v>233</v>
      </c>
      <c r="C2921">
        <f t="shared" si="52"/>
        <v>2011</v>
      </c>
    </row>
    <row r="2922" spans="1:3" x14ac:dyDescent="0.35">
      <c r="A2922" s="16">
        <v>40799</v>
      </c>
      <c r="B2922" s="9">
        <v>228</v>
      </c>
      <c r="C2922">
        <f t="shared" si="52"/>
        <v>2011</v>
      </c>
    </row>
    <row r="2923" spans="1:3" x14ac:dyDescent="0.35">
      <c r="A2923" s="16">
        <v>40798</v>
      </c>
      <c r="B2923" s="9">
        <v>232</v>
      </c>
      <c r="C2923">
        <f t="shared" si="52"/>
        <v>2011</v>
      </c>
    </row>
    <row r="2924" spans="1:3" x14ac:dyDescent="0.35">
      <c r="A2924" s="16">
        <v>40795</v>
      </c>
      <c r="B2924" s="9">
        <v>228</v>
      </c>
      <c r="C2924">
        <f t="shared" si="52"/>
        <v>2011</v>
      </c>
    </row>
    <row r="2925" spans="1:3" x14ac:dyDescent="0.35">
      <c r="A2925" s="16">
        <v>40794</v>
      </c>
      <c r="B2925" s="9">
        <v>217</v>
      </c>
      <c r="C2925">
        <f t="shared" si="52"/>
        <v>2011</v>
      </c>
    </row>
    <row r="2926" spans="1:3" x14ac:dyDescent="0.35">
      <c r="A2926" s="16">
        <v>40793</v>
      </c>
      <c r="B2926" s="9">
        <v>211</v>
      </c>
      <c r="C2926">
        <f t="shared" si="52"/>
        <v>2011</v>
      </c>
    </row>
    <row r="2927" spans="1:3" x14ac:dyDescent="0.35">
      <c r="A2927" s="16">
        <v>40792</v>
      </c>
      <c r="B2927" s="9">
        <v>217</v>
      </c>
      <c r="C2927">
        <f t="shared" si="52"/>
        <v>2011</v>
      </c>
    </row>
    <row r="2928" spans="1:3" x14ac:dyDescent="0.35">
      <c r="A2928" s="16">
        <v>40791</v>
      </c>
      <c r="B2928" s="9">
        <v>214</v>
      </c>
      <c r="C2928">
        <f t="shared" si="52"/>
        <v>2011</v>
      </c>
    </row>
    <row r="2929" spans="1:3" x14ac:dyDescent="0.35">
      <c r="A2929" s="16">
        <v>40788</v>
      </c>
      <c r="B2929" s="9">
        <v>214</v>
      </c>
      <c r="C2929">
        <f t="shared" si="52"/>
        <v>2011</v>
      </c>
    </row>
    <row r="2930" spans="1:3" x14ac:dyDescent="0.35">
      <c r="A2930" s="16">
        <v>40787</v>
      </c>
      <c r="B2930" s="9">
        <v>203</v>
      </c>
      <c r="C2930">
        <f t="shared" si="52"/>
        <v>2011</v>
      </c>
    </row>
    <row r="2931" spans="1:3" x14ac:dyDescent="0.35">
      <c r="A2931" s="16">
        <v>40786</v>
      </c>
      <c r="B2931" s="9">
        <v>194</v>
      </c>
      <c r="C2931">
        <f t="shared" si="52"/>
        <v>2011</v>
      </c>
    </row>
    <row r="2932" spans="1:3" x14ac:dyDescent="0.35">
      <c r="A2932" s="16">
        <v>40785</v>
      </c>
      <c r="B2932" s="9">
        <v>207</v>
      </c>
      <c r="C2932">
        <f t="shared" si="52"/>
        <v>2011</v>
      </c>
    </row>
    <row r="2933" spans="1:3" x14ac:dyDescent="0.35">
      <c r="A2933" s="16">
        <v>40784</v>
      </c>
      <c r="B2933" s="9">
        <v>200</v>
      </c>
      <c r="C2933">
        <f t="shared" si="52"/>
        <v>2011</v>
      </c>
    </row>
    <row r="2934" spans="1:3" x14ac:dyDescent="0.35">
      <c r="A2934" s="16">
        <v>40781</v>
      </c>
      <c r="B2934" s="9">
        <v>210</v>
      </c>
      <c r="C2934">
        <f t="shared" si="52"/>
        <v>2011</v>
      </c>
    </row>
    <row r="2935" spans="1:3" x14ac:dyDescent="0.35">
      <c r="A2935" s="16">
        <v>40780</v>
      </c>
      <c r="B2935" s="9">
        <v>204</v>
      </c>
      <c r="C2935">
        <f t="shared" si="52"/>
        <v>2011</v>
      </c>
    </row>
    <row r="2936" spans="1:3" x14ac:dyDescent="0.35">
      <c r="A2936" s="16">
        <v>40779</v>
      </c>
      <c r="B2936" s="9">
        <v>201</v>
      </c>
      <c r="C2936">
        <f t="shared" si="52"/>
        <v>2011</v>
      </c>
    </row>
    <row r="2937" spans="1:3" x14ac:dyDescent="0.35">
      <c r="A2937" s="16">
        <v>40778</v>
      </c>
      <c r="B2937" s="9">
        <v>213</v>
      </c>
      <c r="C2937">
        <f t="shared" si="52"/>
        <v>2011</v>
      </c>
    </row>
    <row r="2938" spans="1:3" x14ac:dyDescent="0.35">
      <c r="A2938" s="16">
        <v>40777</v>
      </c>
      <c r="B2938" s="9">
        <v>214</v>
      </c>
      <c r="C2938">
        <f t="shared" si="52"/>
        <v>2011</v>
      </c>
    </row>
    <row r="2939" spans="1:3" x14ac:dyDescent="0.35">
      <c r="A2939" s="16">
        <v>40774</v>
      </c>
      <c r="B2939" s="9">
        <v>215</v>
      </c>
      <c r="C2939">
        <f t="shared" si="52"/>
        <v>2011</v>
      </c>
    </row>
    <row r="2940" spans="1:3" x14ac:dyDescent="0.35">
      <c r="A2940" s="16">
        <v>40773</v>
      </c>
      <c r="B2940" s="9">
        <v>213</v>
      </c>
      <c r="C2940">
        <f t="shared" si="52"/>
        <v>2011</v>
      </c>
    </row>
    <row r="2941" spans="1:3" x14ac:dyDescent="0.35">
      <c r="A2941" s="16">
        <v>40772</v>
      </c>
      <c r="B2941" s="9">
        <v>206</v>
      </c>
      <c r="C2941">
        <f t="shared" si="52"/>
        <v>2011</v>
      </c>
    </row>
    <row r="2942" spans="1:3" x14ac:dyDescent="0.35">
      <c r="A2942" s="16">
        <v>40771</v>
      </c>
      <c r="B2942" s="9">
        <v>206</v>
      </c>
      <c r="C2942">
        <f t="shared" si="52"/>
        <v>2011</v>
      </c>
    </row>
    <row r="2943" spans="1:3" x14ac:dyDescent="0.35">
      <c r="A2943" s="16">
        <v>40770</v>
      </c>
      <c r="B2943" s="9">
        <v>199</v>
      </c>
      <c r="C2943">
        <f t="shared" si="52"/>
        <v>2011</v>
      </c>
    </row>
    <row r="2944" spans="1:3" x14ac:dyDescent="0.35">
      <c r="A2944" s="16">
        <v>40767</v>
      </c>
      <c r="B2944" s="9">
        <v>214</v>
      </c>
      <c r="C2944">
        <f t="shared" si="52"/>
        <v>2011</v>
      </c>
    </row>
    <row r="2945" spans="1:3" x14ac:dyDescent="0.35">
      <c r="A2945" s="16">
        <v>40766</v>
      </c>
      <c r="B2945" s="9">
        <v>215</v>
      </c>
      <c r="C2945">
        <f t="shared" si="52"/>
        <v>2011</v>
      </c>
    </row>
    <row r="2946" spans="1:3" x14ac:dyDescent="0.35">
      <c r="A2946" s="16">
        <v>40765</v>
      </c>
      <c r="B2946" s="9">
        <v>221</v>
      </c>
      <c r="C2946">
        <f t="shared" si="52"/>
        <v>2011</v>
      </c>
    </row>
    <row r="2947" spans="1:3" x14ac:dyDescent="0.35">
      <c r="A2947" s="16">
        <v>40764</v>
      </c>
      <c r="B2947" s="9">
        <v>217</v>
      </c>
      <c r="C2947">
        <f t="shared" ref="C2947:C3010" si="53">YEAR(A2947)</f>
        <v>2011</v>
      </c>
    </row>
    <row r="2948" spans="1:3" x14ac:dyDescent="0.35">
      <c r="A2948" s="16">
        <v>40763</v>
      </c>
      <c r="B2948" s="9">
        <v>212</v>
      </c>
      <c r="C2948">
        <f t="shared" si="53"/>
        <v>2011</v>
      </c>
    </row>
    <row r="2949" spans="1:3" x14ac:dyDescent="0.35">
      <c r="A2949" s="16">
        <v>40760</v>
      </c>
      <c r="B2949" s="9">
        <v>179</v>
      </c>
      <c r="C2949">
        <f t="shared" si="53"/>
        <v>2011</v>
      </c>
    </row>
    <row r="2950" spans="1:3" x14ac:dyDescent="0.35">
      <c r="A2950" s="16">
        <v>40759</v>
      </c>
      <c r="B2950" s="9">
        <v>186</v>
      </c>
      <c r="C2950">
        <f t="shared" si="53"/>
        <v>2011</v>
      </c>
    </row>
    <row r="2951" spans="1:3" x14ac:dyDescent="0.35">
      <c r="A2951" s="16">
        <v>40758</v>
      </c>
      <c r="B2951" s="9">
        <v>166</v>
      </c>
      <c r="C2951">
        <f t="shared" si="53"/>
        <v>2011</v>
      </c>
    </row>
    <row r="2952" spans="1:3" x14ac:dyDescent="0.35">
      <c r="A2952" s="16">
        <v>40757</v>
      </c>
      <c r="B2952" s="9">
        <v>162</v>
      </c>
      <c r="C2952">
        <f t="shared" si="53"/>
        <v>2011</v>
      </c>
    </row>
    <row r="2953" spans="1:3" x14ac:dyDescent="0.35">
      <c r="A2953" s="16">
        <v>40756</v>
      </c>
      <c r="B2953" s="9">
        <v>157</v>
      </c>
      <c r="C2953">
        <f t="shared" si="53"/>
        <v>2011</v>
      </c>
    </row>
    <row r="2954" spans="1:3" x14ac:dyDescent="0.35">
      <c r="A2954" s="16">
        <v>40753</v>
      </c>
      <c r="B2954" s="9">
        <v>157</v>
      </c>
      <c r="C2954">
        <f t="shared" si="53"/>
        <v>2011</v>
      </c>
    </row>
    <row r="2955" spans="1:3" x14ac:dyDescent="0.35">
      <c r="A2955" s="16">
        <v>40752</v>
      </c>
      <c r="B2955" s="9">
        <v>153</v>
      </c>
      <c r="C2955">
        <f t="shared" si="53"/>
        <v>2011</v>
      </c>
    </row>
    <row r="2956" spans="1:3" x14ac:dyDescent="0.35">
      <c r="A2956" s="16">
        <v>40751</v>
      </c>
      <c r="B2956" s="9">
        <v>156</v>
      </c>
      <c r="C2956">
        <f t="shared" si="53"/>
        <v>2011</v>
      </c>
    </row>
    <row r="2957" spans="1:3" x14ac:dyDescent="0.35">
      <c r="A2957" s="16">
        <v>40750</v>
      </c>
      <c r="B2957" s="9">
        <v>159</v>
      </c>
      <c r="C2957">
        <f t="shared" si="53"/>
        <v>2011</v>
      </c>
    </row>
    <row r="2958" spans="1:3" x14ac:dyDescent="0.35">
      <c r="A2958" s="16">
        <v>40749</v>
      </c>
      <c r="B2958" s="9">
        <v>159</v>
      </c>
      <c r="C2958">
        <f t="shared" si="53"/>
        <v>2011</v>
      </c>
    </row>
    <row r="2959" spans="1:3" x14ac:dyDescent="0.35">
      <c r="A2959" s="16">
        <v>40746</v>
      </c>
      <c r="B2959" s="9">
        <v>163</v>
      </c>
      <c r="C2959">
        <f t="shared" si="53"/>
        <v>2011</v>
      </c>
    </row>
    <row r="2960" spans="1:3" x14ac:dyDescent="0.35">
      <c r="A2960" s="16">
        <v>40745</v>
      </c>
      <c r="B2960" s="9">
        <v>161</v>
      </c>
      <c r="C2960">
        <f t="shared" si="53"/>
        <v>2011</v>
      </c>
    </row>
    <row r="2961" spans="1:3" x14ac:dyDescent="0.35">
      <c r="A2961" s="16">
        <v>40744</v>
      </c>
      <c r="B2961" s="9">
        <v>166</v>
      </c>
      <c r="C2961">
        <f t="shared" si="53"/>
        <v>2011</v>
      </c>
    </row>
    <row r="2962" spans="1:3" x14ac:dyDescent="0.35">
      <c r="A2962" s="16">
        <v>40743</v>
      </c>
      <c r="B2962" s="9">
        <v>171</v>
      </c>
      <c r="C2962">
        <f t="shared" si="53"/>
        <v>2011</v>
      </c>
    </row>
    <row r="2963" spans="1:3" x14ac:dyDescent="0.35">
      <c r="A2963" s="16">
        <v>40742</v>
      </c>
      <c r="B2963" s="9">
        <v>170</v>
      </c>
      <c r="C2963">
        <f t="shared" si="53"/>
        <v>2011</v>
      </c>
    </row>
    <row r="2964" spans="1:3" x14ac:dyDescent="0.35">
      <c r="A2964" s="16">
        <v>40739</v>
      </c>
      <c r="B2964" s="9">
        <v>173</v>
      </c>
      <c r="C2964">
        <f t="shared" si="53"/>
        <v>2011</v>
      </c>
    </row>
    <row r="2965" spans="1:3" x14ac:dyDescent="0.35">
      <c r="A2965" s="16">
        <v>40738</v>
      </c>
      <c r="B2965" s="9">
        <v>172</v>
      </c>
      <c r="C2965">
        <f t="shared" si="53"/>
        <v>2011</v>
      </c>
    </row>
    <row r="2966" spans="1:3" x14ac:dyDescent="0.35">
      <c r="A2966" s="16">
        <v>40737</v>
      </c>
      <c r="B2966" s="9">
        <v>176</v>
      </c>
      <c r="C2966">
        <f t="shared" si="53"/>
        <v>2011</v>
      </c>
    </row>
    <row r="2967" spans="1:3" x14ac:dyDescent="0.35">
      <c r="A2967" s="16">
        <v>40736</v>
      </c>
      <c r="B2967" s="9">
        <v>173</v>
      </c>
      <c r="C2967">
        <f t="shared" si="53"/>
        <v>2011</v>
      </c>
    </row>
    <row r="2968" spans="1:3" x14ac:dyDescent="0.35">
      <c r="A2968" s="16">
        <v>40735</v>
      </c>
      <c r="B2968" s="9">
        <v>173</v>
      </c>
      <c r="C2968">
        <f t="shared" si="53"/>
        <v>2011</v>
      </c>
    </row>
    <row r="2969" spans="1:3" x14ac:dyDescent="0.35">
      <c r="A2969" s="16">
        <v>40732</v>
      </c>
      <c r="B2969" s="9">
        <v>163</v>
      </c>
      <c r="C2969">
        <f t="shared" si="53"/>
        <v>2011</v>
      </c>
    </row>
    <row r="2970" spans="1:3" x14ac:dyDescent="0.35">
      <c r="A2970" s="16">
        <v>40731</v>
      </c>
      <c r="B2970" s="9">
        <v>153</v>
      </c>
      <c r="C2970">
        <f t="shared" si="53"/>
        <v>2011</v>
      </c>
    </row>
    <row r="2971" spans="1:3" x14ac:dyDescent="0.35">
      <c r="A2971" s="16">
        <v>40730</v>
      </c>
      <c r="B2971" s="9">
        <v>159</v>
      </c>
      <c r="C2971">
        <f t="shared" si="53"/>
        <v>2011</v>
      </c>
    </row>
    <row r="2972" spans="1:3" x14ac:dyDescent="0.35">
      <c r="A2972" s="16">
        <v>40729</v>
      </c>
      <c r="B2972" s="9">
        <v>154</v>
      </c>
      <c r="C2972">
        <f t="shared" si="53"/>
        <v>2011</v>
      </c>
    </row>
    <row r="2973" spans="1:3" x14ac:dyDescent="0.35">
      <c r="A2973" s="16">
        <v>40728</v>
      </c>
      <c r="B2973" s="9">
        <v>147</v>
      </c>
      <c r="C2973">
        <f t="shared" si="53"/>
        <v>2011</v>
      </c>
    </row>
    <row r="2974" spans="1:3" x14ac:dyDescent="0.35">
      <c r="A2974" s="16">
        <v>40725</v>
      </c>
      <c r="B2974" s="9">
        <v>147</v>
      </c>
      <c r="C2974">
        <f t="shared" si="53"/>
        <v>2011</v>
      </c>
    </row>
    <row r="2975" spans="1:3" x14ac:dyDescent="0.35">
      <c r="A2975" s="16">
        <v>40724</v>
      </c>
      <c r="B2975" s="9">
        <v>148</v>
      </c>
      <c r="C2975">
        <f t="shared" si="53"/>
        <v>2011</v>
      </c>
    </row>
    <row r="2976" spans="1:3" x14ac:dyDescent="0.35">
      <c r="A2976" s="16">
        <v>40723</v>
      </c>
      <c r="B2976" s="9">
        <v>154</v>
      </c>
      <c r="C2976">
        <f t="shared" si="53"/>
        <v>2011</v>
      </c>
    </row>
    <row r="2977" spans="1:3" x14ac:dyDescent="0.35">
      <c r="A2977" s="16">
        <v>40722</v>
      </c>
      <c r="B2977" s="9">
        <v>160</v>
      </c>
      <c r="C2977">
        <f t="shared" si="53"/>
        <v>2011</v>
      </c>
    </row>
    <row r="2978" spans="1:3" x14ac:dyDescent="0.35">
      <c r="A2978" s="16">
        <v>40721</v>
      </c>
      <c r="B2978" s="9">
        <v>168</v>
      </c>
      <c r="C2978">
        <f t="shared" si="53"/>
        <v>2011</v>
      </c>
    </row>
    <row r="2979" spans="1:3" x14ac:dyDescent="0.35">
      <c r="A2979" s="16">
        <v>40718</v>
      </c>
      <c r="B2979" s="9">
        <v>175</v>
      </c>
      <c r="C2979">
        <f t="shared" si="53"/>
        <v>2011</v>
      </c>
    </row>
    <row r="2980" spans="1:3" x14ac:dyDescent="0.35">
      <c r="A2980" s="16">
        <v>40717</v>
      </c>
      <c r="B2980" s="9">
        <v>172</v>
      </c>
      <c r="C2980">
        <f t="shared" si="53"/>
        <v>2011</v>
      </c>
    </row>
    <row r="2981" spans="1:3" x14ac:dyDescent="0.35">
      <c r="A2981" s="16">
        <v>40716</v>
      </c>
      <c r="B2981" s="9">
        <v>166</v>
      </c>
      <c r="C2981">
        <f t="shared" si="53"/>
        <v>2011</v>
      </c>
    </row>
    <row r="2982" spans="1:3" x14ac:dyDescent="0.35">
      <c r="A2982" s="16">
        <v>40715</v>
      </c>
      <c r="B2982" s="9">
        <v>167</v>
      </c>
      <c r="C2982">
        <f t="shared" si="53"/>
        <v>2011</v>
      </c>
    </row>
    <row r="2983" spans="1:3" x14ac:dyDescent="0.35">
      <c r="A2983" s="16">
        <v>40714</v>
      </c>
      <c r="B2983" s="9">
        <v>172</v>
      </c>
      <c r="C2983">
        <f t="shared" si="53"/>
        <v>2011</v>
      </c>
    </row>
    <row r="2984" spans="1:3" x14ac:dyDescent="0.35">
      <c r="A2984" s="16">
        <v>40711</v>
      </c>
      <c r="B2984" s="9">
        <v>179</v>
      </c>
      <c r="C2984">
        <f t="shared" si="53"/>
        <v>2011</v>
      </c>
    </row>
    <row r="2985" spans="1:3" x14ac:dyDescent="0.35">
      <c r="A2985" s="16">
        <v>40710</v>
      </c>
      <c r="B2985" s="9">
        <v>179</v>
      </c>
      <c r="C2985">
        <f t="shared" si="53"/>
        <v>2011</v>
      </c>
    </row>
    <row r="2986" spans="1:3" x14ac:dyDescent="0.35">
      <c r="A2986" s="16">
        <v>40709</v>
      </c>
      <c r="B2986" s="9">
        <v>174</v>
      </c>
      <c r="C2986">
        <f t="shared" si="53"/>
        <v>2011</v>
      </c>
    </row>
    <row r="2987" spans="1:3" x14ac:dyDescent="0.35">
      <c r="A2987" s="16">
        <v>40708</v>
      </c>
      <c r="B2987" s="9">
        <v>161</v>
      </c>
      <c r="C2987">
        <f t="shared" si="53"/>
        <v>2011</v>
      </c>
    </row>
    <row r="2988" spans="1:3" x14ac:dyDescent="0.35">
      <c r="A2988" s="16">
        <v>40707</v>
      </c>
      <c r="B2988" s="9">
        <v>176</v>
      </c>
      <c r="C2988">
        <f t="shared" si="53"/>
        <v>2011</v>
      </c>
    </row>
    <row r="2989" spans="1:3" x14ac:dyDescent="0.35">
      <c r="A2989" s="16">
        <v>40704</v>
      </c>
      <c r="B2989" s="9">
        <v>177</v>
      </c>
      <c r="C2989">
        <f t="shared" si="53"/>
        <v>2011</v>
      </c>
    </row>
    <row r="2990" spans="1:3" x14ac:dyDescent="0.35">
      <c r="A2990" s="16">
        <v>40703</v>
      </c>
      <c r="B2990" s="9">
        <v>176</v>
      </c>
      <c r="C2990">
        <f t="shared" si="53"/>
        <v>2011</v>
      </c>
    </row>
    <row r="2991" spans="1:3" x14ac:dyDescent="0.35">
      <c r="A2991" s="16">
        <v>40702</v>
      </c>
      <c r="B2991" s="9">
        <v>179</v>
      </c>
      <c r="C2991">
        <f t="shared" si="53"/>
        <v>2011</v>
      </c>
    </row>
    <row r="2992" spans="1:3" x14ac:dyDescent="0.35">
      <c r="A2992" s="16">
        <v>40701</v>
      </c>
      <c r="B2992" s="9">
        <v>175</v>
      </c>
      <c r="C2992">
        <f t="shared" si="53"/>
        <v>2011</v>
      </c>
    </row>
    <row r="2993" spans="1:3" x14ac:dyDescent="0.35">
      <c r="A2993" s="16">
        <v>40700</v>
      </c>
      <c r="B2993" s="9">
        <v>177</v>
      </c>
      <c r="C2993">
        <f t="shared" si="53"/>
        <v>2011</v>
      </c>
    </row>
    <row r="2994" spans="1:3" x14ac:dyDescent="0.35">
      <c r="A2994" s="16">
        <v>40697</v>
      </c>
      <c r="B2994" s="9">
        <v>175</v>
      </c>
      <c r="C2994">
        <f t="shared" si="53"/>
        <v>2011</v>
      </c>
    </row>
    <row r="2995" spans="1:3" x14ac:dyDescent="0.35">
      <c r="A2995" s="16">
        <v>40696</v>
      </c>
      <c r="B2995" s="9">
        <v>174</v>
      </c>
      <c r="C2995">
        <f t="shared" si="53"/>
        <v>2011</v>
      </c>
    </row>
    <row r="2996" spans="1:3" x14ac:dyDescent="0.35">
      <c r="A2996" s="16">
        <v>40695</v>
      </c>
      <c r="B2996" s="9">
        <v>183</v>
      </c>
      <c r="C2996">
        <f t="shared" si="53"/>
        <v>2011</v>
      </c>
    </row>
    <row r="2997" spans="1:3" x14ac:dyDescent="0.35">
      <c r="A2997" s="16">
        <v>40694</v>
      </c>
      <c r="B2997" s="9">
        <v>175</v>
      </c>
      <c r="C2997">
        <f t="shared" si="53"/>
        <v>2011</v>
      </c>
    </row>
    <row r="2998" spans="1:3" x14ac:dyDescent="0.35">
      <c r="A2998" s="16">
        <v>40693</v>
      </c>
      <c r="B2998" s="9">
        <v>175</v>
      </c>
      <c r="C2998">
        <f t="shared" si="53"/>
        <v>2011</v>
      </c>
    </row>
    <row r="2999" spans="1:3" x14ac:dyDescent="0.35">
      <c r="A2999" s="16">
        <v>40690</v>
      </c>
      <c r="B2999" s="9">
        <v>175</v>
      </c>
      <c r="C2999">
        <f t="shared" si="53"/>
        <v>2011</v>
      </c>
    </row>
    <row r="3000" spans="1:3" x14ac:dyDescent="0.35">
      <c r="A3000" s="16">
        <v>40689</v>
      </c>
      <c r="B3000" s="9">
        <v>174</v>
      </c>
      <c r="C3000">
        <f t="shared" si="53"/>
        <v>2011</v>
      </c>
    </row>
    <row r="3001" spans="1:3" x14ac:dyDescent="0.35">
      <c r="A3001" s="16">
        <v>40688</v>
      </c>
      <c r="B3001" s="9">
        <v>166</v>
      </c>
      <c r="C3001">
        <f t="shared" si="53"/>
        <v>2011</v>
      </c>
    </row>
    <row r="3002" spans="1:3" x14ac:dyDescent="0.35">
      <c r="A3002" s="16">
        <v>40687</v>
      </c>
      <c r="B3002" s="9">
        <v>165</v>
      </c>
      <c r="C3002">
        <f t="shared" si="53"/>
        <v>2011</v>
      </c>
    </row>
    <row r="3003" spans="1:3" x14ac:dyDescent="0.35">
      <c r="A3003" s="16">
        <v>40686</v>
      </c>
      <c r="B3003" s="9">
        <v>165</v>
      </c>
      <c r="C3003">
        <f t="shared" si="53"/>
        <v>2011</v>
      </c>
    </row>
    <row r="3004" spans="1:3" x14ac:dyDescent="0.35">
      <c r="A3004" s="16">
        <v>40683</v>
      </c>
      <c r="B3004" s="9">
        <v>162</v>
      </c>
      <c r="C3004">
        <f t="shared" si="53"/>
        <v>2011</v>
      </c>
    </row>
    <row r="3005" spans="1:3" x14ac:dyDescent="0.35">
      <c r="A3005" s="16">
        <v>40682</v>
      </c>
      <c r="B3005" s="9">
        <v>163</v>
      </c>
      <c r="C3005">
        <f t="shared" si="53"/>
        <v>2011</v>
      </c>
    </row>
    <row r="3006" spans="1:3" x14ac:dyDescent="0.35">
      <c r="A3006" s="16">
        <v>40681</v>
      </c>
      <c r="B3006" s="9">
        <v>166</v>
      </c>
      <c r="C3006">
        <f t="shared" si="53"/>
        <v>2011</v>
      </c>
    </row>
    <row r="3007" spans="1:3" x14ac:dyDescent="0.35">
      <c r="A3007" s="16">
        <v>40680</v>
      </c>
      <c r="B3007" s="9">
        <v>169</v>
      </c>
      <c r="C3007">
        <f t="shared" si="53"/>
        <v>2011</v>
      </c>
    </row>
    <row r="3008" spans="1:3" x14ac:dyDescent="0.35">
      <c r="A3008" s="16">
        <v>40679</v>
      </c>
      <c r="B3008" s="9">
        <v>169</v>
      </c>
      <c r="C3008">
        <f t="shared" si="53"/>
        <v>2011</v>
      </c>
    </row>
    <row r="3009" spans="1:3" x14ac:dyDescent="0.35">
      <c r="A3009" s="16">
        <v>40676</v>
      </c>
      <c r="B3009" s="9">
        <v>168</v>
      </c>
      <c r="C3009">
        <f t="shared" si="53"/>
        <v>2011</v>
      </c>
    </row>
    <row r="3010" spans="1:3" x14ac:dyDescent="0.35">
      <c r="A3010" s="16">
        <v>40675</v>
      </c>
      <c r="B3010" s="9">
        <v>167</v>
      </c>
      <c r="C3010">
        <f t="shared" si="53"/>
        <v>2011</v>
      </c>
    </row>
    <row r="3011" spans="1:3" x14ac:dyDescent="0.35">
      <c r="A3011" s="16">
        <v>40674</v>
      </c>
      <c r="B3011" s="9">
        <v>171</v>
      </c>
      <c r="C3011">
        <f t="shared" ref="C3011:C3074" si="54">YEAR(A3011)</f>
        <v>2011</v>
      </c>
    </row>
    <row r="3012" spans="1:3" x14ac:dyDescent="0.35">
      <c r="A3012" s="16">
        <v>40673</v>
      </c>
      <c r="B3012" s="9">
        <v>166</v>
      </c>
      <c r="C3012">
        <f t="shared" si="54"/>
        <v>2011</v>
      </c>
    </row>
    <row r="3013" spans="1:3" x14ac:dyDescent="0.35">
      <c r="A3013" s="16">
        <v>40672</v>
      </c>
      <c r="B3013" s="9">
        <v>168</v>
      </c>
      <c r="C3013">
        <f t="shared" si="54"/>
        <v>2011</v>
      </c>
    </row>
    <row r="3014" spans="1:3" x14ac:dyDescent="0.35">
      <c r="A3014" s="16">
        <v>40669</v>
      </c>
      <c r="B3014" s="9">
        <v>171</v>
      </c>
      <c r="C3014">
        <f t="shared" si="54"/>
        <v>2011</v>
      </c>
    </row>
    <row r="3015" spans="1:3" x14ac:dyDescent="0.35">
      <c r="A3015" s="16">
        <v>40668</v>
      </c>
      <c r="B3015" s="9">
        <v>171</v>
      </c>
      <c r="C3015">
        <f t="shared" si="54"/>
        <v>2011</v>
      </c>
    </row>
    <row r="3016" spans="1:3" x14ac:dyDescent="0.35">
      <c r="A3016" s="16">
        <v>40667</v>
      </c>
      <c r="B3016" s="9">
        <v>173</v>
      </c>
      <c r="C3016">
        <f t="shared" si="54"/>
        <v>2011</v>
      </c>
    </row>
    <row r="3017" spans="1:3" x14ac:dyDescent="0.35">
      <c r="A3017" s="16">
        <v>40666</v>
      </c>
      <c r="B3017" s="9">
        <v>169</v>
      </c>
      <c r="C3017">
        <f t="shared" si="54"/>
        <v>2011</v>
      </c>
    </row>
    <row r="3018" spans="1:3" x14ac:dyDescent="0.35">
      <c r="A3018" s="16">
        <v>40665</v>
      </c>
      <c r="B3018" s="9">
        <v>165</v>
      </c>
      <c r="C3018">
        <f t="shared" si="54"/>
        <v>2011</v>
      </c>
    </row>
    <row r="3019" spans="1:3" x14ac:dyDescent="0.35">
      <c r="A3019" s="16">
        <v>40662</v>
      </c>
      <c r="B3019" s="9">
        <v>169</v>
      </c>
      <c r="C3019">
        <f t="shared" si="54"/>
        <v>2011</v>
      </c>
    </row>
    <row r="3020" spans="1:3" x14ac:dyDescent="0.35">
      <c r="A3020" s="16">
        <v>40661</v>
      </c>
      <c r="B3020" s="9">
        <v>176</v>
      </c>
      <c r="C3020">
        <f t="shared" si="54"/>
        <v>2011</v>
      </c>
    </row>
    <row r="3021" spans="1:3" x14ac:dyDescent="0.35">
      <c r="A3021" s="16">
        <v>40660</v>
      </c>
      <c r="B3021" s="9">
        <v>176</v>
      </c>
      <c r="C3021">
        <f t="shared" si="54"/>
        <v>2011</v>
      </c>
    </row>
    <row r="3022" spans="1:3" x14ac:dyDescent="0.35">
      <c r="A3022" s="16">
        <v>40659</v>
      </c>
      <c r="B3022" s="9">
        <v>179</v>
      </c>
      <c r="C3022">
        <f t="shared" si="54"/>
        <v>2011</v>
      </c>
    </row>
    <row r="3023" spans="1:3" x14ac:dyDescent="0.35">
      <c r="A3023" s="16">
        <v>40658</v>
      </c>
      <c r="B3023" s="9">
        <v>179</v>
      </c>
      <c r="C3023">
        <f t="shared" si="54"/>
        <v>2011</v>
      </c>
    </row>
    <row r="3024" spans="1:3" x14ac:dyDescent="0.35">
      <c r="A3024" s="16">
        <v>40654</v>
      </c>
      <c r="B3024" s="9">
        <v>176</v>
      </c>
      <c r="C3024">
        <f t="shared" si="54"/>
        <v>2011</v>
      </c>
    </row>
    <row r="3025" spans="1:3" x14ac:dyDescent="0.35">
      <c r="A3025" s="16">
        <v>40653</v>
      </c>
      <c r="B3025" s="9">
        <v>176</v>
      </c>
      <c r="C3025">
        <f t="shared" si="54"/>
        <v>2011</v>
      </c>
    </row>
    <row r="3026" spans="1:3" x14ac:dyDescent="0.35">
      <c r="A3026" s="16">
        <v>40652</v>
      </c>
      <c r="B3026" s="9">
        <v>181</v>
      </c>
      <c r="C3026">
        <f t="shared" si="54"/>
        <v>2011</v>
      </c>
    </row>
    <row r="3027" spans="1:3" x14ac:dyDescent="0.35">
      <c r="A3027" s="16">
        <v>40651</v>
      </c>
      <c r="B3027" s="9">
        <v>178</v>
      </c>
      <c r="C3027">
        <f t="shared" si="54"/>
        <v>2011</v>
      </c>
    </row>
    <row r="3028" spans="1:3" x14ac:dyDescent="0.35">
      <c r="A3028" s="16">
        <v>40648</v>
      </c>
      <c r="B3028" s="9">
        <v>175</v>
      </c>
      <c r="C3028">
        <f t="shared" si="54"/>
        <v>2011</v>
      </c>
    </row>
    <row r="3029" spans="1:3" x14ac:dyDescent="0.35">
      <c r="A3029" s="16">
        <v>40647</v>
      </c>
      <c r="B3029" s="9">
        <v>171</v>
      </c>
      <c r="C3029">
        <f t="shared" si="54"/>
        <v>2011</v>
      </c>
    </row>
    <row r="3030" spans="1:3" x14ac:dyDescent="0.35">
      <c r="A3030" s="16">
        <v>40646</v>
      </c>
      <c r="B3030" s="9">
        <v>171</v>
      </c>
      <c r="C3030">
        <f t="shared" si="54"/>
        <v>2011</v>
      </c>
    </row>
    <row r="3031" spans="1:3" x14ac:dyDescent="0.35">
      <c r="A3031" s="16">
        <v>40645</v>
      </c>
      <c r="B3031" s="9">
        <v>170</v>
      </c>
      <c r="C3031">
        <f t="shared" si="54"/>
        <v>2011</v>
      </c>
    </row>
    <row r="3032" spans="1:3" x14ac:dyDescent="0.35">
      <c r="A3032" s="16">
        <v>40644</v>
      </c>
      <c r="B3032" s="9">
        <v>164</v>
      </c>
      <c r="C3032">
        <f t="shared" si="54"/>
        <v>2011</v>
      </c>
    </row>
    <row r="3033" spans="1:3" x14ac:dyDescent="0.35">
      <c r="A3033" s="16">
        <v>40641</v>
      </c>
      <c r="B3033" s="9">
        <v>164</v>
      </c>
      <c r="C3033">
        <f t="shared" si="54"/>
        <v>2011</v>
      </c>
    </row>
    <row r="3034" spans="1:3" x14ac:dyDescent="0.35">
      <c r="A3034" s="16">
        <v>40640</v>
      </c>
      <c r="B3034" s="9">
        <v>164</v>
      </c>
      <c r="C3034">
        <f t="shared" si="54"/>
        <v>2011</v>
      </c>
    </row>
    <row r="3035" spans="1:3" x14ac:dyDescent="0.35">
      <c r="A3035" s="16">
        <v>40639</v>
      </c>
      <c r="B3035" s="9">
        <v>163</v>
      </c>
      <c r="C3035">
        <f t="shared" si="54"/>
        <v>2011</v>
      </c>
    </row>
    <row r="3036" spans="1:3" x14ac:dyDescent="0.35">
      <c r="A3036" s="16">
        <v>40638</v>
      </c>
      <c r="B3036" s="9">
        <v>168</v>
      </c>
      <c r="C3036">
        <f t="shared" si="54"/>
        <v>2011</v>
      </c>
    </row>
    <row r="3037" spans="1:3" x14ac:dyDescent="0.35">
      <c r="A3037" s="16">
        <v>40637</v>
      </c>
      <c r="B3037" s="9">
        <v>169</v>
      </c>
      <c r="C3037">
        <f t="shared" si="54"/>
        <v>2011</v>
      </c>
    </row>
    <row r="3038" spans="1:3" x14ac:dyDescent="0.35">
      <c r="A3038" s="16">
        <v>40634</v>
      </c>
      <c r="B3038" s="9">
        <v>171</v>
      </c>
      <c r="C3038">
        <f t="shared" si="54"/>
        <v>2011</v>
      </c>
    </row>
    <row r="3039" spans="1:3" x14ac:dyDescent="0.35">
      <c r="A3039" s="16">
        <v>40633</v>
      </c>
      <c r="B3039" s="9">
        <v>173</v>
      </c>
      <c r="C3039">
        <f t="shared" si="54"/>
        <v>2011</v>
      </c>
    </row>
    <row r="3040" spans="1:3" x14ac:dyDescent="0.35">
      <c r="A3040" s="16">
        <v>40632</v>
      </c>
      <c r="B3040" s="9">
        <v>170</v>
      </c>
      <c r="C3040">
        <f t="shared" si="54"/>
        <v>2011</v>
      </c>
    </row>
    <row r="3041" spans="1:3" x14ac:dyDescent="0.35">
      <c r="A3041" s="16">
        <v>40631</v>
      </c>
      <c r="B3041" s="9">
        <v>173</v>
      </c>
      <c r="C3041">
        <f t="shared" si="54"/>
        <v>2011</v>
      </c>
    </row>
    <row r="3042" spans="1:3" x14ac:dyDescent="0.35">
      <c r="A3042" s="16">
        <v>40630</v>
      </c>
      <c r="B3042" s="9">
        <v>170</v>
      </c>
      <c r="C3042">
        <f t="shared" si="54"/>
        <v>2011</v>
      </c>
    </row>
    <row r="3043" spans="1:3" x14ac:dyDescent="0.35">
      <c r="A3043" s="16">
        <v>40627</v>
      </c>
      <c r="B3043" s="9">
        <v>171</v>
      </c>
      <c r="C3043">
        <f t="shared" si="54"/>
        <v>2011</v>
      </c>
    </row>
    <row r="3044" spans="1:3" x14ac:dyDescent="0.35">
      <c r="A3044" s="16">
        <v>40626</v>
      </c>
      <c r="B3044" s="9">
        <v>173</v>
      </c>
      <c r="C3044">
        <f t="shared" si="54"/>
        <v>2011</v>
      </c>
    </row>
    <row r="3045" spans="1:3" x14ac:dyDescent="0.35">
      <c r="A3045" s="16">
        <v>40625</v>
      </c>
      <c r="B3045" s="9">
        <v>176</v>
      </c>
      <c r="C3045">
        <f t="shared" si="54"/>
        <v>2011</v>
      </c>
    </row>
    <row r="3046" spans="1:3" x14ac:dyDescent="0.35">
      <c r="A3046" s="16">
        <v>40624</v>
      </c>
      <c r="B3046" s="9">
        <v>178</v>
      </c>
      <c r="C3046">
        <f t="shared" si="54"/>
        <v>2011</v>
      </c>
    </row>
    <row r="3047" spans="1:3" x14ac:dyDescent="0.35">
      <c r="A3047" s="16">
        <v>40623</v>
      </c>
      <c r="B3047" s="9">
        <v>177</v>
      </c>
      <c r="C3047">
        <f t="shared" si="54"/>
        <v>2011</v>
      </c>
    </row>
    <row r="3048" spans="1:3" x14ac:dyDescent="0.35">
      <c r="A3048" s="16">
        <v>40620</v>
      </c>
      <c r="B3048" s="9">
        <v>184</v>
      </c>
      <c r="C3048">
        <f t="shared" si="54"/>
        <v>2011</v>
      </c>
    </row>
    <row r="3049" spans="1:3" x14ac:dyDescent="0.35">
      <c r="A3049" s="16">
        <v>40619</v>
      </c>
      <c r="B3049" s="9">
        <v>187</v>
      </c>
      <c r="C3049">
        <f t="shared" si="54"/>
        <v>2011</v>
      </c>
    </row>
    <row r="3050" spans="1:3" x14ac:dyDescent="0.35">
      <c r="A3050" s="16">
        <v>40618</v>
      </c>
      <c r="B3050" s="9">
        <v>191</v>
      </c>
      <c r="C3050">
        <f t="shared" si="54"/>
        <v>2011</v>
      </c>
    </row>
    <row r="3051" spans="1:3" x14ac:dyDescent="0.35">
      <c r="A3051" s="16">
        <v>40617</v>
      </c>
      <c r="B3051" s="9">
        <v>180</v>
      </c>
      <c r="C3051">
        <f t="shared" si="54"/>
        <v>2011</v>
      </c>
    </row>
    <row r="3052" spans="1:3" x14ac:dyDescent="0.35">
      <c r="A3052" s="16">
        <v>40616</v>
      </c>
      <c r="B3052" s="9">
        <v>174</v>
      </c>
      <c r="C3052">
        <f t="shared" si="54"/>
        <v>2011</v>
      </c>
    </row>
    <row r="3053" spans="1:3" x14ac:dyDescent="0.35">
      <c r="A3053" s="16">
        <v>40613</v>
      </c>
      <c r="B3053" s="9">
        <v>171</v>
      </c>
      <c r="C3053">
        <f t="shared" si="54"/>
        <v>2011</v>
      </c>
    </row>
    <row r="3054" spans="1:3" x14ac:dyDescent="0.35">
      <c r="A3054" s="16">
        <v>40612</v>
      </c>
      <c r="B3054" s="9">
        <v>173</v>
      </c>
      <c r="C3054">
        <f t="shared" si="54"/>
        <v>2011</v>
      </c>
    </row>
    <row r="3055" spans="1:3" x14ac:dyDescent="0.35">
      <c r="A3055" s="16">
        <v>40611</v>
      </c>
      <c r="B3055" s="9">
        <v>161</v>
      </c>
      <c r="C3055">
        <f t="shared" si="54"/>
        <v>2011</v>
      </c>
    </row>
    <row r="3056" spans="1:3" x14ac:dyDescent="0.35">
      <c r="A3056" s="16">
        <v>40610</v>
      </c>
      <c r="B3056" s="9">
        <v>156</v>
      </c>
      <c r="C3056">
        <f t="shared" si="54"/>
        <v>2011</v>
      </c>
    </row>
    <row r="3057" spans="1:3" x14ac:dyDescent="0.35">
      <c r="A3057" s="16">
        <v>40609</v>
      </c>
      <c r="B3057" s="9">
        <v>165</v>
      </c>
      <c r="C3057">
        <f t="shared" si="54"/>
        <v>2011</v>
      </c>
    </row>
    <row r="3058" spans="1:3" x14ac:dyDescent="0.35">
      <c r="A3058" s="16">
        <v>40606</v>
      </c>
      <c r="B3058" s="9">
        <v>166</v>
      </c>
      <c r="C3058">
        <f t="shared" si="54"/>
        <v>2011</v>
      </c>
    </row>
    <row r="3059" spans="1:3" x14ac:dyDescent="0.35">
      <c r="A3059" s="16">
        <v>40605</v>
      </c>
      <c r="B3059" s="9">
        <v>162</v>
      </c>
      <c r="C3059">
        <f t="shared" si="54"/>
        <v>2011</v>
      </c>
    </row>
    <row r="3060" spans="1:3" x14ac:dyDescent="0.35">
      <c r="A3060" s="16">
        <v>40604</v>
      </c>
      <c r="B3060" s="9">
        <v>168</v>
      </c>
      <c r="C3060">
        <f t="shared" si="54"/>
        <v>2011</v>
      </c>
    </row>
    <row r="3061" spans="1:3" x14ac:dyDescent="0.35">
      <c r="A3061" s="16">
        <v>40603</v>
      </c>
      <c r="B3061" s="9">
        <v>174</v>
      </c>
      <c r="C3061">
        <f t="shared" si="54"/>
        <v>2011</v>
      </c>
    </row>
    <row r="3062" spans="1:3" x14ac:dyDescent="0.35">
      <c r="A3062" s="16">
        <v>40602</v>
      </c>
      <c r="B3062" s="9">
        <v>177</v>
      </c>
      <c r="C3062">
        <f t="shared" si="54"/>
        <v>2011</v>
      </c>
    </row>
    <row r="3063" spans="1:3" x14ac:dyDescent="0.35">
      <c r="A3063" s="16">
        <v>40599</v>
      </c>
      <c r="B3063" s="9">
        <v>186</v>
      </c>
      <c r="C3063">
        <f t="shared" si="54"/>
        <v>2011</v>
      </c>
    </row>
    <row r="3064" spans="1:3" x14ac:dyDescent="0.35">
      <c r="A3064" s="16">
        <v>40598</v>
      </c>
      <c r="B3064" s="9">
        <v>188</v>
      </c>
      <c r="C3064">
        <f t="shared" si="54"/>
        <v>2011</v>
      </c>
    </row>
    <row r="3065" spans="1:3" x14ac:dyDescent="0.35">
      <c r="A3065" s="16">
        <v>40597</v>
      </c>
      <c r="B3065" s="9">
        <v>184</v>
      </c>
      <c r="C3065">
        <f t="shared" si="54"/>
        <v>2011</v>
      </c>
    </row>
    <row r="3066" spans="1:3" x14ac:dyDescent="0.35">
      <c r="A3066" s="16">
        <v>40596</v>
      </c>
      <c r="B3066" s="9">
        <v>183</v>
      </c>
      <c r="C3066">
        <f t="shared" si="54"/>
        <v>2011</v>
      </c>
    </row>
    <row r="3067" spans="1:3" x14ac:dyDescent="0.35">
      <c r="A3067" s="16">
        <v>40595</v>
      </c>
      <c r="B3067" s="9">
        <v>176</v>
      </c>
      <c r="C3067">
        <f t="shared" si="54"/>
        <v>2011</v>
      </c>
    </row>
    <row r="3068" spans="1:3" x14ac:dyDescent="0.35">
      <c r="A3068" s="16">
        <v>40592</v>
      </c>
      <c r="B3068" s="9">
        <v>176</v>
      </c>
      <c r="C3068">
        <f t="shared" si="54"/>
        <v>2011</v>
      </c>
    </row>
    <row r="3069" spans="1:3" x14ac:dyDescent="0.35">
      <c r="A3069" s="16">
        <v>40591</v>
      </c>
      <c r="B3069" s="9">
        <v>175</v>
      </c>
      <c r="C3069">
        <f t="shared" si="54"/>
        <v>2011</v>
      </c>
    </row>
    <row r="3070" spans="1:3" x14ac:dyDescent="0.35">
      <c r="A3070" s="16">
        <v>40590</v>
      </c>
      <c r="B3070" s="9">
        <v>175</v>
      </c>
      <c r="C3070">
        <f t="shared" si="54"/>
        <v>2011</v>
      </c>
    </row>
    <row r="3071" spans="1:3" x14ac:dyDescent="0.35">
      <c r="A3071" s="16">
        <v>40589</v>
      </c>
      <c r="B3071" s="9">
        <v>180</v>
      </c>
      <c r="C3071">
        <f t="shared" si="54"/>
        <v>2011</v>
      </c>
    </row>
    <row r="3072" spans="1:3" x14ac:dyDescent="0.35">
      <c r="A3072" s="16">
        <v>40588</v>
      </c>
      <c r="B3072" s="9">
        <v>181</v>
      </c>
      <c r="C3072">
        <f t="shared" si="54"/>
        <v>2011</v>
      </c>
    </row>
    <row r="3073" spans="1:3" x14ac:dyDescent="0.35">
      <c r="A3073" s="16">
        <v>40585</v>
      </c>
      <c r="B3073" s="9">
        <v>176</v>
      </c>
      <c r="C3073">
        <f t="shared" si="54"/>
        <v>2011</v>
      </c>
    </row>
    <row r="3074" spans="1:3" x14ac:dyDescent="0.35">
      <c r="A3074" s="16">
        <v>40584</v>
      </c>
      <c r="B3074" s="9">
        <v>171</v>
      </c>
      <c r="C3074">
        <f t="shared" si="54"/>
        <v>2011</v>
      </c>
    </row>
    <row r="3075" spans="1:3" x14ac:dyDescent="0.35">
      <c r="A3075" s="16">
        <v>40583</v>
      </c>
      <c r="B3075" s="9">
        <v>173</v>
      </c>
      <c r="C3075">
        <f t="shared" ref="C3075:C3102" si="55">YEAR(A3075)</f>
        <v>2011</v>
      </c>
    </row>
    <row r="3076" spans="1:3" x14ac:dyDescent="0.35">
      <c r="A3076" s="16">
        <v>40582</v>
      </c>
      <c r="B3076" s="9">
        <v>162</v>
      </c>
      <c r="C3076">
        <f t="shared" si="55"/>
        <v>2011</v>
      </c>
    </row>
    <row r="3077" spans="1:3" x14ac:dyDescent="0.35">
      <c r="A3077" s="16">
        <v>40581</v>
      </c>
      <c r="B3077" s="9">
        <v>163</v>
      </c>
      <c r="C3077">
        <f t="shared" si="55"/>
        <v>2011</v>
      </c>
    </row>
    <row r="3078" spans="1:3" x14ac:dyDescent="0.35">
      <c r="A3078" s="16">
        <v>40578</v>
      </c>
      <c r="B3078" s="9">
        <v>160</v>
      </c>
      <c r="C3078">
        <f t="shared" si="55"/>
        <v>2011</v>
      </c>
    </row>
    <row r="3079" spans="1:3" x14ac:dyDescent="0.35">
      <c r="A3079" s="16">
        <v>40577</v>
      </c>
      <c r="B3079" s="9">
        <v>165</v>
      </c>
      <c r="C3079">
        <f t="shared" si="55"/>
        <v>2011</v>
      </c>
    </row>
    <row r="3080" spans="1:3" x14ac:dyDescent="0.35">
      <c r="A3080" s="16">
        <v>40576</v>
      </c>
      <c r="B3080" s="9">
        <v>165</v>
      </c>
      <c r="C3080">
        <f t="shared" si="55"/>
        <v>2011</v>
      </c>
    </row>
    <row r="3081" spans="1:3" x14ac:dyDescent="0.35">
      <c r="A3081" s="16">
        <v>40575</v>
      </c>
      <c r="B3081" s="9">
        <v>169</v>
      </c>
      <c r="C3081">
        <f t="shared" si="55"/>
        <v>2011</v>
      </c>
    </row>
    <row r="3082" spans="1:3" x14ac:dyDescent="0.35">
      <c r="A3082" s="16">
        <v>40574</v>
      </c>
      <c r="B3082" s="9">
        <v>179</v>
      </c>
      <c r="C3082">
        <f t="shared" si="55"/>
        <v>2011</v>
      </c>
    </row>
    <row r="3083" spans="1:3" x14ac:dyDescent="0.35">
      <c r="A3083" s="16">
        <v>40571</v>
      </c>
      <c r="B3083" s="9">
        <v>186</v>
      </c>
      <c r="C3083">
        <f t="shared" si="55"/>
        <v>2011</v>
      </c>
    </row>
    <row r="3084" spans="1:3" x14ac:dyDescent="0.35">
      <c r="A3084" s="16">
        <v>40570</v>
      </c>
      <c r="B3084" s="9">
        <v>174</v>
      </c>
      <c r="C3084">
        <f t="shared" si="55"/>
        <v>2011</v>
      </c>
    </row>
    <row r="3085" spans="1:3" x14ac:dyDescent="0.35">
      <c r="A3085" s="16">
        <v>40569</v>
      </c>
      <c r="B3085" s="9">
        <v>166</v>
      </c>
      <c r="C3085">
        <f t="shared" si="55"/>
        <v>2011</v>
      </c>
    </row>
    <row r="3086" spans="1:3" x14ac:dyDescent="0.35">
      <c r="A3086" s="16">
        <v>40568</v>
      </c>
      <c r="B3086" s="9">
        <v>173</v>
      </c>
      <c r="C3086">
        <f t="shared" si="55"/>
        <v>2011</v>
      </c>
    </row>
    <row r="3087" spans="1:3" x14ac:dyDescent="0.35">
      <c r="A3087" s="16">
        <v>40567</v>
      </c>
      <c r="B3087" s="9">
        <v>165</v>
      </c>
      <c r="C3087">
        <f t="shared" si="55"/>
        <v>2011</v>
      </c>
    </row>
    <row r="3088" spans="1:3" x14ac:dyDescent="0.35">
      <c r="A3088" s="16">
        <v>40564</v>
      </c>
      <c r="B3088" s="9">
        <v>169</v>
      </c>
      <c r="C3088">
        <f t="shared" si="55"/>
        <v>2011</v>
      </c>
    </row>
    <row r="3089" spans="1:3" x14ac:dyDescent="0.35">
      <c r="A3089" s="16">
        <v>40563</v>
      </c>
      <c r="B3089" s="9">
        <v>168</v>
      </c>
      <c r="C3089">
        <f t="shared" si="55"/>
        <v>2011</v>
      </c>
    </row>
    <row r="3090" spans="1:3" x14ac:dyDescent="0.35">
      <c r="A3090" s="16">
        <v>40562</v>
      </c>
      <c r="B3090" s="9">
        <v>175</v>
      </c>
      <c r="C3090">
        <f t="shared" si="55"/>
        <v>2011</v>
      </c>
    </row>
    <row r="3091" spans="1:3" x14ac:dyDescent="0.35">
      <c r="A3091" s="16">
        <v>40561</v>
      </c>
      <c r="B3091" s="9">
        <v>167</v>
      </c>
      <c r="C3091">
        <f t="shared" si="55"/>
        <v>2011</v>
      </c>
    </row>
    <row r="3092" spans="1:3" x14ac:dyDescent="0.35">
      <c r="A3092" s="16">
        <v>40560</v>
      </c>
      <c r="B3092" s="9">
        <v>169</v>
      </c>
      <c r="C3092">
        <f t="shared" si="55"/>
        <v>2011</v>
      </c>
    </row>
    <row r="3093" spans="1:3" x14ac:dyDescent="0.35">
      <c r="A3093" s="16">
        <v>40557</v>
      </c>
      <c r="B3093" s="9">
        <v>169</v>
      </c>
      <c r="C3093">
        <f t="shared" si="55"/>
        <v>2011</v>
      </c>
    </row>
    <row r="3094" spans="1:3" x14ac:dyDescent="0.35">
      <c r="A3094" s="16">
        <v>40556</v>
      </c>
      <c r="B3094" s="9">
        <v>168</v>
      </c>
      <c r="C3094">
        <f t="shared" si="55"/>
        <v>2011</v>
      </c>
    </row>
    <row r="3095" spans="1:3" x14ac:dyDescent="0.35">
      <c r="A3095" s="16">
        <v>40555</v>
      </c>
      <c r="B3095" s="9">
        <v>166</v>
      </c>
      <c r="C3095">
        <f t="shared" si="55"/>
        <v>2011</v>
      </c>
    </row>
    <row r="3096" spans="1:3" x14ac:dyDescent="0.35">
      <c r="A3096" s="16">
        <v>40554</v>
      </c>
      <c r="B3096" s="9">
        <v>168</v>
      </c>
      <c r="C3096">
        <f t="shared" si="55"/>
        <v>2011</v>
      </c>
    </row>
    <row r="3097" spans="1:3" x14ac:dyDescent="0.35">
      <c r="A3097" s="16">
        <v>40553</v>
      </c>
      <c r="B3097" s="9">
        <v>173</v>
      </c>
      <c r="C3097">
        <f t="shared" si="55"/>
        <v>2011</v>
      </c>
    </row>
    <row r="3098" spans="1:3" x14ac:dyDescent="0.35">
      <c r="A3098" s="16">
        <v>40550</v>
      </c>
      <c r="B3098" s="9">
        <v>169</v>
      </c>
      <c r="C3098">
        <f t="shared" si="55"/>
        <v>2011</v>
      </c>
    </row>
    <row r="3099" spans="1:3" x14ac:dyDescent="0.35">
      <c r="A3099" s="16">
        <v>40549</v>
      </c>
      <c r="B3099" s="9">
        <v>165</v>
      </c>
      <c r="C3099">
        <f t="shared" si="55"/>
        <v>2011</v>
      </c>
    </row>
    <row r="3100" spans="1:3" x14ac:dyDescent="0.35">
      <c r="A3100" s="16">
        <v>40548</v>
      </c>
      <c r="B3100" s="9">
        <v>164</v>
      </c>
      <c r="C3100">
        <f t="shared" si="55"/>
        <v>2011</v>
      </c>
    </row>
    <row r="3101" spans="1:3" x14ac:dyDescent="0.35">
      <c r="A3101" s="16">
        <v>40547</v>
      </c>
      <c r="B3101" s="9">
        <v>167</v>
      </c>
      <c r="C3101">
        <f t="shared" si="55"/>
        <v>2011</v>
      </c>
    </row>
    <row r="3102" spans="1:3" x14ac:dyDescent="0.35">
      <c r="A3102" s="16">
        <v>40546</v>
      </c>
      <c r="B3102" s="9">
        <v>181</v>
      </c>
      <c r="C3102">
        <f t="shared" si="55"/>
        <v>2011</v>
      </c>
    </row>
  </sheetData>
  <autoFilter ref="A1:B2849" xr:uid="{D38D384D-3E1E-4999-A45B-9E7186EDDF62}"/>
  <mergeCells count="3">
    <mergeCell ref="G24:H24"/>
    <mergeCell ref="I24:J24"/>
    <mergeCell ref="K24:L24"/>
  </mergeCells>
  <hyperlinks>
    <hyperlink ref="M3" r:id="rId4" display="http://www.ipeadata.gov.br/doc/Metodologia Embi.doc" xr:uid="{C388D500-B417-4322-88EF-AFB113DD0171}"/>
  </hyperlinks>
  <pageMargins left="0.511811024" right="0.511811024" top="0.78740157499999996" bottom="0.78740157499999996" header="0.31496062000000002" footer="0.31496062000000002"/>
  <pageSetup paperSize="9" orientation="portrait" r:id="rId5"/>
  <drawing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5AD67-BCF6-4A3A-8925-600FCAD9AD09}">
  <dimension ref="A1:E3017"/>
  <sheetViews>
    <sheetView topLeftCell="A2999" workbookViewId="0">
      <selection activeCell="B3017" sqref="B3017"/>
    </sheetView>
  </sheetViews>
  <sheetFormatPr defaultRowHeight="14.5" x14ac:dyDescent="0.35"/>
  <cols>
    <col min="1" max="1" width="10.453125" bestFit="1" customWidth="1"/>
    <col min="2" max="2" width="9.36328125" bestFit="1" customWidth="1"/>
    <col min="3" max="3" width="11.7265625" bestFit="1" customWidth="1"/>
    <col min="4" max="5" width="10.453125" bestFit="1" customWidth="1"/>
  </cols>
  <sheetData>
    <row r="1" spans="1:5" x14ac:dyDescent="0.35">
      <c r="A1" t="s">
        <v>652</v>
      </c>
      <c r="B1" t="s">
        <v>18</v>
      </c>
    </row>
    <row r="2" spans="1:5" x14ac:dyDescent="0.35">
      <c r="A2" s="16">
        <v>44924</v>
      </c>
      <c r="B2">
        <v>5.2859999999999996</v>
      </c>
      <c r="D2" s="2"/>
      <c r="E2" s="16"/>
    </row>
    <row r="3" spans="1:5" x14ac:dyDescent="0.35">
      <c r="A3" s="16">
        <v>44923</v>
      </c>
      <c r="B3">
        <v>5.2675999999999998</v>
      </c>
      <c r="D3" s="2"/>
      <c r="E3" s="16"/>
    </row>
    <row r="4" spans="1:5" x14ac:dyDescent="0.35">
      <c r="A4" s="16">
        <v>44922</v>
      </c>
      <c r="B4">
        <v>5.2927999999999997</v>
      </c>
      <c r="D4" s="2"/>
      <c r="E4" s="16"/>
    </row>
    <row r="5" spans="1:5" x14ac:dyDescent="0.35">
      <c r="A5" s="16">
        <v>44921</v>
      </c>
      <c r="B5">
        <v>5.2186000000000003</v>
      </c>
      <c r="D5" s="2"/>
      <c r="E5" s="16"/>
    </row>
    <row r="6" spans="1:5" x14ac:dyDescent="0.35">
      <c r="A6" s="16">
        <v>44918</v>
      </c>
      <c r="B6">
        <v>5.1651999999999996</v>
      </c>
      <c r="D6" s="2"/>
      <c r="E6" s="16"/>
    </row>
    <row r="7" spans="1:5" x14ac:dyDescent="0.35">
      <c r="A7" s="16">
        <v>44917</v>
      </c>
      <c r="B7">
        <v>5.1665000000000001</v>
      </c>
      <c r="D7" s="2"/>
      <c r="E7" s="16"/>
    </row>
    <row r="8" spans="1:5" x14ac:dyDescent="0.35">
      <c r="A8" s="16">
        <v>44916</v>
      </c>
      <c r="B8">
        <v>5.2008999999999999</v>
      </c>
      <c r="D8" s="2"/>
      <c r="E8" s="16"/>
    </row>
    <row r="9" spans="1:5" x14ac:dyDescent="0.35">
      <c r="A9" s="16">
        <v>44915</v>
      </c>
      <c r="B9">
        <v>5.1996000000000002</v>
      </c>
      <c r="D9" s="2"/>
      <c r="E9" s="16"/>
    </row>
    <row r="10" spans="1:5" x14ac:dyDescent="0.35">
      <c r="A10" s="16">
        <v>44914</v>
      </c>
      <c r="B10">
        <v>5.2930000000000001</v>
      </c>
      <c r="D10" s="2"/>
      <c r="E10" s="16"/>
    </row>
    <row r="11" spans="1:5" x14ac:dyDescent="0.35">
      <c r="A11" s="16">
        <v>44911</v>
      </c>
      <c r="B11">
        <v>5.3140000000000001</v>
      </c>
      <c r="D11" s="2"/>
      <c r="E11" s="16"/>
    </row>
    <row r="12" spans="1:5" x14ac:dyDescent="0.35">
      <c r="A12" s="16">
        <v>44910</v>
      </c>
      <c r="B12">
        <v>5.3129999999999997</v>
      </c>
      <c r="D12" s="2"/>
      <c r="E12" s="16"/>
    </row>
    <row r="13" spans="1:5" x14ac:dyDescent="0.35">
      <c r="A13" s="16">
        <v>44909</v>
      </c>
      <c r="B13">
        <v>5.2786999999999997</v>
      </c>
      <c r="D13" s="2"/>
      <c r="E13" s="16"/>
    </row>
    <row r="14" spans="1:5" x14ac:dyDescent="0.35">
      <c r="A14" s="16">
        <v>44908</v>
      </c>
      <c r="B14">
        <v>5.2938000000000001</v>
      </c>
      <c r="D14" s="2"/>
      <c r="E14" s="16"/>
    </row>
    <row r="15" spans="1:5" x14ac:dyDescent="0.35">
      <c r="A15" s="16">
        <v>44907</v>
      </c>
      <c r="B15">
        <v>5.3226000000000004</v>
      </c>
      <c r="D15" s="2"/>
      <c r="E15" s="16"/>
    </row>
    <row r="16" spans="1:5" x14ac:dyDescent="0.35">
      <c r="A16" s="16">
        <v>44904</v>
      </c>
      <c r="B16">
        <v>5.24</v>
      </c>
      <c r="D16" s="2"/>
      <c r="E16" s="16"/>
    </row>
    <row r="17" spans="1:5" x14ac:dyDescent="0.35">
      <c r="A17" s="16">
        <v>44903</v>
      </c>
      <c r="B17">
        <v>5.2252999999999998</v>
      </c>
      <c r="D17" s="2"/>
      <c r="E17" s="16"/>
    </row>
    <row r="18" spans="1:5" x14ac:dyDescent="0.35">
      <c r="A18" s="16">
        <v>44902</v>
      </c>
      <c r="B18">
        <v>5.2047999999999996</v>
      </c>
      <c r="D18" s="2"/>
      <c r="E18" s="16"/>
    </row>
    <row r="19" spans="1:5" x14ac:dyDescent="0.35">
      <c r="A19" s="16">
        <v>44901</v>
      </c>
      <c r="B19">
        <v>5.2351999999999999</v>
      </c>
      <c r="D19" s="2"/>
      <c r="E19" s="16"/>
    </row>
    <row r="20" spans="1:5" x14ac:dyDescent="0.35">
      <c r="A20" s="16">
        <v>44900</v>
      </c>
      <c r="B20">
        <v>5.2808999999999999</v>
      </c>
      <c r="D20" s="2"/>
      <c r="E20" s="16"/>
    </row>
    <row r="21" spans="1:5" x14ac:dyDescent="0.35">
      <c r="A21" s="16">
        <v>44897</v>
      </c>
      <c r="B21">
        <v>5.2188999999999997</v>
      </c>
      <c r="D21" s="2"/>
      <c r="E21" s="16"/>
    </row>
    <row r="22" spans="1:5" x14ac:dyDescent="0.35">
      <c r="A22" s="16">
        <v>44896</v>
      </c>
      <c r="B22">
        <v>5.1848000000000001</v>
      </c>
      <c r="D22" s="2"/>
      <c r="E22" s="16"/>
    </row>
    <row r="23" spans="1:5" x14ac:dyDescent="0.35">
      <c r="A23" s="16">
        <v>44895</v>
      </c>
      <c r="B23">
        <v>5.1851000000000003</v>
      </c>
      <c r="D23" s="2"/>
      <c r="E23" s="16"/>
    </row>
    <row r="24" spans="1:5" x14ac:dyDescent="0.35">
      <c r="A24" s="16">
        <v>44894</v>
      </c>
      <c r="B24">
        <v>5.2694999999999999</v>
      </c>
      <c r="D24" s="2"/>
      <c r="E24" s="16"/>
    </row>
    <row r="25" spans="1:5" x14ac:dyDescent="0.35">
      <c r="A25" s="16">
        <v>44893</v>
      </c>
      <c r="B25">
        <v>5.3654000000000002</v>
      </c>
      <c r="D25" s="2"/>
      <c r="E25" s="16"/>
    </row>
    <row r="26" spans="1:5" x14ac:dyDescent="0.35">
      <c r="A26" s="16">
        <v>44890</v>
      </c>
      <c r="B26">
        <v>5.4097999999999997</v>
      </c>
      <c r="D26" s="2"/>
      <c r="E26" s="16"/>
    </row>
    <row r="27" spans="1:5" x14ac:dyDescent="0.35">
      <c r="A27" s="16">
        <v>44889</v>
      </c>
      <c r="B27">
        <v>5.3208000000000002</v>
      </c>
      <c r="D27" s="2"/>
      <c r="E27" s="16"/>
    </row>
    <row r="28" spans="1:5" x14ac:dyDescent="0.35">
      <c r="A28" s="16">
        <v>44888</v>
      </c>
      <c r="B28">
        <v>5.3590999999999998</v>
      </c>
      <c r="D28" s="2"/>
      <c r="E28" s="16"/>
    </row>
    <row r="29" spans="1:5" x14ac:dyDescent="0.35">
      <c r="A29" s="16">
        <v>44887</v>
      </c>
      <c r="B29">
        <v>5.3586</v>
      </c>
      <c r="D29" s="2"/>
      <c r="E29" s="16"/>
    </row>
    <row r="30" spans="1:5" x14ac:dyDescent="0.35">
      <c r="A30" s="16">
        <v>44886</v>
      </c>
      <c r="B30">
        <v>5.32</v>
      </c>
      <c r="D30" s="2"/>
      <c r="E30" s="16"/>
    </row>
    <row r="31" spans="1:5" x14ac:dyDescent="0.35">
      <c r="A31" s="16">
        <v>44883</v>
      </c>
      <c r="B31">
        <v>5.3826999999999998</v>
      </c>
      <c r="D31" s="2"/>
      <c r="E31" s="16"/>
    </row>
    <row r="32" spans="1:5" x14ac:dyDescent="0.35">
      <c r="A32" s="16">
        <v>44882</v>
      </c>
      <c r="B32">
        <v>5.4230999999999998</v>
      </c>
      <c r="D32" s="2"/>
      <c r="E32" s="16"/>
    </row>
    <row r="33" spans="1:5" x14ac:dyDescent="0.35">
      <c r="A33" s="16">
        <v>44881</v>
      </c>
      <c r="B33">
        <v>5.3997999999999999</v>
      </c>
      <c r="D33" s="2"/>
      <c r="E33" s="16"/>
    </row>
    <row r="34" spans="1:5" x14ac:dyDescent="0.35">
      <c r="A34" s="16">
        <v>44880</v>
      </c>
      <c r="B34">
        <v>5.3324999999999996</v>
      </c>
      <c r="D34" s="2"/>
      <c r="E34" s="16"/>
    </row>
    <row r="35" spans="1:5" x14ac:dyDescent="0.35">
      <c r="A35" s="16">
        <v>44879</v>
      </c>
      <c r="B35">
        <v>5.3320999999999996</v>
      </c>
      <c r="D35" s="2"/>
      <c r="E35" s="16"/>
    </row>
    <row r="36" spans="1:5" x14ac:dyDescent="0.35">
      <c r="A36" s="16">
        <v>44876</v>
      </c>
      <c r="B36">
        <v>5.3250000000000002</v>
      </c>
      <c r="D36" s="2"/>
      <c r="E36" s="16"/>
    </row>
    <row r="37" spans="1:5" x14ac:dyDescent="0.35">
      <c r="A37" s="16">
        <v>44875</v>
      </c>
      <c r="B37">
        <v>5.3449</v>
      </c>
      <c r="D37" s="2"/>
      <c r="E37" s="16"/>
    </row>
    <row r="38" spans="1:5" x14ac:dyDescent="0.35">
      <c r="A38" s="16">
        <v>44874</v>
      </c>
      <c r="B38">
        <v>5.1863999999999999</v>
      </c>
      <c r="D38" s="2"/>
      <c r="E38" s="16"/>
    </row>
    <row r="39" spans="1:5" x14ac:dyDescent="0.35">
      <c r="A39" s="16">
        <v>44873</v>
      </c>
      <c r="B39">
        <v>5.1440000000000001</v>
      </c>
      <c r="D39" s="2"/>
      <c r="E39" s="16"/>
    </row>
    <row r="40" spans="1:5" x14ac:dyDescent="0.35">
      <c r="A40" s="16">
        <v>44872</v>
      </c>
      <c r="B40">
        <v>5.1566999999999998</v>
      </c>
      <c r="D40" s="2"/>
      <c r="E40" s="16"/>
    </row>
    <row r="41" spans="1:5" x14ac:dyDescent="0.35">
      <c r="A41" s="16">
        <v>44869</v>
      </c>
      <c r="B41">
        <v>5.0556999999999999</v>
      </c>
      <c r="D41" s="2"/>
      <c r="E41" s="16"/>
    </row>
    <row r="42" spans="1:5" x14ac:dyDescent="0.35">
      <c r="A42" s="16">
        <v>44868</v>
      </c>
      <c r="B42">
        <v>5.1136999999999997</v>
      </c>
      <c r="D42" s="2"/>
      <c r="E42" s="16"/>
    </row>
    <row r="43" spans="1:5" x14ac:dyDescent="0.35">
      <c r="A43" s="16">
        <v>44867</v>
      </c>
      <c r="B43">
        <v>5.1432000000000002</v>
      </c>
      <c r="D43" s="2"/>
      <c r="E43" s="16"/>
    </row>
    <row r="44" spans="1:5" x14ac:dyDescent="0.35">
      <c r="A44" s="16">
        <v>44866</v>
      </c>
      <c r="B44">
        <v>5.1475</v>
      </c>
      <c r="D44" s="2"/>
      <c r="E44" s="16"/>
    </row>
    <row r="45" spans="1:5" x14ac:dyDescent="0.35">
      <c r="A45" s="16">
        <v>44865</v>
      </c>
      <c r="B45">
        <v>5.1791</v>
      </c>
      <c r="D45" s="2"/>
      <c r="E45" s="16"/>
    </row>
    <row r="46" spans="1:5" x14ac:dyDescent="0.35">
      <c r="A46" s="16">
        <v>44862</v>
      </c>
      <c r="B46">
        <v>5.2949000000000002</v>
      </c>
      <c r="D46" s="2"/>
      <c r="E46" s="16"/>
    </row>
    <row r="47" spans="1:5" x14ac:dyDescent="0.35">
      <c r="A47" s="16">
        <v>44861</v>
      </c>
      <c r="B47">
        <v>5.3449</v>
      </c>
      <c r="D47" s="2"/>
      <c r="E47" s="16"/>
    </row>
    <row r="48" spans="1:5" x14ac:dyDescent="0.35">
      <c r="A48" s="16">
        <v>44860</v>
      </c>
      <c r="B48">
        <v>5.3803999999999998</v>
      </c>
      <c r="D48" s="2"/>
      <c r="E48" s="16"/>
    </row>
    <row r="49" spans="1:5" x14ac:dyDescent="0.35">
      <c r="A49" s="16">
        <v>44859</v>
      </c>
      <c r="B49">
        <v>5.3167</v>
      </c>
      <c r="D49" s="2"/>
      <c r="E49" s="16"/>
    </row>
    <row r="50" spans="1:5" x14ac:dyDescent="0.35">
      <c r="A50" s="16">
        <v>44858</v>
      </c>
      <c r="B50">
        <v>5.3032000000000004</v>
      </c>
      <c r="D50" s="2"/>
      <c r="E50" s="16"/>
    </row>
    <row r="51" spans="1:5" x14ac:dyDescent="0.35">
      <c r="A51" s="16">
        <v>44855</v>
      </c>
      <c r="B51">
        <v>5.1604999999999999</v>
      </c>
      <c r="D51" s="2"/>
      <c r="E51" s="16"/>
    </row>
    <row r="52" spans="1:5" x14ac:dyDescent="0.35">
      <c r="A52" s="16">
        <v>44854</v>
      </c>
      <c r="B52">
        <v>5.2146999999999997</v>
      </c>
      <c r="D52" s="2"/>
      <c r="E52" s="16"/>
    </row>
    <row r="53" spans="1:5" x14ac:dyDescent="0.35">
      <c r="A53" s="16">
        <v>44853</v>
      </c>
      <c r="B53">
        <v>5.27</v>
      </c>
      <c r="D53" s="2"/>
      <c r="E53" s="16"/>
    </row>
    <row r="54" spans="1:5" x14ac:dyDescent="0.35">
      <c r="A54" s="16">
        <v>44852</v>
      </c>
      <c r="B54">
        <v>5.2404999999999999</v>
      </c>
      <c r="D54" s="2"/>
      <c r="E54" s="16"/>
    </row>
    <row r="55" spans="1:5" x14ac:dyDescent="0.35">
      <c r="A55" s="16">
        <v>44851</v>
      </c>
      <c r="B55">
        <v>5.2808000000000002</v>
      </c>
      <c r="D55" s="2"/>
      <c r="E55" s="16"/>
    </row>
    <row r="56" spans="1:5" x14ac:dyDescent="0.35">
      <c r="A56" s="16">
        <v>44848</v>
      </c>
      <c r="B56">
        <v>5.3251999999999997</v>
      </c>
      <c r="D56" s="2"/>
      <c r="E56" s="16"/>
    </row>
    <row r="57" spans="1:5" x14ac:dyDescent="0.35">
      <c r="A57" s="16">
        <v>44847</v>
      </c>
      <c r="B57">
        <v>5.2625999999999999</v>
      </c>
      <c r="D57" s="2"/>
      <c r="E57" s="16"/>
    </row>
    <row r="58" spans="1:5" x14ac:dyDescent="0.35">
      <c r="A58" s="16">
        <v>44846</v>
      </c>
      <c r="B58">
        <v>5.2930000000000001</v>
      </c>
      <c r="D58" s="2"/>
      <c r="E58" s="16"/>
    </row>
    <row r="59" spans="1:5" x14ac:dyDescent="0.35">
      <c r="A59" s="16">
        <v>44845</v>
      </c>
      <c r="B59">
        <v>5.3005000000000004</v>
      </c>
      <c r="D59" s="2"/>
      <c r="E59" s="16"/>
    </row>
    <row r="60" spans="1:5" x14ac:dyDescent="0.35">
      <c r="A60" s="16">
        <v>44844</v>
      </c>
      <c r="B60">
        <v>5.1901000000000002</v>
      </c>
      <c r="D60" s="2"/>
      <c r="E60" s="16"/>
    </row>
    <row r="61" spans="1:5" x14ac:dyDescent="0.35">
      <c r="A61" s="16">
        <v>44841</v>
      </c>
      <c r="B61">
        <v>5.1996000000000002</v>
      </c>
      <c r="D61" s="2"/>
      <c r="E61" s="16"/>
    </row>
    <row r="62" spans="1:5" x14ac:dyDescent="0.35">
      <c r="A62" s="16">
        <v>44840</v>
      </c>
      <c r="B62">
        <v>5.2217000000000002</v>
      </c>
      <c r="D62" s="2"/>
      <c r="E62" s="16"/>
    </row>
    <row r="63" spans="1:5" x14ac:dyDescent="0.35">
      <c r="A63" s="16">
        <v>44839</v>
      </c>
      <c r="B63">
        <v>5.194</v>
      </c>
      <c r="D63" s="2"/>
      <c r="E63" s="16"/>
    </row>
    <row r="64" spans="1:5" x14ac:dyDescent="0.35">
      <c r="A64" s="16">
        <v>44838</v>
      </c>
      <c r="B64">
        <v>5.1769999999999996</v>
      </c>
      <c r="D64" s="2"/>
      <c r="E64" s="16"/>
    </row>
    <row r="65" spans="1:5" x14ac:dyDescent="0.35">
      <c r="A65" s="16">
        <v>44837</v>
      </c>
      <c r="B65">
        <v>5.1672000000000002</v>
      </c>
      <c r="D65" s="2"/>
      <c r="E65" s="16"/>
    </row>
    <row r="66" spans="1:5" x14ac:dyDescent="0.35">
      <c r="A66" s="16">
        <v>44834</v>
      </c>
      <c r="B66">
        <v>5.4154</v>
      </c>
      <c r="D66" s="2"/>
      <c r="E66" s="16"/>
    </row>
    <row r="67" spans="1:5" x14ac:dyDescent="0.35">
      <c r="A67" s="16">
        <v>44833</v>
      </c>
      <c r="B67">
        <v>5.3963999999999999</v>
      </c>
      <c r="D67" s="2"/>
      <c r="E67" s="16"/>
    </row>
    <row r="68" spans="1:5" x14ac:dyDescent="0.35">
      <c r="A68" s="16">
        <v>44832</v>
      </c>
      <c r="B68">
        <v>5.3745000000000003</v>
      </c>
      <c r="D68" s="2"/>
      <c r="E68" s="16"/>
    </row>
    <row r="69" spans="1:5" x14ac:dyDescent="0.35">
      <c r="A69" s="16">
        <v>44831</v>
      </c>
      <c r="B69">
        <v>5.3823999999999996</v>
      </c>
      <c r="D69" s="2"/>
      <c r="E69" s="16"/>
    </row>
    <row r="70" spans="1:5" x14ac:dyDescent="0.35">
      <c r="A70" s="16">
        <v>44830</v>
      </c>
      <c r="B70">
        <v>5.3898000000000001</v>
      </c>
      <c r="D70" s="2"/>
      <c r="E70" s="16"/>
    </row>
    <row r="71" spans="1:5" x14ac:dyDescent="0.35">
      <c r="A71" s="16">
        <v>44827</v>
      </c>
      <c r="B71">
        <v>5.2595000000000001</v>
      </c>
      <c r="D71" s="2"/>
      <c r="E71" s="16"/>
    </row>
    <row r="72" spans="1:5" x14ac:dyDescent="0.35">
      <c r="A72" s="16">
        <v>44826</v>
      </c>
      <c r="B72">
        <v>5.1166</v>
      </c>
      <c r="D72" s="2"/>
      <c r="E72" s="16"/>
    </row>
    <row r="73" spans="1:5" x14ac:dyDescent="0.35">
      <c r="A73" s="16">
        <v>44825</v>
      </c>
      <c r="B73">
        <v>5.1715999999999998</v>
      </c>
      <c r="D73" s="2"/>
      <c r="E73" s="16"/>
    </row>
    <row r="74" spans="1:5" x14ac:dyDescent="0.35">
      <c r="A74" s="16">
        <v>44824</v>
      </c>
      <c r="B74">
        <v>5.1417000000000002</v>
      </c>
      <c r="D74" s="2"/>
      <c r="E74" s="16"/>
    </row>
    <row r="75" spans="1:5" x14ac:dyDescent="0.35">
      <c r="A75" s="16">
        <v>44823</v>
      </c>
      <c r="B75">
        <v>5.1669999999999998</v>
      </c>
      <c r="D75" s="2"/>
      <c r="E75" s="16"/>
    </row>
    <row r="76" spans="1:5" x14ac:dyDescent="0.35">
      <c r="A76" s="16">
        <v>44820</v>
      </c>
      <c r="B76">
        <v>5.2530999999999999</v>
      </c>
      <c r="D76" s="2"/>
      <c r="E76" s="16"/>
    </row>
    <row r="77" spans="1:5" x14ac:dyDescent="0.35">
      <c r="A77" s="16">
        <v>44819</v>
      </c>
      <c r="B77">
        <v>5.2469999999999999</v>
      </c>
      <c r="D77" s="2"/>
      <c r="E77" s="16"/>
    </row>
    <row r="78" spans="1:5" x14ac:dyDescent="0.35">
      <c r="A78" s="16">
        <v>44818</v>
      </c>
      <c r="B78">
        <v>5.1631</v>
      </c>
      <c r="D78" s="2"/>
      <c r="E78" s="16"/>
    </row>
    <row r="79" spans="1:5" x14ac:dyDescent="0.35">
      <c r="A79" s="16">
        <v>44817</v>
      </c>
      <c r="B79">
        <v>5.1910999999999996</v>
      </c>
      <c r="D79" s="2"/>
      <c r="E79" s="16"/>
    </row>
    <row r="80" spans="1:5" x14ac:dyDescent="0.35">
      <c r="A80" s="16">
        <v>44816</v>
      </c>
      <c r="B80">
        <v>5.093</v>
      </c>
      <c r="D80" s="2"/>
      <c r="E80" s="16"/>
    </row>
    <row r="81" spans="1:5" x14ac:dyDescent="0.35">
      <c r="A81" s="16">
        <v>44813</v>
      </c>
      <c r="B81">
        <v>5.1462000000000003</v>
      </c>
      <c r="D81" s="2"/>
      <c r="E81" s="16"/>
    </row>
    <row r="82" spans="1:5" x14ac:dyDescent="0.35">
      <c r="A82" s="16">
        <v>44812</v>
      </c>
      <c r="B82">
        <v>5.2141000000000002</v>
      </c>
      <c r="D82" s="2"/>
      <c r="E82" s="16"/>
    </row>
    <row r="83" spans="1:5" x14ac:dyDescent="0.35">
      <c r="A83" s="16">
        <v>44811</v>
      </c>
      <c r="B83">
        <v>5.2480000000000002</v>
      </c>
      <c r="D83" s="2"/>
      <c r="E83" s="16"/>
    </row>
    <row r="84" spans="1:5" x14ac:dyDescent="0.35">
      <c r="A84" s="16">
        <v>44810</v>
      </c>
      <c r="B84">
        <v>5.2527999999999997</v>
      </c>
      <c r="D84" s="2"/>
      <c r="E84" s="16"/>
    </row>
    <row r="85" spans="1:5" x14ac:dyDescent="0.35">
      <c r="A85" s="16">
        <v>44809</v>
      </c>
      <c r="B85">
        <v>5.1516000000000002</v>
      </c>
      <c r="D85" s="2"/>
      <c r="E85" s="16"/>
    </row>
    <row r="86" spans="1:5" x14ac:dyDescent="0.35">
      <c r="A86" s="16">
        <v>44806</v>
      </c>
      <c r="B86">
        <v>5.1680999999999999</v>
      </c>
      <c r="D86" s="2"/>
      <c r="E86" s="16"/>
    </row>
    <row r="87" spans="1:5" x14ac:dyDescent="0.35">
      <c r="A87" s="16">
        <v>44805</v>
      </c>
      <c r="B87">
        <v>5.2416</v>
      </c>
      <c r="D87" s="2"/>
      <c r="E87" s="16"/>
    </row>
    <row r="88" spans="1:5" x14ac:dyDescent="0.35">
      <c r="A88" s="16">
        <v>44804</v>
      </c>
      <c r="B88">
        <v>5.1830999999999996</v>
      </c>
      <c r="D88" s="2"/>
      <c r="E88" s="16"/>
    </row>
    <row r="89" spans="1:5" x14ac:dyDescent="0.35">
      <c r="A89" s="16">
        <v>44803</v>
      </c>
      <c r="B89">
        <v>5.1223000000000001</v>
      </c>
      <c r="D89" s="2"/>
      <c r="E89" s="16"/>
    </row>
    <row r="90" spans="1:5" x14ac:dyDescent="0.35">
      <c r="A90" s="16">
        <v>44802</v>
      </c>
      <c r="B90">
        <v>5.0282</v>
      </c>
      <c r="D90" s="2"/>
      <c r="E90" s="16"/>
    </row>
    <row r="91" spans="1:5" x14ac:dyDescent="0.35">
      <c r="A91" s="16">
        <v>44799</v>
      </c>
      <c r="B91">
        <v>5.0601000000000003</v>
      </c>
      <c r="D91" s="2"/>
      <c r="E91" s="16"/>
    </row>
    <row r="92" spans="1:5" x14ac:dyDescent="0.35">
      <c r="A92" s="16">
        <v>44798</v>
      </c>
      <c r="B92">
        <v>5.1098999999999997</v>
      </c>
      <c r="D92" s="2"/>
      <c r="E92" s="16"/>
    </row>
    <row r="93" spans="1:5" x14ac:dyDescent="0.35">
      <c r="A93" s="16">
        <v>44797</v>
      </c>
      <c r="B93">
        <v>5.1113999999999997</v>
      </c>
      <c r="D93" s="2"/>
      <c r="E93" s="16"/>
    </row>
    <row r="94" spans="1:5" x14ac:dyDescent="0.35">
      <c r="A94" s="16">
        <v>44796</v>
      </c>
      <c r="B94">
        <v>5.1036999999999999</v>
      </c>
      <c r="D94" s="2"/>
      <c r="E94" s="16"/>
    </row>
    <row r="95" spans="1:5" x14ac:dyDescent="0.35">
      <c r="A95" s="16">
        <v>44795</v>
      </c>
      <c r="B95">
        <v>5.1574</v>
      </c>
      <c r="D95" s="2"/>
      <c r="E95" s="16"/>
    </row>
    <row r="96" spans="1:5" x14ac:dyDescent="0.35">
      <c r="A96" s="16">
        <v>44792</v>
      </c>
      <c r="B96">
        <v>5.1696999999999997</v>
      </c>
      <c r="D96" s="2"/>
      <c r="E96" s="16"/>
    </row>
    <row r="97" spans="1:5" x14ac:dyDescent="0.35">
      <c r="A97" s="16">
        <v>44791</v>
      </c>
      <c r="B97">
        <v>5.1673999999999998</v>
      </c>
      <c r="D97" s="2"/>
      <c r="E97" s="16"/>
    </row>
    <row r="98" spans="1:5" x14ac:dyDescent="0.35">
      <c r="A98" s="16">
        <v>44790</v>
      </c>
      <c r="B98">
        <v>5.1642000000000001</v>
      </c>
      <c r="D98" s="2"/>
      <c r="E98" s="16"/>
    </row>
    <row r="99" spans="1:5" x14ac:dyDescent="0.35">
      <c r="A99" s="16">
        <v>44789</v>
      </c>
      <c r="B99">
        <v>5.1459000000000001</v>
      </c>
      <c r="D99" s="2"/>
      <c r="E99" s="16"/>
    </row>
    <row r="100" spans="1:5" x14ac:dyDescent="0.35">
      <c r="A100" s="16">
        <v>44788</v>
      </c>
      <c r="B100">
        <v>5.0960999999999999</v>
      </c>
      <c r="D100" s="2"/>
      <c r="E100" s="16"/>
    </row>
    <row r="101" spans="1:5" x14ac:dyDescent="0.35">
      <c r="A101" s="16">
        <v>44785</v>
      </c>
      <c r="B101">
        <v>5.0735000000000001</v>
      </c>
      <c r="D101" s="2"/>
      <c r="E101" s="16"/>
    </row>
    <row r="102" spans="1:5" x14ac:dyDescent="0.35">
      <c r="A102" s="16">
        <v>44784</v>
      </c>
      <c r="B102">
        <v>5.1581000000000001</v>
      </c>
      <c r="D102" s="2"/>
      <c r="E102" s="16"/>
    </row>
    <row r="103" spans="1:5" x14ac:dyDescent="0.35">
      <c r="A103" s="16">
        <v>44783</v>
      </c>
      <c r="B103">
        <v>5.0926999999999998</v>
      </c>
      <c r="D103" s="2"/>
      <c r="E103" s="16"/>
    </row>
    <row r="104" spans="1:5" x14ac:dyDescent="0.35">
      <c r="A104" s="16">
        <v>44782</v>
      </c>
      <c r="B104">
        <v>5.1237000000000004</v>
      </c>
      <c r="D104" s="2"/>
      <c r="E104" s="16"/>
    </row>
    <row r="105" spans="1:5" x14ac:dyDescent="0.35">
      <c r="A105" s="16">
        <v>44781</v>
      </c>
      <c r="B105">
        <v>5.1116999999999999</v>
      </c>
      <c r="D105" s="2"/>
      <c r="E105" s="16"/>
    </row>
    <row r="106" spans="1:5" x14ac:dyDescent="0.35">
      <c r="A106" s="16">
        <v>44778</v>
      </c>
      <c r="B106">
        <v>5.1646000000000001</v>
      </c>
      <c r="D106" s="2"/>
      <c r="E106" s="16"/>
    </row>
    <row r="107" spans="1:5" x14ac:dyDescent="0.35">
      <c r="A107" s="16">
        <v>44777</v>
      </c>
      <c r="B107">
        <v>5.2164000000000001</v>
      </c>
      <c r="D107" s="2"/>
      <c r="E107" s="16"/>
    </row>
    <row r="108" spans="1:5" x14ac:dyDescent="0.35">
      <c r="A108" s="16">
        <v>44776</v>
      </c>
      <c r="B108">
        <v>5.2815000000000003</v>
      </c>
      <c r="D108" s="2"/>
      <c r="E108" s="16"/>
    </row>
    <row r="109" spans="1:5" x14ac:dyDescent="0.35">
      <c r="A109" s="16">
        <v>44775</v>
      </c>
      <c r="B109">
        <v>5.2784000000000004</v>
      </c>
      <c r="D109" s="2"/>
      <c r="E109" s="16"/>
    </row>
    <row r="110" spans="1:5" x14ac:dyDescent="0.35">
      <c r="A110" s="16">
        <v>44774</v>
      </c>
      <c r="B110">
        <v>5.1837999999999997</v>
      </c>
      <c r="D110" s="2"/>
      <c r="E110" s="16"/>
    </row>
    <row r="111" spans="1:5" x14ac:dyDescent="0.35">
      <c r="A111" s="16">
        <v>44771</v>
      </c>
      <c r="B111">
        <v>5.1734</v>
      </c>
      <c r="D111" s="2"/>
      <c r="E111" s="16"/>
    </row>
    <row r="112" spans="1:5" x14ac:dyDescent="0.35">
      <c r="A112" s="16">
        <v>44770</v>
      </c>
      <c r="B112">
        <v>5.1822999999999997</v>
      </c>
      <c r="D112" s="2"/>
      <c r="E112" s="16"/>
    </row>
    <row r="113" spans="1:5" x14ac:dyDescent="0.35">
      <c r="A113" s="16">
        <v>44769</v>
      </c>
      <c r="B113">
        <v>5.2431999999999999</v>
      </c>
      <c r="D113" s="2"/>
      <c r="E113" s="16"/>
    </row>
    <row r="114" spans="1:5" x14ac:dyDescent="0.35">
      <c r="A114" s="16">
        <v>44768</v>
      </c>
      <c r="B114">
        <v>5.3510999999999997</v>
      </c>
      <c r="D114" s="2"/>
      <c r="E114" s="16"/>
    </row>
    <row r="115" spans="1:5" x14ac:dyDescent="0.35">
      <c r="A115" s="16">
        <v>44767</v>
      </c>
      <c r="B115">
        <v>5.3575999999999997</v>
      </c>
      <c r="D115" s="2"/>
      <c r="E115" s="16"/>
    </row>
    <row r="116" spans="1:5" x14ac:dyDescent="0.35">
      <c r="A116" s="16">
        <v>44764</v>
      </c>
      <c r="B116">
        <v>5.4968000000000004</v>
      </c>
      <c r="D116" s="2"/>
      <c r="E116" s="16"/>
    </row>
    <row r="117" spans="1:5" x14ac:dyDescent="0.35">
      <c r="A117" s="16">
        <v>44763</v>
      </c>
      <c r="B117">
        <v>5.4968000000000004</v>
      </c>
      <c r="D117" s="2"/>
      <c r="E117" s="16"/>
    </row>
    <row r="118" spans="1:5" x14ac:dyDescent="0.35">
      <c r="A118" s="16">
        <v>44762</v>
      </c>
      <c r="B118">
        <v>5.4714</v>
      </c>
      <c r="D118" s="2"/>
      <c r="E118" s="16"/>
    </row>
    <row r="119" spans="1:5" x14ac:dyDescent="0.35">
      <c r="A119" s="16">
        <v>44761</v>
      </c>
      <c r="B119">
        <v>5.4135</v>
      </c>
      <c r="D119" s="2"/>
      <c r="E119" s="16"/>
    </row>
    <row r="120" spans="1:5" x14ac:dyDescent="0.35">
      <c r="A120" s="16">
        <v>44760</v>
      </c>
      <c r="B120">
        <v>5.4375</v>
      </c>
      <c r="D120" s="2"/>
      <c r="E120" s="16"/>
    </row>
    <row r="121" spans="1:5" x14ac:dyDescent="0.35">
      <c r="A121" s="16">
        <v>44757</v>
      </c>
      <c r="B121">
        <v>5.4081999999999999</v>
      </c>
      <c r="D121" s="2"/>
      <c r="E121" s="16"/>
    </row>
    <row r="122" spans="1:5" x14ac:dyDescent="0.35">
      <c r="A122" s="16">
        <v>44756</v>
      </c>
      <c r="B122">
        <v>5.4233000000000002</v>
      </c>
      <c r="D122" s="2"/>
      <c r="E122" s="16"/>
    </row>
    <row r="123" spans="1:5" x14ac:dyDescent="0.35">
      <c r="A123" s="16">
        <v>44755</v>
      </c>
      <c r="B123">
        <v>5.3917000000000002</v>
      </c>
      <c r="D123" s="2"/>
      <c r="E123" s="16"/>
    </row>
    <row r="124" spans="1:5" x14ac:dyDescent="0.35">
      <c r="A124" s="16">
        <v>44754</v>
      </c>
      <c r="B124">
        <v>5.4367999999999999</v>
      </c>
      <c r="D124" s="2"/>
      <c r="E124" s="16"/>
    </row>
    <row r="125" spans="1:5" x14ac:dyDescent="0.35">
      <c r="A125" s="16">
        <v>44753</v>
      </c>
      <c r="B125">
        <v>5.3781999999999996</v>
      </c>
      <c r="D125" s="2"/>
      <c r="E125" s="16"/>
    </row>
    <row r="126" spans="1:5" x14ac:dyDescent="0.35">
      <c r="A126" s="16">
        <v>44750</v>
      </c>
      <c r="B126">
        <v>5.2535999999999996</v>
      </c>
      <c r="D126" s="2"/>
      <c r="E126" s="16"/>
    </row>
    <row r="127" spans="1:5" x14ac:dyDescent="0.35">
      <c r="A127" s="16">
        <v>44749</v>
      </c>
      <c r="B127">
        <v>5.3391000000000002</v>
      </c>
      <c r="D127" s="2"/>
      <c r="E127" s="16"/>
    </row>
    <row r="128" spans="1:5" x14ac:dyDescent="0.35">
      <c r="A128" s="16">
        <v>44748</v>
      </c>
      <c r="B128">
        <v>5.4287000000000001</v>
      </c>
      <c r="D128" s="2"/>
      <c r="E128" s="16"/>
    </row>
    <row r="129" spans="1:5" x14ac:dyDescent="0.35">
      <c r="A129" s="16">
        <v>44747</v>
      </c>
      <c r="B129">
        <v>5.3860999999999999</v>
      </c>
      <c r="D129" s="2"/>
      <c r="E129" s="16"/>
    </row>
    <row r="130" spans="1:5" x14ac:dyDescent="0.35">
      <c r="A130" s="16">
        <v>44746</v>
      </c>
      <c r="B130">
        <v>5.3292999999999999</v>
      </c>
      <c r="D130" s="2"/>
      <c r="E130" s="16"/>
    </row>
    <row r="131" spans="1:5" x14ac:dyDescent="0.35">
      <c r="A131" s="16">
        <v>44743</v>
      </c>
      <c r="B131">
        <v>5.3310000000000004</v>
      </c>
      <c r="D131" s="2"/>
      <c r="E131" s="16"/>
    </row>
    <row r="132" spans="1:5" x14ac:dyDescent="0.35">
      <c r="A132" s="16">
        <v>44742</v>
      </c>
      <c r="B132">
        <v>5.2561999999999998</v>
      </c>
      <c r="D132" s="2"/>
      <c r="E132" s="16"/>
    </row>
    <row r="133" spans="1:5" x14ac:dyDescent="0.35">
      <c r="A133" s="16">
        <v>44741</v>
      </c>
      <c r="B133">
        <v>5.1818</v>
      </c>
      <c r="D133" s="2"/>
      <c r="E133" s="16"/>
    </row>
    <row r="134" spans="1:5" x14ac:dyDescent="0.35">
      <c r="A134" s="16">
        <v>44740</v>
      </c>
      <c r="B134">
        <v>5.2675000000000001</v>
      </c>
      <c r="D134" s="2"/>
      <c r="E134" s="16"/>
    </row>
    <row r="135" spans="1:5" x14ac:dyDescent="0.35">
      <c r="A135" s="16">
        <v>44739</v>
      </c>
      <c r="B135">
        <v>5.2366000000000001</v>
      </c>
      <c r="D135" s="2"/>
      <c r="E135" s="16"/>
    </row>
    <row r="136" spans="1:5" x14ac:dyDescent="0.35">
      <c r="A136" s="16">
        <v>44736</v>
      </c>
      <c r="B136">
        <v>5.2416999999999998</v>
      </c>
      <c r="D136" s="2"/>
      <c r="E136" s="16"/>
    </row>
    <row r="137" spans="1:5" x14ac:dyDescent="0.35">
      <c r="A137" s="16">
        <v>44735</v>
      </c>
      <c r="B137">
        <v>5.2405999999999997</v>
      </c>
      <c r="D137" s="2"/>
      <c r="E137" s="16"/>
    </row>
    <row r="138" spans="1:5" x14ac:dyDescent="0.35">
      <c r="A138" s="16">
        <v>44734</v>
      </c>
      <c r="B138">
        <v>5.194</v>
      </c>
      <c r="D138" s="2"/>
      <c r="E138" s="16"/>
    </row>
    <row r="139" spans="1:5" x14ac:dyDescent="0.35">
      <c r="A139" s="16">
        <v>44733</v>
      </c>
      <c r="B139">
        <v>5.1257000000000001</v>
      </c>
      <c r="D139" s="2"/>
      <c r="E139" s="16"/>
    </row>
    <row r="140" spans="1:5" x14ac:dyDescent="0.35">
      <c r="A140" s="16">
        <v>44732</v>
      </c>
      <c r="B140">
        <v>5.1879999999999997</v>
      </c>
      <c r="D140" s="2"/>
      <c r="E140" s="16"/>
    </row>
    <row r="141" spans="1:5" x14ac:dyDescent="0.35">
      <c r="A141" s="16">
        <v>44729</v>
      </c>
      <c r="B141">
        <v>5.1517999999999997</v>
      </c>
      <c r="D141" s="2"/>
      <c r="E141" s="16"/>
    </row>
    <row r="142" spans="1:5" x14ac:dyDescent="0.35">
      <c r="A142" s="16">
        <v>44728</v>
      </c>
      <c r="B142">
        <v>5.0534999999999997</v>
      </c>
      <c r="D142" s="2"/>
      <c r="E142" s="16"/>
    </row>
    <row r="143" spans="1:5" x14ac:dyDescent="0.35">
      <c r="A143" s="16">
        <v>44727</v>
      </c>
      <c r="B143">
        <v>5.0536000000000003</v>
      </c>
      <c r="D143" s="2"/>
      <c r="E143" s="16"/>
    </row>
    <row r="144" spans="1:5" x14ac:dyDescent="0.35">
      <c r="A144" s="16">
        <v>44726</v>
      </c>
      <c r="B144">
        <v>5.1167999999999996</v>
      </c>
      <c r="D144" s="2"/>
      <c r="E144" s="16"/>
    </row>
    <row r="145" spans="1:5" x14ac:dyDescent="0.35">
      <c r="A145" s="16">
        <v>44725</v>
      </c>
      <c r="B145">
        <v>5.1154000000000002</v>
      </c>
      <c r="D145" s="2"/>
      <c r="E145" s="16"/>
    </row>
    <row r="146" spans="1:5" x14ac:dyDescent="0.35">
      <c r="A146" s="16">
        <v>44722</v>
      </c>
      <c r="B146">
        <v>4.9865000000000004</v>
      </c>
      <c r="D146" s="2"/>
      <c r="E146" s="16"/>
    </row>
    <row r="147" spans="1:5" x14ac:dyDescent="0.35">
      <c r="A147" s="16">
        <v>44721</v>
      </c>
      <c r="B147">
        <v>4.9062999999999999</v>
      </c>
      <c r="D147" s="2"/>
      <c r="E147" s="16"/>
    </row>
    <row r="148" spans="1:5" x14ac:dyDescent="0.35">
      <c r="A148" s="16">
        <v>44720</v>
      </c>
      <c r="B148">
        <v>4.8987999999999996</v>
      </c>
      <c r="D148" s="2"/>
      <c r="E148" s="16"/>
    </row>
    <row r="149" spans="1:5" x14ac:dyDescent="0.35">
      <c r="A149" s="16">
        <v>44719</v>
      </c>
      <c r="B149">
        <v>4.8696000000000002</v>
      </c>
      <c r="D149" s="2"/>
      <c r="E149" s="16"/>
    </row>
    <row r="150" spans="1:5" x14ac:dyDescent="0.35">
      <c r="A150" s="16">
        <v>44718</v>
      </c>
      <c r="B150">
        <v>4.7945000000000002</v>
      </c>
      <c r="D150" s="2"/>
      <c r="E150" s="16"/>
    </row>
    <row r="151" spans="1:5" x14ac:dyDescent="0.35">
      <c r="A151" s="16">
        <v>44715</v>
      </c>
      <c r="B151">
        <v>4.7733999999999996</v>
      </c>
      <c r="D151" s="2"/>
      <c r="E151" s="16"/>
    </row>
    <row r="152" spans="1:5" x14ac:dyDescent="0.35">
      <c r="A152" s="16">
        <v>44714</v>
      </c>
      <c r="B152">
        <v>4.7961999999999998</v>
      </c>
      <c r="D152" s="2"/>
      <c r="E152" s="16"/>
    </row>
    <row r="153" spans="1:5" x14ac:dyDescent="0.35">
      <c r="A153" s="16">
        <v>44713</v>
      </c>
      <c r="B153">
        <v>4.8151000000000002</v>
      </c>
      <c r="D153" s="2"/>
      <c r="E153" s="16"/>
    </row>
    <row r="154" spans="1:5" x14ac:dyDescent="0.35">
      <c r="A154" s="16">
        <v>44712</v>
      </c>
      <c r="B154">
        <v>4.7314999999999996</v>
      </c>
      <c r="D154" s="2"/>
      <c r="E154" s="16"/>
    </row>
    <row r="155" spans="1:5" x14ac:dyDescent="0.35">
      <c r="A155" s="16">
        <v>44711</v>
      </c>
      <c r="B155">
        <v>4.7526000000000002</v>
      </c>
      <c r="D155" s="2"/>
      <c r="E155" s="16"/>
    </row>
    <row r="156" spans="1:5" x14ac:dyDescent="0.35">
      <c r="A156" s="16">
        <v>44708</v>
      </c>
      <c r="B156">
        <v>4.7294999999999998</v>
      </c>
      <c r="D156" s="2"/>
      <c r="E156" s="16"/>
    </row>
    <row r="157" spans="1:5" x14ac:dyDescent="0.35">
      <c r="A157" s="16">
        <v>44707</v>
      </c>
      <c r="B157">
        <v>4.7676999999999996</v>
      </c>
      <c r="D157" s="2"/>
      <c r="E157" s="16"/>
    </row>
    <row r="158" spans="1:5" x14ac:dyDescent="0.35">
      <c r="A158" s="16">
        <v>44706</v>
      </c>
      <c r="B158">
        <v>4.8274999999999997</v>
      </c>
      <c r="D158" s="2"/>
      <c r="E158" s="16"/>
    </row>
    <row r="159" spans="1:5" x14ac:dyDescent="0.35">
      <c r="A159" s="16">
        <v>44705</v>
      </c>
      <c r="B159">
        <v>4.8190999999999997</v>
      </c>
      <c r="D159" s="2"/>
      <c r="E159" s="16"/>
    </row>
    <row r="160" spans="1:5" x14ac:dyDescent="0.35">
      <c r="A160" s="16">
        <v>44704</v>
      </c>
      <c r="B160">
        <v>4.8129999999999997</v>
      </c>
      <c r="D160" s="2"/>
      <c r="E160" s="16"/>
    </row>
    <row r="161" spans="1:5" x14ac:dyDescent="0.35">
      <c r="A161" s="16">
        <v>44701</v>
      </c>
      <c r="B161">
        <v>4.8788</v>
      </c>
      <c r="D161" s="2"/>
      <c r="E161" s="16"/>
    </row>
    <row r="162" spans="1:5" x14ac:dyDescent="0.35">
      <c r="A162" s="16">
        <v>44700</v>
      </c>
      <c r="B162">
        <v>4.9309000000000003</v>
      </c>
      <c r="D162" s="2"/>
      <c r="E162" s="16"/>
    </row>
    <row r="163" spans="1:5" x14ac:dyDescent="0.35">
      <c r="A163" s="16">
        <v>44699</v>
      </c>
      <c r="B163">
        <v>4.9682000000000004</v>
      </c>
      <c r="D163" s="2"/>
      <c r="E163" s="16"/>
    </row>
    <row r="164" spans="1:5" x14ac:dyDescent="0.35">
      <c r="A164" s="16">
        <v>44698</v>
      </c>
      <c r="B164">
        <v>4.9386999999999999</v>
      </c>
      <c r="D164" s="2"/>
      <c r="E164" s="16"/>
    </row>
    <row r="165" spans="1:5" x14ac:dyDescent="0.35">
      <c r="A165" s="16">
        <v>44697</v>
      </c>
      <c r="B165">
        <v>5.0598999999999998</v>
      </c>
      <c r="D165" s="2"/>
      <c r="E165" s="16"/>
    </row>
    <row r="166" spans="1:5" x14ac:dyDescent="0.35">
      <c r="A166" s="16">
        <v>44694</v>
      </c>
      <c r="B166">
        <v>5.0602</v>
      </c>
      <c r="D166" s="2"/>
      <c r="E166" s="16"/>
    </row>
    <row r="167" spans="1:5" x14ac:dyDescent="0.35">
      <c r="A167" s="16">
        <v>44693</v>
      </c>
      <c r="B167">
        <v>5.1338999999999997</v>
      </c>
      <c r="D167" s="2"/>
      <c r="E167" s="16"/>
    </row>
    <row r="168" spans="1:5" x14ac:dyDescent="0.35">
      <c r="A168" s="16">
        <v>44692</v>
      </c>
      <c r="B168">
        <v>5.1372999999999998</v>
      </c>
      <c r="D168" s="2"/>
      <c r="E168" s="16"/>
    </row>
    <row r="169" spans="1:5" x14ac:dyDescent="0.35">
      <c r="A169" s="16">
        <v>44691</v>
      </c>
      <c r="B169">
        <v>5.1313000000000004</v>
      </c>
      <c r="D169" s="2"/>
      <c r="E169" s="16"/>
    </row>
    <row r="170" spans="1:5" x14ac:dyDescent="0.35">
      <c r="A170" s="16">
        <v>44690</v>
      </c>
      <c r="B170">
        <v>5.1616999999999997</v>
      </c>
      <c r="D170" s="2"/>
      <c r="E170" s="16"/>
    </row>
    <row r="171" spans="1:5" x14ac:dyDescent="0.35">
      <c r="A171" s="16">
        <v>44687</v>
      </c>
      <c r="B171">
        <v>5.0773999999999999</v>
      </c>
      <c r="D171" s="2"/>
      <c r="E171" s="16"/>
    </row>
    <row r="172" spans="1:5" x14ac:dyDescent="0.35">
      <c r="A172" s="16">
        <v>44686</v>
      </c>
      <c r="B172">
        <v>5.0279999999999996</v>
      </c>
      <c r="D172" s="2"/>
      <c r="E172" s="16"/>
    </row>
    <row r="173" spans="1:5" x14ac:dyDescent="0.35">
      <c r="A173" s="16">
        <v>44685</v>
      </c>
      <c r="B173">
        <v>4.9198000000000004</v>
      </c>
      <c r="D173" s="2"/>
      <c r="E173" s="16"/>
    </row>
    <row r="174" spans="1:5" x14ac:dyDescent="0.35">
      <c r="A174" s="16">
        <v>44684</v>
      </c>
      <c r="B174">
        <v>4.9584000000000001</v>
      </c>
      <c r="D174" s="2"/>
      <c r="E174" s="16"/>
    </row>
    <row r="175" spans="1:5" x14ac:dyDescent="0.35">
      <c r="A175" s="16">
        <v>44683</v>
      </c>
      <c r="B175">
        <v>5.0848000000000004</v>
      </c>
      <c r="D175" s="2"/>
      <c r="E175" s="16"/>
    </row>
    <row r="176" spans="1:5" x14ac:dyDescent="0.35">
      <c r="A176" s="16">
        <v>44680</v>
      </c>
      <c r="B176">
        <v>4.9721000000000002</v>
      </c>
      <c r="D176" s="2"/>
      <c r="E176" s="16"/>
    </row>
    <row r="177" spans="1:5" x14ac:dyDescent="0.35">
      <c r="A177" s="16">
        <v>44679</v>
      </c>
      <c r="B177">
        <v>4.9424999999999999</v>
      </c>
      <c r="D177" s="2"/>
      <c r="E177" s="16"/>
    </row>
    <row r="178" spans="1:5" x14ac:dyDescent="0.35">
      <c r="A178" s="16">
        <v>44678</v>
      </c>
      <c r="B178">
        <v>4.9650999999999996</v>
      </c>
      <c r="D178" s="2"/>
      <c r="E178" s="16"/>
    </row>
    <row r="179" spans="1:5" x14ac:dyDescent="0.35">
      <c r="A179" s="16">
        <v>44677</v>
      </c>
      <c r="B179">
        <v>4.9988999999999999</v>
      </c>
      <c r="D179" s="2"/>
      <c r="E179" s="16"/>
    </row>
    <row r="180" spans="1:5" x14ac:dyDescent="0.35">
      <c r="A180" s="16">
        <v>44676</v>
      </c>
      <c r="B180">
        <v>4.8765999999999998</v>
      </c>
      <c r="D180" s="2"/>
      <c r="E180" s="16"/>
    </row>
    <row r="181" spans="1:5" x14ac:dyDescent="0.35">
      <c r="A181" s="16">
        <v>44673</v>
      </c>
      <c r="B181">
        <v>4.7937000000000003</v>
      </c>
      <c r="D181" s="2"/>
      <c r="E181" s="16"/>
    </row>
    <row r="182" spans="1:5" x14ac:dyDescent="0.35">
      <c r="A182" s="16">
        <v>44672</v>
      </c>
      <c r="B182">
        <v>4.6219999999999999</v>
      </c>
      <c r="D182" s="2"/>
      <c r="E182" s="16"/>
    </row>
    <row r="183" spans="1:5" x14ac:dyDescent="0.35">
      <c r="A183" s="16">
        <v>44671</v>
      </c>
      <c r="B183">
        <v>4.6219000000000001</v>
      </c>
      <c r="D183" s="2"/>
      <c r="E183" s="16"/>
    </row>
    <row r="184" spans="1:5" x14ac:dyDescent="0.35">
      <c r="A184" s="16">
        <v>44670</v>
      </c>
      <c r="B184">
        <v>4.6675000000000004</v>
      </c>
      <c r="D184" s="2"/>
      <c r="E184" s="16"/>
    </row>
    <row r="185" spans="1:5" x14ac:dyDescent="0.35">
      <c r="A185" s="16">
        <v>44669</v>
      </c>
      <c r="B185">
        <v>4.6527000000000003</v>
      </c>
      <c r="D185" s="2"/>
      <c r="E185" s="16"/>
    </row>
    <row r="186" spans="1:5" x14ac:dyDescent="0.35">
      <c r="A186" s="16">
        <v>44666</v>
      </c>
      <c r="B186">
        <v>4.6965000000000003</v>
      </c>
      <c r="D186" s="2"/>
      <c r="E186" s="16"/>
    </row>
    <row r="187" spans="1:5" x14ac:dyDescent="0.35">
      <c r="A187" s="16">
        <v>44665</v>
      </c>
      <c r="B187">
        <v>4.7012999999999998</v>
      </c>
      <c r="D187" s="2"/>
      <c r="E187" s="16"/>
    </row>
    <row r="188" spans="1:5" x14ac:dyDescent="0.35">
      <c r="A188" s="16">
        <v>44664</v>
      </c>
      <c r="B188">
        <v>4.6898999999999997</v>
      </c>
      <c r="D188" s="2"/>
      <c r="E188" s="16"/>
    </row>
    <row r="189" spans="1:5" x14ac:dyDescent="0.35">
      <c r="A189" s="16">
        <v>44663</v>
      </c>
      <c r="B189">
        <v>4.6734999999999998</v>
      </c>
      <c r="D189" s="2"/>
      <c r="E189" s="16"/>
    </row>
    <row r="190" spans="1:5" x14ac:dyDescent="0.35">
      <c r="A190" s="16">
        <v>44662</v>
      </c>
      <c r="B190">
        <v>4.6943999999999999</v>
      </c>
      <c r="D190" s="2"/>
      <c r="E190" s="16"/>
    </row>
    <row r="191" spans="1:5" x14ac:dyDescent="0.35">
      <c r="A191" s="16">
        <v>44659</v>
      </c>
      <c r="B191">
        <v>4.6970000000000001</v>
      </c>
      <c r="D191" s="2"/>
      <c r="E191" s="16"/>
    </row>
    <row r="192" spans="1:5" x14ac:dyDescent="0.35">
      <c r="A192" s="16">
        <v>44658</v>
      </c>
      <c r="B192">
        <v>4.7523999999999997</v>
      </c>
      <c r="D192" s="2"/>
      <c r="E192" s="16"/>
    </row>
    <row r="193" spans="1:5" x14ac:dyDescent="0.35">
      <c r="A193" s="16">
        <v>44657</v>
      </c>
      <c r="B193">
        <v>4.7161</v>
      </c>
      <c r="D193" s="2"/>
      <c r="E193" s="16"/>
    </row>
    <row r="194" spans="1:5" x14ac:dyDescent="0.35">
      <c r="A194" s="16">
        <v>44656</v>
      </c>
      <c r="B194">
        <v>4.6505999999999998</v>
      </c>
      <c r="D194" s="2"/>
      <c r="E194" s="16"/>
    </row>
    <row r="195" spans="1:5" x14ac:dyDescent="0.35">
      <c r="A195" s="16">
        <v>44655</v>
      </c>
      <c r="B195">
        <v>4.5928000000000004</v>
      </c>
      <c r="D195" s="2"/>
      <c r="E195" s="16"/>
    </row>
    <row r="196" spans="1:5" x14ac:dyDescent="0.35">
      <c r="A196" s="16">
        <v>44652</v>
      </c>
      <c r="B196">
        <v>4.6574999999999998</v>
      </c>
      <c r="D196" s="2"/>
      <c r="E196" s="16"/>
    </row>
    <row r="197" spans="1:5" x14ac:dyDescent="0.35">
      <c r="A197" s="16">
        <v>44651</v>
      </c>
      <c r="B197">
        <v>4.7389999999999999</v>
      </c>
      <c r="D197" s="2"/>
      <c r="E197" s="16"/>
    </row>
    <row r="198" spans="1:5" x14ac:dyDescent="0.35">
      <c r="A198" s="16">
        <v>44650</v>
      </c>
      <c r="B198">
        <v>4.7685000000000004</v>
      </c>
      <c r="D198" s="2"/>
      <c r="E198" s="16"/>
    </row>
    <row r="199" spans="1:5" x14ac:dyDescent="0.35">
      <c r="A199" s="16">
        <v>44649</v>
      </c>
      <c r="B199">
        <v>4.7561</v>
      </c>
      <c r="D199" s="2"/>
      <c r="E199" s="16"/>
    </row>
    <row r="200" spans="1:5" x14ac:dyDescent="0.35">
      <c r="A200" s="16">
        <v>44648</v>
      </c>
      <c r="B200">
        <v>4.7675000000000001</v>
      </c>
      <c r="D200" s="2"/>
      <c r="E200" s="16"/>
    </row>
    <row r="201" spans="1:5" x14ac:dyDescent="0.35">
      <c r="A201" s="16">
        <v>44645</v>
      </c>
      <c r="B201">
        <v>4.742</v>
      </c>
      <c r="D201" s="2"/>
      <c r="E201" s="16"/>
    </row>
    <row r="202" spans="1:5" x14ac:dyDescent="0.35">
      <c r="A202" s="16">
        <v>44644</v>
      </c>
      <c r="B202">
        <v>4.8253000000000004</v>
      </c>
      <c r="D202" s="2"/>
      <c r="E202" s="16"/>
    </row>
    <row r="203" spans="1:5" x14ac:dyDescent="0.35">
      <c r="A203" s="16">
        <v>44643</v>
      </c>
      <c r="B203">
        <v>4.8258000000000001</v>
      </c>
      <c r="D203" s="2"/>
      <c r="E203" s="16"/>
    </row>
    <row r="204" spans="1:5" x14ac:dyDescent="0.35">
      <c r="A204" s="16">
        <v>44642</v>
      </c>
      <c r="B204">
        <v>4.9093999999999998</v>
      </c>
      <c r="D204" s="2"/>
      <c r="E204" s="16"/>
    </row>
    <row r="205" spans="1:5" x14ac:dyDescent="0.35">
      <c r="A205" s="16">
        <v>44641</v>
      </c>
      <c r="B205">
        <v>4.9353999999999996</v>
      </c>
      <c r="D205" s="2"/>
      <c r="E205" s="16"/>
    </row>
    <row r="206" spans="1:5" x14ac:dyDescent="0.35">
      <c r="A206" s="16">
        <v>44638</v>
      </c>
      <c r="B206">
        <v>5.0231000000000003</v>
      </c>
      <c r="D206" s="2"/>
      <c r="E206" s="16"/>
    </row>
    <row r="207" spans="1:5" x14ac:dyDescent="0.35">
      <c r="A207" s="16">
        <v>44637</v>
      </c>
      <c r="B207">
        <v>5.0389999999999997</v>
      </c>
      <c r="D207" s="2"/>
      <c r="E207" s="16"/>
    </row>
    <row r="208" spans="1:5" x14ac:dyDescent="0.35">
      <c r="A208" s="16">
        <v>44636</v>
      </c>
      <c r="B208">
        <v>5.0757000000000003</v>
      </c>
      <c r="D208" s="2"/>
      <c r="E208" s="16"/>
    </row>
    <row r="209" spans="1:5" x14ac:dyDescent="0.35">
      <c r="A209" s="16">
        <v>44635</v>
      </c>
      <c r="B209">
        <v>5.1631</v>
      </c>
      <c r="D209" s="2"/>
      <c r="E209" s="16"/>
    </row>
    <row r="210" spans="1:5" x14ac:dyDescent="0.35">
      <c r="A210" s="16">
        <v>44634</v>
      </c>
      <c r="B210">
        <v>5.1193</v>
      </c>
      <c r="D210" s="2"/>
      <c r="E210" s="16"/>
    </row>
    <row r="211" spans="1:5" x14ac:dyDescent="0.35">
      <c r="A211" s="16">
        <v>44631</v>
      </c>
      <c r="B211">
        <v>5.0744999999999996</v>
      </c>
      <c r="D211" s="2"/>
      <c r="E211" s="16"/>
    </row>
    <row r="212" spans="1:5" x14ac:dyDescent="0.35">
      <c r="A212" s="16">
        <v>44630</v>
      </c>
      <c r="B212">
        <v>5.0110000000000001</v>
      </c>
      <c r="D212" s="2"/>
      <c r="E212" s="16"/>
    </row>
    <row r="213" spans="1:5" x14ac:dyDescent="0.35">
      <c r="A213" s="16">
        <v>44629</v>
      </c>
      <c r="B213">
        <v>5.0122999999999998</v>
      </c>
      <c r="D213" s="2"/>
      <c r="E213" s="16"/>
    </row>
    <row r="214" spans="1:5" x14ac:dyDescent="0.35">
      <c r="A214" s="16">
        <v>44628</v>
      </c>
      <c r="B214">
        <v>5.0598999999999998</v>
      </c>
      <c r="D214" s="2"/>
      <c r="E214" s="16"/>
    </row>
    <row r="215" spans="1:5" x14ac:dyDescent="0.35">
      <c r="A215" s="16">
        <v>44627</v>
      </c>
      <c r="B215">
        <v>5.1115000000000004</v>
      </c>
      <c r="D215" s="2"/>
      <c r="E215" s="16"/>
    </row>
    <row r="216" spans="1:5" x14ac:dyDescent="0.35">
      <c r="A216" s="16">
        <v>44624</v>
      </c>
      <c r="B216">
        <v>5.0620000000000003</v>
      </c>
      <c r="D216" s="2"/>
      <c r="E216" s="16"/>
    </row>
    <row r="217" spans="1:5" x14ac:dyDescent="0.35">
      <c r="A217" s="16">
        <v>44623</v>
      </c>
      <c r="B217">
        <v>5.032</v>
      </c>
      <c r="D217" s="2"/>
      <c r="E217" s="16"/>
    </row>
    <row r="218" spans="1:5" x14ac:dyDescent="0.35">
      <c r="A218" s="16">
        <v>44622</v>
      </c>
      <c r="B218">
        <v>5.0994999999999999</v>
      </c>
      <c r="D218" s="2"/>
      <c r="E218" s="16"/>
    </row>
    <row r="219" spans="1:5" x14ac:dyDescent="0.35">
      <c r="A219" s="16">
        <v>44621</v>
      </c>
      <c r="B219">
        <v>5.1595000000000004</v>
      </c>
      <c r="D219" s="2"/>
      <c r="E219" s="16"/>
    </row>
    <row r="220" spans="1:5" x14ac:dyDescent="0.35">
      <c r="A220" s="16">
        <v>44620</v>
      </c>
      <c r="B220">
        <v>5.1599000000000004</v>
      </c>
      <c r="D220" s="2"/>
      <c r="E220" s="16"/>
    </row>
    <row r="221" spans="1:5" x14ac:dyDescent="0.35">
      <c r="A221" s="16">
        <v>44617</v>
      </c>
      <c r="B221">
        <v>5.1623000000000001</v>
      </c>
      <c r="D221" s="2"/>
      <c r="E221" s="16"/>
    </row>
    <row r="222" spans="1:5" x14ac:dyDescent="0.35">
      <c r="A222" s="16">
        <v>44616</v>
      </c>
      <c r="B222">
        <v>5.1231</v>
      </c>
      <c r="D222" s="2"/>
      <c r="E222" s="16"/>
    </row>
    <row r="223" spans="1:5" x14ac:dyDescent="0.35">
      <c r="A223" s="16">
        <v>44615</v>
      </c>
      <c r="B223">
        <v>5.0096999999999996</v>
      </c>
      <c r="D223" s="2"/>
      <c r="E223" s="16"/>
    </row>
    <row r="224" spans="1:5" x14ac:dyDescent="0.35">
      <c r="A224" s="16">
        <v>44614</v>
      </c>
      <c r="B224">
        <v>5.0583</v>
      </c>
      <c r="D224" s="2"/>
      <c r="E224" s="16"/>
    </row>
    <row r="225" spans="1:5" x14ac:dyDescent="0.35">
      <c r="A225" s="16">
        <v>44613</v>
      </c>
      <c r="B225">
        <v>5.1036000000000001</v>
      </c>
      <c r="D225" s="2"/>
      <c r="E225" s="16"/>
    </row>
    <row r="226" spans="1:5" x14ac:dyDescent="0.35">
      <c r="A226" s="16">
        <v>44610</v>
      </c>
      <c r="B226">
        <v>5.1384999999999996</v>
      </c>
      <c r="D226" s="2"/>
      <c r="E226" s="16"/>
    </row>
    <row r="227" spans="1:5" x14ac:dyDescent="0.35">
      <c r="A227" s="16">
        <v>44609</v>
      </c>
      <c r="B227">
        <v>5.1718000000000002</v>
      </c>
      <c r="D227" s="2"/>
      <c r="E227" s="16"/>
    </row>
    <row r="228" spans="1:5" x14ac:dyDescent="0.35">
      <c r="A228" s="16">
        <v>44608</v>
      </c>
      <c r="B228">
        <v>5.1364999999999998</v>
      </c>
      <c r="D228" s="2"/>
      <c r="E228" s="16"/>
    </row>
    <row r="229" spans="1:5" x14ac:dyDescent="0.35">
      <c r="A229" s="16">
        <v>44607</v>
      </c>
      <c r="B229">
        <v>5.1589999999999998</v>
      </c>
      <c r="D229" s="2"/>
      <c r="E229" s="16"/>
    </row>
    <row r="230" spans="1:5" x14ac:dyDescent="0.35">
      <c r="A230" s="16">
        <v>44606</v>
      </c>
      <c r="B230">
        <v>5.2149000000000001</v>
      </c>
      <c r="D230" s="2"/>
      <c r="E230" s="16"/>
    </row>
    <row r="231" spans="1:5" x14ac:dyDescent="0.35">
      <c r="A231" s="16">
        <v>44603</v>
      </c>
      <c r="B231">
        <v>5.2526999999999999</v>
      </c>
      <c r="D231" s="2"/>
      <c r="E231" s="16"/>
    </row>
    <row r="232" spans="1:5" x14ac:dyDescent="0.35">
      <c r="A232" s="16">
        <v>44602</v>
      </c>
      <c r="B232">
        <v>5.2496</v>
      </c>
      <c r="D232" s="2"/>
      <c r="E232" s="16"/>
    </row>
    <row r="233" spans="1:5" x14ac:dyDescent="0.35">
      <c r="A233" s="16">
        <v>44601</v>
      </c>
      <c r="B233">
        <v>5.2354000000000003</v>
      </c>
      <c r="D233" s="2"/>
      <c r="E233" s="16"/>
    </row>
    <row r="234" spans="1:5" x14ac:dyDescent="0.35">
      <c r="A234" s="16">
        <v>44600</v>
      </c>
      <c r="B234">
        <v>5.2592999999999996</v>
      </c>
      <c r="D234" s="2"/>
      <c r="E234" s="16"/>
    </row>
    <row r="235" spans="1:5" x14ac:dyDescent="0.35">
      <c r="A235" s="16">
        <v>44599</v>
      </c>
      <c r="B235">
        <v>5.2636000000000003</v>
      </c>
      <c r="D235" s="2"/>
      <c r="E235" s="16"/>
    </row>
    <row r="236" spans="1:5" x14ac:dyDescent="0.35">
      <c r="A236" s="16">
        <v>44596</v>
      </c>
      <c r="B236">
        <v>5.3278999999999996</v>
      </c>
      <c r="D236" s="2"/>
      <c r="E236" s="16"/>
    </row>
    <row r="237" spans="1:5" x14ac:dyDescent="0.35">
      <c r="A237" s="16">
        <v>44595</v>
      </c>
      <c r="B237">
        <v>5.2839</v>
      </c>
      <c r="D237" s="2"/>
      <c r="E237" s="16"/>
    </row>
    <row r="238" spans="1:5" x14ac:dyDescent="0.35">
      <c r="A238" s="16">
        <v>44594</v>
      </c>
      <c r="B238">
        <v>5.2619999999999996</v>
      </c>
      <c r="D238" s="2"/>
      <c r="E238" s="16"/>
    </row>
    <row r="239" spans="1:5" x14ac:dyDescent="0.35">
      <c r="A239" s="16">
        <v>44593</v>
      </c>
      <c r="B239">
        <v>5.2655000000000003</v>
      </c>
      <c r="D239" s="2"/>
      <c r="E239" s="16"/>
    </row>
    <row r="240" spans="1:5" x14ac:dyDescent="0.35">
      <c r="A240" s="16">
        <v>44592</v>
      </c>
      <c r="B240">
        <v>5.3041</v>
      </c>
      <c r="D240" s="2"/>
      <c r="E240" s="16"/>
    </row>
    <row r="241" spans="1:5" x14ac:dyDescent="0.35">
      <c r="A241" s="16">
        <v>44589</v>
      </c>
      <c r="B241">
        <v>5.3673999999999999</v>
      </c>
      <c r="D241" s="2"/>
      <c r="E241" s="16"/>
    </row>
    <row r="242" spans="1:5" x14ac:dyDescent="0.35">
      <c r="A242" s="16">
        <v>44588</v>
      </c>
      <c r="B242">
        <v>5.4065000000000003</v>
      </c>
      <c r="D242" s="2"/>
      <c r="E242" s="16"/>
    </row>
    <row r="243" spans="1:5" x14ac:dyDescent="0.35">
      <c r="A243" s="16">
        <v>44587</v>
      </c>
      <c r="B243">
        <v>5.4324000000000003</v>
      </c>
      <c r="D243" s="2"/>
      <c r="E243" s="16"/>
    </row>
    <row r="244" spans="1:5" x14ac:dyDescent="0.35">
      <c r="A244" s="16">
        <v>44586</v>
      </c>
      <c r="B244">
        <v>5.4436999999999998</v>
      </c>
      <c r="D244" s="2"/>
      <c r="E244" s="16"/>
    </row>
    <row r="245" spans="1:5" x14ac:dyDescent="0.35">
      <c r="A245" s="16">
        <v>44585</v>
      </c>
      <c r="B245">
        <v>5.4877000000000002</v>
      </c>
      <c r="D245" s="2"/>
      <c r="E245" s="16"/>
    </row>
    <row r="246" spans="1:5" x14ac:dyDescent="0.35">
      <c r="A246" s="16">
        <v>44582</v>
      </c>
      <c r="B246">
        <v>5.4581999999999997</v>
      </c>
      <c r="D246" s="2"/>
      <c r="E246" s="16"/>
    </row>
    <row r="247" spans="1:5" x14ac:dyDescent="0.35">
      <c r="A247" s="16">
        <v>44581</v>
      </c>
      <c r="B247">
        <v>5.4191000000000003</v>
      </c>
      <c r="D247" s="2"/>
      <c r="E247" s="16"/>
    </row>
    <row r="248" spans="1:5" x14ac:dyDescent="0.35">
      <c r="A248" s="16">
        <v>44580</v>
      </c>
      <c r="B248">
        <v>5.4382999999999999</v>
      </c>
      <c r="D248" s="2"/>
      <c r="E248" s="16"/>
    </row>
    <row r="249" spans="1:5" x14ac:dyDescent="0.35">
      <c r="A249" s="16">
        <v>44579</v>
      </c>
      <c r="B249">
        <v>5.5666000000000002</v>
      </c>
      <c r="D249" s="2"/>
      <c r="E249" s="16"/>
    </row>
    <row r="250" spans="1:5" x14ac:dyDescent="0.35">
      <c r="A250" s="16">
        <v>44578</v>
      </c>
      <c r="B250">
        <v>5.5164999999999997</v>
      </c>
      <c r="D250" s="2"/>
      <c r="E250" s="16"/>
    </row>
    <row r="251" spans="1:5" x14ac:dyDescent="0.35">
      <c r="A251" s="16">
        <v>44575</v>
      </c>
      <c r="B251">
        <v>5.5343999999999998</v>
      </c>
      <c r="D251" s="2"/>
      <c r="E251" s="16"/>
    </row>
    <row r="252" spans="1:5" x14ac:dyDescent="0.35">
      <c r="A252" s="16">
        <v>44574</v>
      </c>
      <c r="B252">
        <v>5.5286</v>
      </c>
      <c r="D252" s="2"/>
      <c r="E252" s="16"/>
    </row>
    <row r="253" spans="1:5" x14ac:dyDescent="0.35">
      <c r="A253" s="16">
        <v>44573</v>
      </c>
      <c r="B253">
        <v>5.5338000000000003</v>
      </c>
      <c r="D253" s="2"/>
      <c r="E253" s="16"/>
    </row>
    <row r="254" spans="1:5" x14ac:dyDescent="0.35">
      <c r="A254" s="16">
        <v>44572</v>
      </c>
      <c r="B254">
        <v>5.5686</v>
      </c>
      <c r="D254" s="2"/>
      <c r="E254" s="16"/>
    </row>
    <row r="255" spans="1:5" x14ac:dyDescent="0.35">
      <c r="A255" s="16">
        <v>44571</v>
      </c>
      <c r="B255">
        <v>5.6632999999999996</v>
      </c>
      <c r="D255" s="2"/>
      <c r="E255" s="16"/>
    </row>
    <row r="256" spans="1:5" x14ac:dyDescent="0.35">
      <c r="A256" s="16">
        <v>44568</v>
      </c>
      <c r="B256">
        <v>5.6355000000000004</v>
      </c>
      <c r="D256" s="2"/>
      <c r="E256" s="16"/>
    </row>
    <row r="257" spans="1:5" x14ac:dyDescent="0.35">
      <c r="A257" s="16">
        <v>44567</v>
      </c>
      <c r="B257">
        <v>5.6833999999999998</v>
      </c>
      <c r="D257" s="2"/>
      <c r="E257" s="16"/>
    </row>
    <row r="258" spans="1:5" x14ac:dyDescent="0.35">
      <c r="A258" s="16">
        <v>44566</v>
      </c>
      <c r="B258">
        <v>5.7087000000000003</v>
      </c>
      <c r="D258" s="2"/>
      <c r="E258" s="16"/>
    </row>
    <row r="259" spans="1:5" x14ac:dyDescent="0.35">
      <c r="A259" s="16">
        <v>44565</v>
      </c>
      <c r="B259">
        <v>5.6769999999999996</v>
      </c>
      <c r="D259" s="2"/>
      <c r="E259" s="16"/>
    </row>
    <row r="260" spans="1:5" x14ac:dyDescent="0.35">
      <c r="A260" s="16">
        <v>44564</v>
      </c>
      <c r="B260">
        <v>5.6818</v>
      </c>
      <c r="D260" s="2"/>
      <c r="E260" s="16"/>
    </row>
    <row r="261" spans="1:5" x14ac:dyDescent="0.35">
      <c r="A261" s="16">
        <v>44561</v>
      </c>
      <c r="B261">
        <v>5.5799000000000003</v>
      </c>
      <c r="D261" s="2"/>
      <c r="E261" s="16"/>
    </row>
    <row r="262" spans="1:5" x14ac:dyDescent="0.35">
      <c r="A262" s="16">
        <v>44560</v>
      </c>
      <c r="B262">
        <v>5.5799000000000003</v>
      </c>
      <c r="D262" s="2"/>
      <c r="E262" s="16"/>
    </row>
    <row r="263" spans="1:5" x14ac:dyDescent="0.35">
      <c r="A263" s="16">
        <v>44559</v>
      </c>
      <c r="B263">
        <v>5.6612999999999998</v>
      </c>
      <c r="D263" s="2"/>
      <c r="E263" s="16"/>
    </row>
    <row r="264" spans="1:5" x14ac:dyDescent="0.35">
      <c r="A264" s="16">
        <v>44558</v>
      </c>
      <c r="B264">
        <v>5.6432000000000002</v>
      </c>
      <c r="D264" s="2"/>
      <c r="E264" s="16"/>
    </row>
    <row r="265" spans="1:5" x14ac:dyDescent="0.35">
      <c r="A265" s="16">
        <v>44557</v>
      </c>
      <c r="B265">
        <v>5.6643999999999997</v>
      </c>
      <c r="D265" s="2"/>
      <c r="E265" s="16"/>
    </row>
    <row r="266" spans="1:5" x14ac:dyDescent="0.35">
      <c r="A266" s="16">
        <v>44554</v>
      </c>
      <c r="B266">
        <v>5.6540999999999997</v>
      </c>
      <c r="D266" s="2"/>
      <c r="E266" s="16"/>
    </row>
    <row r="267" spans="1:5" x14ac:dyDescent="0.35">
      <c r="A267" s="16">
        <v>44553</v>
      </c>
      <c r="B267">
        <v>5.6904000000000003</v>
      </c>
      <c r="D267" s="2"/>
      <c r="E267" s="16"/>
    </row>
    <row r="268" spans="1:5" x14ac:dyDescent="0.35">
      <c r="A268" s="16">
        <v>44552</v>
      </c>
      <c r="B268">
        <v>5.7195</v>
      </c>
      <c r="D268" s="2"/>
      <c r="E268" s="16"/>
    </row>
    <row r="269" spans="1:5" x14ac:dyDescent="0.35">
      <c r="A269" s="16">
        <v>44551</v>
      </c>
      <c r="B269">
        <v>5.7366999999999999</v>
      </c>
      <c r="D269" s="2"/>
      <c r="E269" s="16"/>
    </row>
    <row r="270" spans="1:5" x14ac:dyDescent="0.35">
      <c r="A270" s="16">
        <v>44550</v>
      </c>
      <c r="B270">
        <v>5.7049000000000003</v>
      </c>
      <c r="D270" s="2"/>
      <c r="E270" s="16"/>
    </row>
    <row r="271" spans="1:5" x14ac:dyDescent="0.35">
      <c r="A271" s="16">
        <v>44547</v>
      </c>
      <c r="B271">
        <v>5.6952999999999996</v>
      </c>
      <c r="D271" s="2"/>
      <c r="E271" s="16"/>
    </row>
    <row r="272" spans="1:5" x14ac:dyDescent="0.35">
      <c r="A272" s="16">
        <v>44546</v>
      </c>
      <c r="B272">
        <v>5.6957000000000004</v>
      </c>
      <c r="D272" s="2"/>
      <c r="E272" s="16"/>
    </row>
    <row r="273" spans="1:5" x14ac:dyDescent="0.35">
      <c r="A273" s="16">
        <v>44545</v>
      </c>
      <c r="B273">
        <v>5.7121000000000004</v>
      </c>
      <c r="D273" s="2"/>
      <c r="E273" s="16"/>
    </row>
    <row r="274" spans="1:5" x14ac:dyDescent="0.35">
      <c r="A274" s="16">
        <v>44544</v>
      </c>
      <c r="B274">
        <v>5.6455000000000002</v>
      </c>
      <c r="D274" s="2"/>
      <c r="E274" s="16"/>
    </row>
    <row r="275" spans="1:5" x14ac:dyDescent="0.35">
      <c r="A275" s="16">
        <v>44543</v>
      </c>
      <c r="B275">
        <v>5.6351000000000004</v>
      </c>
      <c r="D275" s="2"/>
      <c r="E275" s="16"/>
    </row>
    <row r="276" spans="1:5" x14ac:dyDescent="0.35">
      <c r="A276" s="16">
        <v>44540</v>
      </c>
      <c r="B276">
        <v>5.5925000000000002</v>
      </c>
      <c r="D276" s="2"/>
      <c r="E276" s="16"/>
    </row>
    <row r="277" spans="1:5" x14ac:dyDescent="0.35">
      <c r="A277" s="16">
        <v>44539</v>
      </c>
      <c r="B277">
        <v>5.5557999999999996</v>
      </c>
      <c r="D277" s="2"/>
      <c r="E277" s="16"/>
    </row>
    <row r="278" spans="1:5" x14ac:dyDescent="0.35">
      <c r="A278" s="16">
        <v>44538</v>
      </c>
      <c r="B278">
        <v>5.5773000000000001</v>
      </c>
      <c r="D278" s="2"/>
      <c r="E278" s="16"/>
    </row>
    <row r="279" spans="1:5" x14ac:dyDescent="0.35">
      <c r="A279" s="16">
        <v>44537</v>
      </c>
      <c r="B279">
        <v>5.6405000000000003</v>
      </c>
      <c r="D279" s="2"/>
      <c r="E279" s="16"/>
    </row>
    <row r="280" spans="1:5" x14ac:dyDescent="0.35">
      <c r="A280" s="16">
        <v>44536</v>
      </c>
      <c r="B280">
        <v>5.6871</v>
      </c>
      <c r="D280" s="2"/>
      <c r="E280" s="16"/>
    </row>
    <row r="281" spans="1:5" x14ac:dyDescent="0.35">
      <c r="A281" s="16">
        <v>44533</v>
      </c>
      <c r="B281">
        <v>5.6425999999999998</v>
      </c>
      <c r="D281" s="2"/>
      <c r="E281" s="16"/>
    </row>
    <row r="282" spans="1:5" x14ac:dyDescent="0.35">
      <c r="A282" s="16">
        <v>44532</v>
      </c>
      <c r="B282">
        <v>5.6338999999999997</v>
      </c>
      <c r="D282" s="2"/>
      <c r="E282" s="16"/>
    </row>
    <row r="283" spans="1:5" x14ac:dyDescent="0.35">
      <c r="A283" s="16">
        <v>44531</v>
      </c>
      <c r="B283">
        <v>5.6162000000000001</v>
      </c>
      <c r="D283" s="2"/>
      <c r="E283" s="16"/>
    </row>
    <row r="284" spans="1:5" x14ac:dyDescent="0.35">
      <c r="A284" s="16">
        <v>44530</v>
      </c>
      <c r="B284">
        <v>5.6193</v>
      </c>
      <c r="D284" s="2"/>
      <c r="E284" s="16"/>
    </row>
    <row r="285" spans="1:5" x14ac:dyDescent="0.35">
      <c r="A285" s="16">
        <v>44529</v>
      </c>
      <c r="B285">
        <v>5.6112000000000002</v>
      </c>
      <c r="D285" s="2"/>
      <c r="E285" s="16"/>
    </row>
    <row r="286" spans="1:5" x14ac:dyDescent="0.35">
      <c r="A286" s="16">
        <v>44526</v>
      </c>
      <c r="B286">
        <v>5.5858999999999996</v>
      </c>
      <c r="D286" s="2"/>
      <c r="E286" s="16"/>
    </row>
    <row r="287" spans="1:5" x14ac:dyDescent="0.35">
      <c r="A287" s="16">
        <v>44525</v>
      </c>
      <c r="B287">
        <v>5.5734000000000004</v>
      </c>
      <c r="D287" s="2"/>
      <c r="E287" s="16"/>
    </row>
    <row r="288" spans="1:5" x14ac:dyDescent="0.35">
      <c r="A288" s="16">
        <v>44524</v>
      </c>
      <c r="B288">
        <v>5.6021000000000001</v>
      </c>
      <c r="D288" s="2"/>
      <c r="E288" s="16"/>
    </row>
    <row r="289" spans="1:5" x14ac:dyDescent="0.35">
      <c r="A289" s="16">
        <v>44523</v>
      </c>
      <c r="B289">
        <v>5.6449999999999996</v>
      </c>
      <c r="D289" s="2"/>
      <c r="E289" s="16"/>
    </row>
    <row r="290" spans="1:5" x14ac:dyDescent="0.35">
      <c r="A290" s="16">
        <v>44522</v>
      </c>
      <c r="B290">
        <v>5.5834999999999999</v>
      </c>
      <c r="D290" s="2"/>
      <c r="E290" s="16"/>
    </row>
    <row r="291" spans="1:5" x14ac:dyDescent="0.35">
      <c r="A291" s="16">
        <v>44519</v>
      </c>
      <c r="B291">
        <v>5.5578000000000003</v>
      </c>
      <c r="D291" s="2"/>
      <c r="E291" s="16"/>
    </row>
    <row r="292" spans="1:5" x14ac:dyDescent="0.35">
      <c r="A292" s="16">
        <v>44518</v>
      </c>
      <c r="B292">
        <v>5.5464000000000002</v>
      </c>
      <c r="D292" s="2"/>
      <c r="E292" s="16"/>
    </row>
    <row r="293" spans="1:5" x14ac:dyDescent="0.35">
      <c r="A293" s="16">
        <v>44517</v>
      </c>
      <c r="B293">
        <v>5.4987000000000004</v>
      </c>
      <c r="D293" s="2"/>
      <c r="E293" s="16"/>
    </row>
    <row r="294" spans="1:5" x14ac:dyDescent="0.35">
      <c r="A294" s="16">
        <v>44516</v>
      </c>
      <c r="B294">
        <v>5.4766000000000004</v>
      </c>
      <c r="D294" s="2"/>
      <c r="E294" s="16"/>
    </row>
    <row r="295" spans="1:5" x14ac:dyDescent="0.35">
      <c r="A295" s="16">
        <v>44512</v>
      </c>
      <c r="B295">
        <v>5.4192999999999998</v>
      </c>
      <c r="D295" s="2"/>
      <c r="E295" s="16"/>
    </row>
    <row r="296" spans="1:5" x14ac:dyDescent="0.35">
      <c r="A296" s="16">
        <v>44511</v>
      </c>
      <c r="B296">
        <v>5.4165000000000001</v>
      </c>
      <c r="D296" s="2"/>
      <c r="E296" s="16"/>
    </row>
    <row r="297" spans="1:5" x14ac:dyDescent="0.35">
      <c r="A297" s="16">
        <v>44510</v>
      </c>
      <c r="B297">
        <v>5.4584000000000001</v>
      </c>
      <c r="D297" s="2"/>
      <c r="E297" s="16"/>
    </row>
    <row r="298" spans="1:5" x14ac:dyDescent="0.35">
      <c r="A298" s="16">
        <v>44509</v>
      </c>
      <c r="B298">
        <v>5.4950999999999999</v>
      </c>
      <c r="D298" s="2"/>
      <c r="E298" s="16"/>
    </row>
    <row r="299" spans="1:5" x14ac:dyDescent="0.35">
      <c r="A299" s="16">
        <v>44508</v>
      </c>
      <c r="B299">
        <v>5.5621</v>
      </c>
      <c r="D299" s="2"/>
      <c r="E299" s="16"/>
    </row>
    <row r="300" spans="1:5" x14ac:dyDescent="0.35">
      <c r="A300" s="16">
        <v>44505</v>
      </c>
      <c r="B300">
        <v>5.5449000000000002</v>
      </c>
      <c r="D300" s="2"/>
      <c r="E300" s="16"/>
    </row>
    <row r="301" spans="1:5" x14ac:dyDescent="0.35">
      <c r="A301" s="16">
        <v>44504</v>
      </c>
      <c r="B301">
        <v>5.5936000000000003</v>
      </c>
      <c r="D301" s="2"/>
      <c r="E301" s="16"/>
    </row>
    <row r="302" spans="1:5" x14ac:dyDescent="0.35">
      <c r="A302" s="16">
        <v>44503</v>
      </c>
      <c r="B302">
        <v>5.6665999999999999</v>
      </c>
      <c r="D302" s="2"/>
      <c r="E302" s="16"/>
    </row>
    <row r="303" spans="1:5" x14ac:dyDescent="0.35">
      <c r="A303" s="16">
        <v>44501</v>
      </c>
      <c r="B303">
        <v>5.6688000000000001</v>
      </c>
      <c r="D303" s="2"/>
      <c r="E303" s="16"/>
    </row>
    <row r="304" spans="1:5" x14ac:dyDescent="0.35">
      <c r="A304" s="16">
        <v>44498</v>
      </c>
      <c r="B304">
        <v>5.6424000000000003</v>
      </c>
      <c r="D304" s="2"/>
      <c r="E304" s="16"/>
    </row>
    <row r="305" spans="1:5" x14ac:dyDescent="0.35">
      <c r="A305" s="16">
        <v>44497</v>
      </c>
      <c r="B305">
        <v>5.6117999999999997</v>
      </c>
      <c r="D305" s="2"/>
      <c r="E305" s="16"/>
    </row>
    <row r="306" spans="1:5" x14ac:dyDescent="0.35">
      <c r="A306" s="16">
        <v>44496</v>
      </c>
      <c r="B306">
        <v>5.5660999999999996</v>
      </c>
      <c r="D306" s="2"/>
      <c r="E306" s="16"/>
    </row>
    <row r="307" spans="1:5" x14ac:dyDescent="0.35">
      <c r="A307" s="16">
        <v>44495</v>
      </c>
      <c r="B307">
        <v>5.5793999999999997</v>
      </c>
      <c r="D307" s="2"/>
      <c r="E307" s="16"/>
    </row>
    <row r="308" spans="1:5" x14ac:dyDescent="0.35">
      <c r="A308" s="16">
        <v>44494</v>
      </c>
      <c r="B308">
        <v>5.5967000000000002</v>
      </c>
      <c r="D308" s="2"/>
      <c r="E308" s="16"/>
    </row>
    <row r="309" spans="1:5" x14ac:dyDescent="0.35">
      <c r="A309" s="16">
        <v>44491</v>
      </c>
      <c r="B309">
        <v>5.7111000000000001</v>
      </c>
      <c r="D309" s="2"/>
      <c r="E309" s="16"/>
    </row>
    <row r="310" spans="1:5" x14ac:dyDescent="0.35">
      <c r="A310" s="16">
        <v>44490</v>
      </c>
      <c r="B310">
        <v>5.6417000000000002</v>
      </c>
      <c r="D310" s="2"/>
      <c r="E310" s="16"/>
    </row>
    <row r="311" spans="1:5" x14ac:dyDescent="0.35">
      <c r="A311" s="16">
        <v>44489</v>
      </c>
      <c r="B311">
        <v>5.5564999999999998</v>
      </c>
      <c r="D311" s="2"/>
      <c r="E311" s="16"/>
    </row>
    <row r="312" spans="1:5" x14ac:dyDescent="0.35">
      <c r="A312" s="16">
        <v>44488</v>
      </c>
      <c r="B312">
        <v>5.5514999999999999</v>
      </c>
      <c r="D312" s="2"/>
      <c r="E312" s="16"/>
    </row>
    <row r="313" spans="1:5" x14ac:dyDescent="0.35">
      <c r="A313" s="16">
        <v>44487</v>
      </c>
      <c r="B313">
        <v>5.5186999999999999</v>
      </c>
      <c r="D313" s="2"/>
      <c r="E313" s="16"/>
    </row>
    <row r="314" spans="1:5" x14ac:dyDescent="0.35">
      <c r="A314" s="16">
        <v>44484</v>
      </c>
      <c r="B314">
        <v>5.4504000000000001</v>
      </c>
      <c r="D314" s="2"/>
      <c r="E314" s="16"/>
    </row>
    <row r="315" spans="1:5" x14ac:dyDescent="0.35">
      <c r="A315" s="16">
        <v>44483</v>
      </c>
      <c r="B315">
        <v>5.4981999999999998</v>
      </c>
      <c r="D315" s="2"/>
      <c r="E315" s="16"/>
    </row>
    <row r="316" spans="1:5" x14ac:dyDescent="0.35">
      <c r="A316" s="16">
        <v>44482</v>
      </c>
      <c r="B316">
        <v>5.5464000000000002</v>
      </c>
      <c r="D316" s="2"/>
      <c r="E316" s="16"/>
    </row>
    <row r="317" spans="1:5" x14ac:dyDescent="0.35">
      <c r="A317" s="16">
        <v>44480</v>
      </c>
      <c r="B317">
        <v>5.5155000000000003</v>
      </c>
      <c r="D317" s="2"/>
      <c r="E317" s="16"/>
    </row>
    <row r="318" spans="1:5" x14ac:dyDescent="0.35">
      <c r="A318" s="16">
        <v>44477</v>
      </c>
      <c r="B318">
        <v>5.5077999999999996</v>
      </c>
      <c r="D318" s="2"/>
      <c r="E318" s="16"/>
    </row>
    <row r="319" spans="1:5" x14ac:dyDescent="0.35">
      <c r="A319" s="16">
        <v>44476</v>
      </c>
      <c r="B319">
        <v>5.5133999999999999</v>
      </c>
      <c r="D319" s="2"/>
      <c r="E319" s="16"/>
    </row>
    <row r="320" spans="1:5" x14ac:dyDescent="0.35">
      <c r="A320" s="16">
        <v>44475</v>
      </c>
      <c r="B320">
        <v>5.5091000000000001</v>
      </c>
      <c r="D320" s="2"/>
      <c r="E320" s="16"/>
    </row>
    <row r="321" spans="1:5" x14ac:dyDescent="0.35">
      <c r="A321" s="16">
        <v>44474</v>
      </c>
      <c r="B321">
        <v>5.4604999999999997</v>
      </c>
      <c r="D321" s="2"/>
      <c r="E321" s="16"/>
    </row>
    <row r="322" spans="1:5" x14ac:dyDescent="0.35">
      <c r="A322" s="16">
        <v>44473</v>
      </c>
      <c r="B322">
        <v>5.4198000000000004</v>
      </c>
      <c r="D322" s="2"/>
      <c r="E322" s="16"/>
    </row>
    <row r="323" spans="1:5" x14ac:dyDescent="0.35">
      <c r="A323" s="16">
        <v>44470</v>
      </c>
      <c r="B323">
        <v>5.3905000000000003</v>
      </c>
      <c r="D323" s="2"/>
      <c r="E323" s="16"/>
    </row>
    <row r="324" spans="1:5" x14ac:dyDescent="0.35">
      <c r="A324" s="16">
        <v>44469</v>
      </c>
      <c r="B324">
        <v>5.4387999999999996</v>
      </c>
      <c r="D324" s="2"/>
      <c r="E324" s="16"/>
    </row>
    <row r="325" spans="1:5" x14ac:dyDescent="0.35">
      <c r="A325" s="16">
        <v>44468</v>
      </c>
      <c r="B325">
        <v>5.4166999999999996</v>
      </c>
      <c r="D325" s="2"/>
      <c r="E325" s="16"/>
    </row>
    <row r="326" spans="1:5" x14ac:dyDescent="0.35">
      <c r="A326" s="16">
        <v>44467</v>
      </c>
      <c r="B326">
        <v>5.42</v>
      </c>
      <c r="D326" s="2"/>
      <c r="E326" s="16"/>
    </row>
    <row r="327" spans="1:5" x14ac:dyDescent="0.35">
      <c r="A327" s="16">
        <v>44466</v>
      </c>
      <c r="B327">
        <v>5.3472</v>
      </c>
      <c r="D327" s="2"/>
      <c r="E327" s="16"/>
    </row>
    <row r="328" spans="1:5" x14ac:dyDescent="0.35">
      <c r="A328" s="16">
        <v>44463</v>
      </c>
      <c r="B328">
        <v>5.3429000000000002</v>
      </c>
      <c r="D328" s="2"/>
      <c r="E328" s="16"/>
    </row>
    <row r="329" spans="1:5" x14ac:dyDescent="0.35">
      <c r="A329" s="16">
        <v>44462</v>
      </c>
      <c r="B329">
        <v>5.2885</v>
      </c>
      <c r="D329" s="2"/>
      <c r="E329" s="16"/>
    </row>
    <row r="330" spans="1:5" x14ac:dyDescent="0.35">
      <c r="A330" s="16">
        <v>44461</v>
      </c>
      <c r="B330">
        <v>5.2777000000000003</v>
      </c>
      <c r="D330" s="2"/>
      <c r="E330" s="16"/>
    </row>
    <row r="331" spans="1:5" x14ac:dyDescent="0.35">
      <c r="A331" s="16">
        <v>44460</v>
      </c>
      <c r="B331">
        <v>5.3037999999999998</v>
      </c>
      <c r="D331" s="2"/>
      <c r="E331" s="16"/>
    </row>
    <row r="332" spans="1:5" x14ac:dyDescent="0.35">
      <c r="A332" s="16">
        <v>44459</v>
      </c>
      <c r="B332">
        <v>5.3326000000000002</v>
      </c>
      <c r="D332" s="2"/>
      <c r="E332" s="16"/>
    </row>
    <row r="333" spans="1:5" x14ac:dyDescent="0.35">
      <c r="A333" s="16">
        <v>44456</v>
      </c>
      <c r="B333">
        <v>5.3097000000000003</v>
      </c>
      <c r="D333" s="2"/>
      <c r="E333" s="16"/>
    </row>
    <row r="334" spans="1:5" x14ac:dyDescent="0.35">
      <c r="A334" s="16">
        <v>44455</v>
      </c>
      <c r="B334">
        <v>5.2587999999999999</v>
      </c>
      <c r="D334" s="2"/>
      <c r="E334" s="16"/>
    </row>
    <row r="335" spans="1:5" x14ac:dyDescent="0.35">
      <c r="A335" s="16">
        <v>44454</v>
      </c>
      <c r="B335">
        <v>5.2569999999999997</v>
      </c>
      <c r="D335" s="2"/>
      <c r="E335" s="16"/>
    </row>
    <row r="336" spans="1:5" x14ac:dyDescent="0.35">
      <c r="A336" s="16">
        <v>44453</v>
      </c>
      <c r="B336">
        <v>5.2253999999999996</v>
      </c>
      <c r="D336" s="2"/>
      <c r="E336" s="16"/>
    </row>
    <row r="337" spans="1:5" x14ac:dyDescent="0.35">
      <c r="A337" s="16">
        <v>44452</v>
      </c>
      <c r="B337">
        <v>5.2183999999999999</v>
      </c>
      <c r="D337" s="2"/>
      <c r="E337" s="16"/>
    </row>
    <row r="338" spans="1:5" x14ac:dyDescent="0.35">
      <c r="A338" s="16">
        <v>44449</v>
      </c>
      <c r="B338">
        <v>5.2152000000000003</v>
      </c>
      <c r="D338" s="2"/>
      <c r="E338" s="16"/>
    </row>
    <row r="339" spans="1:5" x14ac:dyDescent="0.35">
      <c r="A339" s="16">
        <v>44448</v>
      </c>
      <c r="B339">
        <v>5.2819000000000003</v>
      </c>
      <c r="D339" s="2"/>
      <c r="E339" s="16"/>
    </row>
    <row r="340" spans="1:5" x14ac:dyDescent="0.35">
      <c r="A340" s="16">
        <v>44447</v>
      </c>
      <c r="B340">
        <v>5.2518000000000002</v>
      </c>
      <c r="D340" s="2"/>
      <c r="E340" s="16"/>
    </row>
    <row r="341" spans="1:5" x14ac:dyDescent="0.35">
      <c r="A341" s="16">
        <v>44445</v>
      </c>
      <c r="B341">
        <v>5.1767000000000003</v>
      </c>
      <c r="D341" s="2"/>
      <c r="E341" s="16"/>
    </row>
    <row r="342" spans="1:5" x14ac:dyDescent="0.35">
      <c r="A342" s="16">
        <v>44442</v>
      </c>
      <c r="B342">
        <v>5.1679000000000004</v>
      </c>
      <c r="D342" s="2"/>
      <c r="E342" s="16"/>
    </row>
    <row r="343" spans="1:5" x14ac:dyDescent="0.35">
      <c r="A343" s="16">
        <v>44441</v>
      </c>
      <c r="B343">
        <v>5.1729000000000003</v>
      </c>
      <c r="D343" s="2"/>
      <c r="E343" s="16"/>
    </row>
    <row r="344" spans="1:5" x14ac:dyDescent="0.35">
      <c r="A344" s="16">
        <v>44440</v>
      </c>
      <c r="B344">
        <v>5.157</v>
      </c>
      <c r="D344" s="2"/>
      <c r="E344" s="16"/>
    </row>
    <row r="345" spans="1:5" x14ac:dyDescent="0.35">
      <c r="A345" s="16">
        <v>44439</v>
      </c>
      <c r="B345">
        <v>5.1426999999999996</v>
      </c>
      <c r="D345" s="2"/>
      <c r="E345" s="16"/>
    </row>
    <row r="346" spans="1:5" x14ac:dyDescent="0.35">
      <c r="A346" s="16">
        <v>44438</v>
      </c>
      <c r="B346">
        <v>5.1946000000000003</v>
      </c>
      <c r="D346" s="2"/>
      <c r="E346" s="16"/>
    </row>
    <row r="347" spans="1:5" x14ac:dyDescent="0.35">
      <c r="A347" s="16">
        <v>44435</v>
      </c>
      <c r="B347">
        <v>5.2194000000000003</v>
      </c>
      <c r="D347" s="2"/>
      <c r="E347" s="16"/>
    </row>
    <row r="348" spans="1:5" x14ac:dyDescent="0.35">
      <c r="A348" s="16">
        <v>44434</v>
      </c>
      <c r="B348">
        <v>5.2423000000000002</v>
      </c>
      <c r="D348" s="2"/>
      <c r="E348" s="16"/>
    </row>
    <row r="349" spans="1:5" x14ac:dyDescent="0.35">
      <c r="A349" s="16">
        <v>44433</v>
      </c>
      <c r="B349">
        <v>5.2458999999999998</v>
      </c>
      <c r="D349" s="2"/>
      <c r="E349" s="16"/>
    </row>
    <row r="350" spans="1:5" x14ac:dyDescent="0.35">
      <c r="A350" s="16">
        <v>44432</v>
      </c>
      <c r="B350">
        <v>5.3010999999999999</v>
      </c>
      <c r="D350" s="2"/>
      <c r="E350" s="16"/>
    </row>
    <row r="351" spans="1:5" x14ac:dyDescent="0.35">
      <c r="A351" s="16">
        <v>44431</v>
      </c>
      <c r="B351">
        <v>5.3680000000000003</v>
      </c>
      <c r="D351" s="2"/>
      <c r="E351" s="16"/>
    </row>
    <row r="352" spans="1:5" x14ac:dyDescent="0.35">
      <c r="A352" s="16">
        <v>44428</v>
      </c>
      <c r="B352">
        <v>5.4268000000000001</v>
      </c>
      <c r="D352" s="2"/>
      <c r="E352" s="16"/>
    </row>
    <row r="353" spans="1:5" x14ac:dyDescent="0.35">
      <c r="A353" s="16">
        <v>44427</v>
      </c>
      <c r="B353">
        <v>5.4173999999999998</v>
      </c>
      <c r="D353" s="2"/>
      <c r="E353" s="16"/>
    </row>
    <row r="354" spans="1:5" x14ac:dyDescent="0.35">
      <c r="A354" s="16">
        <v>44426</v>
      </c>
      <c r="B354">
        <v>5.3018999999999998</v>
      </c>
      <c r="D354" s="2"/>
      <c r="E354" s="16"/>
    </row>
    <row r="355" spans="1:5" x14ac:dyDescent="0.35">
      <c r="A355" s="16">
        <v>44425</v>
      </c>
      <c r="B355">
        <v>5.2579000000000002</v>
      </c>
      <c r="D355" s="2"/>
      <c r="E355" s="16"/>
    </row>
    <row r="356" spans="1:5" x14ac:dyDescent="0.35">
      <c r="A356" s="16">
        <v>44424</v>
      </c>
      <c r="B356">
        <v>5.2488999999999999</v>
      </c>
      <c r="D356" s="2"/>
      <c r="E356" s="16"/>
    </row>
    <row r="357" spans="1:5" x14ac:dyDescent="0.35">
      <c r="A357" s="16">
        <v>44421</v>
      </c>
      <c r="B357">
        <v>5.2468000000000004</v>
      </c>
      <c r="D357" s="2"/>
      <c r="E357" s="16"/>
    </row>
    <row r="358" spans="1:5" x14ac:dyDescent="0.35">
      <c r="A358" s="16">
        <v>44420</v>
      </c>
      <c r="B358">
        <v>5.2344999999999997</v>
      </c>
      <c r="D358" s="2"/>
      <c r="E358" s="16"/>
    </row>
    <row r="359" spans="1:5" x14ac:dyDescent="0.35">
      <c r="A359" s="16">
        <v>44419</v>
      </c>
      <c r="B359">
        <v>5.2007000000000003</v>
      </c>
      <c r="D359" s="2"/>
      <c r="E359" s="16"/>
    </row>
    <row r="360" spans="1:5" x14ac:dyDescent="0.35">
      <c r="A360" s="16">
        <v>44418</v>
      </c>
      <c r="B360">
        <v>5.2210999999999999</v>
      </c>
      <c r="D360" s="2"/>
      <c r="E360" s="16"/>
    </row>
    <row r="361" spans="1:5" x14ac:dyDescent="0.35">
      <c r="A361" s="16">
        <v>44417</v>
      </c>
      <c r="B361">
        <v>5.2767999999999997</v>
      </c>
      <c r="D361" s="2"/>
      <c r="E361" s="16"/>
    </row>
    <row r="362" spans="1:5" x14ac:dyDescent="0.35">
      <c r="A362" s="16">
        <v>44414</v>
      </c>
      <c r="B362">
        <v>5.2404000000000002</v>
      </c>
      <c r="D362" s="2"/>
      <c r="E362" s="16"/>
    </row>
    <row r="363" spans="1:5" x14ac:dyDescent="0.35">
      <c r="A363" s="16">
        <v>44413</v>
      </c>
      <c r="B363">
        <v>5.1459000000000001</v>
      </c>
      <c r="D363" s="2"/>
      <c r="E363" s="16"/>
    </row>
    <row r="364" spans="1:5" x14ac:dyDescent="0.35">
      <c r="A364" s="16">
        <v>44412</v>
      </c>
      <c r="B364">
        <v>5.2084999999999999</v>
      </c>
      <c r="D364" s="2"/>
      <c r="E364" s="16"/>
    </row>
    <row r="365" spans="1:5" x14ac:dyDescent="0.35">
      <c r="A365" s="16">
        <v>44411</v>
      </c>
      <c r="B365">
        <v>5.2458</v>
      </c>
      <c r="D365" s="2"/>
      <c r="E365" s="16"/>
    </row>
    <row r="366" spans="1:5" x14ac:dyDescent="0.35">
      <c r="A366" s="16">
        <v>44410</v>
      </c>
      <c r="B366">
        <v>5.1372999999999998</v>
      </c>
      <c r="D366" s="2"/>
      <c r="E366" s="16"/>
    </row>
    <row r="367" spans="1:5" x14ac:dyDescent="0.35">
      <c r="A367" s="16">
        <v>44407</v>
      </c>
      <c r="B367">
        <v>5.1210000000000004</v>
      </c>
      <c r="D367" s="2"/>
      <c r="E367" s="16"/>
    </row>
    <row r="368" spans="1:5" x14ac:dyDescent="0.35">
      <c r="A368" s="16">
        <v>44406</v>
      </c>
      <c r="B368">
        <v>5.0675999999999997</v>
      </c>
      <c r="D368" s="2"/>
      <c r="E368" s="16"/>
    </row>
    <row r="369" spans="1:5" x14ac:dyDescent="0.35">
      <c r="A369" s="16">
        <v>44405</v>
      </c>
      <c r="B369">
        <v>5.1520999999999999</v>
      </c>
      <c r="D369" s="2"/>
      <c r="E369" s="16"/>
    </row>
    <row r="370" spans="1:5" x14ac:dyDescent="0.35">
      <c r="A370" s="16">
        <v>44404</v>
      </c>
      <c r="B370">
        <v>5.1662999999999997</v>
      </c>
      <c r="D370" s="2"/>
      <c r="E370" s="16"/>
    </row>
    <row r="371" spans="1:5" x14ac:dyDescent="0.35">
      <c r="A371" s="16">
        <v>44403</v>
      </c>
      <c r="B371">
        <v>5.1856999999999998</v>
      </c>
      <c r="D371" s="2"/>
      <c r="E371" s="16"/>
    </row>
    <row r="372" spans="1:5" x14ac:dyDescent="0.35">
      <c r="A372" s="16">
        <v>44400</v>
      </c>
      <c r="B372">
        <v>5.1695000000000002</v>
      </c>
      <c r="D372" s="2"/>
      <c r="E372" s="16"/>
    </row>
    <row r="373" spans="1:5" x14ac:dyDescent="0.35">
      <c r="A373" s="16">
        <v>44399</v>
      </c>
      <c r="B373">
        <v>5.1971999999999996</v>
      </c>
      <c r="D373" s="2"/>
      <c r="E373" s="16"/>
    </row>
    <row r="374" spans="1:5" x14ac:dyDescent="0.35">
      <c r="A374" s="16">
        <v>44398</v>
      </c>
      <c r="B374">
        <v>5.2510000000000003</v>
      </c>
      <c r="D374" s="2"/>
      <c r="E374" s="16"/>
    </row>
    <row r="375" spans="1:5" x14ac:dyDescent="0.35">
      <c r="A375" s="16">
        <v>44397</v>
      </c>
      <c r="B375">
        <v>5.2458999999999998</v>
      </c>
      <c r="D375" s="2"/>
      <c r="E375" s="16"/>
    </row>
    <row r="376" spans="1:5" x14ac:dyDescent="0.35">
      <c r="A376" s="16">
        <v>44396</v>
      </c>
      <c r="B376">
        <v>5.1971999999999996</v>
      </c>
      <c r="D376" s="2"/>
      <c r="E376" s="16"/>
    </row>
    <row r="377" spans="1:5" x14ac:dyDescent="0.35">
      <c r="A377" s="16">
        <v>44393</v>
      </c>
      <c r="B377">
        <v>5.0934999999999997</v>
      </c>
      <c r="D377" s="2"/>
      <c r="E377" s="16"/>
    </row>
    <row r="378" spans="1:5" x14ac:dyDescent="0.35">
      <c r="A378" s="16">
        <v>44392</v>
      </c>
      <c r="B378">
        <v>5.0994000000000002</v>
      </c>
      <c r="D378" s="2"/>
      <c r="E378" s="16"/>
    </row>
    <row r="379" spans="1:5" x14ac:dyDescent="0.35">
      <c r="A379" s="16">
        <v>44391</v>
      </c>
      <c r="B379">
        <v>5.0873999999999997</v>
      </c>
      <c r="D379" s="2"/>
      <c r="E379" s="16"/>
    </row>
    <row r="380" spans="1:5" x14ac:dyDescent="0.35">
      <c r="A380" s="16">
        <v>44390</v>
      </c>
      <c r="B380">
        <v>5.1764000000000001</v>
      </c>
      <c r="D380" s="2"/>
      <c r="E380" s="16"/>
    </row>
    <row r="381" spans="1:5" x14ac:dyDescent="0.35">
      <c r="A381" s="16">
        <v>44389</v>
      </c>
      <c r="B381">
        <v>5.2233000000000001</v>
      </c>
      <c r="D381" s="2"/>
      <c r="E381" s="16"/>
    </row>
    <row r="382" spans="1:5" x14ac:dyDescent="0.35">
      <c r="A382" s="16">
        <v>44386</v>
      </c>
      <c r="B382">
        <v>5.2370000000000001</v>
      </c>
      <c r="D382" s="2"/>
      <c r="E382" s="16"/>
    </row>
    <row r="383" spans="1:5" x14ac:dyDescent="0.35">
      <c r="A383" s="16">
        <v>44385</v>
      </c>
      <c r="B383">
        <v>5.2580999999999998</v>
      </c>
      <c r="D383" s="2"/>
      <c r="E383" s="16"/>
    </row>
    <row r="384" spans="1:5" x14ac:dyDescent="0.35">
      <c r="A384" s="16">
        <v>44384</v>
      </c>
      <c r="B384">
        <v>5.2321999999999997</v>
      </c>
      <c r="D384" s="2"/>
      <c r="E384" s="16"/>
    </row>
    <row r="385" spans="1:5" x14ac:dyDescent="0.35">
      <c r="A385" s="16">
        <v>44383</v>
      </c>
      <c r="B385">
        <v>5.1638999999999999</v>
      </c>
      <c r="D385" s="2"/>
      <c r="E385" s="16"/>
    </row>
    <row r="386" spans="1:5" x14ac:dyDescent="0.35">
      <c r="A386" s="16">
        <v>44382</v>
      </c>
      <c r="B386">
        <v>5.0743</v>
      </c>
      <c r="D386" s="2"/>
      <c r="E386" s="16"/>
    </row>
    <row r="387" spans="1:5" x14ac:dyDescent="0.35">
      <c r="A387" s="16">
        <v>44379</v>
      </c>
      <c r="B387">
        <v>5.0286999999999997</v>
      </c>
      <c r="D387" s="2"/>
      <c r="E387" s="16"/>
    </row>
    <row r="388" spans="1:5" x14ac:dyDescent="0.35">
      <c r="A388" s="16">
        <v>44378</v>
      </c>
      <c r="B388">
        <v>5.0049000000000001</v>
      </c>
      <c r="D388" s="2"/>
      <c r="E388" s="16"/>
    </row>
    <row r="389" spans="1:5" x14ac:dyDescent="0.35">
      <c r="A389" s="16">
        <v>44377</v>
      </c>
      <c r="B389">
        <v>5.0015999999999998</v>
      </c>
      <c r="D389" s="2"/>
      <c r="E389" s="16"/>
    </row>
    <row r="390" spans="1:5" x14ac:dyDescent="0.35">
      <c r="A390" s="16">
        <v>44375</v>
      </c>
      <c r="B390">
        <v>4.9413999999999998</v>
      </c>
      <c r="D390" s="2"/>
      <c r="E390" s="16"/>
    </row>
    <row r="391" spans="1:5" x14ac:dyDescent="0.35">
      <c r="A391" s="16">
        <v>44372</v>
      </c>
      <c r="B391">
        <v>4.92</v>
      </c>
      <c r="D391" s="2"/>
      <c r="E391" s="16"/>
    </row>
    <row r="392" spans="1:5" x14ac:dyDescent="0.35">
      <c r="A392" s="16">
        <v>44371</v>
      </c>
      <c r="B392">
        <v>4.9271000000000003</v>
      </c>
      <c r="D392" s="2"/>
      <c r="E392" s="16"/>
    </row>
    <row r="393" spans="1:5" x14ac:dyDescent="0.35">
      <c r="A393" s="16">
        <v>44370</v>
      </c>
      <c r="B393">
        <v>4.9512999999999998</v>
      </c>
      <c r="D393" s="2"/>
      <c r="E393" s="16"/>
    </row>
    <row r="394" spans="1:5" x14ac:dyDescent="0.35">
      <c r="A394" s="16">
        <v>44365</v>
      </c>
      <c r="B394">
        <v>5.0313999999999997</v>
      </c>
      <c r="D394" s="2"/>
      <c r="E394" s="16"/>
    </row>
    <row r="395" spans="1:5" x14ac:dyDescent="0.35">
      <c r="A395" s="16">
        <v>44364</v>
      </c>
      <c r="B395">
        <v>5.0358999999999998</v>
      </c>
      <c r="D395" s="2"/>
      <c r="E395" s="16"/>
    </row>
    <row r="396" spans="1:5" x14ac:dyDescent="0.35">
      <c r="A396" s="16">
        <v>44363</v>
      </c>
      <c r="B396">
        <v>5.0206999999999997</v>
      </c>
      <c r="D396" s="2"/>
      <c r="E396" s="16"/>
    </row>
    <row r="397" spans="1:5" x14ac:dyDescent="0.35">
      <c r="A397" s="16">
        <v>44362</v>
      </c>
      <c r="B397">
        <v>5.0873999999999997</v>
      </c>
      <c r="D397" s="2"/>
      <c r="E397" s="16"/>
    </row>
    <row r="398" spans="1:5" x14ac:dyDescent="0.35">
      <c r="A398" s="16">
        <v>44361</v>
      </c>
      <c r="B398">
        <v>5.0707000000000004</v>
      </c>
      <c r="D398" s="2"/>
      <c r="E398" s="16"/>
    </row>
    <row r="399" spans="1:5" x14ac:dyDescent="0.35">
      <c r="A399" s="16">
        <v>44358</v>
      </c>
      <c r="B399">
        <v>5.1189999999999998</v>
      </c>
      <c r="D399" s="2"/>
      <c r="E399" s="16"/>
    </row>
    <row r="400" spans="1:5" x14ac:dyDescent="0.35">
      <c r="A400" s="16">
        <v>44357</v>
      </c>
      <c r="B400">
        <v>5.0635000000000003</v>
      </c>
      <c r="D400" s="2"/>
      <c r="E400" s="16"/>
    </row>
    <row r="401" spans="1:5" x14ac:dyDescent="0.35">
      <c r="A401" s="16">
        <v>44356</v>
      </c>
      <c r="B401">
        <v>5.0533000000000001</v>
      </c>
      <c r="D401" s="2"/>
      <c r="E401" s="16"/>
    </row>
    <row r="402" spans="1:5" x14ac:dyDescent="0.35">
      <c r="A402" s="16">
        <v>44355</v>
      </c>
      <c r="B402">
        <v>5.0488999999999997</v>
      </c>
      <c r="D402" s="2"/>
      <c r="E402" s="16"/>
    </row>
    <row r="403" spans="1:5" x14ac:dyDescent="0.35">
      <c r="A403" s="16">
        <v>44354</v>
      </c>
      <c r="B403">
        <v>5.0498000000000003</v>
      </c>
      <c r="D403" s="2"/>
      <c r="E403" s="16"/>
    </row>
    <row r="404" spans="1:5" x14ac:dyDescent="0.35">
      <c r="A404" s="16">
        <v>44351</v>
      </c>
      <c r="B404">
        <v>5.0666000000000002</v>
      </c>
      <c r="D404" s="2"/>
      <c r="E404" s="16"/>
    </row>
    <row r="405" spans="1:5" x14ac:dyDescent="0.35">
      <c r="A405" s="16">
        <v>44349</v>
      </c>
      <c r="B405">
        <v>5.1147</v>
      </c>
      <c r="D405" s="2"/>
      <c r="E405" s="16"/>
    </row>
    <row r="406" spans="1:5" x14ac:dyDescent="0.35">
      <c r="A406" s="16">
        <v>44348</v>
      </c>
      <c r="B406">
        <v>5.1635999999999997</v>
      </c>
      <c r="D406" s="2"/>
      <c r="E406" s="16"/>
    </row>
    <row r="407" spans="1:5" x14ac:dyDescent="0.35">
      <c r="A407" s="16">
        <v>44347</v>
      </c>
      <c r="B407">
        <v>5.2321999999999997</v>
      </c>
      <c r="D407" s="2"/>
      <c r="E407" s="16"/>
    </row>
    <row r="408" spans="1:5" x14ac:dyDescent="0.35">
      <c r="A408" s="16">
        <v>44344</v>
      </c>
      <c r="B408">
        <v>5.2281000000000004</v>
      </c>
      <c r="D408" s="2"/>
      <c r="E408" s="16"/>
    </row>
    <row r="409" spans="1:5" x14ac:dyDescent="0.35">
      <c r="A409" s="16">
        <v>44343</v>
      </c>
      <c r="B409">
        <v>5.2839999999999998</v>
      </c>
      <c r="D409" s="2"/>
      <c r="E409" s="16"/>
    </row>
    <row r="410" spans="1:5" x14ac:dyDescent="0.35">
      <c r="A410" s="16">
        <v>44342</v>
      </c>
      <c r="B410">
        <v>5.3163999999999998</v>
      </c>
      <c r="D410" s="2"/>
      <c r="E410" s="16"/>
    </row>
    <row r="411" spans="1:5" x14ac:dyDescent="0.35">
      <c r="A411" s="16">
        <v>44341</v>
      </c>
      <c r="B411">
        <v>5.3143000000000002</v>
      </c>
      <c r="D411" s="2"/>
      <c r="E411" s="16"/>
    </row>
    <row r="412" spans="1:5" x14ac:dyDescent="0.35">
      <c r="A412" s="16">
        <v>44340</v>
      </c>
      <c r="B412">
        <v>5.3197999999999999</v>
      </c>
      <c r="D412" s="2"/>
      <c r="E412" s="16"/>
    </row>
    <row r="413" spans="1:5" x14ac:dyDescent="0.35">
      <c r="A413" s="16">
        <v>44337</v>
      </c>
      <c r="B413">
        <v>5.3026999999999997</v>
      </c>
      <c r="D413" s="2"/>
      <c r="E413" s="16"/>
    </row>
    <row r="414" spans="1:5" x14ac:dyDescent="0.35">
      <c r="A414" s="16">
        <v>44336</v>
      </c>
      <c r="B414">
        <v>5.2904999999999998</v>
      </c>
      <c r="D414" s="2"/>
      <c r="E414" s="16"/>
    </row>
    <row r="415" spans="1:5" x14ac:dyDescent="0.35">
      <c r="A415" s="16">
        <v>44335</v>
      </c>
      <c r="B415">
        <v>5.2821999999999996</v>
      </c>
      <c r="D415" s="2"/>
      <c r="E415" s="16"/>
    </row>
    <row r="416" spans="1:5" x14ac:dyDescent="0.35">
      <c r="A416" s="16">
        <v>44334</v>
      </c>
      <c r="B416">
        <v>5.2587999999999999</v>
      </c>
      <c r="D416" s="2"/>
      <c r="E416" s="16"/>
    </row>
    <row r="417" spans="1:5" x14ac:dyDescent="0.35">
      <c r="A417" s="16">
        <v>44333</v>
      </c>
      <c r="B417">
        <v>5.2748999999999997</v>
      </c>
      <c r="D417" s="2"/>
      <c r="E417" s="16"/>
    </row>
    <row r="418" spans="1:5" x14ac:dyDescent="0.35">
      <c r="A418" s="16">
        <v>44330</v>
      </c>
      <c r="B418">
        <v>5.2694999999999999</v>
      </c>
      <c r="D418" s="2"/>
      <c r="E418" s="16"/>
    </row>
    <row r="419" spans="1:5" x14ac:dyDescent="0.35">
      <c r="A419" s="16">
        <v>44329</v>
      </c>
      <c r="B419">
        <v>5.2808999999999999</v>
      </c>
      <c r="D419" s="2"/>
      <c r="E419" s="16"/>
    </row>
    <row r="420" spans="1:5" x14ac:dyDescent="0.35">
      <c r="A420" s="16">
        <v>44328</v>
      </c>
      <c r="B420">
        <v>5.2347000000000001</v>
      </c>
      <c r="D420" s="2"/>
      <c r="E420" s="16"/>
    </row>
    <row r="421" spans="1:5" x14ac:dyDescent="0.35">
      <c r="A421" s="16">
        <v>44327</v>
      </c>
      <c r="B421">
        <v>5.2397</v>
      </c>
      <c r="D421" s="2"/>
      <c r="E421" s="16"/>
    </row>
    <row r="422" spans="1:5" x14ac:dyDescent="0.35">
      <c r="A422" s="16">
        <v>44326</v>
      </c>
      <c r="B422">
        <v>5.2221000000000002</v>
      </c>
      <c r="D422" s="2"/>
      <c r="E422" s="16"/>
    </row>
    <row r="423" spans="1:5" x14ac:dyDescent="0.35">
      <c r="A423" s="16">
        <v>44323</v>
      </c>
      <c r="B423">
        <v>5.2210999999999999</v>
      </c>
      <c r="D423" s="2"/>
      <c r="E423" s="16"/>
    </row>
    <row r="424" spans="1:5" x14ac:dyDescent="0.35">
      <c r="A424" s="16">
        <v>44322</v>
      </c>
      <c r="B424">
        <v>5.2891000000000004</v>
      </c>
      <c r="D424" s="2"/>
      <c r="E424" s="16"/>
    </row>
    <row r="425" spans="1:5" x14ac:dyDescent="0.35">
      <c r="A425" s="16">
        <v>44321</v>
      </c>
      <c r="B425">
        <v>5.3865999999999996</v>
      </c>
      <c r="D425" s="2"/>
      <c r="E425" s="16"/>
    </row>
    <row r="426" spans="1:5" x14ac:dyDescent="0.35">
      <c r="A426" s="16">
        <v>44320</v>
      </c>
      <c r="B426">
        <v>5.4499000000000004</v>
      </c>
      <c r="D426" s="2"/>
      <c r="E426" s="16"/>
    </row>
    <row r="427" spans="1:5" x14ac:dyDescent="0.35">
      <c r="A427" s="16">
        <v>44319</v>
      </c>
      <c r="B427">
        <v>5.4081000000000001</v>
      </c>
      <c r="D427" s="2"/>
      <c r="E427" s="16"/>
    </row>
    <row r="428" spans="1:5" x14ac:dyDescent="0.35">
      <c r="A428" s="16">
        <v>44316</v>
      </c>
      <c r="B428">
        <v>5.4029999999999996</v>
      </c>
      <c r="D428" s="2"/>
      <c r="E428" s="16"/>
    </row>
    <row r="429" spans="1:5" x14ac:dyDescent="0.35">
      <c r="A429" s="16">
        <v>44315</v>
      </c>
      <c r="B429">
        <v>5.3655999999999997</v>
      </c>
      <c r="D429" s="2"/>
      <c r="E429" s="16"/>
    </row>
    <row r="430" spans="1:5" x14ac:dyDescent="0.35">
      <c r="A430" s="16">
        <v>44314</v>
      </c>
      <c r="B430">
        <v>5.3998999999999997</v>
      </c>
      <c r="D430" s="2"/>
      <c r="E430" s="16"/>
    </row>
    <row r="431" spans="1:5" x14ac:dyDescent="0.35">
      <c r="A431" s="16">
        <v>44313</v>
      </c>
      <c r="B431">
        <v>5.4417999999999997</v>
      </c>
      <c r="D431" s="2"/>
      <c r="E431" s="16"/>
    </row>
    <row r="432" spans="1:5" x14ac:dyDescent="0.35">
      <c r="A432" s="16">
        <v>44312</v>
      </c>
      <c r="B432">
        <v>5.4560000000000004</v>
      </c>
      <c r="D432" s="2"/>
      <c r="E432" s="16"/>
    </row>
    <row r="433" spans="1:5" x14ac:dyDescent="0.35">
      <c r="A433" s="16">
        <v>44309</v>
      </c>
      <c r="B433">
        <v>5.4781000000000004</v>
      </c>
      <c r="D433" s="2"/>
      <c r="E433" s="16"/>
    </row>
    <row r="434" spans="1:5" x14ac:dyDescent="0.35">
      <c r="A434" s="16">
        <v>44308</v>
      </c>
      <c r="B434">
        <v>5.4964000000000004</v>
      </c>
      <c r="D434" s="2"/>
      <c r="E434" s="16"/>
    </row>
    <row r="435" spans="1:5" x14ac:dyDescent="0.35">
      <c r="A435" s="16">
        <v>44306</v>
      </c>
      <c r="B435">
        <v>5.5259999999999998</v>
      </c>
      <c r="D435" s="2"/>
      <c r="E435" s="16"/>
    </row>
    <row r="436" spans="1:5" x14ac:dyDescent="0.35">
      <c r="A436" s="16">
        <v>44305</v>
      </c>
      <c r="B436">
        <v>5.5743999999999998</v>
      </c>
      <c r="D436" s="2"/>
      <c r="E436" s="16"/>
    </row>
    <row r="437" spans="1:5" x14ac:dyDescent="0.35">
      <c r="A437" s="16">
        <v>44302</v>
      </c>
      <c r="B437">
        <v>5.6322000000000001</v>
      </c>
      <c r="D437" s="2"/>
      <c r="E437" s="16"/>
    </row>
    <row r="438" spans="1:5" x14ac:dyDescent="0.35">
      <c r="A438" s="16">
        <v>44301</v>
      </c>
      <c r="B438">
        <v>5.6227999999999998</v>
      </c>
      <c r="D438" s="2"/>
      <c r="E438" s="16"/>
    </row>
    <row r="439" spans="1:5" x14ac:dyDescent="0.35">
      <c r="A439" s="16">
        <v>44300</v>
      </c>
      <c r="B439">
        <v>5.6929999999999996</v>
      </c>
      <c r="D439" s="2"/>
      <c r="E439" s="16"/>
    </row>
    <row r="440" spans="1:5" x14ac:dyDescent="0.35">
      <c r="A440" s="16">
        <v>44299</v>
      </c>
      <c r="B440">
        <v>5.7058</v>
      </c>
      <c r="D440" s="2"/>
      <c r="E440" s="16"/>
    </row>
    <row r="441" spans="1:5" x14ac:dyDescent="0.35">
      <c r="A441" s="16">
        <v>44298</v>
      </c>
      <c r="B441">
        <v>5.6576000000000004</v>
      </c>
      <c r="D441" s="2"/>
      <c r="E441" s="16"/>
    </row>
    <row r="442" spans="1:5" x14ac:dyDescent="0.35">
      <c r="A442" s="16">
        <v>44295</v>
      </c>
      <c r="B442">
        <v>5.6439000000000004</v>
      </c>
      <c r="D442" s="2"/>
      <c r="E442" s="16"/>
    </row>
    <row r="443" spans="1:5" x14ac:dyDescent="0.35">
      <c r="A443" s="16">
        <v>44294</v>
      </c>
      <c r="B443">
        <v>5.5811000000000002</v>
      </c>
      <c r="D443" s="2"/>
      <c r="E443" s="16"/>
    </row>
    <row r="444" spans="1:5" x14ac:dyDescent="0.35">
      <c r="A444" s="16">
        <v>44293</v>
      </c>
      <c r="B444">
        <v>5.5857999999999999</v>
      </c>
      <c r="D444" s="2"/>
      <c r="E444" s="16"/>
    </row>
    <row r="445" spans="1:5" x14ac:dyDescent="0.35">
      <c r="A445" s="16">
        <v>44292</v>
      </c>
      <c r="B445">
        <v>5.6257000000000001</v>
      </c>
      <c r="D445" s="2"/>
      <c r="E445" s="16"/>
    </row>
    <row r="446" spans="1:5" x14ac:dyDescent="0.35">
      <c r="A446" s="16">
        <v>44291</v>
      </c>
      <c r="B446">
        <v>5.6573000000000002</v>
      </c>
      <c r="D446" s="2"/>
      <c r="E446" s="16"/>
    </row>
    <row r="447" spans="1:5" x14ac:dyDescent="0.35">
      <c r="A447" s="16">
        <v>44287</v>
      </c>
      <c r="B447">
        <v>5.6843000000000004</v>
      </c>
      <c r="D447" s="2"/>
      <c r="E447" s="16"/>
    </row>
    <row r="448" spans="1:5" x14ac:dyDescent="0.35">
      <c r="A448" s="16">
        <v>44286</v>
      </c>
      <c r="B448">
        <v>5.6966999999999999</v>
      </c>
      <c r="D448" s="2"/>
      <c r="E448" s="16"/>
    </row>
    <row r="449" spans="1:5" x14ac:dyDescent="0.35">
      <c r="A449" s="16">
        <v>44285</v>
      </c>
      <c r="B449">
        <v>5.7636000000000003</v>
      </c>
      <c r="D449" s="2"/>
      <c r="E449" s="16"/>
    </row>
    <row r="450" spans="1:5" x14ac:dyDescent="0.35">
      <c r="A450" s="16">
        <v>44284</v>
      </c>
      <c r="B450">
        <v>5.7919</v>
      </c>
      <c r="D450" s="2"/>
      <c r="E450" s="16"/>
    </row>
    <row r="451" spans="1:5" x14ac:dyDescent="0.35">
      <c r="A451" s="16">
        <v>44281</v>
      </c>
      <c r="B451">
        <v>5.7035999999999998</v>
      </c>
      <c r="D451" s="2"/>
      <c r="E451" s="16"/>
    </row>
    <row r="452" spans="1:5" x14ac:dyDescent="0.35">
      <c r="A452" s="16">
        <v>44280</v>
      </c>
      <c r="B452">
        <v>5.6578999999999997</v>
      </c>
      <c r="D452" s="2"/>
      <c r="E452" s="16"/>
    </row>
    <row r="453" spans="1:5" x14ac:dyDescent="0.35">
      <c r="A453" s="16">
        <v>44279</v>
      </c>
      <c r="B453">
        <v>5.5324</v>
      </c>
      <c r="D453" s="2"/>
      <c r="E453" s="16"/>
    </row>
    <row r="454" spans="1:5" x14ac:dyDescent="0.35">
      <c r="A454" s="16">
        <v>44278</v>
      </c>
      <c r="B454">
        <v>5.4945000000000004</v>
      </c>
      <c r="D454" s="2"/>
      <c r="E454" s="16"/>
    </row>
    <row r="455" spans="1:5" x14ac:dyDescent="0.35">
      <c r="A455" s="16">
        <v>44277</v>
      </c>
      <c r="B455">
        <v>5.5263</v>
      </c>
      <c r="D455" s="2"/>
      <c r="E455" s="16"/>
    </row>
    <row r="456" spans="1:5" x14ac:dyDescent="0.35">
      <c r="A456" s="16">
        <v>44274</v>
      </c>
      <c r="B456">
        <v>5.5076000000000001</v>
      </c>
      <c r="D456" s="2"/>
      <c r="E456" s="16"/>
    </row>
    <row r="457" spans="1:5" x14ac:dyDescent="0.35">
      <c r="A457" s="16">
        <v>44273</v>
      </c>
      <c r="B457">
        <v>5.5468000000000002</v>
      </c>
      <c r="D457" s="2"/>
      <c r="E457" s="16"/>
    </row>
    <row r="458" spans="1:5" x14ac:dyDescent="0.35">
      <c r="A458" s="16">
        <v>44272</v>
      </c>
      <c r="B458">
        <v>5.6573000000000002</v>
      </c>
      <c r="D458" s="2"/>
      <c r="E458" s="16"/>
    </row>
    <row r="459" spans="1:5" x14ac:dyDescent="0.35">
      <c r="A459" s="16">
        <v>44271</v>
      </c>
      <c r="B459">
        <v>5.5845000000000002</v>
      </c>
      <c r="D459" s="2"/>
      <c r="E459" s="16"/>
    </row>
    <row r="460" spans="1:5" x14ac:dyDescent="0.35">
      <c r="A460" s="16">
        <v>44270</v>
      </c>
      <c r="B460">
        <v>5.6289999999999996</v>
      </c>
      <c r="D460" s="2"/>
      <c r="E460" s="16"/>
    </row>
    <row r="461" spans="1:5" x14ac:dyDescent="0.35">
      <c r="A461" s="16">
        <v>44267</v>
      </c>
      <c r="B461">
        <v>5.5633999999999997</v>
      </c>
      <c r="D461" s="2"/>
      <c r="E461" s="16"/>
    </row>
    <row r="462" spans="1:5" x14ac:dyDescent="0.35">
      <c r="A462" s="16">
        <v>44266</v>
      </c>
      <c r="B462">
        <v>5.5884</v>
      </c>
      <c r="D462" s="2"/>
      <c r="E462" s="16"/>
    </row>
    <row r="463" spans="1:5" x14ac:dyDescent="0.35">
      <c r="A463" s="16">
        <v>44265</v>
      </c>
      <c r="B463">
        <v>5.7443</v>
      </c>
      <c r="D463" s="2"/>
      <c r="E463" s="16"/>
    </row>
    <row r="464" spans="1:5" x14ac:dyDescent="0.35">
      <c r="A464" s="16">
        <v>44264</v>
      </c>
      <c r="B464">
        <v>5.8391000000000002</v>
      </c>
      <c r="D464" s="2"/>
      <c r="E464" s="16"/>
    </row>
    <row r="465" spans="1:5" x14ac:dyDescent="0.35">
      <c r="A465" s="16">
        <v>44263</v>
      </c>
      <c r="B465">
        <v>5.7336999999999998</v>
      </c>
      <c r="D465" s="2"/>
      <c r="E465" s="16"/>
    </row>
    <row r="466" spans="1:5" x14ac:dyDescent="0.35">
      <c r="A466" s="16">
        <v>44260</v>
      </c>
      <c r="B466">
        <v>5.6863999999999999</v>
      </c>
      <c r="D466" s="2"/>
      <c r="E466" s="16"/>
    </row>
    <row r="467" spans="1:5" x14ac:dyDescent="0.35">
      <c r="A467" s="16">
        <v>44259</v>
      </c>
      <c r="B467">
        <v>5.6002000000000001</v>
      </c>
      <c r="D467" s="2"/>
      <c r="E467" s="16"/>
    </row>
    <row r="468" spans="1:5" x14ac:dyDescent="0.35">
      <c r="A468" s="16">
        <v>44258</v>
      </c>
      <c r="B468">
        <v>5.7336</v>
      </c>
      <c r="D468" s="2"/>
      <c r="E468" s="16"/>
    </row>
    <row r="469" spans="1:5" x14ac:dyDescent="0.35">
      <c r="A469" s="16">
        <v>44257</v>
      </c>
      <c r="B469">
        <v>5.6837999999999997</v>
      </c>
      <c r="D469" s="2"/>
      <c r="E469" s="16"/>
    </row>
    <row r="470" spans="1:5" x14ac:dyDescent="0.35">
      <c r="A470" s="16">
        <v>44256</v>
      </c>
      <c r="B470">
        <v>5.5826000000000002</v>
      </c>
      <c r="D470" s="2"/>
      <c r="E470" s="16"/>
    </row>
    <row r="471" spans="1:5" x14ac:dyDescent="0.35">
      <c r="A471" s="16">
        <v>44253</v>
      </c>
      <c r="B471">
        <v>5.5296000000000003</v>
      </c>
      <c r="D471" s="2"/>
      <c r="E471" s="16"/>
    </row>
    <row r="472" spans="1:5" x14ac:dyDescent="0.35">
      <c r="A472" s="16">
        <v>44252</v>
      </c>
      <c r="B472">
        <v>5.4593999999999996</v>
      </c>
      <c r="D472" s="2"/>
      <c r="E472" s="16"/>
    </row>
    <row r="473" spans="1:5" x14ac:dyDescent="0.35">
      <c r="A473" s="16">
        <v>44251</v>
      </c>
      <c r="B473">
        <v>5.4176000000000002</v>
      </c>
      <c r="D473" s="2"/>
      <c r="E473" s="16"/>
    </row>
    <row r="474" spans="1:5" x14ac:dyDescent="0.35">
      <c r="A474" s="16">
        <v>44250</v>
      </c>
      <c r="B474">
        <v>5.4484000000000004</v>
      </c>
      <c r="D474" s="2"/>
      <c r="E474" s="16"/>
    </row>
    <row r="475" spans="1:5" x14ac:dyDescent="0.35">
      <c r="A475" s="16">
        <v>44249</v>
      </c>
      <c r="B475">
        <v>5.5038</v>
      </c>
      <c r="D475" s="2"/>
      <c r="E475" s="16"/>
    </row>
    <row r="476" spans="1:5" x14ac:dyDescent="0.35">
      <c r="A476" s="16">
        <v>44246</v>
      </c>
      <c r="B476">
        <v>5.3917999999999999</v>
      </c>
      <c r="D476" s="2"/>
      <c r="E476" s="16"/>
    </row>
    <row r="477" spans="1:5" x14ac:dyDescent="0.35">
      <c r="A477" s="16">
        <v>44245</v>
      </c>
      <c r="B477">
        <v>5.4231999999999996</v>
      </c>
      <c r="D477" s="2"/>
      <c r="E477" s="16"/>
    </row>
    <row r="478" spans="1:5" x14ac:dyDescent="0.35">
      <c r="A478" s="16">
        <v>44244</v>
      </c>
      <c r="B478">
        <v>5.4131999999999998</v>
      </c>
      <c r="D478" s="2"/>
      <c r="E478" s="16"/>
    </row>
    <row r="479" spans="1:5" x14ac:dyDescent="0.35">
      <c r="A479" s="16">
        <v>44239</v>
      </c>
      <c r="B479">
        <v>5.3808999999999996</v>
      </c>
      <c r="D479" s="2"/>
      <c r="E479" s="16"/>
    </row>
    <row r="480" spans="1:5" x14ac:dyDescent="0.35">
      <c r="A480" s="16">
        <v>44238</v>
      </c>
      <c r="B480">
        <v>5.3620000000000001</v>
      </c>
      <c r="D480" s="2"/>
      <c r="E480" s="16"/>
    </row>
    <row r="481" spans="1:5" x14ac:dyDescent="0.35">
      <c r="A481" s="16">
        <v>44237</v>
      </c>
      <c r="B481">
        <v>5.4017999999999997</v>
      </c>
      <c r="D481" s="2"/>
      <c r="E481" s="16"/>
    </row>
    <row r="482" spans="1:5" x14ac:dyDescent="0.35">
      <c r="A482" s="16">
        <v>44236</v>
      </c>
      <c r="B482">
        <v>5.4210000000000003</v>
      </c>
      <c r="D482" s="2"/>
      <c r="E482" s="16"/>
    </row>
    <row r="483" spans="1:5" x14ac:dyDescent="0.35">
      <c r="A483" s="16">
        <v>44235</v>
      </c>
      <c r="B483">
        <v>5.3663999999999996</v>
      </c>
      <c r="D483" s="2"/>
      <c r="E483" s="16"/>
    </row>
    <row r="484" spans="1:5" x14ac:dyDescent="0.35">
      <c r="A484" s="16">
        <v>44232</v>
      </c>
      <c r="B484">
        <v>5.3878000000000004</v>
      </c>
      <c r="D484" s="2"/>
      <c r="E484" s="16"/>
    </row>
    <row r="485" spans="1:5" x14ac:dyDescent="0.35">
      <c r="A485" s="16">
        <v>44231</v>
      </c>
      <c r="B485">
        <v>5.3903999999999996</v>
      </c>
      <c r="D485" s="2"/>
      <c r="E485" s="16"/>
    </row>
    <row r="486" spans="1:5" x14ac:dyDescent="0.35">
      <c r="A486" s="16">
        <v>44230</v>
      </c>
      <c r="B486">
        <v>5.3417000000000003</v>
      </c>
      <c r="D486" s="2"/>
      <c r="E486" s="16"/>
    </row>
    <row r="487" spans="1:5" x14ac:dyDescent="0.35">
      <c r="A487" s="16">
        <v>44229</v>
      </c>
      <c r="B487">
        <v>5.3868999999999998</v>
      </c>
      <c r="D487" s="2"/>
      <c r="E487" s="16"/>
    </row>
    <row r="488" spans="1:5" x14ac:dyDescent="0.35">
      <c r="A488" s="16">
        <v>44228</v>
      </c>
      <c r="B488">
        <v>5.4602000000000004</v>
      </c>
      <c r="D488" s="2"/>
      <c r="E488" s="16"/>
    </row>
    <row r="489" spans="1:5" x14ac:dyDescent="0.35">
      <c r="A489" s="16">
        <v>44225</v>
      </c>
      <c r="B489">
        <v>5.4752999999999998</v>
      </c>
      <c r="D489" s="2"/>
      <c r="E489" s="16"/>
    </row>
    <row r="490" spans="1:5" x14ac:dyDescent="0.35">
      <c r="A490" s="16">
        <v>44224</v>
      </c>
      <c r="B490">
        <v>5.4276</v>
      </c>
      <c r="D490" s="2"/>
      <c r="E490" s="16"/>
    </row>
    <row r="491" spans="1:5" x14ac:dyDescent="0.35">
      <c r="A491" s="16">
        <v>44223</v>
      </c>
      <c r="B491">
        <v>5.3818000000000001</v>
      </c>
      <c r="D491" s="2"/>
      <c r="E491" s="16"/>
    </row>
    <row r="492" spans="1:5" x14ac:dyDescent="0.35">
      <c r="A492" s="16">
        <v>44222</v>
      </c>
      <c r="B492">
        <v>5.3859000000000004</v>
      </c>
      <c r="D492" s="2"/>
      <c r="E492" s="16"/>
    </row>
    <row r="493" spans="1:5" x14ac:dyDescent="0.35">
      <c r="A493" s="16">
        <v>44221</v>
      </c>
      <c r="B493">
        <v>5.5073999999999996</v>
      </c>
      <c r="D493" s="2"/>
      <c r="E493" s="16"/>
    </row>
    <row r="494" spans="1:5" x14ac:dyDescent="0.35">
      <c r="A494" s="16">
        <v>44218</v>
      </c>
      <c r="B494">
        <v>5.4295</v>
      </c>
      <c r="D494" s="2"/>
      <c r="E494" s="16"/>
    </row>
    <row r="495" spans="1:5" x14ac:dyDescent="0.35">
      <c r="A495" s="16">
        <v>44217</v>
      </c>
      <c r="B495">
        <v>5.3159999999999998</v>
      </c>
      <c r="D495" s="2"/>
      <c r="E495" s="16"/>
    </row>
    <row r="496" spans="1:5" x14ac:dyDescent="0.35">
      <c r="A496" s="16">
        <v>44216</v>
      </c>
      <c r="B496">
        <v>5.3026999999999997</v>
      </c>
      <c r="D496" s="2"/>
      <c r="E496" s="16"/>
    </row>
    <row r="497" spans="1:5" x14ac:dyDescent="0.35">
      <c r="A497" s="16">
        <v>44215</v>
      </c>
      <c r="B497">
        <v>5.2938999999999998</v>
      </c>
      <c r="D497" s="2"/>
      <c r="E497" s="16"/>
    </row>
    <row r="498" spans="1:5" x14ac:dyDescent="0.35">
      <c r="A498" s="16">
        <v>44214</v>
      </c>
      <c r="B498">
        <v>5.2782</v>
      </c>
      <c r="D498" s="2"/>
      <c r="E498" s="16"/>
    </row>
    <row r="499" spans="1:5" x14ac:dyDescent="0.35">
      <c r="A499" s="16">
        <v>44211</v>
      </c>
      <c r="B499">
        <v>5.2708000000000004</v>
      </c>
      <c r="D499" s="2"/>
      <c r="E499" s="16"/>
    </row>
    <row r="500" spans="1:5" x14ac:dyDescent="0.35">
      <c r="A500" s="16">
        <v>44210</v>
      </c>
      <c r="B500">
        <v>5.2610999999999999</v>
      </c>
      <c r="D500" s="2"/>
      <c r="E500" s="16"/>
    </row>
    <row r="501" spans="1:5" x14ac:dyDescent="0.35">
      <c r="A501" s="16">
        <v>44209</v>
      </c>
      <c r="B501">
        <v>5.3064</v>
      </c>
      <c r="D501" s="2"/>
      <c r="E501" s="16"/>
    </row>
    <row r="502" spans="1:5" x14ac:dyDescent="0.35">
      <c r="A502" s="16">
        <v>44208</v>
      </c>
      <c r="B502">
        <v>5.4630999999999998</v>
      </c>
      <c r="D502" s="2"/>
      <c r="E502" s="16"/>
    </row>
    <row r="503" spans="1:5" x14ac:dyDescent="0.35">
      <c r="A503" s="16">
        <v>44207</v>
      </c>
      <c r="B503">
        <v>5.4960000000000004</v>
      </c>
      <c r="D503" s="2"/>
      <c r="E503" s="16"/>
    </row>
    <row r="504" spans="1:5" x14ac:dyDescent="0.35">
      <c r="A504" s="16">
        <v>44204</v>
      </c>
      <c r="B504">
        <v>5.3677000000000001</v>
      </c>
      <c r="D504" s="2"/>
      <c r="E504" s="16"/>
    </row>
    <row r="505" spans="1:5" x14ac:dyDescent="0.35">
      <c r="A505" s="16">
        <v>44203</v>
      </c>
      <c r="B505">
        <v>5.3426999999999998</v>
      </c>
      <c r="D505" s="2"/>
      <c r="E505" s="16"/>
    </row>
    <row r="506" spans="1:5" x14ac:dyDescent="0.35">
      <c r="A506" s="16">
        <v>44202</v>
      </c>
      <c r="B506">
        <v>5.3175999999999997</v>
      </c>
      <c r="D506" s="2"/>
      <c r="E506" s="16"/>
    </row>
    <row r="507" spans="1:5" x14ac:dyDescent="0.35">
      <c r="A507" s="16">
        <v>44201</v>
      </c>
      <c r="B507">
        <v>5.3262999999999998</v>
      </c>
      <c r="D507" s="2"/>
      <c r="E507" s="16"/>
    </row>
    <row r="508" spans="1:5" x14ac:dyDescent="0.35">
      <c r="A508" s="16">
        <v>44200</v>
      </c>
      <c r="B508">
        <v>5.1619999999999999</v>
      </c>
      <c r="D508" s="2"/>
      <c r="E508" s="16"/>
    </row>
    <row r="509" spans="1:5" x14ac:dyDescent="0.35">
      <c r="A509" s="16">
        <v>44196</v>
      </c>
      <c r="B509">
        <v>5.1961000000000004</v>
      </c>
      <c r="D509" s="2"/>
      <c r="E509" s="16"/>
    </row>
    <row r="510" spans="1:5" x14ac:dyDescent="0.35">
      <c r="A510" s="16">
        <v>44195</v>
      </c>
      <c r="B510">
        <v>5.1961000000000004</v>
      </c>
      <c r="D510" s="2"/>
      <c r="E510" s="16"/>
    </row>
    <row r="511" spans="1:5" x14ac:dyDescent="0.35">
      <c r="A511" s="16">
        <v>44194</v>
      </c>
      <c r="B511">
        <v>5.1936</v>
      </c>
      <c r="D511" s="2"/>
      <c r="E511" s="16"/>
    </row>
    <row r="512" spans="1:5" x14ac:dyDescent="0.35">
      <c r="A512" s="16">
        <v>44193</v>
      </c>
      <c r="B512">
        <v>5.2384000000000004</v>
      </c>
      <c r="D512" s="2"/>
      <c r="E512" s="16"/>
    </row>
    <row r="513" spans="1:5" x14ac:dyDescent="0.35">
      <c r="A513" s="16">
        <v>44189</v>
      </c>
      <c r="B513">
        <v>5.1784999999999997</v>
      </c>
      <c r="D513" s="2"/>
      <c r="E513" s="16"/>
    </row>
    <row r="514" spans="1:5" x14ac:dyDescent="0.35">
      <c r="A514" s="16">
        <v>44188</v>
      </c>
      <c r="B514">
        <v>5.1734</v>
      </c>
      <c r="D514" s="2"/>
      <c r="E514" s="16"/>
    </row>
    <row r="515" spans="1:5" x14ac:dyDescent="0.35">
      <c r="A515" s="16">
        <v>44187</v>
      </c>
      <c r="B515">
        <v>5.1467000000000001</v>
      </c>
      <c r="D515" s="2"/>
      <c r="E515" s="16"/>
    </row>
    <row r="516" spans="1:5" x14ac:dyDescent="0.35">
      <c r="A516" s="16">
        <v>44186</v>
      </c>
      <c r="B516">
        <v>5.1566000000000001</v>
      </c>
      <c r="D516" s="2"/>
      <c r="E516" s="16"/>
    </row>
    <row r="517" spans="1:5" x14ac:dyDescent="0.35">
      <c r="A517" s="16">
        <v>44183</v>
      </c>
      <c r="B517">
        <v>5.0979999999999999</v>
      </c>
      <c r="D517" s="2"/>
      <c r="E517" s="16"/>
    </row>
    <row r="518" spans="1:5" x14ac:dyDescent="0.35">
      <c r="A518" s="16">
        <v>44182</v>
      </c>
      <c r="B518">
        <v>5.0606</v>
      </c>
      <c r="D518" s="2"/>
      <c r="E518" s="16"/>
    </row>
    <row r="519" spans="1:5" x14ac:dyDescent="0.35">
      <c r="A519" s="16">
        <v>44181</v>
      </c>
      <c r="B519">
        <v>5.1051000000000002</v>
      </c>
      <c r="D519" s="2"/>
      <c r="E519" s="16"/>
    </row>
    <row r="520" spans="1:5" x14ac:dyDescent="0.35">
      <c r="A520" s="16">
        <v>44180</v>
      </c>
      <c r="B520">
        <v>5.0961999999999996</v>
      </c>
      <c r="D520" s="2"/>
      <c r="E520" s="16"/>
    </row>
    <row r="521" spans="1:5" x14ac:dyDescent="0.35">
      <c r="A521" s="16">
        <v>44179</v>
      </c>
      <c r="B521">
        <v>5.0571999999999999</v>
      </c>
      <c r="D521" s="2"/>
      <c r="E521" s="16"/>
    </row>
    <row r="522" spans="1:5" x14ac:dyDescent="0.35">
      <c r="A522" s="16">
        <v>44176</v>
      </c>
      <c r="B522">
        <v>5.0685000000000002</v>
      </c>
      <c r="D522" s="2"/>
      <c r="E522" s="16"/>
    </row>
    <row r="523" spans="1:5" x14ac:dyDescent="0.35">
      <c r="A523" s="16">
        <v>44175</v>
      </c>
      <c r="B523">
        <v>5.0846</v>
      </c>
      <c r="D523" s="2"/>
      <c r="E523" s="16"/>
    </row>
    <row r="524" spans="1:5" x14ac:dyDescent="0.35">
      <c r="A524" s="16">
        <v>44174</v>
      </c>
      <c r="B524">
        <v>5.1102999999999996</v>
      </c>
      <c r="D524" s="2"/>
      <c r="E524" s="16"/>
    </row>
    <row r="525" spans="1:5" x14ac:dyDescent="0.35">
      <c r="A525" s="16">
        <v>44173</v>
      </c>
      <c r="B525">
        <v>5.0914000000000001</v>
      </c>
      <c r="D525" s="2"/>
      <c r="E525" s="16"/>
    </row>
    <row r="526" spans="1:5" x14ac:dyDescent="0.35">
      <c r="A526" s="16">
        <v>44172</v>
      </c>
      <c r="B526">
        <v>5.1012000000000004</v>
      </c>
      <c r="D526" s="2"/>
      <c r="E526" s="16"/>
    </row>
    <row r="527" spans="1:5" x14ac:dyDescent="0.35">
      <c r="A527" s="16">
        <v>44169</v>
      </c>
      <c r="B527">
        <v>5.17</v>
      </c>
      <c r="D527" s="2"/>
      <c r="E527" s="16"/>
    </row>
    <row r="528" spans="1:5" x14ac:dyDescent="0.35">
      <c r="A528" s="16">
        <v>44168</v>
      </c>
      <c r="B528">
        <v>5.1619000000000002</v>
      </c>
      <c r="D528" s="2"/>
      <c r="E528" s="16"/>
    </row>
    <row r="529" spans="1:5" x14ac:dyDescent="0.35">
      <c r="A529" s="16">
        <v>44167</v>
      </c>
      <c r="B529">
        <v>5.2260999999999997</v>
      </c>
      <c r="D529" s="2"/>
      <c r="E529" s="16"/>
    </row>
    <row r="530" spans="1:5" x14ac:dyDescent="0.35">
      <c r="A530" s="16">
        <v>44166</v>
      </c>
      <c r="B530">
        <v>5.2782999999999998</v>
      </c>
      <c r="D530" s="2"/>
      <c r="E530" s="16"/>
    </row>
    <row r="531" spans="1:5" x14ac:dyDescent="0.35">
      <c r="A531" s="16">
        <v>44165</v>
      </c>
      <c r="B531">
        <v>5.3311000000000002</v>
      </c>
      <c r="D531" s="2"/>
      <c r="E531" s="16"/>
    </row>
    <row r="532" spans="1:5" x14ac:dyDescent="0.35">
      <c r="A532" s="16">
        <v>44162</v>
      </c>
      <c r="B532">
        <v>5.3487999999999998</v>
      </c>
      <c r="D532" s="2"/>
      <c r="E532" s="16"/>
    </row>
    <row r="533" spans="1:5" x14ac:dyDescent="0.35">
      <c r="A533" s="16">
        <v>44161</v>
      </c>
      <c r="B533">
        <v>5.3194999999999997</v>
      </c>
      <c r="D533" s="2"/>
      <c r="E533" s="16"/>
    </row>
    <row r="534" spans="1:5" x14ac:dyDescent="0.35">
      <c r="A534" s="16">
        <v>44160</v>
      </c>
      <c r="B534">
        <v>5.3502000000000001</v>
      </c>
      <c r="D534" s="2"/>
      <c r="E534" s="16"/>
    </row>
    <row r="535" spans="1:5" x14ac:dyDescent="0.35">
      <c r="A535" s="16">
        <v>44159</v>
      </c>
      <c r="B535">
        <v>5.4031000000000002</v>
      </c>
      <c r="D535" s="2"/>
      <c r="E535" s="16"/>
    </row>
    <row r="536" spans="1:5" x14ac:dyDescent="0.35">
      <c r="A536" s="16">
        <v>44158</v>
      </c>
      <c r="B536">
        <v>5.3822000000000001</v>
      </c>
      <c r="D536" s="2"/>
      <c r="E536" s="16"/>
    </row>
    <row r="537" spans="1:5" x14ac:dyDescent="0.35">
      <c r="A537" s="16">
        <v>44155</v>
      </c>
      <c r="B537">
        <v>5.3498999999999999</v>
      </c>
      <c r="D537" s="2"/>
      <c r="E537" s="16"/>
    </row>
    <row r="538" spans="1:5" x14ac:dyDescent="0.35">
      <c r="A538" s="16">
        <v>44154</v>
      </c>
      <c r="B538">
        <v>5.3323999999999998</v>
      </c>
      <c r="D538" s="2"/>
      <c r="E538" s="16"/>
    </row>
    <row r="539" spans="1:5" x14ac:dyDescent="0.35">
      <c r="A539" s="16">
        <v>44153</v>
      </c>
      <c r="B539">
        <v>5.2926000000000002</v>
      </c>
      <c r="D539" s="2"/>
      <c r="E539" s="16"/>
    </row>
    <row r="540" spans="1:5" x14ac:dyDescent="0.35">
      <c r="A540" s="16">
        <v>44152</v>
      </c>
      <c r="B540">
        <v>5.3962000000000003</v>
      </c>
      <c r="D540" s="2"/>
      <c r="E540" s="16"/>
    </row>
    <row r="541" spans="1:5" x14ac:dyDescent="0.35">
      <c r="A541" s="16">
        <v>44151</v>
      </c>
      <c r="B541">
        <v>5.4192</v>
      </c>
      <c r="D541" s="2"/>
      <c r="E541" s="16"/>
    </row>
    <row r="542" spans="1:5" x14ac:dyDescent="0.35">
      <c r="A542" s="16">
        <v>44148</v>
      </c>
      <c r="B542">
        <v>5.4847999999999999</v>
      </c>
      <c r="D542" s="2"/>
      <c r="E542" s="16"/>
    </row>
    <row r="543" spans="1:5" x14ac:dyDescent="0.35">
      <c r="A543" s="16">
        <v>44147</v>
      </c>
      <c r="B543">
        <v>5.4088000000000003</v>
      </c>
      <c r="D543" s="2"/>
      <c r="E543" s="16"/>
    </row>
    <row r="544" spans="1:5" x14ac:dyDescent="0.35">
      <c r="A544" s="16">
        <v>44146</v>
      </c>
      <c r="B544">
        <v>5.4013999999999998</v>
      </c>
      <c r="D544" s="2"/>
      <c r="E544" s="16"/>
    </row>
    <row r="545" spans="1:5" x14ac:dyDescent="0.35">
      <c r="A545" s="16">
        <v>44145</v>
      </c>
      <c r="B545">
        <v>5.3689999999999998</v>
      </c>
      <c r="D545" s="2"/>
      <c r="E545" s="16"/>
    </row>
    <row r="546" spans="1:5" x14ac:dyDescent="0.35">
      <c r="A546" s="16">
        <v>44144</v>
      </c>
      <c r="B546">
        <v>5.2815000000000003</v>
      </c>
      <c r="D546" s="2"/>
      <c r="E546" s="16"/>
    </row>
    <row r="547" spans="1:5" x14ac:dyDescent="0.35">
      <c r="A547" s="16">
        <v>44141</v>
      </c>
      <c r="B547">
        <v>5.5307000000000004</v>
      </c>
      <c r="D547" s="2"/>
      <c r="E547" s="16"/>
    </row>
    <row r="548" spans="1:5" x14ac:dyDescent="0.35">
      <c r="A548" s="16">
        <v>44140</v>
      </c>
      <c r="B548">
        <v>5.5617999999999999</v>
      </c>
      <c r="D548" s="2"/>
      <c r="E548" s="16"/>
    </row>
    <row r="549" spans="1:5" x14ac:dyDescent="0.35">
      <c r="A549" s="16">
        <v>44139</v>
      </c>
      <c r="B549">
        <v>5.6925999999999997</v>
      </c>
      <c r="D549" s="2"/>
      <c r="E549" s="16"/>
    </row>
    <row r="550" spans="1:5" x14ac:dyDescent="0.35">
      <c r="A550" s="16">
        <v>44138</v>
      </c>
      <c r="B550">
        <v>5.6889000000000003</v>
      </c>
      <c r="D550" s="2"/>
      <c r="E550" s="16"/>
    </row>
    <row r="551" spans="1:5" x14ac:dyDescent="0.35">
      <c r="A551" s="16">
        <v>44134</v>
      </c>
      <c r="B551">
        <v>5.7712000000000003</v>
      </c>
      <c r="D551" s="2"/>
      <c r="E551" s="16"/>
    </row>
    <row r="552" spans="1:5" x14ac:dyDescent="0.35">
      <c r="A552" s="16">
        <v>44133</v>
      </c>
      <c r="B552">
        <v>5.7797000000000001</v>
      </c>
      <c r="D552" s="2"/>
      <c r="E552" s="16"/>
    </row>
    <row r="553" spans="1:5" x14ac:dyDescent="0.35">
      <c r="A553" s="16">
        <v>44132</v>
      </c>
      <c r="B553">
        <v>5.7319000000000004</v>
      </c>
      <c r="D553" s="2"/>
      <c r="E553" s="16"/>
    </row>
    <row r="554" spans="1:5" x14ac:dyDescent="0.35">
      <c r="A554" s="16">
        <v>44131</v>
      </c>
      <c r="B554">
        <v>5.6483999999999996</v>
      </c>
      <c r="D554" s="2"/>
      <c r="E554" s="16"/>
    </row>
    <row r="555" spans="1:5" x14ac:dyDescent="0.35">
      <c r="A555" s="16">
        <v>44130</v>
      </c>
      <c r="B555">
        <v>5.6322000000000001</v>
      </c>
      <c r="D555" s="2"/>
      <c r="E555" s="16"/>
    </row>
    <row r="556" spans="1:5" x14ac:dyDescent="0.35">
      <c r="A556" s="16">
        <v>44127</v>
      </c>
      <c r="B556">
        <v>5.6113999999999997</v>
      </c>
      <c r="D556" s="2"/>
      <c r="E556" s="16"/>
    </row>
    <row r="557" spans="1:5" x14ac:dyDescent="0.35">
      <c r="A557" s="16">
        <v>44126</v>
      </c>
      <c r="B557">
        <v>5.5814000000000004</v>
      </c>
    </row>
    <row r="558" spans="1:5" x14ac:dyDescent="0.35">
      <c r="A558" s="16">
        <v>44125</v>
      </c>
      <c r="B558">
        <v>5.6</v>
      </c>
    </row>
    <row r="559" spans="1:5" x14ac:dyDescent="0.35">
      <c r="A559" s="16">
        <v>44124</v>
      </c>
      <c r="B559">
        <v>5.5823999999999998</v>
      </c>
    </row>
    <row r="560" spans="1:5" x14ac:dyDescent="0.35">
      <c r="A560" s="16">
        <v>44123</v>
      </c>
      <c r="B560">
        <v>5.6017000000000001</v>
      </c>
    </row>
    <row r="561" spans="1:2" x14ac:dyDescent="0.35">
      <c r="A561" s="16">
        <v>44120</v>
      </c>
      <c r="B561">
        <v>5.6219999999999999</v>
      </c>
    </row>
    <row r="562" spans="1:2" x14ac:dyDescent="0.35">
      <c r="A562" s="16">
        <v>44119</v>
      </c>
      <c r="B562">
        <v>5.6166</v>
      </c>
    </row>
    <row r="563" spans="1:2" x14ac:dyDescent="0.35">
      <c r="A563" s="16">
        <v>44118</v>
      </c>
      <c r="B563">
        <v>5.5669000000000004</v>
      </c>
    </row>
    <row r="564" spans="1:2" x14ac:dyDescent="0.35">
      <c r="A564" s="16">
        <v>44117</v>
      </c>
      <c r="B564">
        <v>5.5853999999999999</v>
      </c>
    </row>
    <row r="565" spans="1:2" x14ac:dyDescent="0.35">
      <c r="A565" s="16">
        <v>44113</v>
      </c>
      <c r="B565">
        <v>5.5387000000000004</v>
      </c>
    </row>
    <row r="566" spans="1:2" x14ac:dyDescent="0.35">
      <c r="A566" s="16">
        <v>44112</v>
      </c>
      <c r="B566">
        <v>5.6193999999999997</v>
      </c>
    </row>
    <row r="567" spans="1:2" x14ac:dyDescent="0.35">
      <c r="A567" s="16">
        <v>44111</v>
      </c>
      <c r="B567">
        <v>5.6012000000000004</v>
      </c>
    </row>
    <row r="568" spans="1:2" x14ac:dyDescent="0.35">
      <c r="A568" s="16">
        <v>44110</v>
      </c>
      <c r="B568">
        <v>5.5198999999999998</v>
      </c>
    </row>
    <row r="569" spans="1:2" x14ac:dyDescent="0.35">
      <c r="A569" s="16">
        <v>44109</v>
      </c>
      <c r="B569">
        <v>5.6292999999999997</v>
      </c>
    </row>
    <row r="570" spans="1:2" x14ac:dyDescent="0.35">
      <c r="A570" s="16">
        <v>44106</v>
      </c>
      <c r="B570">
        <v>5.6458000000000004</v>
      </c>
    </row>
    <row r="571" spans="1:2" x14ac:dyDescent="0.35">
      <c r="A571" s="16">
        <v>44105</v>
      </c>
      <c r="B571">
        <v>5.6435000000000004</v>
      </c>
    </row>
    <row r="572" spans="1:2" x14ac:dyDescent="0.35">
      <c r="A572" s="16">
        <v>44104</v>
      </c>
      <c r="B572">
        <v>5.6401000000000003</v>
      </c>
    </row>
    <row r="573" spans="1:2" x14ac:dyDescent="0.35">
      <c r="A573" s="16">
        <v>44103</v>
      </c>
      <c r="B573">
        <v>5.6520999999999999</v>
      </c>
    </row>
    <row r="574" spans="1:2" x14ac:dyDescent="0.35">
      <c r="A574" s="16">
        <v>44102</v>
      </c>
      <c r="B574">
        <v>5.5852000000000004</v>
      </c>
    </row>
    <row r="575" spans="1:2" x14ac:dyDescent="0.35">
      <c r="A575" s="16">
        <v>44099</v>
      </c>
      <c r="B575">
        <v>5.5660999999999996</v>
      </c>
    </row>
    <row r="576" spans="1:2" x14ac:dyDescent="0.35">
      <c r="A576" s="16">
        <v>44098</v>
      </c>
      <c r="B576">
        <v>5.5708000000000002</v>
      </c>
    </row>
    <row r="577" spans="1:2" x14ac:dyDescent="0.35">
      <c r="A577" s="16">
        <v>44097</v>
      </c>
      <c r="B577">
        <v>5.5305</v>
      </c>
    </row>
    <row r="578" spans="1:2" x14ac:dyDescent="0.35">
      <c r="A578" s="16">
        <v>44096</v>
      </c>
      <c r="B578">
        <v>5.4322999999999997</v>
      </c>
    </row>
    <row r="579" spans="1:2" x14ac:dyDescent="0.35">
      <c r="A579" s="16">
        <v>44095</v>
      </c>
      <c r="B579">
        <v>5.4433999999999996</v>
      </c>
    </row>
    <row r="580" spans="1:2" x14ac:dyDescent="0.35">
      <c r="A580" s="16">
        <v>44092</v>
      </c>
      <c r="B580">
        <v>5.2882999999999996</v>
      </c>
    </row>
    <row r="581" spans="1:2" x14ac:dyDescent="0.35">
      <c r="A581" s="16">
        <v>44091</v>
      </c>
      <c r="B581">
        <v>5.2587000000000002</v>
      </c>
    </row>
    <row r="582" spans="1:2" x14ac:dyDescent="0.35">
      <c r="A582" s="16">
        <v>44090</v>
      </c>
      <c r="B582">
        <v>5.2526000000000002</v>
      </c>
    </row>
    <row r="583" spans="1:2" x14ac:dyDescent="0.35">
      <c r="A583" s="16">
        <v>44089</v>
      </c>
      <c r="B583">
        <v>5.2721999999999998</v>
      </c>
    </row>
    <row r="584" spans="1:2" x14ac:dyDescent="0.35">
      <c r="A584" s="16">
        <v>44088</v>
      </c>
      <c r="B584">
        <v>5.2977999999999996</v>
      </c>
    </row>
    <row r="585" spans="1:2" x14ac:dyDescent="0.35">
      <c r="A585" s="16">
        <v>44085</v>
      </c>
      <c r="B585">
        <v>5.2847999999999997</v>
      </c>
    </row>
    <row r="586" spans="1:2" x14ac:dyDescent="0.35">
      <c r="A586" s="16">
        <v>44084</v>
      </c>
      <c r="B586">
        <v>5.2930000000000001</v>
      </c>
    </row>
    <row r="587" spans="1:2" x14ac:dyDescent="0.35">
      <c r="A587" s="16">
        <v>44083</v>
      </c>
      <c r="B587">
        <v>5.3018000000000001</v>
      </c>
    </row>
    <row r="588" spans="1:2" x14ac:dyDescent="0.35">
      <c r="A588" s="16">
        <v>44082</v>
      </c>
      <c r="B588">
        <v>5.3692000000000002</v>
      </c>
    </row>
    <row r="589" spans="1:2" x14ac:dyDescent="0.35">
      <c r="A589" s="16">
        <v>44078</v>
      </c>
      <c r="B589">
        <v>5.2842000000000002</v>
      </c>
    </row>
    <row r="590" spans="1:2" x14ac:dyDescent="0.35">
      <c r="A590" s="16">
        <v>44077</v>
      </c>
      <c r="B590">
        <v>5.3072999999999997</v>
      </c>
    </row>
    <row r="591" spans="1:2" x14ac:dyDescent="0.35">
      <c r="A591" s="16">
        <v>44076</v>
      </c>
      <c r="B591">
        <v>5.3734999999999999</v>
      </c>
    </row>
    <row r="592" spans="1:2" x14ac:dyDescent="0.35">
      <c r="A592" s="16">
        <v>44075</v>
      </c>
      <c r="B592">
        <v>5.3726000000000003</v>
      </c>
    </row>
    <row r="593" spans="1:2" x14ac:dyDescent="0.35">
      <c r="A593" s="16">
        <v>44074</v>
      </c>
      <c r="B593">
        <v>5.4706999999999999</v>
      </c>
    </row>
    <row r="594" spans="1:2" x14ac:dyDescent="0.35">
      <c r="A594" s="16">
        <v>44071</v>
      </c>
      <c r="B594">
        <v>5.4672999999999998</v>
      </c>
    </row>
    <row r="595" spans="1:2" x14ac:dyDescent="0.35">
      <c r="A595" s="16">
        <v>44070</v>
      </c>
      <c r="B595">
        <v>5.5949999999999998</v>
      </c>
    </row>
    <row r="596" spans="1:2" x14ac:dyDescent="0.35">
      <c r="A596" s="16">
        <v>44069</v>
      </c>
      <c r="B596">
        <v>5.5674000000000001</v>
      </c>
    </row>
    <row r="597" spans="1:2" x14ac:dyDescent="0.35">
      <c r="A597" s="16">
        <v>44068</v>
      </c>
      <c r="B597">
        <v>5.5991</v>
      </c>
    </row>
    <row r="598" spans="1:2" x14ac:dyDescent="0.35">
      <c r="A598" s="16">
        <v>44067</v>
      </c>
      <c r="B598">
        <v>5.5948000000000002</v>
      </c>
    </row>
    <row r="599" spans="1:2" x14ac:dyDescent="0.35">
      <c r="A599" s="16">
        <v>44064</v>
      </c>
      <c r="B599">
        <v>5.6058000000000003</v>
      </c>
    </row>
    <row r="600" spans="1:2" x14ac:dyDescent="0.35">
      <c r="A600" s="16">
        <v>44063</v>
      </c>
      <c r="B600">
        <v>5.6504000000000003</v>
      </c>
    </row>
    <row r="601" spans="1:2" x14ac:dyDescent="0.35">
      <c r="A601" s="16">
        <v>44062</v>
      </c>
      <c r="B601">
        <v>5.49</v>
      </c>
    </row>
    <row r="602" spans="1:2" x14ac:dyDescent="0.35">
      <c r="A602" s="16">
        <v>44061</v>
      </c>
      <c r="B602">
        <v>5.4653</v>
      </c>
    </row>
    <row r="603" spans="1:2" x14ac:dyDescent="0.35">
      <c r="A603" s="16">
        <v>44060</v>
      </c>
      <c r="B603">
        <v>5.4490999999999996</v>
      </c>
    </row>
    <row r="604" spans="1:2" x14ac:dyDescent="0.35">
      <c r="A604" s="16">
        <v>44057</v>
      </c>
      <c r="B604">
        <v>5.3845999999999998</v>
      </c>
    </row>
    <row r="605" spans="1:2" x14ac:dyDescent="0.35">
      <c r="A605" s="16">
        <v>44056</v>
      </c>
      <c r="B605">
        <v>5.3795000000000002</v>
      </c>
    </row>
    <row r="606" spans="1:2" x14ac:dyDescent="0.35">
      <c r="A606" s="16">
        <v>44055</v>
      </c>
      <c r="B606">
        <v>5.4545000000000003</v>
      </c>
    </row>
    <row r="607" spans="1:2" x14ac:dyDescent="0.35">
      <c r="A607" s="16">
        <v>44054</v>
      </c>
      <c r="B607">
        <v>5.4279000000000002</v>
      </c>
    </row>
    <row r="608" spans="1:2" x14ac:dyDescent="0.35">
      <c r="A608" s="16">
        <v>44053</v>
      </c>
      <c r="B608">
        <v>5.3926999999999996</v>
      </c>
    </row>
    <row r="609" spans="1:2" x14ac:dyDescent="0.35">
      <c r="A609" s="16">
        <v>44050</v>
      </c>
      <c r="B609">
        <v>5.4221000000000004</v>
      </c>
    </row>
    <row r="610" spans="1:2" x14ac:dyDescent="0.35">
      <c r="A610" s="16">
        <v>44049</v>
      </c>
      <c r="B610">
        <v>5.3425000000000002</v>
      </c>
    </row>
    <row r="611" spans="1:2" x14ac:dyDescent="0.35">
      <c r="A611" s="16">
        <v>44048</v>
      </c>
      <c r="B611">
        <v>5.2754000000000003</v>
      </c>
    </row>
    <row r="612" spans="1:2" x14ac:dyDescent="0.35">
      <c r="A612" s="16">
        <v>44047</v>
      </c>
      <c r="B612">
        <v>5.3323</v>
      </c>
    </row>
    <row r="613" spans="1:2" x14ac:dyDescent="0.35">
      <c r="A613" s="16">
        <v>44046</v>
      </c>
      <c r="B613">
        <v>5.3068999999999997</v>
      </c>
    </row>
    <row r="614" spans="1:2" x14ac:dyDescent="0.35">
      <c r="A614" s="16">
        <v>44043</v>
      </c>
      <c r="B614">
        <v>5.2027000000000001</v>
      </c>
    </row>
    <row r="615" spans="1:2" x14ac:dyDescent="0.35">
      <c r="A615" s="16">
        <v>44042</v>
      </c>
      <c r="B615">
        <v>5.1830999999999996</v>
      </c>
    </row>
    <row r="616" spans="1:2" x14ac:dyDescent="0.35">
      <c r="A616" s="16">
        <v>44041</v>
      </c>
      <c r="B616">
        <v>5.1388999999999996</v>
      </c>
    </row>
    <row r="617" spans="1:2" x14ac:dyDescent="0.35">
      <c r="A617" s="16">
        <v>44040</v>
      </c>
      <c r="B617">
        <v>5.1771000000000003</v>
      </c>
    </row>
    <row r="618" spans="1:2" x14ac:dyDescent="0.35">
      <c r="A618" s="16">
        <v>44039</v>
      </c>
      <c r="B618">
        <v>5.1882999999999999</v>
      </c>
    </row>
    <row r="619" spans="1:2" x14ac:dyDescent="0.35">
      <c r="A619" s="16">
        <v>44036</v>
      </c>
      <c r="B619">
        <v>5.2140000000000004</v>
      </c>
    </row>
    <row r="620" spans="1:2" x14ac:dyDescent="0.35">
      <c r="A620" s="16">
        <v>44035</v>
      </c>
      <c r="B620">
        <v>5.1641000000000004</v>
      </c>
    </row>
    <row r="621" spans="1:2" x14ac:dyDescent="0.35">
      <c r="A621" s="16">
        <v>44034</v>
      </c>
      <c r="B621">
        <v>5.1105</v>
      </c>
    </row>
    <row r="622" spans="1:2" x14ac:dyDescent="0.35">
      <c r="A622" s="16">
        <v>44033</v>
      </c>
      <c r="B622">
        <v>5.2276999999999996</v>
      </c>
    </row>
    <row r="623" spans="1:2" x14ac:dyDescent="0.35">
      <c r="A623" s="16">
        <v>44032</v>
      </c>
      <c r="B623">
        <v>5.3628999999999998</v>
      </c>
    </row>
    <row r="624" spans="1:2" x14ac:dyDescent="0.35">
      <c r="A624" s="16">
        <v>44029</v>
      </c>
      <c r="B624">
        <v>5.3503999999999996</v>
      </c>
    </row>
    <row r="625" spans="1:2" x14ac:dyDescent="0.35">
      <c r="A625" s="16">
        <v>44028</v>
      </c>
      <c r="B625">
        <v>5.3554000000000004</v>
      </c>
    </row>
    <row r="626" spans="1:2" x14ac:dyDescent="0.35">
      <c r="A626" s="16">
        <v>44027</v>
      </c>
      <c r="B626">
        <v>5.3484999999999996</v>
      </c>
    </row>
    <row r="627" spans="1:2" x14ac:dyDescent="0.35">
      <c r="A627" s="16">
        <v>44026</v>
      </c>
      <c r="B627">
        <v>5.4282000000000004</v>
      </c>
    </row>
    <row r="628" spans="1:2" x14ac:dyDescent="0.35">
      <c r="A628" s="16">
        <v>44025</v>
      </c>
      <c r="B628">
        <v>5.3479999999999999</v>
      </c>
    </row>
    <row r="629" spans="1:2" x14ac:dyDescent="0.35">
      <c r="A629" s="16">
        <v>44022</v>
      </c>
      <c r="B629">
        <v>5.3433999999999999</v>
      </c>
    </row>
    <row r="630" spans="1:2" x14ac:dyDescent="0.35">
      <c r="A630" s="16">
        <v>44021</v>
      </c>
      <c r="B630">
        <v>5.2972000000000001</v>
      </c>
    </row>
    <row r="631" spans="1:2" x14ac:dyDescent="0.35">
      <c r="A631" s="16">
        <v>44020</v>
      </c>
      <c r="B631">
        <v>5.3475999999999999</v>
      </c>
    </row>
    <row r="632" spans="1:2" x14ac:dyDescent="0.35">
      <c r="A632" s="16">
        <v>44019</v>
      </c>
      <c r="B632">
        <v>5.3311999999999999</v>
      </c>
    </row>
    <row r="633" spans="1:2" x14ac:dyDescent="0.35">
      <c r="A633" s="16">
        <v>44018</v>
      </c>
      <c r="B633">
        <v>5.3079000000000001</v>
      </c>
    </row>
    <row r="634" spans="1:2" x14ac:dyDescent="0.35">
      <c r="A634" s="16">
        <v>44015</v>
      </c>
      <c r="B634">
        <v>5.3368000000000002</v>
      </c>
    </row>
    <row r="635" spans="1:2" x14ac:dyDescent="0.35">
      <c r="A635" s="16">
        <v>44014</v>
      </c>
      <c r="B635">
        <v>5.3022</v>
      </c>
    </row>
    <row r="636" spans="1:2" x14ac:dyDescent="0.35">
      <c r="A636" s="16">
        <v>44013</v>
      </c>
      <c r="B636">
        <v>5.3646000000000003</v>
      </c>
    </row>
    <row r="637" spans="1:2" x14ac:dyDescent="0.35">
      <c r="A637" s="16">
        <v>44012</v>
      </c>
      <c r="B637">
        <v>5.4753999999999996</v>
      </c>
    </row>
    <row r="638" spans="1:2" x14ac:dyDescent="0.35">
      <c r="A638" s="16">
        <v>44011</v>
      </c>
      <c r="B638">
        <v>5.4409999999999998</v>
      </c>
    </row>
    <row r="639" spans="1:2" x14ac:dyDescent="0.35">
      <c r="A639" s="16">
        <v>44008</v>
      </c>
      <c r="B639">
        <v>5.4622999999999999</v>
      </c>
    </row>
    <row r="640" spans="1:2" x14ac:dyDescent="0.35">
      <c r="A640" s="16">
        <v>44007</v>
      </c>
      <c r="B640">
        <v>5.3281000000000001</v>
      </c>
    </row>
    <row r="641" spans="1:2" x14ac:dyDescent="0.35">
      <c r="A641" s="16">
        <v>44006</v>
      </c>
      <c r="B641">
        <v>5.2428999999999997</v>
      </c>
    </row>
    <row r="642" spans="1:2" x14ac:dyDescent="0.35">
      <c r="A642" s="16">
        <v>44005</v>
      </c>
      <c r="B642">
        <v>5.1699000000000002</v>
      </c>
    </row>
    <row r="643" spans="1:2" x14ac:dyDescent="0.35">
      <c r="A643" s="16">
        <v>44004</v>
      </c>
      <c r="B643">
        <v>5.2220000000000004</v>
      </c>
    </row>
    <row r="644" spans="1:2" x14ac:dyDescent="0.35">
      <c r="A644" s="16">
        <v>44001</v>
      </c>
      <c r="B644">
        <v>5.3460000000000001</v>
      </c>
    </row>
    <row r="645" spans="1:2" x14ac:dyDescent="0.35">
      <c r="A645" s="16">
        <v>44000</v>
      </c>
      <c r="B645">
        <v>5.3461999999999996</v>
      </c>
    </row>
    <row r="646" spans="1:2" x14ac:dyDescent="0.35">
      <c r="A646" s="16">
        <v>43999</v>
      </c>
      <c r="B646">
        <v>5.2492000000000001</v>
      </c>
    </row>
    <row r="647" spans="1:2" x14ac:dyDescent="0.35">
      <c r="A647" s="16">
        <v>43998</v>
      </c>
      <c r="B647">
        <v>5.1279000000000003</v>
      </c>
    </row>
    <row r="648" spans="1:2" x14ac:dyDescent="0.35">
      <c r="A648" s="16">
        <v>43997</v>
      </c>
      <c r="B648">
        <v>5.1877000000000004</v>
      </c>
    </row>
    <row r="649" spans="1:2" x14ac:dyDescent="0.35">
      <c r="A649" s="16">
        <v>43994</v>
      </c>
      <c r="B649">
        <v>5.0366999999999997</v>
      </c>
    </row>
    <row r="650" spans="1:2" x14ac:dyDescent="0.35">
      <c r="A650" s="16">
        <v>43992</v>
      </c>
      <c r="B650">
        <v>4.8887999999999998</v>
      </c>
    </row>
    <row r="651" spans="1:2" x14ac:dyDescent="0.35">
      <c r="A651" s="16">
        <v>43991</v>
      </c>
      <c r="B651">
        <v>4.9051</v>
      </c>
    </row>
    <row r="652" spans="1:2" x14ac:dyDescent="0.35">
      <c r="A652" s="16">
        <v>43990</v>
      </c>
      <c r="B652">
        <v>4.9325000000000001</v>
      </c>
    </row>
    <row r="653" spans="1:2" x14ac:dyDescent="0.35">
      <c r="A653" s="16">
        <v>43987</v>
      </c>
      <c r="B653">
        <v>4.9768999999999997</v>
      </c>
    </row>
    <row r="654" spans="1:2" x14ac:dyDescent="0.35">
      <c r="A654" s="16">
        <v>43986</v>
      </c>
      <c r="B654">
        <v>5.1035000000000004</v>
      </c>
    </row>
    <row r="655" spans="1:2" x14ac:dyDescent="0.35">
      <c r="A655" s="16">
        <v>43985</v>
      </c>
      <c r="B655">
        <v>5.0510000000000002</v>
      </c>
    </row>
    <row r="656" spans="1:2" x14ac:dyDescent="0.35">
      <c r="A656" s="16">
        <v>43984</v>
      </c>
      <c r="B656">
        <v>5.2595000000000001</v>
      </c>
    </row>
    <row r="657" spans="1:2" x14ac:dyDescent="0.35">
      <c r="A657" s="16">
        <v>43983</v>
      </c>
      <c r="B657">
        <v>5.3632999999999997</v>
      </c>
    </row>
    <row r="658" spans="1:2" x14ac:dyDescent="0.35">
      <c r="A658" s="16">
        <v>43980</v>
      </c>
      <c r="B658">
        <v>5.4257</v>
      </c>
    </row>
    <row r="659" spans="1:2" x14ac:dyDescent="0.35">
      <c r="A659" s="16">
        <v>43979</v>
      </c>
      <c r="B659">
        <v>5.3399000000000001</v>
      </c>
    </row>
    <row r="660" spans="1:2" x14ac:dyDescent="0.35">
      <c r="A660" s="16">
        <v>43978</v>
      </c>
      <c r="B660">
        <v>5.2986000000000004</v>
      </c>
    </row>
    <row r="661" spans="1:2" x14ac:dyDescent="0.35">
      <c r="A661" s="16">
        <v>43977</v>
      </c>
      <c r="B661">
        <v>5.3700999999999999</v>
      </c>
    </row>
    <row r="662" spans="1:2" x14ac:dyDescent="0.35">
      <c r="A662" s="16">
        <v>43976</v>
      </c>
      <c r="B662">
        <v>5.4766000000000004</v>
      </c>
    </row>
    <row r="663" spans="1:2" x14ac:dyDescent="0.35">
      <c r="A663" s="16">
        <v>43973</v>
      </c>
      <c r="B663">
        <v>5.5801999999999996</v>
      </c>
    </row>
    <row r="664" spans="1:2" x14ac:dyDescent="0.35">
      <c r="A664" s="16">
        <v>43972</v>
      </c>
      <c r="B664">
        <v>5.6013000000000002</v>
      </c>
    </row>
    <row r="665" spans="1:2" x14ac:dyDescent="0.35">
      <c r="A665" s="16">
        <v>43971</v>
      </c>
      <c r="B665">
        <v>5.6962000000000002</v>
      </c>
    </row>
    <row r="666" spans="1:2" x14ac:dyDescent="0.35">
      <c r="A666" s="16">
        <v>43970</v>
      </c>
      <c r="B666">
        <v>5.7210000000000001</v>
      </c>
    </row>
    <row r="667" spans="1:2" x14ac:dyDescent="0.35">
      <c r="A667" s="16">
        <v>43969</v>
      </c>
      <c r="B667">
        <v>5.7369000000000003</v>
      </c>
    </row>
    <row r="668" spans="1:2" x14ac:dyDescent="0.35">
      <c r="A668" s="16">
        <v>43966</v>
      </c>
      <c r="B668">
        <v>5.8223000000000003</v>
      </c>
    </row>
    <row r="669" spans="1:2" x14ac:dyDescent="0.35">
      <c r="A669" s="16">
        <v>43965</v>
      </c>
      <c r="B669">
        <v>5.9366000000000003</v>
      </c>
    </row>
    <row r="670" spans="1:2" x14ac:dyDescent="0.35">
      <c r="A670" s="16">
        <v>43964</v>
      </c>
      <c r="B670">
        <v>5.9016000000000002</v>
      </c>
    </row>
    <row r="671" spans="1:2" x14ac:dyDescent="0.35">
      <c r="A671" s="16">
        <v>43963</v>
      </c>
      <c r="B671">
        <v>5.7717000000000001</v>
      </c>
    </row>
    <row r="672" spans="1:2" x14ac:dyDescent="0.35">
      <c r="A672" s="16">
        <v>43962</v>
      </c>
      <c r="B672">
        <v>5.7948000000000004</v>
      </c>
    </row>
    <row r="673" spans="1:2" x14ac:dyDescent="0.35">
      <c r="A673" s="16">
        <v>43959</v>
      </c>
      <c r="B673">
        <v>5.7647000000000004</v>
      </c>
    </row>
    <row r="674" spans="1:2" x14ac:dyDescent="0.35">
      <c r="A674" s="16">
        <v>43958</v>
      </c>
      <c r="B674">
        <v>5.8358999999999996</v>
      </c>
    </row>
    <row r="675" spans="1:2" x14ac:dyDescent="0.35">
      <c r="A675" s="16">
        <v>43957</v>
      </c>
      <c r="B675">
        <v>5.6669999999999998</v>
      </c>
    </row>
    <row r="676" spans="1:2" x14ac:dyDescent="0.35">
      <c r="A676" s="16">
        <v>43956</v>
      </c>
      <c r="B676">
        <v>5.5347999999999997</v>
      </c>
    </row>
    <row r="677" spans="1:2" x14ac:dyDescent="0.35">
      <c r="A677" s="16">
        <v>43955</v>
      </c>
      <c r="B677">
        <v>5.5811000000000002</v>
      </c>
    </row>
    <row r="678" spans="1:2" x14ac:dyDescent="0.35">
      <c r="A678" s="16">
        <v>43951</v>
      </c>
      <c r="B678">
        <v>5.4264000000000001</v>
      </c>
    </row>
    <row r="679" spans="1:2" x14ac:dyDescent="0.35">
      <c r="A679" s="16">
        <v>43950</v>
      </c>
      <c r="B679">
        <v>5.4284999999999997</v>
      </c>
    </row>
    <row r="680" spans="1:2" x14ac:dyDescent="0.35">
      <c r="A680" s="16">
        <v>43949</v>
      </c>
      <c r="B680">
        <v>5.5677000000000003</v>
      </c>
    </row>
    <row r="681" spans="1:2" x14ac:dyDescent="0.35">
      <c r="A681" s="16">
        <v>43948</v>
      </c>
      <c r="B681">
        <v>5.6352000000000002</v>
      </c>
    </row>
    <row r="682" spans="1:2" x14ac:dyDescent="0.35">
      <c r="A682" s="16">
        <v>43945</v>
      </c>
      <c r="B682">
        <v>5.6504000000000003</v>
      </c>
    </row>
    <row r="683" spans="1:2" x14ac:dyDescent="0.35">
      <c r="A683" s="16">
        <v>43944</v>
      </c>
      <c r="B683">
        <v>5.4461000000000004</v>
      </c>
    </row>
    <row r="684" spans="1:2" x14ac:dyDescent="0.35">
      <c r="A684" s="16">
        <v>43943</v>
      </c>
      <c r="B684">
        <v>5.3841000000000001</v>
      </c>
    </row>
    <row r="685" spans="1:2" x14ac:dyDescent="0.35">
      <c r="A685" s="16">
        <v>43941</v>
      </c>
      <c r="B685">
        <v>5.2831000000000001</v>
      </c>
    </row>
    <row r="686" spans="1:2" x14ac:dyDescent="0.35">
      <c r="A686" s="16">
        <v>43938</v>
      </c>
      <c r="B686">
        <v>5.2567000000000004</v>
      </c>
    </row>
    <row r="687" spans="1:2" x14ac:dyDescent="0.35">
      <c r="A687" s="16">
        <v>43937</v>
      </c>
      <c r="B687">
        <v>5.2370999999999999</v>
      </c>
    </row>
    <row r="688" spans="1:2" x14ac:dyDescent="0.35">
      <c r="A688" s="16">
        <v>43936</v>
      </c>
      <c r="B688">
        <v>5.2572999999999999</v>
      </c>
    </row>
    <row r="689" spans="1:2" x14ac:dyDescent="0.35">
      <c r="A689" s="16">
        <v>43935</v>
      </c>
      <c r="B689">
        <v>5.1852</v>
      </c>
    </row>
    <row r="690" spans="1:2" x14ac:dyDescent="0.35">
      <c r="A690" s="16">
        <v>43934</v>
      </c>
      <c r="B690">
        <v>5.1818</v>
      </c>
    </row>
    <row r="691" spans="1:2" x14ac:dyDescent="0.35">
      <c r="A691" s="16">
        <v>43930</v>
      </c>
      <c r="B691">
        <v>5.0773000000000001</v>
      </c>
    </row>
    <row r="692" spans="1:2" x14ac:dyDescent="0.35">
      <c r="A692" s="16">
        <v>43929</v>
      </c>
      <c r="B692">
        <v>5.2117000000000004</v>
      </c>
    </row>
    <row r="693" spans="1:2" x14ac:dyDescent="0.35">
      <c r="A693" s="16">
        <v>43928</v>
      </c>
      <c r="B693">
        <v>5.2210999999999999</v>
      </c>
    </row>
    <row r="694" spans="1:2" x14ac:dyDescent="0.35">
      <c r="A694" s="16">
        <v>43927</v>
      </c>
      <c r="B694">
        <v>5.2465000000000002</v>
      </c>
    </row>
    <row r="695" spans="1:2" x14ac:dyDescent="0.35">
      <c r="A695" s="16">
        <v>43924</v>
      </c>
      <c r="B695">
        <v>5.2991000000000001</v>
      </c>
    </row>
    <row r="696" spans="1:2" x14ac:dyDescent="0.35">
      <c r="A696" s="16">
        <v>43923</v>
      </c>
      <c r="B696">
        <v>5.2645</v>
      </c>
    </row>
    <row r="697" spans="1:2" x14ac:dyDescent="0.35">
      <c r="A697" s="16">
        <v>43922</v>
      </c>
      <c r="B697">
        <v>5.2398999999999996</v>
      </c>
    </row>
    <row r="698" spans="1:2" x14ac:dyDescent="0.35">
      <c r="A698" s="16">
        <v>43921</v>
      </c>
      <c r="B698">
        <v>5.1981000000000002</v>
      </c>
    </row>
    <row r="699" spans="1:2" x14ac:dyDescent="0.35">
      <c r="A699" s="16">
        <v>43920</v>
      </c>
      <c r="B699">
        <v>5.1588000000000003</v>
      </c>
    </row>
    <row r="700" spans="1:2" x14ac:dyDescent="0.35">
      <c r="A700" s="16">
        <v>43917</v>
      </c>
      <c r="B700">
        <v>5.1102999999999996</v>
      </c>
    </row>
    <row r="701" spans="1:2" x14ac:dyDescent="0.35">
      <c r="A701" s="16">
        <v>43916</v>
      </c>
      <c r="B701">
        <v>5.0004</v>
      </c>
    </row>
    <row r="702" spans="1:2" x14ac:dyDescent="0.35">
      <c r="A702" s="16">
        <v>43915</v>
      </c>
      <c r="B702">
        <v>5.07</v>
      </c>
    </row>
    <row r="703" spans="1:2" x14ac:dyDescent="0.35">
      <c r="A703" s="16">
        <v>43914</v>
      </c>
      <c r="B703">
        <v>5.0707000000000004</v>
      </c>
    </row>
    <row r="704" spans="1:2" x14ac:dyDescent="0.35">
      <c r="A704" s="16">
        <v>43913</v>
      </c>
      <c r="B704">
        <v>5.0797999999999996</v>
      </c>
    </row>
    <row r="705" spans="1:2" x14ac:dyDescent="0.35">
      <c r="A705" s="16">
        <v>43910</v>
      </c>
      <c r="B705">
        <v>5.0240999999999998</v>
      </c>
    </row>
    <row r="706" spans="1:2" x14ac:dyDescent="0.35">
      <c r="A706" s="16">
        <v>43909</v>
      </c>
      <c r="B706">
        <v>5.1436999999999999</v>
      </c>
    </row>
    <row r="707" spans="1:2" x14ac:dyDescent="0.35">
      <c r="A707" s="16">
        <v>43908</v>
      </c>
      <c r="B707">
        <v>5.1101000000000001</v>
      </c>
    </row>
    <row r="708" spans="1:2" x14ac:dyDescent="0.35">
      <c r="A708" s="16">
        <v>43907</v>
      </c>
      <c r="B708">
        <v>5.0488999999999997</v>
      </c>
    </row>
    <row r="709" spans="1:2" x14ac:dyDescent="0.35">
      <c r="A709" s="16">
        <v>43906</v>
      </c>
      <c r="B709">
        <v>4.9463999999999997</v>
      </c>
    </row>
    <row r="710" spans="1:2" x14ac:dyDescent="0.35">
      <c r="A710" s="16">
        <v>43903</v>
      </c>
      <c r="B710">
        <v>4.7355</v>
      </c>
    </row>
    <row r="711" spans="1:2" x14ac:dyDescent="0.35">
      <c r="A711" s="16">
        <v>43902</v>
      </c>
      <c r="B711">
        <v>4.8825000000000003</v>
      </c>
    </row>
    <row r="712" spans="1:2" x14ac:dyDescent="0.35">
      <c r="A712" s="16">
        <v>43901</v>
      </c>
      <c r="B712">
        <v>4.6731999999999996</v>
      </c>
    </row>
    <row r="713" spans="1:2" x14ac:dyDescent="0.35">
      <c r="A713" s="16">
        <v>43900</v>
      </c>
      <c r="B713">
        <v>4.6687000000000003</v>
      </c>
    </row>
    <row r="714" spans="1:2" x14ac:dyDescent="0.35">
      <c r="A714" s="16">
        <v>43899</v>
      </c>
      <c r="B714">
        <v>4.7373000000000003</v>
      </c>
    </row>
    <row r="715" spans="1:2" x14ac:dyDescent="0.35">
      <c r="A715" s="16">
        <v>43896</v>
      </c>
      <c r="B715">
        <v>4.6452999999999998</v>
      </c>
    </row>
    <row r="716" spans="1:2" x14ac:dyDescent="0.35">
      <c r="A716" s="16">
        <v>43895</v>
      </c>
      <c r="B716">
        <v>4.6200999999999999</v>
      </c>
    </row>
    <row r="717" spans="1:2" x14ac:dyDescent="0.35">
      <c r="A717" s="16">
        <v>43894</v>
      </c>
      <c r="B717">
        <v>4.5251999999999999</v>
      </c>
    </row>
    <row r="718" spans="1:2" x14ac:dyDescent="0.35">
      <c r="A718" s="16">
        <v>43893</v>
      </c>
      <c r="B718">
        <v>4.4877000000000002</v>
      </c>
    </row>
    <row r="719" spans="1:2" x14ac:dyDescent="0.35">
      <c r="A719" s="16">
        <v>43892</v>
      </c>
      <c r="B719">
        <v>4.4939999999999998</v>
      </c>
    </row>
    <row r="720" spans="1:2" x14ac:dyDescent="0.35">
      <c r="A720" s="16">
        <v>43889</v>
      </c>
      <c r="B720">
        <v>4.4981</v>
      </c>
    </row>
    <row r="721" spans="1:2" x14ac:dyDescent="0.35">
      <c r="A721" s="16">
        <v>43888</v>
      </c>
      <c r="B721">
        <v>4.4757999999999996</v>
      </c>
    </row>
    <row r="722" spans="1:2" x14ac:dyDescent="0.35">
      <c r="A722" s="16">
        <v>43887</v>
      </c>
      <c r="B722">
        <v>4.4352999999999998</v>
      </c>
    </row>
    <row r="723" spans="1:2" x14ac:dyDescent="0.35">
      <c r="A723" s="16">
        <v>43882</v>
      </c>
      <c r="B723">
        <v>4.3917999999999999</v>
      </c>
    </row>
    <row r="724" spans="1:2" x14ac:dyDescent="0.35">
      <c r="A724" s="16">
        <v>43881</v>
      </c>
      <c r="B724">
        <v>4.3867000000000003</v>
      </c>
    </row>
    <row r="725" spans="1:2" x14ac:dyDescent="0.35">
      <c r="A725" s="16">
        <v>43880</v>
      </c>
      <c r="B725">
        <v>4.3722000000000003</v>
      </c>
    </row>
    <row r="726" spans="1:2" x14ac:dyDescent="0.35">
      <c r="A726" s="16">
        <v>43879</v>
      </c>
      <c r="B726">
        <v>4.3464999999999998</v>
      </c>
    </row>
    <row r="727" spans="1:2" x14ac:dyDescent="0.35">
      <c r="A727" s="16">
        <v>43878</v>
      </c>
      <c r="B727">
        <v>4.3151000000000002</v>
      </c>
    </row>
    <row r="728" spans="1:2" x14ac:dyDescent="0.35">
      <c r="A728" s="16">
        <v>43875</v>
      </c>
      <c r="B728">
        <v>4.3156999999999996</v>
      </c>
    </row>
    <row r="729" spans="1:2" x14ac:dyDescent="0.35">
      <c r="A729" s="16">
        <v>43874</v>
      </c>
      <c r="B729">
        <v>4.3383000000000003</v>
      </c>
    </row>
    <row r="730" spans="1:2" x14ac:dyDescent="0.35">
      <c r="A730" s="16">
        <v>43873</v>
      </c>
      <c r="B730">
        <v>4.3360000000000003</v>
      </c>
    </row>
    <row r="731" spans="1:2" x14ac:dyDescent="0.35">
      <c r="A731" s="16">
        <v>43872</v>
      </c>
      <c r="B731">
        <v>4.3141999999999996</v>
      </c>
    </row>
    <row r="732" spans="1:2" x14ac:dyDescent="0.35">
      <c r="A732" s="16">
        <v>43871</v>
      </c>
      <c r="B732">
        <v>4.3189000000000002</v>
      </c>
    </row>
    <row r="733" spans="1:2" x14ac:dyDescent="0.35">
      <c r="A733" s="16">
        <v>43868</v>
      </c>
      <c r="B733">
        <v>4.3070000000000004</v>
      </c>
    </row>
    <row r="734" spans="1:2" x14ac:dyDescent="0.35">
      <c r="A734" s="16">
        <v>43867</v>
      </c>
      <c r="B734">
        <v>4.2470999999999997</v>
      </c>
    </row>
    <row r="735" spans="1:2" x14ac:dyDescent="0.35">
      <c r="A735" s="16">
        <v>43866</v>
      </c>
      <c r="B735">
        <v>4.2443</v>
      </c>
    </row>
    <row r="736" spans="1:2" x14ac:dyDescent="0.35">
      <c r="A736" s="16">
        <v>43865</v>
      </c>
      <c r="B736">
        <v>4.2374999999999998</v>
      </c>
    </row>
    <row r="737" spans="1:2" x14ac:dyDescent="0.35">
      <c r="A737" s="16">
        <v>43864</v>
      </c>
      <c r="B737">
        <v>4.2469000000000001</v>
      </c>
    </row>
    <row r="738" spans="1:2" x14ac:dyDescent="0.35">
      <c r="A738" s="16">
        <v>43861</v>
      </c>
      <c r="B738">
        <v>4.2689000000000004</v>
      </c>
    </row>
    <row r="739" spans="1:2" x14ac:dyDescent="0.35">
      <c r="A739" s="16">
        <v>43860</v>
      </c>
      <c r="B739">
        <v>4.2516999999999996</v>
      </c>
    </row>
    <row r="740" spans="1:2" x14ac:dyDescent="0.35">
      <c r="A740" s="16">
        <v>43859</v>
      </c>
      <c r="B740">
        <v>4.2007000000000003</v>
      </c>
    </row>
    <row r="741" spans="1:2" x14ac:dyDescent="0.35">
      <c r="A741" s="16">
        <v>43858</v>
      </c>
      <c r="B741">
        <v>4.2058</v>
      </c>
    </row>
    <row r="742" spans="1:2" x14ac:dyDescent="0.35">
      <c r="A742" s="16">
        <v>43857</v>
      </c>
      <c r="B742">
        <v>4.2190000000000003</v>
      </c>
    </row>
    <row r="743" spans="1:2" x14ac:dyDescent="0.35">
      <c r="A743" s="16">
        <v>43854</v>
      </c>
      <c r="B743">
        <v>4.1763000000000003</v>
      </c>
    </row>
    <row r="744" spans="1:2" x14ac:dyDescent="0.35">
      <c r="A744" s="16">
        <v>43853</v>
      </c>
      <c r="B744">
        <v>4.1656000000000004</v>
      </c>
    </row>
    <row r="745" spans="1:2" x14ac:dyDescent="0.35">
      <c r="A745" s="16">
        <v>43852</v>
      </c>
      <c r="B745">
        <v>4.1882999999999999</v>
      </c>
    </row>
    <row r="746" spans="1:2" x14ac:dyDescent="0.35">
      <c r="A746" s="16">
        <v>43851</v>
      </c>
      <c r="B746">
        <v>4.2008000000000001</v>
      </c>
    </row>
    <row r="747" spans="1:2" x14ac:dyDescent="0.35">
      <c r="A747" s="16">
        <v>43850</v>
      </c>
      <c r="B747">
        <v>4.1822999999999997</v>
      </c>
    </row>
    <row r="748" spans="1:2" x14ac:dyDescent="0.35">
      <c r="A748" s="16">
        <v>43847</v>
      </c>
      <c r="B748">
        <v>4.1830999999999996</v>
      </c>
    </row>
    <row r="749" spans="1:2" x14ac:dyDescent="0.35">
      <c r="A749" s="16">
        <v>43846</v>
      </c>
      <c r="B749">
        <v>4.1719999999999997</v>
      </c>
    </row>
    <row r="750" spans="1:2" x14ac:dyDescent="0.35">
      <c r="A750" s="16">
        <v>43845</v>
      </c>
      <c r="B750">
        <v>4.1616</v>
      </c>
    </row>
    <row r="751" spans="1:2" x14ac:dyDescent="0.35">
      <c r="A751" s="16">
        <v>43844</v>
      </c>
      <c r="B751">
        <v>4.1436999999999999</v>
      </c>
    </row>
    <row r="752" spans="1:2" x14ac:dyDescent="0.35">
      <c r="A752" s="16">
        <v>43843</v>
      </c>
      <c r="B752">
        <v>4.1303000000000001</v>
      </c>
    </row>
    <row r="753" spans="1:2" x14ac:dyDescent="0.35">
      <c r="A753" s="16">
        <v>43840</v>
      </c>
      <c r="B753">
        <v>4.0739000000000001</v>
      </c>
    </row>
    <row r="754" spans="1:2" x14ac:dyDescent="0.35">
      <c r="A754" s="16">
        <v>43839</v>
      </c>
      <c r="B754">
        <v>4.0738000000000003</v>
      </c>
    </row>
    <row r="755" spans="1:2" x14ac:dyDescent="0.35">
      <c r="A755" s="16">
        <v>43838</v>
      </c>
      <c r="B755">
        <v>4.0666000000000002</v>
      </c>
    </row>
    <row r="756" spans="1:2" x14ac:dyDescent="0.35">
      <c r="A756" s="16">
        <v>43837</v>
      </c>
      <c r="B756">
        <v>4.0834999999999999</v>
      </c>
    </row>
    <row r="757" spans="1:2" x14ac:dyDescent="0.35">
      <c r="A757" s="16">
        <v>43836</v>
      </c>
      <c r="B757">
        <v>4.0548000000000002</v>
      </c>
    </row>
    <row r="758" spans="1:2" x14ac:dyDescent="0.35">
      <c r="A758" s="16">
        <v>43833</v>
      </c>
      <c r="B758">
        <v>4.0515999999999996</v>
      </c>
    </row>
    <row r="759" spans="1:2" x14ac:dyDescent="0.35">
      <c r="A759" s="16">
        <v>43832</v>
      </c>
      <c r="B759">
        <v>4.0206999999999997</v>
      </c>
    </row>
    <row r="760" spans="1:2" x14ac:dyDescent="0.35">
      <c r="A760" s="16">
        <v>43830</v>
      </c>
      <c r="B760">
        <v>4.0301</v>
      </c>
    </row>
    <row r="761" spans="1:2" x14ac:dyDescent="0.35">
      <c r="A761" s="16">
        <v>43829</v>
      </c>
      <c r="B761">
        <v>4.0301</v>
      </c>
    </row>
    <row r="762" spans="1:2" x14ac:dyDescent="0.35">
      <c r="A762" s="16">
        <v>43826</v>
      </c>
      <c r="B762">
        <v>4.0538999999999996</v>
      </c>
    </row>
    <row r="763" spans="1:2" x14ac:dyDescent="0.35">
      <c r="A763" s="16">
        <v>43825</v>
      </c>
      <c r="B763">
        <v>4.0594999999999999</v>
      </c>
    </row>
    <row r="764" spans="1:2" x14ac:dyDescent="0.35">
      <c r="A764" s="16">
        <v>43823</v>
      </c>
      <c r="B764">
        <v>4.0792999999999999</v>
      </c>
    </row>
    <row r="765" spans="1:2" x14ac:dyDescent="0.35">
      <c r="A765" s="16">
        <v>43822</v>
      </c>
      <c r="B765">
        <v>4.0750999999999999</v>
      </c>
    </row>
    <row r="766" spans="1:2" x14ac:dyDescent="0.35">
      <c r="A766" s="16">
        <v>43819</v>
      </c>
      <c r="B766">
        <v>4.0770999999999997</v>
      </c>
    </row>
    <row r="767" spans="1:2" x14ac:dyDescent="0.35">
      <c r="A767" s="16">
        <v>43818</v>
      </c>
      <c r="B767">
        <v>4.0627000000000004</v>
      </c>
    </row>
    <row r="768" spans="1:2" x14ac:dyDescent="0.35">
      <c r="A768" s="16">
        <v>43817</v>
      </c>
      <c r="B768">
        <v>4.0541999999999998</v>
      </c>
    </row>
    <row r="769" spans="1:2" x14ac:dyDescent="0.35">
      <c r="A769" s="16">
        <v>43816</v>
      </c>
      <c r="B769">
        <v>4.0681000000000003</v>
      </c>
    </row>
    <row r="770" spans="1:2" x14ac:dyDescent="0.35">
      <c r="A770" s="16">
        <v>43815</v>
      </c>
      <c r="B770">
        <v>4.0795000000000003</v>
      </c>
    </row>
    <row r="771" spans="1:2" x14ac:dyDescent="0.35">
      <c r="A771" s="16">
        <v>43812</v>
      </c>
      <c r="B771">
        <v>4.0942999999999996</v>
      </c>
    </row>
    <row r="772" spans="1:2" x14ac:dyDescent="0.35">
      <c r="A772" s="16">
        <v>43811</v>
      </c>
      <c r="B772">
        <v>4.1086</v>
      </c>
    </row>
    <row r="773" spans="1:2" x14ac:dyDescent="0.35">
      <c r="A773" s="16">
        <v>43810</v>
      </c>
      <c r="B773">
        <v>4.1147</v>
      </c>
    </row>
    <row r="774" spans="1:2" x14ac:dyDescent="0.35">
      <c r="A774" s="16">
        <v>43809</v>
      </c>
      <c r="B774">
        <v>4.1421000000000001</v>
      </c>
    </row>
    <row r="775" spans="1:2" x14ac:dyDescent="0.35">
      <c r="A775" s="16">
        <v>43808</v>
      </c>
      <c r="B775">
        <v>4.1497000000000002</v>
      </c>
    </row>
    <row r="776" spans="1:2" x14ac:dyDescent="0.35">
      <c r="A776" s="16">
        <v>43805</v>
      </c>
      <c r="B776">
        <v>4.1776999999999997</v>
      </c>
    </row>
    <row r="777" spans="1:2" x14ac:dyDescent="0.35">
      <c r="A777" s="16">
        <v>43804</v>
      </c>
      <c r="B777">
        <v>4.2130000000000001</v>
      </c>
    </row>
    <row r="778" spans="1:2" x14ac:dyDescent="0.35">
      <c r="A778" s="16">
        <v>43803</v>
      </c>
      <c r="B778">
        <v>4.1920000000000002</v>
      </c>
    </row>
    <row r="779" spans="1:2" x14ac:dyDescent="0.35">
      <c r="A779" s="16">
        <v>43802</v>
      </c>
      <c r="B779">
        <v>4.2001999999999997</v>
      </c>
    </row>
    <row r="780" spans="1:2" x14ac:dyDescent="0.35">
      <c r="A780" s="16">
        <v>43801</v>
      </c>
      <c r="B780">
        <v>4.2255000000000003</v>
      </c>
    </row>
    <row r="781" spans="1:2" x14ac:dyDescent="0.35">
      <c r="A781" s="16">
        <v>43798</v>
      </c>
      <c r="B781">
        <v>4.2233999999999998</v>
      </c>
    </row>
    <row r="782" spans="1:2" x14ac:dyDescent="0.35">
      <c r="A782" s="16">
        <v>43797</v>
      </c>
      <c r="B782">
        <v>4.2473999999999998</v>
      </c>
    </row>
    <row r="783" spans="1:2" x14ac:dyDescent="0.35">
      <c r="A783" s="16">
        <v>43796</v>
      </c>
      <c r="B783">
        <v>4.2595999999999998</v>
      </c>
    </row>
    <row r="784" spans="1:2" x14ac:dyDescent="0.35">
      <c r="A784" s="16">
        <v>43795</v>
      </c>
      <c r="B784">
        <v>4.2553000000000001</v>
      </c>
    </row>
    <row r="785" spans="1:2" x14ac:dyDescent="0.35">
      <c r="A785" s="16">
        <v>43794</v>
      </c>
      <c r="B785">
        <v>4.2083000000000004</v>
      </c>
    </row>
    <row r="786" spans="1:2" x14ac:dyDescent="0.35">
      <c r="A786" s="16">
        <v>43791</v>
      </c>
      <c r="B786">
        <v>4.1825999999999999</v>
      </c>
    </row>
    <row r="787" spans="1:2" x14ac:dyDescent="0.35">
      <c r="A787" s="16">
        <v>43790</v>
      </c>
      <c r="B787">
        <v>4.2005999999999997</v>
      </c>
    </row>
    <row r="788" spans="1:2" x14ac:dyDescent="0.35">
      <c r="A788" s="16">
        <v>43789</v>
      </c>
      <c r="B788">
        <v>4.2027000000000001</v>
      </c>
    </row>
    <row r="789" spans="1:2" x14ac:dyDescent="0.35">
      <c r="A789" s="16">
        <v>43788</v>
      </c>
      <c r="B789">
        <v>4.2077999999999998</v>
      </c>
    </row>
    <row r="790" spans="1:2" x14ac:dyDescent="0.35">
      <c r="A790" s="16">
        <v>43787</v>
      </c>
      <c r="B790">
        <v>4.1821000000000002</v>
      </c>
    </row>
    <row r="791" spans="1:2" x14ac:dyDescent="0.35">
      <c r="A791" s="16">
        <v>43783</v>
      </c>
      <c r="B791">
        <v>4.1825000000000001</v>
      </c>
    </row>
    <row r="792" spans="1:2" x14ac:dyDescent="0.35">
      <c r="A792" s="16">
        <v>43782</v>
      </c>
      <c r="B792">
        <v>4.1760999999999999</v>
      </c>
    </row>
    <row r="793" spans="1:2" x14ac:dyDescent="0.35">
      <c r="A793" s="16">
        <v>43781</v>
      </c>
      <c r="B793">
        <v>4.1749999999999998</v>
      </c>
    </row>
    <row r="794" spans="1:2" x14ac:dyDescent="0.35">
      <c r="A794" s="16">
        <v>43780</v>
      </c>
      <c r="B794">
        <v>4.1553000000000004</v>
      </c>
    </row>
    <row r="795" spans="1:2" x14ac:dyDescent="0.35">
      <c r="A795" s="16">
        <v>43777</v>
      </c>
      <c r="B795">
        <v>4.1359000000000004</v>
      </c>
    </row>
    <row r="796" spans="1:2" x14ac:dyDescent="0.35">
      <c r="A796" s="16">
        <v>43776</v>
      </c>
      <c r="B796">
        <v>4.0921000000000003</v>
      </c>
    </row>
    <row r="797" spans="1:2" x14ac:dyDescent="0.35">
      <c r="A797" s="16">
        <v>43775</v>
      </c>
      <c r="B797">
        <v>4.0345000000000004</v>
      </c>
    </row>
    <row r="798" spans="1:2" x14ac:dyDescent="0.35">
      <c r="A798" s="16">
        <v>43774</v>
      </c>
      <c r="B798">
        <v>4.0037000000000003</v>
      </c>
    </row>
    <row r="799" spans="1:2" x14ac:dyDescent="0.35">
      <c r="A799" s="16">
        <v>43773</v>
      </c>
      <c r="B799">
        <v>3.9916</v>
      </c>
    </row>
    <row r="800" spans="1:2" x14ac:dyDescent="0.35">
      <c r="A800" s="16">
        <v>43770</v>
      </c>
      <c r="B800">
        <v>3.9780000000000002</v>
      </c>
    </row>
    <row r="801" spans="1:2" x14ac:dyDescent="0.35">
      <c r="A801" s="16">
        <v>43769</v>
      </c>
      <c r="B801">
        <v>4.0034999999999998</v>
      </c>
    </row>
    <row r="802" spans="1:2" x14ac:dyDescent="0.35">
      <c r="A802" s="16">
        <v>43768</v>
      </c>
      <c r="B802">
        <v>4.0179999999999998</v>
      </c>
    </row>
    <row r="803" spans="1:2" x14ac:dyDescent="0.35">
      <c r="A803" s="16">
        <v>43767</v>
      </c>
      <c r="B803">
        <v>3.9940000000000002</v>
      </c>
    </row>
    <row r="804" spans="1:2" x14ac:dyDescent="0.35">
      <c r="A804" s="16">
        <v>43766</v>
      </c>
      <c r="B804">
        <v>3.9786000000000001</v>
      </c>
    </row>
    <row r="805" spans="1:2" x14ac:dyDescent="0.35">
      <c r="A805" s="16">
        <v>43763</v>
      </c>
      <c r="B805">
        <v>4.0126999999999997</v>
      </c>
    </row>
    <row r="806" spans="1:2" x14ac:dyDescent="0.35">
      <c r="A806" s="16">
        <v>43762</v>
      </c>
      <c r="B806">
        <v>4.0083000000000002</v>
      </c>
    </row>
    <row r="807" spans="1:2" x14ac:dyDescent="0.35">
      <c r="A807" s="16">
        <v>43761</v>
      </c>
      <c r="B807">
        <v>4.0715000000000003</v>
      </c>
    </row>
    <row r="808" spans="1:2" x14ac:dyDescent="0.35">
      <c r="A808" s="16">
        <v>43760</v>
      </c>
      <c r="B808">
        <v>4.0852000000000004</v>
      </c>
    </row>
    <row r="809" spans="1:2" x14ac:dyDescent="0.35">
      <c r="A809" s="16">
        <v>43759</v>
      </c>
      <c r="B809">
        <v>4.1313000000000004</v>
      </c>
    </row>
    <row r="810" spans="1:2" x14ac:dyDescent="0.35">
      <c r="A810" s="16">
        <v>43756</v>
      </c>
      <c r="B810">
        <v>4.1369999999999996</v>
      </c>
    </row>
    <row r="811" spans="1:2" x14ac:dyDescent="0.35">
      <c r="A811" s="16">
        <v>43755</v>
      </c>
      <c r="B811">
        <v>4.1452</v>
      </c>
    </row>
    <row r="812" spans="1:2" x14ac:dyDescent="0.35">
      <c r="A812" s="16">
        <v>43754</v>
      </c>
      <c r="B812">
        <v>4.1707999999999998</v>
      </c>
    </row>
    <row r="813" spans="1:2" x14ac:dyDescent="0.35">
      <c r="A813" s="16">
        <v>43753</v>
      </c>
      <c r="B813">
        <v>4.1482000000000001</v>
      </c>
    </row>
    <row r="814" spans="1:2" x14ac:dyDescent="0.35">
      <c r="A814" s="16">
        <v>43752</v>
      </c>
      <c r="B814">
        <v>4.1257000000000001</v>
      </c>
    </row>
    <row r="815" spans="1:2" x14ac:dyDescent="0.35">
      <c r="A815" s="16">
        <v>43749</v>
      </c>
      <c r="B815">
        <v>4.1054000000000004</v>
      </c>
    </row>
    <row r="816" spans="1:2" x14ac:dyDescent="0.35">
      <c r="A816" s="16">
        <v>43748</v>
      </c>
      <c r="B816">
        <v>4.1139000000000001</v>
      </c>
    </row>
    <row r="817" spans="1:2" x14ac:dyDescent="0.35">
      <c r="A817" s="16">
        <v>43747</v>
      </c>
      <c r="B817">
        <v>4.0948000000000002</v>
      </c>
    </row>
    <row r="818" spans="1:2" x14ac:dyDescent="0.35">
      <c r="A818" s="16">
        <v>43746</v>
      </c>
      <c r="B818">
        <v>4.0861999999999998</v>
      </c>
    </row>
    <row r="819" spans="1:2" x14ac:dyDescent="0.35">
      <c r="A819" s="16">
        <v>43745</v>
      </c>
      <c r="B819">
        <v>4.0682</v>
      </c>
    </row>
    <row r="820" spans="1:2" x14ac:dyDescent="0.35">
      <c r="A820" s="16">
        <v>43742</v>
      </c>
      <c r="B820">
        <v>4.0603999999999996</v>
      </c>
    </row>
    <row r="821" spans="1:2" x14ac:dyDescent="0.35">
      <c r="A821" s="16">
        <v>43741</v>
      </c>
      <c r="B821">
        <v>4.1006</v>
      </c>
    </row>
    <row r="822" spans="1:2" x14ac:dyDescent="0.35">
      <c r="A822" s="16">
        <v>43740</v>
      </c>
      <c r="B822">
        <v>4.1539999999999999</v>
      </c>
    </row>
    <row r="823" spans="1:2" x14ac:dyDescent="0.35">
      <c r="A823" s="16">
        <v>43739</v>
      </c>
      <c r="B823">
        <v>4.1734</v>
      </c>
    </row>
    <row r="824" spans="1:2" x14ac:dyDescent="0.35">
      <c r="A824" s="16">
        <v>43738</v>
      </c>
      <c r="B824">
        <v>4.1638000000000002</v>
      </c>
    </row>
    <row r="825" spans="1:2" x14ac:dyDescent="0.35">
      <c r="A825" s="16">
        <v>43735</v>
      </c>
      <c r="B825">
        <v>4.1581000000000001</v>
      </c>
    </row>
    <row r="826" spans="1:2" x14ac:dyDescent="0.35">
      <c r="A826" s="16">
        <v>43734</v>
      </c>
      <c r="B826">
        <v>4.1463000000000001</v>
      </c>
    </row>
    <row r="827" spans="1:2" x14ac:dyDescent="0.35">
      <c r="A827" s="16">
        <v>43733</v>
      </c>
      <c r="B827">
        <v>4.1821000000000002</v>
      </c>
    </row>
    <row r="828" spans="1:2" x14ac:dyDescent="0.35">
      <c r="A828" s="16">
        <v>43732</v>
      </c>
      <c r="B828">
        <v>4.1715</v>
      </c>
    </row>
    <row r="829" spans="1:2" x14ac:dyDescent="0.35">
      <c r="A829" s="16">
        <v>43731</v>
      </c>
      <c r="B829">
        <v>4.1727999999999996</v>
      </c>
    </row>
    <row r="830" spans="1:2" x14ac:dyDescent="0.35">
      <c r="A830" s="16">
        <v>43728</v>
      </c>
      <c r="B830">
        <v>4.1680999999999999</v>
      </c>
    </row>
    <row r="831" spans="1:2" x14ac:dyDescent="0.35">
      <c r="A831" s="16">
        <v>43727</v>
      </c>
      <c r="B831">
        <v>4.1387</v>
      </c>
    </row>
    <row r="832" spans="1:2" x14ac:dyDescent="0.35">
      <c r="A832" s="16">
        <v>43726</v>
      </c>
      <c r="B832">
        <v>4.0965999999999996</v>
      </c>
    </row>
    <row r="833" spans="1:2" x14ac:dyDescent="0.35">
      <c r="A833" s="16">
        <v>43725</v>
      </c>
      <c r="B833">
        <v>4.0991999999999997</v>
      </c>
    </row>
    <row r="834" spans="1:2" x14ac:dyDescent="0.35">
      <c r="A834" s="16">
        <v>43724</v>
      </c>
      <c r="B834">
        <v>4.0865999999999998</v>
      </c>
    </row>
    <row r="835" spans="1:2" x14ac:dyDescent="0.35">
      <c r="A835" s="16">
        <v>43721</v>
      </c>
      <c r="B835">
        <v>4.0609999999999999</v>
      </c>
    </row>
    <row r="836" spans="1:2" x14ac:dyDescent="0.35">
      <c r="A836" s="16">
        <v>43720</v>
      </c>
      <c r="B836">
        <v>4.0488</v>
      </c>
    </row>
    <row r="837" spans="1:2" x14ac:dyDescent="0.35">
      <c r="A837" s="16">
        <v>43719</v>
      </c>
      <c r="B837">
        <v>4.0625</v>
      </c>
    </row>
    <row r="838" spans="1:2" x14ac:dyDescent="0.35">
      <c r="A838" s="16">
        <v>43718</v>
      </c>
      <c r="B838">
        <v>4.1101999999999999</v>
      </c>
    </row>
    <row r="839" spans="1:2" x14ac:dyDescent="0.35">
      <c r="A839" s="16">
        <v>43717</v>
      </c>
      <c r="B839">
        <v>4.0759999999999996</v>
      </c>
    </row>
    <row r="840" spans="1:2" x14ac:dyDescent="0.35">
      <c r="A840" s="16">
        <v>43714</v>
      </c>
      <c r="B840">
        <v>4.0644</v>
      </c>
    </row>
    <row r="841" spans="1:2" x14ac:dyDescent="0.35">
      <c r="A841" s="16">
        <v>43713</v>
      </c>
      <c r="B841">
        <v>4.0853000000000002</v>
      </c>
    </row>
    <row r="842" spans="1:2" x14ac:dyDescent="0.35">
      <c r="A842" s="16">
        <v>43712</v>
      </c>
      <c r="B842">
        <v>4.1242999999999999</v>
      </c>
    </row>
    <row r="843" spans="1:2" x14ac:dyDescent="0.35">
      <c r="A843" s="16">
        <v>43711</v>
      </c>
      <c r="B843">
        <v>4.1650999999999998</v>
      </c>
    </row>
    <row r="844" spans="1:2" x14ac:dyDescent="0.35">
      <c r="A844" s="16">
        <v>43710</v>
      </c>
      <c r="B844">
        <v>4.1574999999999998</v>
      </c>
    </row>
    <row r="845" spans="1:2" x14ac:dyDescent="0.35">
      <c r="A845" s="16">
        <v>43707</v>
      </c>
      <c r="B845">
        <v>4.1379000000000001</v>
      </c>
    </row>
    <row r="846" spans="1:2" x14ac:dyDescent="0.35">
      <c r="A846" s="16">
        <v>43706</v>
      </c>
      <c r="B846">
        <v>4.1673999999999998</v>
      </c>
    </row>
    <row r="847" spans="1:2" x14ac:dyDescent="0.35">
      <c r="A847" s="16">
        <v>43705</v>
      </c>
      <c r="B847">
        <v>4.1553000000000004</v>
      </c>
    </row>
    <row r="848" spans="1:2" x14ac:dyDescent="0.35">
      <c r="A848" s="16">
        <v>43704</v>
      </c>
      <c r="B848">
        <v>4.1551</v>
      </c>
    </row>
    <row r="849" spans="1:2" x14ac:dyDescent="0.35">
      <c r="A849" s="16">
        <v>43703</v>
      </c>
      <c r="B849">
        <v>4.1360999999999999</v>
      </c>
    </row>
    <row r="850" spans="1:2" x14ac:dyDescent="0.35">
      <c r="A850" s="16">
        <v>43700</v>
      </c>
      <c r="B850">
        <v>4.0845000000000002</v>
      </c>
    </row>
    <row r="851" spans="1:2" x14ac:dyDescent="0.35">
      <c r="A851" s="16">
        <v>43699</v>
      </c>
      <c r="B851">
        <v>4.0438000000000001</v>
      </c>
    </row>
    <row r="852" spans="1:2" x14ac:dyDescent="0.35">
      <c r="A852" s="16">
        <v>43698</v>
      </c>
      <c r="B852">
        <v>4.0247999999999999</v>
      </c>
    </row>
    <row r="853" spans="1:2" x14ac:dyDescent="0.35">
      <c r="A853" s="16">
        <v>43697</v>
      </c>
      <c r="B853">
        <v>4.0419</v>
      </c>
    </row>
    <row r="854" spans="1:2" x14ac:dyDescent="0.35">
      <c r="A854" s="16">
        <v>43696</v>
      </c>
      <c r="B854">
        <v>4.0267999999999997</v>
      </c>
    </row>
    <row r="855" spans="1:2" x14ac:dyDescent="0.35">
      <c r="A855" s="16">
        <v>43693</v>
      </c>
      <c r="B855">
        <v>3.9927000000000001</v>
      </c>
    </row>
    <row r="856" spans="1:2" x14ac:dyDescent="0.35">
      <c r="A856" s="16">
        <v>43692</v>
      </c>
      <c r="B856">
        <v>4.0182000000000002</v>
      </c>
    </row>
    <row r="857" spans="1:2" x14ac:dyDescent="0.35">
      <c r="A857" s="16">
        <v>43691</v>
      </c>
      <c r="B857">
        <v>4.0068000000000001</v>
      </c>
    </row>
    <row r="858" spans="1:2" x14ac:dyDescent="0.35">
      <c r="A858" s="16">
        <v>43690</v>
      </c>
      <c r="B858">
        <v>3.9729999999999999</v>
      </c>
    </row>
    <row r="859" spans="1:2" x14ac:dyDescent="0.35">
      <c r="A859" s="16">
        <v>43689</v>
      </c>
      <c r="B859">
        <v>3.996</v>
      </c>
    </row>
    <row r="860" spans="1:2" x14ac:dyDescent="0.35">
      <c r="A860" s="16">
        <v>43686</v>
      </c>
      <c r="B860">
        <v>3.9356</v>
      </c>
    </row>
    <row r="861" spans="1:2" x14ac:dyDescent="0.35">
      <c r="A861" s="16">
        <v>43685</v>
      </c>
      <c r="B861">
        <v>3.9403000000000001</v>
      </c>
    </row>
    <row r="862" spans="1:2" x14ac:dyDescent="0.35">
      <c r="A862" s="16">
        <v>43684</v>
      </c>
      <c r="B862">
        <v>3.9843999999999999</v>
      </c>
    </row>
    <row r="863" spans="1:2" x14ac:dyDescent="0.35">
      <c r="A863" s="16">
        <v>43683</v>
      </c>
      <c r="B863">
        <v>3.9636999999999998</v>
      </c>
    </row>
    <row r="864" spans="1:2" x14ac:dyDescent="0.35">
      <c r="A864" s="16">
        <v>43682</v>
      </c>
      <c r="B864">
        <v>3.9398</v>
      </c>
    </row>
    <row r="865" spans="1:2" x14ac:dyDescent="0.35">
      <c r="A865" s="16">
        <v>43679</v>
      </c>
      <c r="B865">
        <v>3.8733</v>
      </c>
    </row>
    <row r="866" spans="1:2" x14ac:dyDescent="0.35">
      <c r="A866" s="16">
        <v>43678</v>
      </c>
      <c r="B866">
        <v>3.8290000000000002</v>
      </c>
    </row>
    <row r="867" spans="1:2" x14ac:dyDescent="0.35">
      <c r="A867" s="16">
        <v>43677</v>
      </c>
      <c r="B867">
        <v>3.7643</v>
      </c>
    </row>
    <row r="868" spans="1:2" x14ac:dyDescent="0.35">
      <c r="A868" s="16">
        <v>43676</v>
      </c>
      <c r="B868">
        <v>3.7894000000000001</v>
      </c>
    </row>
    <row r="869" spans="1:2" x14ac:dyDescent="0.35">
      <c r="A869" s="16">
        <v>43675</v>
      </c>
      <c r="B869">
        <v>3.7902999999999998</v>
      </c>
    </row>
    <row r="870" spans="1:2" x14ac:dyDescent="0.35">
      <c r="A870" s="16">
        <v>43672</v>
      </c>
      <c r="B870">
        <v>3.7734999999999999</v>
      </c>
    </row>
    <row r="871" spans="1:2" x14ac:dyDescent="0.35">
      <c r="A871" s="16">
        <v>43671</v>
      </c>
      <c r="B871">
        <v>3.7843</v>
      </c>
    </row>
    <row r="872" spans="1:2" x14ac:dyDescent="0.35">
      <c r="A872" s="16">
        <v>43670</v>
      </c>
      <c r="B872">
        <v>3.7589999999999999</v>
      </c>
    </row>
    <row r="873" spans="1:2" x14ac:dyDescent="0.35">
      <c r="A873" s="16">
        <v>43669</v>
      </c>
      <c r="B873">
        <v>3.7614999999999998</v>
      </c>
    </row>
    <row r="874" spans="1:2" x14ac:dyDescent="0.35">
      <c r="A874" s="16">
        <v>43668</v>
      </c>
      <c r="B874">
        <v>3.7393999999999998</v>
      </c>
    </row>
    <row r="875" spans="1:2" x14ac:dyDescent="0.35">
      <c r="A875" s="16">
        <v>43665</v>
      </c>
      <c r="B875">
        <v>3.7402000000000002</v>
      </c>
    </row>
    <row r="876" spans="1:2" x14ac:dyDescent="0.35">
      <c r="A876" s="16">
        <v>43664</v>
      </c>
      <c r="B876">
        <v>3.7483</v>
      </c>
    </row>
    <row r="877" spans="1:2" x14ac:dyDescent="0.35">
      <c r="A877" s="16">
        <v>43663</v>
      </c>
      <c r="B877">
        <v>3.7612000000000001</v>
      </c>
    </row>
    <row r="878" spans="1:2" x14ac:dyDescent="0.35">
      <c r="A878" s="16">
        <v>43662</v>
      </c>
      <c r="B878">
        <v>3.7618</v>
      </c>
    </row>
    <row r="879" spans="1:2" x14ac:dyDescent="0.35">
      <c r="A879" s="16">
        <v>43661</v>
      </c>
      <c r="B879">
        <v>3.7456999999999998</v>
      </c>
    </row>
    <row r="880" spans="1:2" x14ac:dyDescent="0.35">
      <c r="A880" s="16">
        <v>43658</v>
      </c>
      <c r="B880">
        <v>3.7446000000000002</v>
      </c>
    </row>
    <row r="881" spans="1:2" x14ac:dyDescent="0.35">
      <c r="A881" s="16">
        <v>43657</v>
      </c>
      <c r="B881">
        <v>3.7526999999999999</v>
      </c>
    </row>
    <row r="882" spans="1:2" x14ac:dyDescent="0.35">
      <c r="A882" s="16">
        <v>43656</v>
      </c>
      <c r="B882">
        <v>3.7690999999999999</v>
      </c>
    </row>
    <row r="883" spans="1:2" x14ac:dyDescent="0.35">
      <c r="A883" s="16">
        <v>43655</v>
      </c>
      <c r="B883">
        <v>3.7846000000000002</v>
      </c>
    </row>
    <row r="884" spans="1:2" x14ac:dyDescent="0.35">
      <c r="A884" s="16">
        <v>43654</v>
      </c>
      <c r="B884">
        <v>3.8058999999999998</v>
      </c>
    </row>
    <row r="885" spans="1:2" x14ac:dyDescent="0.35">
      <c r="A885" s="16">
        <v>43651</v>
      </c>
      <c r="B885">
        <v>3.8197999999999999</v>
      </c>
    </row>
    <row r="886" spans="1:2" x14ac:dyDescent="0.35">
      <c r="A886" s="16">
        <v>43650</v>
      </c>
      <c r="B886">
        <v>3.7934000000000001</v>
      </c>
    </row>
    <row r="887" spans="1:2" x14ac:dyDescent="0.35">
      <c r="A887" s="16">
        <v>43649</v>
      </c>
      <c r="B887">
        <v>3.8469000000000002</v>
      </c>
    </row>
    <row r="888" spans="1:2" x14ac:dyDescent="0.35">
      <c r="A888" s="16">
        <v>43648</v>
      </c>
      <c r="B888">
        <v>3.8557999999999999</v>
      </c>
    </row>
    <row r="889" spans="1:2" x14ac:dyDescent="0.35">
      <c r="A889" s="16">
        <v>43647</v>
      </c>
      <c r="B889">
        <v>3.8187000000000002</v>
      </c>
    </row>
    <row r="890" spans="1:2" x14ac:dyDescent="0.35">
      <c r="A890" s="16">
        <v>43644</v>
      </c>
      <c r="B890">
        <v>3.8315999999999999</v>
      </c>
    </row>
    <row r="891" spans="1:2" x14ac:dyDescent="0.35">
      <c r="A891" s="16">
        <v>43643</v>
      </c>
      <c r="B891">
        <v>3.8635999999999999</v>
      </c>
    </row>
    <row r="892" spans="1:2" x14ac:dyDescent="0.35">
      <c r="A892" s="16">
        <v>43642</v>
      </c>
      <c r="B892">
        <v>3.8435000000000001</v>
      </c>
    </row>
    <row r="893" spans="1:2" x14ac:dyDescent="0.35">
      <c r="A893" s="16">
        <v>43641</v>
      </c>
      <c r="B893">
        <v>3.8296999999999999</v>
      </c>
    </row>
    <row r="894" spans="1:2" x14ac:dyDescent="0.35">
      <c r="A894" s="16">
        <v>43640</v>
      </c>
      <c r="B894">
        <v>3.8228</v>
      </c>
    </row>
    <row r="895" spans="1:2" x14ac:dyDescent="0.35">
      <c r="A895" s="16">
        <v>43637</v>
      </c>
      <c r="B895">
        <v>3.8249</v>
      </c>
    </row>
    <row r="896" spans="1:2" x14ac:dyDescent="0.35">
      <c r="A896" s="16">
        <v>43635</v>
      </c>
      <c r="B896">
        <v>3.8717000000000001</v>
      </c>
    </row>
    <row r="897" spans="1:2" x14ac:dyDescent="0.35">
      <c r="A897" s="16">
        <v>43634</v>
      </c>
      <c r="B897">
        <v>3.8601999999999999</v>
      </c>
    </row>
    <row r="898" spans="1:2" x14ac:dyDescent="0.35">
      <c r="A898" s="16">
        <v>43633</v>
      </c>
      <c r="B898">
        <v>3.8889</v>
      </c>
    </row>
    <row r="899" spans="1:2" x14ac:dyDescent="0.35">
      <c r="A899" s="16">
        <v>43630</v>
      </c>
      <c r="B899">
        <v>3.8807</v>
      </c>
    </row>
    <row r="900" spans="1:2" x14ac:dyDescent="0.35">
      <c r="A900" s="16">
        <v>43629</v>
      </c>
      <c r="B900">
        <v>3.8422999999999998</v>
      </c>
    </row>
    <row r="901" spans="1:2" x14ac:dyDescent="0.35">
      <c r="A901" s="16">
        <v>43628</v>
      </c>
      <c r="B901">
        <v>3.8431000000000002</v>
      </c>
    </row>
    <row r="902" spans="1:2" x14ac:dyDescent="0.35">
      <c r="A902" s="16">
        <v>43627</v>
      </c>
      <c r="B902">
        <v>3.8658000000000001</v>
      </c>
    </row>
    <row r="903" spans="1:2" x14ac:dyDescent="0.35">
      <c r="A903" s="16">
        <v>43626</v>
      </c>
      <c r="B903">
        <v>3.8784000000000001</v>
      </c>
    </row>
    <row r="904" spans="1:2" x14ac:dyDescent="0.35">
      <c r="A904" s="16">
        <v>43623</v>
      </c>
      <c r="B904">
        <v>3.8565</v>
      </c>
    </row>
    <row r="905" spans="1:2" x14ac:dyDescent="0.35">
      <c r="A905" s="16">
        <v>43622</v>
      </c>
      <c r="B905">
        <v>3.8719999999999999</v>
      </c>
    </row>
    <row r="906" spans="1:2" x14ac:dyDescent="0.35">
      <c r="A906" s="16">
        <v>43621</v>
      </c>
      <c r="B906">
        <v>3.8605</v>
      </c>
    </row>
    <row r="907" spans="1:2" x14ac:dyDescent="0.35">
      <c r="A907" s="16">
        <v>43620</v>
      </c>
      <c r="B907">
        <v>3.8704000000000001</v>
      </c>
    </row>
    <row r="908" spans="1:2" x14ac:dyDescent="0.35">
      <c r="A908" s="16">
        <v>43619</v>
      </c>
      <c r="B908">
        <v>3.8997000000000002</v>
      </c>
    </row>
    <row r="909" spans="1:2" x14ac:dyDescent="0.35">
      <c r="A909" s="16">
        <v>43616</v>
      </c>
      <c r="B909">
        <v>3.9401000000000002</v>
      </c>
    </row>
    <row r="910" spans="1:2" x14ac:dyDescent="0.35">
      <c r="A910" s="16">
        <v>43615</v>
      </c>
      <c r="B910">
        <v>3.9714</v>
      </c>
    </row>
    <row r="911" spans="1:2" x14ac:dyDescent="0.35">
      <c r="A911" s="16">
        <v>43614</v>
      </c>
      <c r="B911">
        <v>3.9958999999999998</v>
      </c>
    </row>
    <row r="912" spans="1:2" x14ac:dyDescent="0.35">
      <c r="A912" s="16">
        <v>43613</v>
      </c>
      <c r="B912">
        <v>4.0269000000000004</v>
      </c>
    </row>
    <row r="913" spans="1:2" x14ac:dyDescent="0.35">
      <c r="A913" s="16">
        <v>43612</v>
      </c>
      <c r="B913">
        <v>4.0204000000000004</v>
      </c>
    </row>
    <row r="914" spans="1:2" x14ac:dyDescent="0.35">
      <c r="A914" s="16">
        <v>43609</v>
      </c>
      <c r="B914">
        <v>4.0316000000000001</v>
      </c>
    </row>
    <row r="915" spans="1:2" x14ac:dyDescent="0.35">
      <c r="A915" s="16">
        <v>43608</v>
      </c>
      <c r="B915">
        <v>4.0507</v>
      </c>
    </row>
    <row r="916" spans="1:2" x14ac:dyDescent="0.35">
      <c r="A916" s="16">
        <v>43607</v>
      </c>
      <c r="B916">
        <v>4.0221999999999998</v>
      </c>
    </row>
    <row r="917" spans="1:2" x14ac:dyDescent="0.35">
      <c r="A917" s="16">
        <v>43606</v>
      </c>
      <c r="B917">
        <v>4.0804</v>
      </c>
    </row>
    <row r="918" spans="1:2" x14ac:dyDescent="0.35">
      <c r="A918" s="16">
        <v>43605</v>
      </c>
      <c r="B918">
        <v>4.1050000000000004</v>
      </c>
    </row>
    <row r="919" spans="1:2" x14ac:dyDescent="0.35">
      <c r="A919" s="16">
        <v>43602</v>
      </c>
      <c r="B919">
        <v>4.0838000000000001</v>
      </c>
    </row>
    <row r="920" spans="1:2" x14ac:dyDescent="0.35">
      <c r="A920" s="16">
        <v>43601</v>
      </c>
      <c r="B920">
        <v>4.0132000000000003</v>
      </c>
    </row>
    <row r="921" spans="1:2" x14ac:dyDescent="0.35">
      <c r="A921" s="16">
        <v>43600</v>
      </c>
      <c r="B921">
        <v>4.0025000000000004</v>
      </c>
    </row>
    <row r="922" spans="1:2" x14ac:dyDescent="0.35">
      <c r="A922" s="16">
        <v>43599</v>
      </c>
      <c r="B922">
        <v>3.9782000000000002</v>
      </c>
    </row>
    <row r="923" spans="1:2" x14ac:dyDescent="0.35">
      <c r="A923" s="16">
        <v>43598</v>
      </c>
      <c r="B923">
        <v>3.9883999999999999</v>
      </c>
    </row>
    <row r="924" spans="1:2" x14ac:dyDescent="0.35">
      <c r="A924" s="16">
        <v>43595</v>
      </c>
      <c r="B924">
        <v>3.9571999999999998</v>
      </c>
    </row>
    <row r="925" spans="1:2" x14ac:dyDescent="0.35">
      <c r="A925" s="16">
        <v>43594</v>
      </c>
      <c r="B925">
        <v>3.9666999999999999</v>
      </c>
    </row>
    <row r="926" spans="1:2" x14ac:dyDescent="0.35">
      <c r="A926" s="16">
        <v>43593</v>
      </c>
      <c r="B926">
        <v>3.9338000000000002</v>
      </c>
    </row>
    <row r="927" spans="1:2" x14ac:dyDescent="0.35">
      <c r="A927" s="16">
        <v>43592</v>
      </c>
      <c r="B927">
        <v>3.9874000000000001</v>
      </c>
    </row>
    <row r="928" spans="1:2" x14ac:dyDescent="0.35">
      <c r="A928" s="16">
        <v>43591</v>
      </c>
      <c r="B928">
        <v>3.9618000000000002</v>
      </c>
    </row>
    <row r="929" spans="1:2" x14ac:dyDescent="0.35">
      <c r="A929" s="16">
        <v>43588</v>
      </c>
      <c r="B929">
        <v>3.9382000000000001</v>
      </c>
    </row>
    <row r="930" spans="1:2" x14ac:dyDescent="0.35">
      <c r="A930" s="16">
        <v>43587</v>
      </c>
      <c r="B930">
        <v>3.9643999999999999</v>
      </c>
    </row>
    <row r="931" spans="1:2" x14ac:dyDescent="0.35">
      <c r="A931" s="16">
        <v>43585</v>
      </c>
      <c r="B931">
        <v>3.9447000000000001</v>
      </c>
    </row>
    <row r="932" spans="1:2" x14ac:dyDescent="0.35">
      <c r="A932" s="16">
        <v>43584</v>
      </c>
      <c r="B932">
        <v>3.9358</v>
      </c>
    </row>
    <row r="933" spans="1:2" x14ac:dyDescent="0.35">
      <c r="A933" s="16">
        <v>43581</v>
      </c>
      <c r="B933">
        <v>3.9346999999999999</v>
      </c>
    </row>
    <row r="934" spans="1:2" x14ac:dyDescent="0.35">
      <c r="A934" s="16">
        <v>43580</v>
      </c>
      <c r="B934">
        <v>3.9719000000000002</v>
      </c>
    </row>
    <row r="935" spans="1:2" x14ac:dyDescent="0.35">
      <c r="A935" s="16">
        <v>43579</v>
      </c>
      <c r="B935">
        <v>3.9624000000000001</v>
      </c>
    </row>
    <row r="936" spans="1:2" x14ac:dyDescent="0.35">
      <c r="A936" s="16">
        <v>43578</v>
      </c>
      <c r="B936">
        <v>3.9430000000000001</v>
      </c>
    </row>
    <row r="937" spans="1:2" x14ac:dyDescent="0.35">
      <c r="A937" s="16">
        <v>43577</v>
      </c>
      <c r="B937">
        <v>3.9224000000000001</v>
      </c>
    </row>
    <row r="938" spans="1:2" x14ac:dyDescent="0.35">
      <c r="A938" s="16">
        <v>43573</v>
      </c>
      <c r="B938">
        <v>3.9363999999999999</v>
      </c>
    </row>
    <row r="939" spans="1:2" x14ac:dyDescent="0.35">
      <c r="A939" s="16">
        <v>43572</v>
      </c>
      <c r="B939">
        <v>3.9218999999999999</v>
      </c>
    </row>
    <row r="940" spans="1:2" x14ac:dyDescent="0.35">
      <c r="A940" s="16">
        <v>43571</v>
      </c>
      <c r="B940">
        <v>3.8906999999999998</v>
      </c>
    </row>
    <row r="941" spans="1:2" x14ac:dyDescent="0.35">
      <c r="A941" s="16">
        <v>43570</v>
      </c>
      <c r="B941">
        <v>3.8723999999999998</v>
      </c>
    </row>
    <row r="942" spans="1:2" x14ac:dyDescent="0.35">
      <c r="A942" s="16">
        <v>43567</v>
      </c>
      <c r="B942">
        <v>3.8679000000000001</v>
      </c>
    </row>
    <row r="943" spans="1:2" x14ac:dyDescent="0.35">
      <c r="A943" s="16">
        <v>43566</v>
      </c>
      <c r="B943">
        <v>3.8393000000000002</v>
      </c>
    </row>
    <row r="944" spans="1:2" x14ac:dyDescent="0.35">
      <c r="A944" s="16">
        <v>43565</v>
      </c>
      <c r="B944">
        <v>3.8338999999999999</v>
      </c>
    </row>
    <row r="945" spans="1:2" x14ac:dyDescent="0.35">
      <c r="A945" s="16">
        <v>43564</v>
      </c>
      <c r="B945">
        <v>3.8557000000000001</v>
      </c>
    </row>
    <row r="946" spans="1:2" x14ac:dyDescent="0.35">
      <c r="A946" s="16">
        <v>43563</v>
      </c>
      <c r="B946">
        <v>3.8652000000000002</v>
      </c>
    </row>
    <row r="947" spans="1:2" x14ac:dyDescent="0.35">
      <c r="A947" s="16">
        <v>43560</v>
      </c>
      <c r="B947">
        <v>3.8616000000000001</v>
      </c>
    </row>
    <row r="948" spans="1:2" x14ac:dyDescent="0.35">
      <c r="A948" s="16">
        <v>43559</v>
      </c>
      <c r="B948">
        <v>3.8706999999999998</v>
      </c>
    </row>
    <row r="949" spans="1:2" x14ac:dyDescent="0.35">
      <c r="A949" s="16">
        <v>43558</v>
      </c>
      <c r="B949">
        <v>3.843</v>
      </c>
    </row>
    <row r="950" spans="1:2" x14ac:dyDescent="0.35">
      <c r="A950" s="16">
        <v>43557</v>
      </c>
      <c r="B950">
        <v>3.8654999999999999</v>
      </c>
    </row>
    <row r="951" spans="1:2" x14ac:dyDescent="0.35">
      <c r="A951" s="16">
        <v>43556</v>
      </c>
      <c r="B951">
        <v>3.8675999999999999</v>
      </c>
    </row>
    <row r="952" spans="1:2" x14ac:dyDescent="0.35">
      <c r="A952" s="16">
        <v>43553</v>
      </c>
      <c r="B952">
        <v>3.8961000000000001</v>
      </c>
    </row>
    <row r="953" spans="1:2" x14ac:dyDescent="0.35">
      <c r="A953" s="16">
        <v>43552</v>
      </c>
      <c r="B953">
        <v>3.9676</v>
      </c>
    </row>
    <row r="954" spans="1:2" x14ac:dyDescent="0.35">
      <c r="A954" s="16">
        <v>43551</v>
      </c>
      <c r="B954">
        <v>3.9382999999999999</v>
      </c>
    </row>
    <row r="955" spans="1:2" x14ac:dyDescent="0.35">
      <c r="A955" s="16">
        <v>43550</v>
      </c>
      <c r="B955">
        <v>3.8639999999999999</v>
      </c>
    </row>
    <row r="956" spans="1:2" x14ac:dyDescent="0.35">
      <c r="A956" s="16">
        <v>43549</v>
      </c>
      <c r="B956">
        <v>3.8763999999999998</v>
      </c>
    </row>
    <row r="957" spans="1:2" x14ac:dyDescent="0.35">
      <c r="A957" s="16">
        <v>43546</v>
      </c>
      <c r="B957">
        <v>3.8809</v>
      </c>
    </row>
    <row r="958" spans="1:2" x14ac:dyDescent="0.35">
      <c r="A958" s="16">
        <v>43545</v>
      </c>
      <c r="B958">
        <v>3.7961</v>
      </c>
    </row>
    <row r="959" spans="1:2" x14ac:dyDescent="0.35">
      <c r="A959" s="16">
        <v>43544</v>
      </c>
      <c r="B959">
        <v>3.7890999999999999</v>
      </c>
    </row>
    <row r="960" spans="1:2" x14ac:dyDescent="0.35">
      <c r="A960" s="16">
        <v>43543</v>
      </c>
      <c r="B960">
        <v>3.7755999999999998</v>
      </c>
    </row>
    <row r="961" spans="1:2" x14ac:dyDescent="0.35">
      <c r="A961" s="16">
        <v>43542</v>
      </c>
      <c r="B961">
        <v>3.8105000000000002</v>
      </c>
    </row>
    <row r="962" spans="1:2" x14ac:dyDescent="0.35">
      <c r="A962" s="16">
        <v>43539</v>
      </c>
      <c r="B962">
        <v>3.8338000000000001</v>
      </c>
    </row>
    <row r="963" spans="1:2" x14ac:dyDescent="0.35">
      <c r="A963" s="16">
        <v>43538</v>
      </c>
      <c r="B963">
        <v>3.8321000000000001</v>
      </c>
    </row>
    <row r="964" spans="1:2" x14ac:dyDescent="0.35">
      <c r="A964" s="16">
        <v>43537</v>
      </c>
      <c r="B964">
        <v>3.8258999999999999</v>
      </c>
    </row>
    <row r="965" spans="1:2" x14ac:dyDescent="0.35">
      <c r="A965" s="16">
        <v>43536</v>
      </c>
      <c r="B965">
        <v>3.8123</v>
      </c>
    </row>
    <row r="966" spans="1:2" x14ac:dyDescent="0.35">
      <c r="A966" s="16">
        <v>43535</v>
      </c>
      <c r="B966">
        <v>3.8454999999999999</v>
      </c>
    </row>
    <row r="967" spans="1:2" x14ac:dyDescent="0.35">
      <c r="A967" s="16">
        <v>43532</v>
      </c>
      <c r="B967">
        <v>3.8672</v>
      </c>
    </row>
    <row r="968" spans="1:2" x14ac:dyDescent="0.35">
      <c r="A968" s="16">
        <v>43531</v>
      </c>
      <c r="B968">
        <v>3.8481000000000001</v>
      </c>
    </row>
    <row r="969" spans="1:2" x14ac:dyDescent="0.35">
      <c r="A969" s="16">
        <v>43530</v>
      </c>
      <c r="B969">
        <v>3.8296999999999999</v>
      </c>
    </row>
    <row r="970" spans="1:2" x14ac:dyDescent="0.35">
      <c r="A970" s="16">
        <v>43525</v>
      </c>
      <c r="B970">
        <v>3.7826</v>
      </c>
    </row>
    <row r="971" spans="1:2" x14ac:dyDescent="0.35">
      <c r="A971" s="16">
        <v>43524</v>
      </c>
      <c r="B971">
        <v>3.7378999999999998</v>
      </c>
    </row>
    <row r="972" spans="1:2" x14ac:dyDescent="0.35">
      <c r="A972" s="16">
        <v>43523</v>
      </c>
      <c r="B972">
        <v>3.7345000000000002</v>
      </c>
    </row>
    <row r="973" spans="1:2" x14ac:dyDescent="0.35">
      <c r="A973" s="16">
        <v>43522</v>
      </c>
      <c r="B973">
        <v>3.7589000000000001</v>
      </c>
    </row>
    <row r="974" spans="1:2" x14ac:dyDescent="0.35">
      <c r="A974" s="16">
        <v>43521</v>
      </c>
      <c r="B974">
        <v>3.7279</v>
      </c>
    </row>
    <row r="975" spans="1:2" x14ac:dyDescent="0.35">
      <c r="A975" s="16">
        <v>43518</v>
      </c>
      <c r="B975">
        <v>3.7423999999999999</v>
      </c>
    </row>
    <row r="976" spans="1:2" x14ac:dyDescent="0.35">
      <c r="A976" s="16">
        <v>43517</v>
      </c>
      <c r="B976">
        <v>3.7589000000000001</v>
      </c>
    </row>
    <row r="977" spans="1:2" x14ac:dyDescent="0.35">
      <c r="A977" s="16">
        <v>43516</v>
      </c>
      <c r="B977">
        <v>3.7094</v>
      </c>
    </row>
    <row r="978" spans="1:2" x14ac:dyDescent="0.35">
      <c r="A978" s="16">
        <v>43515</v>
      </c>
      <c r="B978">
        <v>3.72</v>
      </c>
    </row>
    <row r="979" spans="1:2" x14ac:dyDescent="0.35">
      <c r="A979" s="16">
        <v>43514</v>
      </c>
      <c r="B979">
        <v>3.7309999999999999</v>
      </c>
    </row>
    <row r="980" spans="1:2" x14ac:dyDescent="0.35">
      <c r="A980" s="16">
        <v>43511</v>
      </c>
      <c r="B980">
        <v>3.7149000000000001</v>
      </c>
    </row>
    <row r="981" spans="1:2" x14ac:dyDescent="0.35">
      <c r="A981" s="16">
        <v>43510</v>
      </c>
      <c r="B981">
        <v>3.7749999999999999</v>
      </c>
    </row>
    <row r="982" spans="1:2" x14ac:dyDescent="0.35">
      <c r="A982" s="16">
        <v>43509</v>
      </c>
      <c r="B982">
        <v>3.7271000000000001</v>
      </c>
    </row>
    <row r="983" spans="1:2" x14ac:dyDescent="0.35">
      <c r="A983" s="16">
        <v>43508</v>
      </c>
      <c r="B983">
        <v>3.7290000000000001</v>
      </c>
    </row>
    <row r="984" spans="1:2" x14ac:dyDescent="0.35">
      <c r="A984" s="16">
        <v>43507</v>
      </c>
      <c r="B984">
        <v>3.7385000000000002</v>
      </c>
    </row>
    <row r="985" spans="1:2" x14ac:dyDescent="0.35">
      <c r="A985" s="16">
        <v>43504</v>
      </c>
      <c r="B985">
        <v>3.7178</v>
      </c>
    </row>
    <row r="986" spans="1:2" x14ac:dyDescent="0.35">
      <c r="A986" s="16">
        <v>43503</v>
      </c>
      <c r="B986">
        <v>3.7187000000000001</v>
      </c>
    </row>
    <row r="987" spans="1:2" x14ac:dyDescent="0.35">
      <c r="A987" s="16">
        <v>43502</v>
      </c>
      <c r="B987">
        <v>3.7012999999999998</v>
      </c>
    </row>
    <row r="988" spans="1:2" x14ac:dyDescent="0.35">
      <c r="A988" s="16">
        <v>43501</v>
      </c>
      <c r="B988">
        <v>3.6735000000000002</v>
      </c>
    </row>
    <row r="989" spans="1:2" x14ac:dyDescent="0.35">
      <c r="A989" s="16">
        <v>43500</v>
      </c>
      <c r="B989">
        <v>3.6749999999999998</v>
      </c>
    </row>
    <row r="990" spans="1:2" x14ac:dyDescent="0.35">
      <c r="A990" s="16">
        <v>43497</v>
      </c>
      <c r="B990">
        <v>3.6688000000000001</v>
      </c>
    </row>
    <row r="991" spans="1:2" x14ac:dyDescent="0.35">
      <c r="A991" s="16">
        <v>43496</v>
      </c>
      <c r="B991">
        <v>3.6513</v>
      </c>
    </row>
    <row r="992" spans="1:2" x14ac:dyDescent="0.35">
      <c r="A992" s="16">
        <v>43495</v>
      </c>
      <c r="B992">
        <v>3.7145000000000001</v>
      </c>
    </row>
    <row r="993" spans="1:2" x14ac:dyDescent="0.35">
      <c r="A993" s="16">
        <v>43494</v>
      </c>
      <c r="B993">
        <v>3.7364000000000002</v>
      </c>
    </row>
    <row r="994" spans="1:2" x14ac:dyDescent="0.35">
      <c r="A994" s="16">
        <v>43493</v>
      </c>
      <c r="B994">
        <v>3.7669999999999999</v>
      </c>
    </row>
    <row r="995" spans="1:2" x14ac:dyDescent="0.35">
      <c r="A995" s="16">
        <v>43490</v>
      </c>
      <c r="B995">
        <v>3.7612999999999999</v>
      </c>
    </row>
    <row r="996" spans="1:2" x14ac:dyDescent="0.35">
      <c r="A996" s="16">
        <v>43489</v>
      </c>
      <c r="B996">
        <v>3.7808999999999999</v>
      </c>
    </row>
    <row r="997" spans="1:2" x14ac:dyDescent="0.35">
      <c r="A997" s="16">
        <v>43488</v>
      </c>
      <c r="B997">
        <v>3.7988</v>
      </c>
    </row>
    <row r="998" spans="1:2" x14ac:dyDescent="0.35">
      <c r="A998" s="16">
        <v>43487</v>
      </c>
      <c r="B998">
        <v>3.7608999999999999</v>
      </c>
    </row>
    <row r="999" spans="1:2" x14ac:dyDescent="0.35">
      <c r="A999" s="16">
        <v>43486</v>
      </c>
      <c r="B999">
        <v>3.7698999999999998</v>
      </c>
    </row>
    <row r="1000" spans="1:2" x14ac:dyDescent="0.35">
      <c r="A1000" s="16">
        <v>43483</v>
      </c>
      <c r="B1000">
        <v>3.7480000000000002</v>
      </c>
    </row>
    <row r="1001" spans="1:2" x14ac:dyDescent="0.35">
      <c r="A1001" s="16">
        <v>43482</v>
      </c>
      <c r="B1001">
        <v>3.7585000000000002</v>
      </c>
    </row>
    <row r="1002" spans="1:2" x14ac:dyDescent="0.35">
      <c r="A1002" s="16">
        <v>43481</v>
      </c>
      <c r="B1002">
        <v>3.7191000000000001</v>
      </c>
    </row>
    <row r="1003" spans="1:2" x14ac:dyDescent="0.35">
      <c r="A1003" s="16">
        <v>43480</v>
      </c>
      <c r="B1003">
        <v>3.7042999999999999</v>
      </c>
    </row>
    <row r="1004" spans="1:2" x14ac:dyDescent="0.35">
      <c r="A1004" s="16">
        <v>43479</v>
      </c>
      <c r="B1004">
        <v>3.7254999999999998</v>
      </c>
    </row>
    <row r="1005" spans="1:2" x14ac:dyDescent="0.35">
      <c r="A1005" s="16">
        <v>43476</v>
      </c>
      <c r="B1005">
        <v>3.7134999999999998</v>
      </c>
    </row>
    <row r="1006" spans="1:2" x14ac:dyDescent="0.35">
      <c r="A1006" s="16">
        <v>43475</v>
      </c>
      <c r="B1006">
        <v>3.6863000000000001</v>
      </c>
    </row>
    <row r="1007" spans="1:2" x14ac:dyDescent="0.35">
      <c r="A1007" s="16">
        <v>43474</v>
      </c>
      <c r="B1007">
        <v>3.6924999999999999</v>
      </c>
    </row>
    <row r="1008" spans="1:2" x14ac:dyDescent="0.35">
      <c r="A1008" s="16">
        <v>43473</v>
      </c>
      <c r="B1008">
        <v>3.7202000000000002</v>
      </c>
    </row>
    <row r="1009" spans="1:2" x14ac:dyDescent="0.35">
      <c r="A1009" s="16">
        <v>43472</v>
      </c>
      <c r="B1009">
        <v>3.7056</v>
      </c>
    </row>
    <row r="1010" spans="1:2" x14ac:dyDescent="0.35">
      <c r="A1010" s="16">
        <v>43469</v>
      </c>
      <c r="B1010">
        <v>3.7621000000000002</v>
      </c>
    </row>
    <row r="1011" spans="1:2" x14ac:dyDescent="0.35">
      <c r="A1011" s="16">
        <v>43468</v>
      </c>
      <c r="B1011">
        <v>3.7677</v>
      </c>
    </row>
    <row r="1012" spans="1:2" x14ac:dyDescent="0.35">
      <c r="A1012" s="16">
        <v>43467</v>
      </c>
      <c r="B1012">
        <v>3.8589000000000002</v>
      </c>
    </row>
    <row r="1013" spans="1:2" x14ac:dyDescent="0.35">
      <c r="A1013" s="16">
        <v>43465</v>
      </c>
      <c r="B1013">
        <v>3.8742000000000001</v>
      </c>
    </row>
    <row r="1014" spans="1:2" x14ac:dyDescent="0.35">
      <c r="A1014" s="16">
        <v>43462</v>
      </c>
      <c r="B1014">
        <v>3.8742000000000001</v>
      </c>
    </row>
    <row r="1015" spans="1:2" x14ac:dyDescent="0.35">
      <c r="A1015" s="16">
        <v>43461</v>
      </c>
      <c r="B1015">
        <v>3.9323999999999999</v>
      </c>
    </row>
    <row r="1016" spans="1:2" x14ac:dyDescent="0.35">
      <c r="A1016" s="16">
        <v>43460</v>
      </c>
      <c r="B1016">
        <v>3.9251999999999998</v>
      </c>
    </row>
    <row r="1017" spans="1:2" x14ac:dyDescent="0.35">
      <c r="A1017" s="16">
        <v>43458</v>
      </c>
      <c r="B1017">
        <v>3.8839000000000001</v>
      </c>
    </row>
    <row r="1018" spans="1:2" x14ac:dyDescent="0.35">
      <c r="A1018" s="16">
        <v>43455</v>
      </c>
      <c r="B1018">
        <v>3.8664999999999998</v>
      </c>
    </row>
    <row r="1019" spans="1:2" x14ac:dyDescent="0.35">
      <c r="A1019" s="16">
        <v>43454</v>
      </c>
      <c r="B1019">
        <v>3.8437000000000001</v>
      </c>
    </row>
    <row r="1020" spans="1:2" x14ac:dyDescent="0.35">
      <c r="A1020" s="16">
        <v>43453</v>
      </c>
      <c r="B1020">
        <v>3.8900999999999999</v>
      </c>
    </row>
    <row r="1021" spans="1:2" x14ac:dyDescent="0.35">
      <c r="A1021" s="16">
        <v>43452</v>
      </c>
      <c r="B1021">
        <v>3.8990999999999998</v>
      </c>
    </row>
    <row r="1022" spans="1:2" x14ac:dyDescent="0.35">
      <c r="A1022" s="16">
        <v>43451</v>
      </c>
      <c r="B1022">
        <v>3.9115000000000002</v>
      </c>
    </row>
    <row r="1023" spans="1:2" x14ac:dyDescent="0.35">
      <c r="A1023" s="16">
        <v>43448</v>
      </c>
      <c r="B1023">
        <v>3.9083999999999999</v>
      </c>
    </row>
    <row r="1024" spans="1:2" x14ac:dyDescent="0.35">
      <c r="A1024" s="16">
        <v>43447</v>
      </c>
      <c r="B1024">
        <v>3.8784000000000001</v>
      </c>
    </row>
    <row r="1025" spans="1:2" x14ac:dyDescent="0.35">
      <c r="A1025" s="16">
        <v>43446</v>
      </c>
      <c r="B1025">
        <v>3.8622999999999998</v>
      </c>
    </row>
    <row r="1026" spans="1:2" x14ac:dyDescent="0.35">
      <c r="A1026" s="16">
        <v>43445</v>
      </c>
      <c r="B1026">
        <v>3.9007000000000001</v>
      </c>
    </row>
    <row r="1027" spans="1:2" x14ac:dyDescent="0.35">
      <c r="A1027" s="16">
        <v>43444</v>
      </c>
      <c r="B1027">
        <v>3.9104000000000001</v>
      </c>
    </row>
    <row r="1028" spans="1:2" x14ac:dyDescent="0.35">
      <c r="A1028" s="16">
        <v>43441</v>
      </c>
      <c r="B1028">
        <v>3.8957999999999999</v>
      </c>
    </row>
    <row r="1029" spans="1:2" x14ac:dyDescent="0.35">
      <c r="A1029" s="16">
        <v>43440</v>
      </c>
      <c r="B1029">
        <v>3.9171999999999998</v>
      </c>
    </row>
    <row r="1030" spans="1:2" x14ac:dyDescent="0.35">
      <c r="A1030" s="16">
        <v>43439</v>
      </c>
      <c r="B1030">
        <v>3.8555000000000001</v>
      </c>
    </row>
    <row r="1031" spans="1:2" x14ac:dyDescent="0.35">
      <c r="A1031" s="16">
        <v>43438</v>
      </c>
      <c r="B1031">
        <v>3.8307000000000002</v>
      </c>
    </row>
    <row r="1032" spans="1:2" x14ac:dyDescent="0.35">
      <c r="A1032" s="16">
        <v>43437</v>
      </c>
      <c r="B1032">
        <v>3.8279000000000001</v>
      </c>
    </row>
    <row r="1033" spans="1:2" x14ac:dyDescent="0.35">
      <c r="A1033" s="16">
        <v>43434</v>
      </c>
      <c r="B1033">
        <v>3.8626999999999998</v>
      </c>
    </row>
    <row r="1034" spans="1:2" x14ac:dyDescent="0.35">
      <c r="A1034" s="16">
        <v>43433</v>
      </c>
      <c r="B1034">
        <v>3.8561999999999999</v>
      </c>
    </row>
    <row r="1035" spans="1:2" x14ac:dyDescent="0.35">
      <c r="A1035" s="16">
        <v>43432</v>
      </c>
      <c r="B1035">
        <v>3.8624999999999998</v>
      </c>
    </row>
    <row r="1036" spans="1:2" x14ac:dyDescent="0.35">
      <c r="A1036" s="16">
        <v>43431</v>
      </c>
      <c r="B1036">
        <v>3.8919000000000001</v>
      </c>
    </row>
    <row r="1037" spans="1:2" x14ac:dyDescent="0.35">
      <c r="A1037" s="16">
        <v>43430</v>
      </c>
      <c r="B1037">
        <v>3.8649</v>
      </c>
    </row>
    <row r="1038" spans="1:2" x14ac:dyDescent="0.35">
      <c r="A1038" s="16">
        <v>43427</v>
      </c>
      <c r="B1038">
        <v>3.8075000000000001</v>
      </c>
    </row>
    <row r="1039" spans="1:2" x14ac:dyDescent="0.35">
      <c r="A1039" s="16">
        <v>43426</v>
      </c>
      <c r="B1039">
        <v>3.8096999999999999</v>
      </c>
    </row>
    <row r="1040" spans="1:2" x14ac:dyDescent="0.35">
      <c r="A1040" s="16">
        <v>43425</v>
      </c>
      <c r="B1040">
        <v>3.7866</v>
      </c>
    </row>
    <row r="1041" spans="1:2" x14ac:dyDescent="0.35">
      <c r="A1041" s="16">
        <v>43424</v>
      </c>
      <c r="B1041">
        <v>3.7574000000000001</v>
      </c>
    </row>
    <row r="1042" spans="1:2" x14ac:dyDescent="0.35">
      <c r="A1042" s="16">
        <v>43423</v>
      </c>
      <c r="B1042">
        <v>3.7547000000000001</v>
      </c>
    </row>
    <row r="1043" spans="1:2" x14ac:dyDescent="0.35">
      <c r="A1043" s="16">
        <v>43420</v>
      </c>
      <c r="B1043">
        <v>3.7519</v>
      </c>
    </row>
    <row r="1044" spans="1:2" x14ac:dyDescent="0.35">
      <c r="A1044" s="16">
        <v>43418</v>
      </c>
      <c r="B1044">
        <v>3.7917999999999998</v>
      </c>
    </row>
    <row r="1045" spans="1:2" x14ac:dyDescent="0.35">
      <c r="A1045" s="16">
        <v>43417</v>
      </c>
      <c r="B1045">
        <v>3.7786</v>
      </c>
    </row>
    <row r="1046" spans="1:2" x14ac:dyDescent="0.35">
      <c r="A1046" s="16">
        <v>43416</v>
      </c>
      <c r="B1046">
        <v>3.7471999999999999</v>
      </c>
    </row>
    <row r="1047" spans="1:2" x14ac:dyDescent="0.35">
      <c r="A1047" s="16">
        <v>43413</v>
      </c>
      <c r="B1047">
        <v>3.75</v>
      </c>
    </row>
    <row r="1048" spans="1:2" x14ac:dyDescent="0.35">
      <c r="A1048" s="16">
        <v>43412</v>
      </c>
      <c r="B1048">
        <v>3.7385000000000002</v>
      </c>
    </row>
    <row r="1049" spans="1:2" x14ac:dyDescent="0.35">
      <c r="A1049" s="16">
        <v>43411</v>
      </c>
      <c r="B1049">
        <v>3.7585999999999999</v>
      </c>
    </row>
    <row r="1050" spans="1:2" x14ac:dyDescent="0.35">
      <c r="A1050" s="16">
        <v>43410</v>
      </c>
      <c r="B1050">
        <v>3.7486000000000002</v>
      </c>
    </row>
    <row r="1051" spans="1:2" x14ac:dyDescent="0.35">
      <c r="A1051" s="16">
        <v>43409</v>
      </c>
      <c r="B1051">
        <v>3.7042000000000002</v>
      </c>
    </row>
    <row r="1052" spans="1:2" x14ac:dyDescent="0.35">
      <c r="A1052" s="16">
        <v>43405</v>
      </c>
      <c r="B1052">
        <v>3.6968000000000001</v>
      </c>
    </row>
    <row r="1053" spans="1:2" x14ac:dyDescent="0.35">
      <c r="A1053" s="16">
        <v>43404</v>
      </c>
      <c r="B1053">
        <v>3.7170999999999998</v>
      </c>
    </row>
    <row r="1054" spans="1:2" x14ac:dyDescent="0.35">
      <c r="A1054" s="16">
        <v>43403</v>
      </c>
      <c r="B1054">
        <v>3.7012999999999998</v>
      </c>
    </row>
    <row r="1055" spans="1:2" x14ac:dyDescent="0.35">
      <c r="A1055" s="16">
        <v>43402</v>
      </c>
      <c r="B1055">
        <v>3.6362000000000001</v>
      </c>
    </row>
    <row r="1056" spans="1:2" x14ac:dyDescent="0.35">
      <c r="A1056" s="16">
        <v>43399</v>
      </c>
      <c r="B1056">
        <v>3.6745999999999999</v>
      </c>
    </row>
    <row r="1057" spans="1:2" x14ac:dyDescent="0.35">
      <c r="A1057" s="16">
        <v>43398</v>
      </c>
      <c r="B1057">
        <v>3.7008000000000001</v>
      </c>
    </row>
    <row r="1058" spans="1:2" x14ac:dyDescent="0.35">
      <c r="A1058" s="16">
        <v>43397</v>
      </c>
      <c r="B1058">
        <v>3.7054</v>
      </c>
    </row>
    <row r="1059" spans="1:2" x14ac:dyDescent="0.35">
      <c r="A1059" s="16">
        <v>43396</v>
      </c>
      <c r="B1059">
        <v>3.7073999999999998</v>
      </c>
    </row>
    <row r="1060" spans="1:2" x14ac:dyDescent="0.35">
      <c r="A1060" s="16">
        <v>43395</v>
      </c>
      <c r="B1060">
        <v>3.6897000000000002</v>
      </c>
    </row>
    <row r="1061" spans="1:2" x14ac:dyDescent="0.35">
      <c r="A1061" s="16">
        <v>43392</v>
      </c>
      <c r="B1061">
        <v>3.7073</v>
      </c>
    </row>
    <row r="1062" spans="1:2" x14ac:dyDescent="0.35">
      <c r="A1062" s="16">
        <v>43391</v>
      </c>
      <c r="B1062">
        <v>3.6957</v>
      </c>
    </row>
    <row r="1063" spans="1:2" x14ac:dyDescent="0.35">
      <c r="A1063" s="16">
        <v>43390</v>
      </c>
      <c r="B1063">
        <v>3.7002000000000002</v>
      </c>
    </row>
    <row r="1064" spans="1:2" x14ac:dyDescent="0.35">
      <c r="A1064" s="16">
        <v>43389</v>
      </c>
      <c r="B1064">
        <v>3.7073</v>
      </c>
    </row>
    <row r="1065" spans="1:2" x14ac:dyDescent="0.35">
      <c r="A1065" s="16">
        <v>43388</v>
      </c>
      <c r="B1065">
        <v>3.7326000000000001</v>
      </c>
    </row>
    <row r="1066" spans="1:2" x14ac:dyDescent="0.35">
      <c r="A1066" s="16">
        <v>43384</v>
      </c>
      <c r="B1066">
        <v>3.7454000000000001</v>
      </c>
    </row>
    <row r="1067" spans="1:2" x14ac:dyDescent="0.35">
      <c r="A1067" s="16">
        <v>43383</v>
      </c>
      <c r="B1067">
        <v>3.7504</v>
      </c>
    </row>
    <row r="1068" spans="1:2" x14ac:dyDescent="0.35">
      <c r="A1068" s="16">
        <v>43382</v>
      </c>
      <c r="B1068">
        <v>3.7385000000000002</v>
      </c>
    </row>
    <row r="1069" spans="1:2" x14ac:dyDescent="0.35">
      <c r="A1069" s="16">
        <v>43381</v>
      </c>
      <c r="B1069">
        <v>3.7582</v>
      </c>
    </row>
    <row r="1070" spans="1:2" x14ac:dyDescent="0.35">
      <c r="A1070" s="16">
        <v>43378</v>
      </c>
      <c r="B1070">
        <v>3.8693</v>
      </c>
    </row>
    <row r="1071" spans="1:2" x14ac:dyDescent="0.35">
      <c r="A1071" s="16">
        <v>43377</v>
      </c>
      <c r="B1071">
        <v>3.9041000000000001</v>
      </c>
    </row>
    <row r="1072" spans="1:2" x14ac:dyDescent="0.35">
      <c r="A1072" s="16">
        <v>43376</v>
      </c>
      <c r="B1072">
        <v>3.8536000000000001</v>
      </c>
    </row>
    <row r="1073" spans="1:2" x14ac:dyDescent="0.35">
      <c r="A1073" s="16">
        <v>43375</v>
      </c>
      <c r="B1073">
        <v>3.9499</v>
      </c>
    </row>
    <row r="1074" spans="1:2" x14ac:dyDescent="0.35">
      <c r="A1074" s="16">
        <v>43374</v>
      </c>
      <c r="B1074">
        <v>4.0266999999999999</v>
      </c>
    </row>
    <row r="1075" spans="1:2" x14ac:dyDescent="0.35">
      <c r="A1075" s="16">
        <v>43371</v>
      </c>
      <c r="B1075">
        <v>4.0033000000000003</v>
      </c>
    </row>
    <row r="1076" spans="1:2" x14ac:dyDescent="0.35">
      <c r="A1076" s="16">
        <v>43370</v>
      </c>
      <c r="B1076">
        <v>4.0086000000000004</v>
      </c>
    </row>
    <row r="1077" spans="1:2" x14ac:dyDescent="0.35">
      <c r="A1077" s="16">
        <v>43369</v>
      </c>
      <c r="B1077">
        <v>4.0564</v>
      </c>
    </row>
    <row r="1078" spans="1:2" x14ac:dyDescent="0.35">
      <c r="A1078" s="16">
        <v>43368</v>
      </c>
      <c r="B1078">
        <v>4.1280000000000001</v>
      </c>
    </row>
    <row r="1079" spans="1:2" x14ac:dyDescent="0.35">
      <c r="A1079" s="16">
        <v>43367</v>
      </c>
      <c r="B1079">
        <v>4.0587999999999997</v>
      </c>
    </row>
    <row r="1080" spans="1:2" x14ac:dyDescent="0.35">
      <c r="A1080" s="16">
        <v>43364</v>
      </c>
      <c r="B1080">
        <v>4.0721999999999996</v>
      </c>
    </row>
    <row r="1081" spans="1:2" x14ac:dyDescent="0.35">
      <c r="A1081" s="16">
        <v>43363</v>
      </c>
      <c r="B1081">
        <v>4.0991</v>
      </c>
    </row>
    <row r="1082" spans="1:2" x14ac:dyDescent="0.35">
      <c r="A1082" s="16">
        <v>43362</v>
      </c>
      <c r="B1082">
        <v>4.1345000000000001</v>
      </c>
    </row>
    <row r="1083" spans="1:2" x14ac:dyDescent="0.35">
      <c r="A1083" s="16">
        <v>43361</v>
      </c>
      <c r="B1083">
        <v>4.1363000000000003</v>
      </c>
    </row>
    <row r="1084" spans="1:2" x14ac:dyDescent="0.35">
      <c r="A1084" s="16">
        <v>43360</v>
      </c>
      <c r="B1084">
        <v>4.1688999999999998</v>
      </c>
    </row>
    <row r="1085" spans="1:2" x14ac:dyDescent="0.35">
      <c r="A1085" s="16">
        <v>43357</v>
      </c>
      <c r="B1085">
        <v>4.1872999999999996</v>
      </c>
    </row>
    <row r="1086" spans="1:2" x14ac:dyDescent="0.35">
      <c r="A1086" s="16">
        <v>43356</v>
      </c>
      <c r="B1086">
        <v>4.1631</v>
      </c>
    </row>
    <row r="1087" spans="1:2" x14ac:dyDescent="0.35">
      <c r="A1087" s="16">
        <v>43355</v>
      </c>
      <c r="B1087">
        <v>4.1253000000000002</v>
      </c>
    </row>
    <row r="1088" spans="1:2" x14ac:dyDescent="0.35">
      <c r="A1088" s="16">
        <v>43354</v>
      </c>
      <c r="B1088">
        <v>4.1635</v>
      </c>
    </row>
    <row r="1089" spans="1:2" x14ac:dyDescent="0.35">
      <c r="A1089" s="16">
        <v>43353</v>
      </c>
      <c r="B1089">
        <v>4.1001000000000003</v>
      </c>
    </row>
    <row r="1090" spans="1:2" x14ac:dyDescent="0.35">
      <c r="A1090" s="16">
        <v>43349</v>
      </c>
      <c r="B1090">
        <v>4.1454000000000004</v>
      </c>
    </row>
    <row r="1091" spans="1:2" x14ac:dyDescent="0.35">
      <c r="A1091" s="16">
        <v>43348</v>
      </c>
      <c r="B1091">
        <v>4.1603000000000003</v>
      </c>
    </row>
    <row r="1092" spans="1:2" x14ac:dyDescent="0.35">
      <c r="A1092" s="16">
        <v>43347</v>
      </c>
      <c r="B1092">
        <v>4.1646000000000001</v>
      </c>
    </row>
    <row r="1093" spans="1:2" x14ac:dyDescent="0.35">
      <c r="A1093" s="16">
        <v>43346</v>
      </c>
      <c r="B1093">
        <v>4.1273</v>
      </c>
    </row>
    <row r="1094" spans="1:2" x14ac:dyDescent="0.35">
      <c r="A1094" s="16">
        <v>43343</v>
      </c>
      <c r="B1094">
        <v>4.1346999999999996</v>
      </c>
    </row>
    <row r="1095" spans="1:2" x14ac:dyDescent="0.35">
      <c r="A1095" s="16">
        <v>43342</v>
      </c>
      <c r="B1095">
        <v>4.1806000000000001</v>
      </c>
    </row>
    <row r="1096" spans="1:2" x14ac:dyDescent="0.35">
      <c r="A1096" s="16">
        <v>43341</v>
      </c>
      <c r="B1096">
        <v>4.1346999999999996</v>
      </c>
    </row>
    <row r="1097" spans="1:2" x14ac:dyDescent="0.35">
      <c r="A1097" s="16">
        <v>43340</v>
      </c>
      <c r="B1097">
        <v>4.1185999999999998</v>
      </c>
    </row>
    <row r="1098" spans="1:2" x14ac:dyDescent="0.35">
      <c r="A1098" s="16">
        <v>43339</v>
      </c>
      <c r="B1098">
        <v>4.0681000000000003</v>
      </c>
    </row>
    <row r="1099" spans="1:2" x14ac:dyDescent="0.35">
      <c r="A1099" s="16">
        <v>43336</v>
      </c>
      <c r="B1099">
        <v>4.0848000000000004</v>
      </c>
    </row>
    <row r="1100" spans="1:2" x14ac:dyDescent="0.35">
      <c r="A1100" s="16">
        <v>43335</v>
      </c>
      <c r="B1100">
        <v>4.0720999999999998</v>
      </c>
    </row>
    <row r="1101" spans="1:2" x14ac:dyDescent="0.35">
      <c r="A1101" s="16">
        <v>43334</v>
      </c>
      <c r="B1101">
        <v>4.0734000000000004</v>
      </c>
    </row>
    <row r="1102" spans="1:2" x14ac:dyDescent="0.35">
      <c r="A1102" s="16">
        <v>43333</v>
      </c>
      <c r="B1102">
        <v>3.9866999999999999</v>
      </c>
    </row>
    <row r="1103" spans="1:2" x14ac:dyDescent="0.35">
      <c r="A1103" s="16">
        <v>43332</v>
      </c>
      <c r="B1103">
        <v>3.9424000000000001</v>
      </c>
    </row>
    <row r="1104" spans="1:2" x14ac:dyDescent="0.35">
      <c r="A1104" s="16">
        <v>43329</v>
      </c>
      <c r="B1104">
        <v>3.9382999999999999</v>
      </c>
    </row>
    <row r="1105" spans="1:2" x14ac:dyDescent="0.35">
      <c r="A1105" s="16">
        <v>43328</v>
      </c>
      <c r="B1105">
        <v>3.8803999999999998</v>
      </c>
    </row>
    <row r="1106" spans="1:2" x14ac:dyDescent="0.35">
      <c r="A1106" s="16">
        <v>43327</v>
      </c>
      <c r="B1106">
        <v>3.9127999999999998</v>
      </c>
    </row>
    <row r="1107" spans="1:2" x14ac:dyDescent="0.35">
      <c r="A1107" s="16">
        <v>43326</v>
      </c>
      <c r="B1107">
        <v>3.8805999999999998</v>
      </c>
    </row>
    <row r="1108" spans="1:2" x14ac:dyDescent="0.35">
      <c r="A1108" s="16">
        <v>43325</v>
      </c>
      <c r="B1108">
        <v>3.8982000000000001</v>
      </c>
    </row>
    <row r="1109" spans="1:2" x14ac:dyDescent="0.35">
      <c r="A1109" s="16">
        <v>43322</v>
      </c>
      <c r="B1109">
        <v>3.8466</v>
      </c>
    </row>
    <row r="1110" spans="1:2" x14ac:dyDescent="0.35">
      <c r="A1110" s="16">
        <v>43321</v>
      </c>
      <c r="B1110">
        <v>3.8024</v>
      </c>
    </row>
    <row r="1111" spans="1:2" x14ac:dyDescent="0.35">
      <c r="A1111" s="16">
        <v>43320</v>
      </c>
      <c r="B1111">
        <v>3.7513000000000001</v>
      </c>
    </row>
    <row r="1112" spans="1:2" x14ac:dyDescent="0.35">
      <c r="A1112" s="16">
        <v>43319</v>
      </c>
      <c r="B1112">
        <v>3.7111999999999998</v>
      </c>
    </row>
    <row r="1113" spans="1:2" x14ac:dyDescent="0.35">
      <c r="A1113" s="16">
        <v>43318</v>
      </c>
      <c r="B1113">
        <v>3.7208000000000001</v>
      </c>
    </row>
    <row r="1114" spans="1:2" x14ac:dyDescent="0.35">
      <c r="A1114" s="16">
        <v>43315</v>
      </c>
      <c r="B1114">
        <v>3.7195</v>
      </c>
    </row>
    <row r="1115" spans="1:2" x14ac:dyDescent="0.35">
      <c r="A1115" s="16">
        <v>43314</v>
      </c>
      <c r="B1115">
        <v>3.7639</v>
      </c>
    </row>
    <row r="1116" spans="1:2" x14ac:dyDescent="0.35">
      <c r="A1116" s="16">
        <v>43313</v>
      </c>
      <c r="B1116">
        <v>3.7484999999999999</v>
      </c>
    </row>
    <row r="1117" spans="1:2" x14ac:dyDescent="0.35">
      <c r="A1117" s="16">
        <v>43312</v>
      </c>
      <c r="B1117">
        <v>3.7543000000000002</v>
      </c>
    </row>
    <row r="1118" spans="1:2" x14ac:dyDescent="0.35">
      <c r="A1118" s="16">
        <v>43311</v>
      </c>
      <c r="B1118">
        <v>3.7149000000000001</v>
      </c>
    </row>
    <row r="1119" spans="1:2" x14ac:dyDescent="0.35">
      <c r="A1119" s="16">
        <v>43308</v>
      </c>
      <c r="B1119">
        <v>3.7158000000000002</v>
      </c>
    </row>
    <row r="1120" spans="1:2" x14ac:dyDescent="0.35">
      <c r="A1120" s="16">
        <v>43307</v>
      </c>
      <c r="B1120">
        <v>3.7237</v>
      </c>
    </row>
    <row r="1121" spans="1:2" x14ac:dyDescent="0.35">
      <c r="A1121" s="16">
        <v>43306</v>
      </c>
      <c r="B1121">
        <v>3.7113999999999998</v>
      </c>
    </row>
    <row r="1122" spans="1:2" x14ac:dyDescent="0.35">
      <c r="A1122" s="16">
        <v>43305</v>
      </c>
      <c r="B1122">
        <v>3.7452999999999999</v>
      </c>
    </row>
    <row r="1123" spans="1:2" x14ac:dyDescent="0.35">
      <c r="A1123" s="16">
        <v>43304</v>
      </c>
      <c r="B1123">
        <v>3.7909000000000002</v>
      </c>
    </row>
    <row r="1124" spans="1:2" x14ac:dyDescent="0.35">
      <c r="A1124" s="16">
        <v>43301</v>
      </c>
      <c r="B1124">
        <v>3.7787000000000002</v>
      </c>
    </row>
    <row r="1125" spans="1:2" x14ac:dyDescent="0.35">
      <c r="A1125" s="16">
        <v>43300</v>
      </c>
      <c r="B1125">
        <v>3.8841000000000001</v>
      </c>
    </row>
    <row r="1126" spans="1:2" x14ac:dyDescent="0.35">
      <c r="A1126" s="16">
        <v>43299</v>
      </c>
      <c r="B1126">
        <v>3.8468</v>
      </c>
    </row>
    <row r="1127" spans="1:2" x14ac:dyDescent="0.35">
      <c r="A1127" s="16">
        <v>43298</v>
      </c>
      <c r="B1127">
        <v>3.8664999999999998</v>
      </c>
    </row>
    <row r="1128" spans="1:2" x14ac:dyDescent="0.35">
      <c r="A1128" s="16">
        <v>43297</v>
      </c>
      <c r="B1128">
        <v>3.8573</v>
      </c>
    </row>
    <row r="1129" spans="1:2" x14ac:dyDescent="0.35">
      <c r="A1129" s="16">
        <v>43294</v>
      </c>
      <c r="B1129">
        <v>3.8738999999999999</v>
      </c>
    </row>
    <row r="1130" spans="1:2" x14ac:dyDescent="0.35">
      <c r="A1130" s="16">
        <v>43293</v>
      </c>
      <c r="B1130">
        <v>3.8557999999999999</v>
      </c>
    </row>
    <row r="1131" spans="1:2" x14ac:dyDescent="0.35">
      <c r="A1131" s="16">
        <v>43292</v>
      </c>
      <c r="B1131">
        <v>3.8411</v>
      </c>
    </row>
    <row r="1132" spans="1:2" x14ac:dyDescent="0.35">
      <c r="A1132" s="16">
        <v>43291</v>
      </c>
      <c r="B1132">
        <v>3.8445999999999998</v>
      </c>
    </row>
    <row r="1133" spans="1:2" x14ac:dyDescent="0.35">
      <c r="A1133" s="16">
        <v>43290</v>
      </c>
      <c r="B1133">
        <v>3.8679999999999999</v>
      </c>
    </row>
    <row r="1134" spans="1:2" x14ac:dyDescent="0.35">
      <c r="A1134" s="16">
        <v>43287</v>
      </c>
      <c r="B1134">
        <v>3.9258000000000002</v>
      </c>
    </row>
    <row r="1135" spans="1:2" x14ac:dyDescent="0.35">
      <c r="A1135" s="16">
        <v>43286</v>
      </c>
      <c r="B1135">
        <v>3.9186000000000001</v>
      </c>
    </row>
    <row r="1136" spans="1:2" x14ac:dyDescent="0.35">
      <c r="A1136" s="16">
        <v>43285</v>
      </c>
      <c r="B1136">
        <v>3.9051999999999998</v>
      </c>
    </row>
    <row r="1137" spans="1:2" x14ac:dyDescent="0.35">
      <c r="A1137" s="16">
        <v>43284</v>
      </c>
      <c r="B1137">
        <v>3.8914</v>
      </c>
    </row>
    <row r="1138" spans="1:2" x14ac:dyDescent="0.35">
      <c r="A1138" s="16">
        <v>43283</v>
      </c>
      <c r="B1138">
        <v>3.9049</v>
      </c>
    </row>
    <row r="1139" spans="1:2" x14ac:dyDescent="0.35">
      <c r="A1139" s="16">
        <v>43280</v>
      </c>
      <c r="B1139">
        <v>3.8552</v>
      </c>
    </row>
    <row r="1140" spans="1:2" x14ac:dyDescent="0.35">
      <c r="A1140" s="16">
        <v>43279</v>
      </c>
      <c r="B1140">
        <v>3.8515000000000001</v>
      </c>
    </row>
    <row r="1141" spans="1:2" x14ac:dyDescent="0.35">
      <c r="A1141" s="16">
        <v>43278</v>
      </c>
      <c r="B1141">
        <v>3.8351999999999999</v>
      </c>
    </row>
    <row r="1142" spans="1:2" x14ac:dyDescent="0.35">
      <c r="A1142" s="16">
        <v>43277</v>
      </c>
      <c r="B1142">
        <v>3.7715000000000001</v>
      </c>
    </row>
    <row r="1143" spans="1:2" x14ac:dyDescent="0.35">
      <c r="A1143" s="16">
        <v>43276</v>
      </c>
      <c r="B1143">
        <v>3.7753999999999999</v>
      </c>
    </row>
    <row r="1144" spans="1:2" x14ac:dyDescent="0.35">
      <c r="A1144" s="16">
        <v>43273</v>
      </c>
      <c r="B1144">
        <v>3.7656999999999998</v>
      </c>
    </row>
    <row r="1145" spans="1:2" x14ac:dyDescent="0.35">
      <c r="A1145" s="16">
        <v>43272</v>
      </c>
      <c r="B1145">
        <v>3.7888000000000002</v>
      </c>
    </row>
    <row r="1146" spans="1:2" x14ac:dyDescent="0.35">
      <c r="A1146" s="16">
        <v>43271</v>
      </c>
      <c r="B1146">
        <v>3.7328999999999999</v>
      </c>
    </row>
    <row r="1147" spans="1:2" x14ac:dyDescent="0.35">
      <c r="A1147" s="16">
        <v>43270</v>
      </c>
      <c r="B1147">
        <v>3.7559999999999998</v>
      </c>
    </row>
    <row r="1148" spans="1:2" x14ac:dyDescent="0.35">
      <c r="A1148" s="16">
        <v>43269</v>
      </c>
      <c r="B1148">
        <v>3.7536999999999998</v>
      </c>
    </row>
    <row r="1149" spans="1:2" x14ac:dyDescent="0.35">
      <c r="A1149" s="16">
        <v>43266</v>
      </c>
      <c r="B1149">
        <v>3.7732000000000001</v>
      </c>
    </row>
    <row r="1150" spans="1:2" x14ac:dyDescent="0.35">
      <c r="A1150" s="16">
        <v>43265</v>
      </c>
      <c r="B1150">
        <v>3.7050999999999998</v>
      </c>
    </row>
    <row r="1151" spans="1:2" x14ac:dyDescent="0.35">
      <c r="A1151" s="16">
        <v>43264</v>
      </c>
      <c r="B1151">
        <v>3.7048000000000001</v>
      </c>
    </row>
    <row r="1152" spans="1:2" x14ac:dyDescent="0.35">
      <c r="A1152" s="16">
        <v>43263</v>
      </c>
      <c r="B1152">
        <v>3.7038000000000002</v>
      </c>
    </row>
    <row r="1153" spans="1:2" x14ac:dyDescent="0.35">
      <c r="A1153" s="16">
        <v>43262</v>
      </c>
      <c r="B1153">
        <v>3.6907000000000001</v>
      </c>
    </row>
    <row r="1154" spans="1:2" x14ac:dyDescent="0.35">
      <c r="A1154" s="16">
        <v>43259</v>
      </c>
      <c r="B1154">
        <v>3.7852999999999999</v>
      </c>
    </row>
    <row r="1155" spans="1:2" x14ac:dyDescent="0.35">
      <c r="A1155" s="16">
        <v>43258</v>
      </c>
      <c r="B1155">
        <v>3.8994</v>
      </c>
    </row>
    <row r="1156" spans="1:2" x14ac:dyDescent="0.35">
      <c r="A1156" s="16">
        <v>43257</v>
      </c>
      <c r="B1156">
        <v>3.8187000000000002</v>
      </c>
    </row>
    <row r="1157" spans="1:2" x14ac:dyDescent="0.35">
      <c r="A1157" s="16">
        <v>43256</v>
      </c>
      <c r="B1157">
        <v>3.7746</v>
      </c>
    </row>
    <row r="1158" spans="1:2" x14ac:dyDescent="0.35">
      <c r="A1158" s="16">
        <v>43255</v>
      </c>
      <c r="B1158">
        <v>3.7418</v>
      </c>
    </row>
    <row r="1159" spans="1:2" x14ac:dyDescent="0.35">
      <c r="A1159" s="16">
        <v>43252</v>
      </c>
      <c r="B1159">
        <v>3.7406999999999999</v>
      </c>
    </row>
    <row r="1160" spans="1:2" x14ac:dyDescent="0.35">
      <c r="A1160" s="16">
        <v>43250</v>
      </c>
      <c r="B1160">
        <v>3.7364000000000002</v>
      </c>
    </row>
    <row r="1161" spans="1:2" x14ac:dyDescent="0.35">
      <c r="A1161" s="16">
        <v>43249</v>
      </c>
      <c r="B1161">
        <v>3.7282999999999999</v>
      </c>
    </row>
    <row r="1162" spans="1:2" x14ac:dyDescent="0.35">
      <c r="A1162" s="16">
        <v>43248</v>
      </c>
      <c r="B1162">
        <v>3.7086000000000001</v>
      </c>
    </row>
    <row r="1163" spans="1:2" x14ac:dyDescent="0.35">
      <c r="A1163" s="16">
        <v>43245</v>
      </c>
      <c r="B1163">
        <v>3.6581000000000001</v>
      </c>
    </row>
    <row r="1164" spans="1:2" x14ac:dyDescent="0.35">
      <c r="A1164" s="16">
        <v>43244</v>
      </c>
      <c r="B1164">
        <v>3.6429999999999998</v>
      </c>
    </row>
    <row r="1165" spans="1:2" x14ac:dyDescent="0.35">
      <c r="A1165" s="16">
        <v>43243</v>
      </c>
      <c r="B1165">
        <v>3.6501000000000001</v>
      </c>
    </row>
    <row r="1166" spans="1:2" x14ac:dyDescent="0.35">
      <c r="A1166" s="16">
        <v>43242</v>
      </c>
      <c r="B1166">
        <v>3.6496</v>
      </c>
    </row>
    <row r="1167" spans="1:2" x14ac:dyDescent="0.35">
      <c r="A1167" s="16">
        <v>43241</v>
      </c>
      <c r="B1167">
        <v>3.7065999999999999</v>
      </c>
    </row>
    <row r="1168" spans="1:2" x14ac:dyDescent="0.35">
      <c r="A1168" s="16">
        <v>43238</v>
      </c>
      <c r="B1168">
        <v>3.7496999999999998</v>
      </c>
    </row>
    <row r="1169" spans="1:2" x14ac:dyDescent="0.35">
      <c r="A1169" s="16">
        <v>43237</v>
      </c>
      <c r="B1169">
        <v>3.6867999999999999</v>
      </c>
    </row>
    <row r="1170" spans="1:2" x14ac:dyDescent="0.35">
      <c r="A1170" s="16">
        <v>43236</v>
      </c>
      <c r="B1170">
        <v>3.6797</v>
      </c>
    </row>
    <row r="1171" spans="1:2" x14ac:dyDescent="0.35">
      <c r="A1171" s="16">
        <v>43235</v>
      </c>
      <c r="B1171">
        <v>3.6747000000000001</v>
      </c>
    </row>
    <row r="1172" spans="1:2" x14ac:dyDescent="0.35">
      <c r="A1172" s="16">
        <v>43234</v>
      </c>
      <c r="B1172">
        <v>3.6091000000000002</v>
      </c>
    </row>
    <row r="1173" spans="1:2" x14ac:dyDescent="0.35">
      <c r="A1173" s="16">
        <v>43231</v>
      </c>
      <c r="B1173">
        <v>3.5710000000000002</v>
      </c>
    </row>
    <row r="1174" spans="1:2" x14ac:dyDescent="0.35">
      <c r="A1174" s="16">
        <v>43230</v>
      </c>
      <c r="B1174">
        <v>3.5560999999999998</v>
      </c>
    </row>
    <row r="1175" spans="1:2" x14ac:dyDescent="0.35">
      <c r="A1175" s="16">
        <v>43229</v>
      </c>
      <c r="B1175">
        <v>3.5937000000000001</v>
      </c>
    </row>
    <row r="1176" spans="1:2" x14ac:dyDescent="0.35">
      <c r="A1176" s="16">
        <v>43228</v>
      </c>
      <c r="B1176">
        <v>3.5781999999999998</v>
      </c>
    </row>
    <row r="1177" spans="1:2" x14ac:dyDescent="0.35">
      <c r="A1177" s="16">
        <v>43227</v>
      </c>
      <c r="B1177">
        <v>3.5451999999999999</v>
      </c>
    </row>
    <row r="1178" spans="1:2" x14ac:dyDescent="0.35">
      <c r="A1178" s="16">
        <v>43224</v>
      </c>
      <c r="B1178">
        <v>3.5301999999999998</v>
      </c>
    </row>
    <row r="1179" spans="1:2" x14ac:dyDescent="0.35">
      <c r="A1179" s="16">
        <v>43223</v>
      </c>
      <c r="B1179">
        <v>3.5478000000000001</v>
      </c>
    </row>
    <row r="1180" spans="1:2" x14ac:dyDescent="0.35">
      <c r="A1180" s="16">
        <v>43222</v>
      </c>
      <c r="B1180">
        <v>3.5417999999999998</v>
      </c>
    </row>
    <row r="1181" spans="1:2" x14ac:dyDescent="0.35">
      <c r="A1181" s="16">
        <v>43220</v>
      </c>
      <c r="B1181">
        <v>3.4805000000000001</v>
      </c>
    </row>
    <row r="1182" spans="1:2" x14ac:dyDescent="0.35">
      <c r="A1182" s="16">
        <v>43217</v>
      </c>
      <c r="B1182">
        <v>3.4670000000000001</v>
      </c>
    </row>
    <row r="1183" spans="1:2" x14ac:dyDescent="0.35">
      <c r="A1183" s="16">
        <v>43216</v>
      </c>
      <c r="B1183">
        <v>3.4971000000000001</v>
      </c>
    </row>
    <row r="1184" spans="1:2" x14ac:dyDescent="0.35">
      <c r="A1184" s="16">
        <v>43215</v>
      </c>
      <c r="B1184">
        <v>3.5034000000000001</v>
      </c>
    </row>
    <row r="1185" spans="1:2" x14ac:dyDescent="0.35">
      <c r="A1185" s="16">
        <v>43214</v>
      </c>
      <c r="B1185">
        <v>3.4661</v>
      </c>
    </row>
    <row r="1186" spans="1:2" x14ac:dyDescent="0.35">
      <c r="A1186" s="16">
        <v>43213</v>
      </c>
      <c r="B1186">
        <v>3.4415</v>
      </c>
    </row>
    <row r="1187" spans="1:2" x14ac:dyDescent="0.35">
      <c r="A1187" s="16">
        <v>43210</v>
      </c>
      <c r="B1187">
        <v>3.4096000000000002</v>
      </c>
    </row>
    <row r="1188" spans="1:2" x14ac:dyDescent="0.35">
      <c r="A1188" s="16">
        <v>43209</v>
      </c>
      <c r="B1188">
        <v>3.3971</v>
      </c>
    </row>
    <row r="1189" spans="1:2" x14ac:dyDescent="0.35">
      <c r="A1189" s="16">
        <v>43208</v>
      </c>
      <c r="B1189">
        <v>3.3837999999999999</v>
      </c>
    </row>
    <row r="1190" spans="1:2" x14ac:dyDescent="0.35">
      <c r="A1190" s="16">
        <v>43207</v>
      </c>
      <c r="B1190">
        <v>3.4035000000000002</v>
      </c>
    </row>
    <row r="1191" spans="1:2" x14ac:dyDescent="0.35">
      <c r="A1191" s="16">
        <v>43206</v>
      </c>
      <c r="B1191">
        <v>3.4257</v>
      </c>
    </row>
    <row r="1192" spans="1:2" x14ac:dyDescent="0.35">
      <c r="A1192" s="16">
        <v>43203</v>
      </c>
      <c r="B1192">
        <v>3.4098999999999999</v>
      </c>
    </row>
    <row r="1193" spans="1:2" x14ac:dyDescent="0.35">
      <c r="A1193" s="16">
        <v>43202</v>
      </c>
      <c r="B1193">
        <v>3.3852000000000002</v>
      </c>
    </row>
    <row r="1194" spans="1:2" x14ac:dyDescent="0.35">
      <c r="A1194" s="16">
        <v>43201</v>
      </c>
      <c r="B1194">
        <v>3.4045999999999998</v>
      </c>
    </row>
    <row r="1195" spans="1:2" x14ac:dyDescent="0.35">
      <c r="A1195" s="16">
        <v>43200</v>
      </c>
      <c r="B1195">
        <v>3.4188999999999998</v>
      </c>
    </row>
    <row r="1196" spans="1:2" x14ac:dyDescent="0.35">
      <c r="A1196" s="16">
        <v>43199</v>
      </c>
      <c r="B1196">
        <v>3.3896999999999999</v>
      </c>
    </row>
    <row r="1197" spans="1:2" x14ac:dyDescent="0.35">
      <c r="A1197" s="16">
        <v>43196</v>
      </c>
      <c r="B1197">
        <v>3.3660000000000001</v>
      </c>
    </row>
    <row r="1198" spans="1:2" x14ac:dyDescent="0.35">
      <c r="A1198" s="16">
        <v>43195</v>
      </c>
      <c r="B1198">
        <v>3.319</v>
      </c>
    </row>
    <row r="1199" spans="1:2" x14ac:dyDescent="0.35">
      <c r="A1199" s="16">
        <v>43194</v>
      </c>
      <c r="B1199">
        <v>3.3532000000000002</v>
      </c>
    </row>
    <row r="1200" spans="1:2" x14ac:dyDescent="0.35">
      <c r="A1200" s="16">
        <v>43193</v>
      </c>
      <c r="B1200">
        <v>3.3132999999999999</v>
      </c>
    </row>
    <row r="1201" spans="1:2" x14ac:dyDescent="0.35">
      <c r="A1201" s="16">
        <v>43192</v>
      </c>
      <c r="B1201">
        <v>3.3098000000000001</v>
      </c>
    </row>
    <row r="1202" spans="1:2" x14ac:dyDescent="0.35">
      <c r="A1202" s="16">
        <v>43188</v>
      </c>
      <c r="B1202">
        <v>3.3231999999999999</v>
      </c>
    </row>
    <row r="1203" spans="1:2" x14ac:dyDescent="0.35">
      <c r="A1203" s="16">
        <v>43187</v>
      </c>
      <c r="B1203">
        <v>3.3374000000000001</v>
      </c>
    </row>
    <row r="1204" spans="1:2" x14ac:dyDescent="0.35">
      <c r="A1204" s="16">
        <v>43186</v>
      </c>
      <c r="B1204">
        <v>3.3250000000000002</v>
      </c>
    </row>
    <row r="1205" spans="1:2" x14ac:dyDescent="0.35">
      <c r="A1205" s="16">
        <v>43185</v>
      </c>
      <c r="B1205">
        <v>3.3028</v>
      </c>
    </row>
    <row r="1206" spans="1:2" x14ac:dyDescent="0.35">
      <c r="A1206" s="16">
        <v>43182</v>
      </c>
      <c r="B1206">
        <v>3.3035000000000001</v>
      </c>
    </row>
    <row r="1207" spans="1:2" x14ac:dyDescent="0.35">
      <c r="A1207" s="16">
        <v>43181</v>
      </c>
      <c r="B1207">
        <v>3.3027000000000002</v>
      </c>
    </row>
    <row r="1208" spans="1:2" x14ac:dyDescent="0.35">
      <c r="A1208" s="16">
        <v>43180</v>
      </c>
      <c r="B1208">
        <v>3.2915000000000001</v>
      </c>
    </row>
    <row r="1209" spans="1:2" x14ac:dyDescent="0.35">
      <c r="A1209" s="16">
        <v>43179</v>
      </c>
      <c r="B1209">
        <v>3.2974999999999999</v>
      </c>
    </row>
    <row r="1210" spans="1:2" x14ac:dyDescent="0.35">
      <c r="A1210" s="16">
        <v>43178</v>
      </c>
      <c r="B1210">
        <v>3.2905000000000002</v>
      </c>
    </row>
    <row r="1211" spans="1:2" x14ac:dyDescent="0.35">
      <c r="A1211" s="16">
        <v>43175</v>
      </c>
      <c r="B1211">
        <v>3.2898999999999998</v>
      </c>
    </row>
    <row r="1212" spans="1:2" x14ac:dyDescent="0.35">
      <c r="A1212" s="16">
        <v>43174</v>
      </c>
      <c r="B1212">
        <v>3.2852999999999999</v>
      </c>
    </row>
    <row r="1213" spans="1:2" x14ac:dyDescent="0.35">
      <c r="A1213" s="16">
        <v>43173</v>
      </c>
      <c r="B1213">
        <v>3.2578</v>
      </c>
    </row>
    <row r="1214" spans="1:2" x14ac:dyDescent="0.35">
      <c r="A1214" s="16">
        <v>43172</v>
      </c>
      <c r="B1214">
        <v>3.2486000000000002</v>
      </c>
    </row>
    <row r="1215" spans="1:2" x14ac:dyDescent="0.35">
      <c r="A1215" s="16">
        <v>43171</v>
      </c>
      <c r="B1215">
        <v>3.26</v>
      </c>
    </row>
    <row r="1216" spans="1:2" x14ac:dyDescent="0.35">
      <c r="A1216" s="16">
        <v>43168</v>
      </c>
      <c r="B1216">
        <v>3.2490000000000001</v>
      </c>
    </row>
    <row r="1217" spans="1:2" x14ac:dyDescent="0.35">
      <c r="A1217" s="16">
        <v>43167</v>
      </c>
      <c r="B1217">
        <v>3.2511999999999999</v>
      </c>
    </row>
    <row r="1218" spans="1:2" x14ac:dyDescent="0.35">
      <c r="A1218" s="16">
        <v>43166</v>
      </c>
      <c r="B1218">
        <v>3.2311999999999999</v>
      </c>
    </row>
    <row r="1219" spans="1:2" x14ac:dyDescent="0.35">
      <c r="A1219" s="16">
        <v>43165</v>
      </c>
      <c r="B1219">
        <v>3.2240000000000002</v>
      </c>
    </row>
    <row r="1220" spans="1:2" x14ac:dyDescent="0.35">
      <c r="A1220" s="16">
        <v>43164</v>
      </c>
      <c r="B1220">
        <v>3.2576000000000001</v>
      </c>
    </row>
    <row r="1221" spans="1:2" x14ac:dyDescent="0.35">
      <c r="A1221" s="16">
        <v>43161</v>
      </c>
      <c r="B1221">
        <v>3.2608000000000001</v>
      </c>
    </row>
    <row r="1222" spans="1:2" x14ac:dyDescent="0.35">
      <c r="A1222" s="16">
        <v>43160</v>
      </c>
      <c r="B1222">
        <v>3.2614000000000001</v>
      </c>
    </row>
    <row r="1223" spans="1:2" x14ac:dyDescent="0.35">
      <c r="A1223" s="16">
        <v>43159</v>
      </c>
      <c r="B1223">
        <v>3.2443</v>
      </c>
    </row>
    <row r="1224" spans="1:2" x14ac:dyDescent="0.35">
      <c r="A1224" s="16">
        <v>43158</v>
      </c>
      <c r="B1224">
        <v>3.2376999999999998</v>
      </c>
    </row>
    <row r="1225" spans="1:2" x14ac:dyDescent="0.35">
      <c r="A1225" s="16">
        <v>43157</v>
      </c>
      <c r="B1225">
        <v>3.2345000000000002</v>
      </c>
    </row>
    <row r="1226" spans="1:2" x14ac:dyDescent="0.35">
      <c r="A1226" s="16">
        <v>43154</v>
      </c>
      <c r="B1226">
        <v>3.2410999999999999</v>
      </c>
    </row>
    <row r="1227" spans="1:2" x14ac:dyDescent="0.35">
      <c r="A1227" s="16">
        <v>43153</v>
      </c>
      <c r="B1227">
        <v>3.2591999999999999</v>
      </c>
    </row>
    <row r="1228" spans="1:2" x14ac:dyDescent="0.35">
      <c r="A1228" s="16">
        <v>43152</v>
      </c>
      <c r="B1228">
        <v>3.2549000000000001</v>
      </c>
    </row>
    <row r="1229" spans="1:2" x14ac:dyDescent="0.35">
      <c r="A1229" s="16">
        <v>43151</v>
      </c>
      <c r="B1229">
        <v>3.2501000000000002</v>
      </c>
    </row>
    <row r="1230" spans="1:2" x14ac:dyDescent="0.35">
      <c r="A1230" s="16">
        <v>43150</v>
      </c>
      <c r="B1230">
        <v>3.2341000000000002</v>
      </c>
    </row>
    <row r="1231" spans="1:2" x14ac:dyDescent="0.35">
      <c r="A1231" s="16">
        <v>43147</v>
      </c>
      <c r="B1231">
        <v>3.2374999999999998</v>
      </c>
    </row>
    <row r="1232" spans="1:2" x14ac:dyDescent="0.35">
      <c r="A1232" s="16">
        <v>43146</v>
      </c>
      <c r="B1232">
        <v>3.2202000000000002</v>
      </c>
    </row>
    <row r="1233" spans="1:2" x14ac:dyDescent="0.35">
      <c r="A1233" s="16">
        <v>43145</v>
      </c>
      <c r="B1233">
        <v>3.2530999999999999</v>
      </c>
    </row>
    <row r="1234" spans="1:2" x14ac:dyDescent="0.35">
      <c r="A1234" s="16">
        <v>43140</v>
      </c>
      <c r="B1234">
        <v>3.2814999999999999</v>
      </c>
    </row>
    <row r="1235" spans="1:2" x14ac:dyDescent="0.35">
      <c r="A1235" s="16">
        <v>43139</v>
      </c>
      <c r="B1235">
        <v>3.2686000000000002</v>
      </c>
    </row>
    <row r="1236" spans="1:2" x14ac:dyDescent="0.35">
      <c r="A1236" s="16">
        <v>43138</v>
      </c>
      <c r="B1236">
        <v>3.2461000000000002</v>
      </c>
    </row>
    <row r="1237" spans="1:2" x14ac:dyDescent="0.35">
      <c r="A1237" s="16">
        <v>43137</v>
      </c>
      <c r="B1237">
        <v>3.2606999999999999</v>
      </c>
    </row>
    <row r="1238" spans="1:2" x14ac:dyDescent="0.35">
      <c r="A1238" s="16">
        <v>43136</v>
      </c>
      <c r="B1238">
        <v>3.2349000000000001</v>
      </c>
    </row>
    <row r="1239" spans="1:2" x14ac:dyDescent="0.35">
      <c r="A1239" s="16">
        <v>43133</v>
      </c>
      <c r="B1239">
        <v>3.2054</v>
      </c>
    </row>
    <row r="1240" spans="1:2" x14ac:dyDescent="0.35">
      <c r="A1240" s="16">
        <v>43132</v>
      </c>
      <c r="B1240">
        <v>3.1724000000000001</v>
      </c>
    </row>
    <row r="1241" spans="1:2" x14ac:dyDescent="0.35">
      <c r="A1241" s="16">
        <v>43131</v>
      </c>
      <c r="B1241">
        <v>3.1617999999999999</v>
      </c>
    </row>
    <row r="1242" spans="1:2" x14ac:dyDescent="0.35">
      <c r="A1242" s="16">
        <v>43130</v>
      </c>
      <c r="B1242">
        <v>3.1655000000000002</v>
      </c>
    </row>
    <row r="1243" spans="1:2" x14ac:dyDescent="0.35">
      <c r="A1243" s="16">
        <v>43129</v>
      </c>
      <c r="B1243">
        <v>3.1648000000000001</v>
      </c>
    </row>
    <row r="1244" spans="1:2" x14ac:dyDescent="0.35">
      <c r="A1244" s="16">
        <v>43126</v>
      </c>
      <c r="B1244">
        <v>3.1444000000000001</v>
      </c>
    </row>
    <row r="1245" spans="1:2" x14ac:dyDescent="0.35">
      <c r="A1245" s="16">
        <v>43125</v>
      </c>
      <c r="B1245">
        <v>3.1379999999999999</v>
      </c>
    </row>
    <row r="1246" spans="1:2" x14ac:dyDescent="0.35">
      <c r="A1246" s="16">
        <v>43124</v>
      </c>
      <c r="B1246">
        <v>3.1964000000000001</v>
      </c>
    </row>
    <row r="1247" spans="1:2" x14ac:dyDescent="0.35">
      <c r="A1247" s="16">
        <v>43123</v>
      </c>
      <c r="B1247">
        <v>3.2242999999999999</v>
      </c>
    </row>
    <row r="1248" spans="1:2" x14ac:dyDescent="0.35">
      <c r="A1248" s="16">
        <v>43122</v>
      </c>
      <c r="B1248">
        <v>3.1928000000000001</v>
      </c>
    </row>
    <row r="1249" spans="1:2" x14ac:dyDescent="0.35">
      <c r="A1249" s="16">
        <v>43119</v>
      </c>
      <c r="B1249">
        <v>3.2081</v>
      </c>
    </row>
    <row r="1250" spans="1:2" x14ac:dyDescent="0.35">
      <c r="A1250" s="16">
        <v>43118</v>
      </c>
      <c r="B1250">
        <v>3.2122999999999999</v>
      </c>
    </row>
    <row r="1251" spans="1:2" x14ac:dyDescent="0.35">
      <c r="A1251" s="16">
        <v>43117</v>
      </c>
      <c r="B1251">
        <v>3.2317999999999998</v>
      </c>
    </row>
    <row r="1252" spans="1:2" x14ac:dyDescent="0.35">
      <c r="A1252" s="16">
        <v>43116</v>
      </c>
      <c r="B1252">
        <v>3.2212999999999998</v>
      </c>
    </row>
    <row r="1253" spans="1:2" x14ac:dyDescent="0.35">
      <c r="A1253" s="16">
        <v>43115</v>
      </c>
      <c r="B1253">
        <v>3.1957</v>
      </c>
    </row>
    <row r="1254" spans="1:2" x14ac:dyDescent="0.35">
      <c r="A1254" s="16">
        <v>43112</v>
      </c>
      <c r="B1254">
        <v>3.2191999999999998</v>
      </c>
    </row>
    <row r="1255" spans="1:2" x14ac:dyDescent="0.35">
      <c r="A1255" s="16">
        <v>43111</v>
      </c>
      <c r="B1255">
        <v>3.2294999999999998</v>
      </c>
    </row>
    <row r="1256" spans="1:2" x14ac:dyDescent="0.35">
      <c r="A1256" s="16">
        <v>43110</v>
      </c>
      <c r="B1256">
        <v>3.2461000000000002</v>
      </c>
    </row>
    <row r="1257" spans="1:2" x14ac:dyDescent="0.35">
      <c r="A1257" s="16">
        <v>43109</v>
      </c>
      <c r="B1257">
        <v>3.2391000000000001</v>
      </c>
    </row>
    <row r="1258" spans="1:2" x14ac:dyDescent="0.35">
      <c r="A1258" s="16">
        <v>43108</v>
      </c>
      <c r="B1258">
        <v>3.2351000000000001</v>
      </c>
    </row>
    <row r="1259" spans="1:2" x14ac:dyDescent="0.35">
      <c r="A1259" s="16">
        <v>43105</v>
      </c>
      <c r="B1259">
        <v>3.2403</v>
      </c>
    </row>
    <row r="1260" spans="1:2" x14ac:dyDescent="0.35">
      <c r="A1260" s="16">
        <v>43104</v>
      </c>
      <c r="B1260">
        <v>3.2311999999999999</v>
      </c>
    </row>
    <row r="1261" spans="1:2" x14ac:dyDescent="0.35">
      <c r="A1261" s="16">
        <v>43103</v>
      </c>
      <c r="B1261">
        <v>3.2528999999999999</v>
      </c>
    </row>
    <row r="1262" spans="1:2" x14ac:dyDescent="0.35">
      <c r="A1262" s="16">
        <v>43102</v>
      </c>
      <c r="B1262">
        <v>3.2690999999999999</v>
      </c>
    </row>
    <row r="1263" spans="1:2" x14ac:dyDescent="0.35">
      <c r="A1263" s="16">
        <v>43098</v>
      </c>
      <c r="B1263">
        <v>3.3073999999999999</v>
      </c>
    </row>
    <row r="1264" spans="1:2" x14ac:dyDescent="0.35">
      <c r="A1264" s="16">
        <v>43097</v>
      </c>
      <c r="B1264">
        <v>3.3073999999999999</v>
      </c>
    </row>
    <row r="1265" spans="1:2" x14ac:dyDescent="0.35">
      <c r="A1265" s="16">
        <v>43096</v>
      </c>
      <c r="B1265">
        <v>3.3024</v>
      </c>
    </row>
    <row r="1266" spans="1:2" x14ac:dyDescent="0.35">
      <c r="A1266" s="16">
        <v>43095</v>
      </c>
      <c r="B1266">
        <v>3.3193999999999999</v>
      </c>
    </row>
    <row r="1267" spans="1:2" x14ac:dyDescent="0.35">
      <c r="A1267" s="16">
        <v>43091</v>
      </c>
      <c r="B1267">
        <v>3.3203</v>
      </c>
    </row>
    <row r="1268" spans="1:2" x14ac:dyDescent="0.35">
      <c r="A1268" s="16">
        <v>43090</v>
      </c>
      <c r="B1268">
        <v>3.3039000000000001</v>
      </c>
    </row>
    <row r="1269" spans="1:2" x14ac:dyDescent="0.35">
      <c r="A1269" s="16">
        <v>43089</v>
      </c>
      <c r="B1269">
        <v>3.2902999999999998</v>
      </c>
    </row>
    <row r="1270" spans="1:2" x14ac:dyDescent="0.35">
      <c r="A1270" s="16">
        <v>43088</v>
      </c>
      <c r="B1270">
        <v>3.2877000000000001</v>
      </c>
    </row>
    <row r="1271" spans="1:2" x14ac:dyDescent="0.35">
      <c r="A1271" s="16">
        <v>43087</v>
      </c>
      <c r="B1271">
        <v>3.2875000000000001</v>
      </c>
    </row>
    <row r="1272" spans="1:2" x14ac:dyDescent="0.35">
      <c r="A1272" s="16">
        <v>43084</v>
      </c>
      <c r="B1272">
        <v>3.3176000000000001</v>
      </c>
    </row>
    <row r="1273" spans="1:2" x14ac:dyDescent="0.35">
      <c r="A1273" s="16">
        <v>43083</v>
      </c>
      <c r="B1273">
        <v>3.3325999999999998</v>
      </c>
    </row>
    <row r="1274" spans="1:2" x14ac:dyDescent="0.35">
      <c r="A1274" s="16">
        <v>43082</v>
      </c>
      <c r="B1274">
        <v>3.3029999999999999</v>
      </c>
    </row>
    <row r="1275" spans="1:2" x14ac:dyDescent="0.35">
      <c r="A1275" s="16">
        <v>43081</v>
      </c>
      <c r="B1275">
        <v>3.3142999999999998</v>
      </c>
    </row>
    <row r="1276" spans="1:2" x14ac:dyDescent="0.35">
      <c r="A1276" s="16">
        <v>43080</v>
      </c>
      <c r="B1276">
        <v>3.2839</v>
      </c>
    </row>
    <row r="1277" spans="1:2" x14ac:dyDescent="0.35">
      <c r="A1277" s="16">
        <v>43077</v>
      </c>
      <c r="B1277">
        <v>3.2805</v>
      </c>
    </row>
    <row r="1278" spans="1:2" x14ac:dyDescent="0.35">
      <c r="A1278" s="16">
        <v>43076</v>
      </c>
      <c r="B1278">
        <v>3.2886000000000002</v>
      </c>
    </row>
    <row r="1279" spans="1:2" x14ac:dyDescent="0.35">
      <c r="A1279" s="16">
        <v>43075</v>
      </c>
      <c r="B1279">
        <v>3.2347999999999999</v>
      </c>
    </row>
    <row r="1280" spans="1:2" x14ac:dyDescent="0.35">
      <c r="A1280" s="16">
        <v>43074</v>
      </c>
      <c r="B1280">
        <v>3.2315999999999998</v>
      </c>
    </row>
    <row r="1281" spans="1:2" x14ac:dyDescent="0.35">
      <c r="A1281" s="16">
        <v>43073</v>
      </c>
      <c r="B1281">
        <v>3.25</v>
      </c>
    </row>
    <row r="1282" spans="1:2" x14ac:dyDescent="0.35">
      <c r="A1282" s="16">
        <v>43070</v>
      </c>
      <c r="B1282">
        <v>3.2629999999999999</v>
      </c>
    </row>
    <row r="1283" spans="1:2" x14ac:dyDescent="0.35">
      <c r="A1283" s="16">
        <v>43069</v>
      </c>
      <c r="B1283">
        <v>3.2610000000000001</v>
      </c>
    </row>
    <row r="1284" spans="1:2" x14ac:dyDescent="0.35">
      <c r="A1284" s="16">
        <v>43068</v>
      </c>
      <c r="B1284">
        <v>3.2130000000000001</v>
      </c>
    </row>
    <row r="1285" spans="1:2" x14ac:dyDescent="0.35">
      <c r="A1285" s="16">
        <v>43067</v>
      </c>
      <c r="B1285">
        <v>3.2225999999999999</v>
      </c>
    </row>
    <row r="1286" spans="1:2" x14ac:dyDescent="0.35">
      <c r="A1286" s="16">
        <v>43066</v>
      </c>
      <c r="B1286">
        <v>3.2212000000000001</v>
      </c>
    </row>
    <row r="1287" spans="1:2" x14ac:dyDescent="0.35">
      <c r="A1287" s="16">
        <v>43063</v>
      </c>
      <c r="B1287">
        <v>3.2294</v>
      </c>
    </row>
    <row r="1288" spans="1:2" x14ac:dyDescent="0.35">
      <c r="A1288" s="16">
        <v>43062</v>
      </c>
      <c r="B1288">
        <v>3.2364999999999999</v>
      </c>
    </row>
    <row r="1289" spans="1:2" x14ac:dyDescent="0.35">
      <c r="A1289" s="16">
        <v>43061</v>
      </c>
      <c r="B1289">
        <v>3.2555000000000001</v>
      </c>
    </row>
    <row r="1290" spans="1:2" x14ac:dyDescent="0.35">
      <c r="A1290" s="16">
        <v>43060</v>
      </c>
      <c r="B1290">
        <v>3.2585000000000002</v>
      </c>
    </row>
    <row r="1291" spans="1:2" x14ac:dyDescent="0.35">
      <c r="A1291" s="16">
        <v>43059</v>
      </c>
      <c r="B1291">
        <v>3.2608000000000001</v>
      </c>
    </row>
    <row r="1292" spans="1:2" x14ac:dyDescent="0.35">
      <c r="A1292" s="16">
        <v>43056</v>
      </c>
      <c r="B1292">
        <v>3.2782</v>
      </c>
    </row>
    <row r="1293" spans="1:2" x14ac:dyDescent="0.35">
      <c r="A1293" s="16">
        <v>43055</v>
      </c>
      <c r="B1293">
        <v>3.2801999999999998</v>
      </c>
    </row>
    <row r="1294" spans="1:2" x14ac:dyDescent="0.35">
      <c r="A1294" s="16">
        <v>43053</v>
      </c>
      <c r="B1294">
        <v>3.2827999999999999</v>
      </c>
    </row>
    <row r="1295" spans="1:2" x14ac:dyDescent="0.35">
      <c r="A1295" s="16">
        <v>43052</v>
      </c>
      <c r="B1295">
        <v>3.2867000000000002</v>
      </c>
    </row>
    <row r="1296" spans="1:2" x14ac:dyDescent="0.35">
      <c r="A1296" s="16">
        <v>43049</v>
      </c>
      <c r="B1296">
        <v>3.2654999999999998</v>
      </c>
    </row>
    <row r="1297" spans="1:2" x14ac:dyDescent="0.35">
      <c r="A1297" s="16">
        <v>43048</v>
      </c>
      <c r="B1297">
        <v>3.2509000000000001</v>
      </c>
    </row>
    <row r="1298" spans="1:2" x14ac:dyDescent="0.35">
      <c r="A1298" s="16">
        <v>43047</v>
      </c>
      <c r="B1298">
        <v>3.2503000000000002</v>
      </c>
    </row>
    <row r="1299" spans="1:2" x14ac:dyDescent="0.35">
      <c r="A1299" s="16">
        <v>43046</v>
      </c>
      <c r="B1299">
        <v>3.2726999999999999</v>
      </c>
    </row>
    <row r="1300" spans="1:2" x14ac:dyDescent="0.35">
      <c r="A1300" s="16">
        <v>43045</v>
      </c>
      <c r="B1300">
        <v>3.2845</v>
      </c>
    </row>
    <row r="1301" spans="1:2" x14ac:dyDescent="0.35">
      <c r="A1301" s="16">
        <v>43042</v>
      </c>
      <c r="B1301">
        <v>3.2913999999999999</v>
      </c>
    </row>
    <row r="1302" spans="1:2" x14ac:dyDescent="0.35">
      <c r="A1302" s="16">
        <v>43040</v>
      </c>
      <c r="B1302">
        <v>3.2730000000000001</v>
      </c>
    </row>
    <row r="1303" spans="1:2" x14ac:dyDescent="0.35">
      <c r="A1303" s="16">
        <v>43039</v>
      </c>
      <c r="B1303">
        <v>3.2763</v>
      </c>
    </row>
    <row r="1304" spans="1:2" x14ac:dyDescent="0.35">
      <c r="A1304" s="16">
        <v>43038</v>
      </c>
      <c r="B1304">
        <v>3.2541000000000002</v>
      </c>
    </row>
    <row r="1305" spans="1:2" x14ac:dyDescent="0.35">
      <c r="A1305" s="16">
        <v>43035</v>
      </c>
      <c r="B1305">
        <v>3.2795000000000001</v>
      </c>
    </row>
    <row r="1306" spans="1:2" x14ac:dyDescent="0.35">
      <c r="A1306" s="16">
        <v>43034</v>
      </c>
      <c r="B1306">
        <v>3.2437999999999998</v>
      </c>
    </row>
    <row r="1307" spans="1:2" x14ac:dyDescent="0.35">
      <c r="A1307" s="16">
        <v>43033</v>
      </c>
      <c r="B1307">
        <v>3.2381000000000002</v>
      </c>
    </row>
    <row r="1308" spans="1:2" x14ac:dyDescent="0.35">
      <c r="A1308" s="16">
        <v>43032</v>
      </c>
      <c r="B1308">
        <v>3.2464</v>
      </c>
    </row>
    <row r="1309" spans="1:2" x14ac:dyDescent="0.35">
      <c r="A1309" s="16">
        <v>43031</v>
      </c>
      <c r="B1309">
        <v>3.1997</v>
      </c>
    </row>
    <row r="1310" spans="1:2" x14ac:dyDescent="0.35">
      <c r="A1310" s="16">
        <v>43028</v>
      </c>
      <c r="B1310">
        <v>3.1827000000000001</v>
      </c>
    </row>
    <row r="1311" spans="1:2" x14ac:dyDescent="0.35">
      <c r="A1311" s="16">
        <v>43027</v>
      </c>
      <c r="B1311">
        <v>3.1726999999999999</v>
      </c>
    </row>
    <row r="1312" spans="1:2" x14ac:dyDescent="0.35">
      <c r="A1312" s="16">
        <v>43026</v>
      </c>
      <c r="B1312">
        <v>3.1667000000000001</v>
      </c>
    </row>
    <row r="1313" spans="1:2" x14ac:dyDescent="0.35">
      <c r="A1313" s="16">
        <v>43025</v>
      </c>
      <c r="B1313">
        <v>3.1762999999999999</v>
      </c>
    </row>
    <row r="1314" spans="1:2" x14ac:dyDescent="0.35">
      <c r="A1314" s="16">
        <v>43024</v>
      </c>
      <c r="B1314">
        <v>3.1600999999999999</v>
      </c>
    </row>
    <row r="1315" spans="1:2" x14ac:dyDescent="0.35">
      <c r="A1315" s="16">
        <v>43021</v>
      </c>
      <c r="B1315">
        <v>3.1566999999999998</v>
      </c>
    </row>
    <row r="1316" spans="1:2" x14ac:dyDescent="0.35">
      <c r="A1316" s="16">
        <v>43019</v>
      </c>
      <c r="B1316">
        <v>3.1633</v>
      </c>
    </row>
    <row r="1317" spans="1:2" x14ac:dyDescent="0.35">
      <c r="A1317" s="16">
        <v>43018</v>
      </c>
      <c r="B1317">
        <v>3.1682000000000001</v>
      </c>
    </row>
    <row r="1318" spans="1:2" x14ac:dyDescent="0.35">
      <c r="A1318" s="16">
        <v>43017</v>
      </c>
      <c r="B1318">
        <v>3.1764000000000001</v>
      </c>
    </row>
    <row r="1319" spans="1:2" x14ac:dyDescent="0.35">
      <c r="A1319" s="16">
        <v>43014</v>
      </c>
      <c r="B1319">
        <v>3.1642000000000001</v>
      </c>
    </row>
    <row r="1320" spans="1:2" x14ac:dyDescent="0.35">
      <c r="A1320" s="16">
        <v>43013</v>
      </c>
      <c r="B1320">
        <v>3.1341000000000001</v>
      </c>
    </row>
    <row r="1321" spans="1:2" x14ac:dyDescent="0.35">
      <c r="A1321" s="16">
        <v>43012</v>
      </c>
      <c r="B1321">
        <v>3.1309</v>
      </c>
    </row>
    <row r="1322" spans="1:2" x14ac:dyDescent="0.35">
      <c r="A1322" s="16">
        <v>43011</v>
      </c>
      <c r="B1322">
        <v>3.1496</v>
      </c>
    </row>
    <row r="1323" spans="1:2" x14ac:dyDescent="0.35">
      <c r="A1323" s="16">
        <v>43010</v>
      </c>
      <c r="B1323">
        <v>3.1636000000000002</v>
      </c>
    </row>
    <row r="1324" spans="1:2" x14ac:dyDescent="0.35">
      <c r="A1324" s="16">
        <v>43007</v>
      </c>
      <c r="B1324">
        <v>3.1674000000000002</v>
      </c>
    </row>
    <row r="1325" spans="1:2" x14ac:dyDescent="0.35">
      <c r="A1325" s="16">
        <v>43006</v>
      </c>
      <c r="B1325">
        <v>3.1865000000000001</v>
      </c>
    </row>
    <row r="1326" spans="1:2" x14ac:dyDescent="0.35">
      <c r="A1326" s="16">
        <v>43005</v>
      </c>
      <c r="B1326">
        <v>3.1926000000000001</v>
      </c>
    </row>
    <row r="1327" spans="1:2" x14ac:dyDescent="0.35">
      <c r="A1327" s="16">
        <v>43004</v>
      </c>
      <c r="B1327">
        <v>3.1667999999999998</v>
      </c>
    </row>
    <row r="1328" spans="1:2" x14ac:dyDescent="0.35">
      <c r="A1328" s="16">
        <v>43003</v>
      </c>
      <c r="B1328">
        <v>3.1406000000000001</v>
      </c>
    </row>
    <row r="1329" spans="1:2" x14ac:dyDescent="0.35">
      <c r="A1329" s="16">
        <v>43000</v>
      </c>
      <c r="B1329">
        <v>3.1278999999999999</v>
      </c>
    </row>
    <row r="1330" spans="1:2" x14ac:dyDescent="0.35">
      <c r="A1330" s="16">
        <v>42999</v>
      </c>
      <c r="B1330">
        <v>3.1341000000000001</v>
      </c>
    </row>
    <row r="1331" spans="1:2" x14ac:dyDescent="0.35">
      <c r="A1331" s="16">
        <v>42998</v>
      </c>
      <c r="B1331">
        <v>3.1274999999999999</v>
      </c>
    </row>
    <row r="1332" spans="1:2" x14ac:dyDescent="0.35">
      <c r="A1332" s="16">
        <v>42997</v>
      </c>
      <c r="B1332">
        <v>3.1316999999999999</v>
      </c>
    </row>
    <row r="1333" spans="1:2" x14ac:dyDescent="0.35">
      <c r="A1333" s="16">
        <v>42996</v>
      </c>
      <c r="B1333">
        <v>3.1233</v>
      </c>
    </row>
    <row r="1334" spans="1:2" x14ac:dyDescent="0.35">
      <c r="A1334" s="16">
        <v>42993</v>
      </c>
      <c r="B1334">
        <v>3.1248999999999998</v>
      </c>
    </row>
    <row r="1335" spans="1:2" x14ac:dyDescent="0.35">
      <c r="A1335" s="16">
        <v>42992</v>
      </c>
      <c r="B1335">
        <v>3.1347999999999998</v>
      </c>
    </row>
    <row r="1336" spans="1:2" x14ac:dyDescent="0.35">
      <c r="A1336" s="16">
        <v>42991</v>
      </c>
      <c r="B1336">
        <v>3.1337000000000002</v>
      </c>
    </row>
    <row r="1337" spans="1:2" x14ac:dyDescent="0.35">
      <c r="A1337" s="16">
        <v>42990</v>
      </c>
      <c r="B1337">
        <v>3.1137999999999999</v>
      </c>
    </row>
    <row r="1338" spans="1:2" x14ac:dyDescent="0.35">
      <c r="A1338" s="16">
        <v>42989</v>
      </c>
      <c r="B1338">
        <v>3.0846</v>
      </c>
    </row>
    <row r="1339" spans="1:2" x14ac:dyDescent="0.35">
      <c r="A1339" s="16">
        <v>42986</v>
      </c>
      <c r="B1339">
        <v>3.0901999999999998</v>
      </c>
    </row>
    <row r="1340" spans="1:2" x14ac:dyDescent="0.35">
      <c r="A1340" s="16">
        <v>42984</v>
      </c>
      <c r="B1340">
        <v>3.1126999999999998</v>
      </c>
    </row>
    <row r="1341" spans="1:2" x14ac:dyDescent="0.35">
      <c r="A1341" s="16">
        <v>42983</v>
      </c>
      <c r="B1341">
        <v>3.1196999999999999</v>
      </c>
    </row>
    <row r="1342" spans="1:2" x14ac:dyDescent="0.35">
      <c r="A1342" s="16">
        <v>42982</v>
      </c>
      <c r="B1342">
        <v>3.1383000000000001</v>
      </c>
    </row>
    <row r="1343" spans="1:2" x14ac:dyDescent="0.35">
      <c r="A1343" s="16">
        <v>42979</v>
      </c>
      <c r="B1343">
        <v>3.1326999999999998</v>
      </c>
    </row>
    <row r="1344" spans="1:2" x14ac:dyDescent="0.35">
      <c r="A1344" s="16">
        <v>42978</v>
      </c>
      <c r="B1344">
        <v>3.1465000000000001</v>
      </c>
    </row>
    <row r="1345" spans="1:2" x14ac:dyDescent="0.35">
      <c r="A1345" s="16">
        <v>42977</v>
      </c>
      <c r="B1345">
        <v>3.1631999999999998</v>
      </c>
    </row>
    <row r="1346" spans="1:2" x14ac:dyDescent="0.35">
      <c r="A1346" s="16">
        <v>42976</v>
      </c>
      <c r="B1346">
        <v>3.1688999999999998</v>
      </c>
    </row>
    <row r="1347" spans="1:2" x14ac:dyDescent="0.35">
      <c r="A1347" s="16">
        <v>42975</v>
      </c>
      <c r="B1347">
        <v>3.1556999999999999</v>
      </c>
    </row>
    <row r="1348" spans="1:2" x14ac:dyDescent="0.35">
      <c r="A1348" s="16">
        <v>42972</v>
      </c>
      <c r="B1348">
        <v>3.1456</v>
      </c>
    </row>
    <row r="1349" spans="1:2" x14ac:dyDescent="0.35">
      <c r="A1349" s="16">
        <v>42971</v>
      </c>
      <c r="B1349">
        <v>3.1398000000000001</v>
      </c>
    </row>
    <row r="1350" spans="1:2" x14ac:dyDescent="0.35">
      <c r="A1350" s="16">
        <v>42970</v>
      </c>
      <c r="B1350">
        <v>3.1562999999999999</v>
      </c>
    </row>
    <row r="1351" spans="1:2" x14ac:dyDescent="0.35">
      <c r="A1351" s="16">
        <v>42969</v>
      </c>
      <c r="B1351">
        <v>3.1533000000000002</v>
      </c>
    </row>
    <row r="1352" spans="1:2" x14ac:dyDescent="0.35">
      <c r="A1352" s="16">
        <v>42968</v>
      </c>
      <c r="B1352">
        <v>3.1436999999999999</v>
      </c>
    </row>
    <row r="1353" spans="1:2" x14ac:dyDescent="0.35">
      <c r="A1353" s="16">
        <v>42965</v>
      </c>
      <c r="B1353">
        <v>3.1648000000000001</v>
      </c>
    </row>
    <row r="1354" spans="1:2" x14ac:dyDescent="0.35">
      <c r="A1354" s="16">
        <v>42964</v>
      </c>
      <c r="B1354">
        <v>3.1597</v>
      </c>
    </row>
    <row r="1355" spans="1:2" x14ac:dyDescent="0.35">
      <c r="A1355" s="16">
        <v>42963</v>
      </c>
      <c r="B1355">
        <v>3.1663999999999999</v>
      </c>
    </row>
    <row r="1356" spans="1:2" x14ac:dyDescent="0.35">
      <c r="A1356" s="16">
        <v>42962</v>
      </c>
      <c r="B1356">
        <v>3.1970000000000001</v>
      </c>
    </row>
    <row r="1357" spans="1:2" x14ac:dyDescent="0.35">
      <c r="A1357" s="16">
        <v>42961</v>
      </c>
      <c r="B1357">
        <v>3.1882000000000001</v>
      </c>
    </row>
    <row r="1358" spans="1:2" x14ac:dyDescent="0.35">
      <c r="A1358" s="16">
        <v>42958</v>
      </c>
      <c r="B1358">
        <v>3.1688999999999998</v>
      </c>
    </row>
    <row r="1359" spans="1:2" x14ac:dyDescent="0.35">
      <c r="A1359" s="16">
        <v>42957</v>
      </c>
      <c r="B1359">
        <v>3.1537000000000002</v>
      </c>
    </row>
    <row r="1360" spans="1:2" x14ac:dyDescent="0.35">
      <c r="A1360" s="16">
        <v>42956</v>
      </c>
      <c r="B1360">
        <v>3.1457999999999999</v>
      </c>
    </row>
    <row r="1361" spans="1:2" x14ac:dyDescent="0.35">
      <c r="A1361" s="16">
        <v>42955</v>
      </c>
      <c r="B1361">
        <v>3.1314000000000002</v>
      </c>
    </row>
    <row r="1362" spans="1:2" x14ac:dyDescent="0.35">
      <c r="A1362" s="16">
        <v>42954</v>
      </c>
      <c r="B1362">
        <v>3.1261000000000001</v>
      </c>
    </row>
    <row r="1363" spans="1:2" x14ac:dyDescent="0.35">
      <c r="A1363" s="16">
        <v>42951</v>
      </c>
      <c r="B1363">
        <v>3.1217999999999999</v>
      </c>
    </row>
    <row r="1364" spans="1:2" x14ac:dyDescent="0.35">
      <c r="A1364" s="16">
        <v>42950</v>
      </c>
      <c r="B1364">
        <v>3.1187999999999998</v>
      </c>
    </row>
    <row r="1365" spans="1:2" x14ac:dyDescent="0.35">
      <c r="A1365" s="16">
        <v>42949</v>
      </c>
      <c r="B1365">
        <v>3.1261999999999999</v>
      </c>
    </row>
    <row r="1366" spans="1:2" x14ac:dyDescent="0.35">
      <c r="A1366" s="16">
        <v>42948</v>
      </c>
      <c r="B1366">
        <v>3.1154000000000002</v>
      </c>
    </row>
    <row r="1367" spans="1:2" x14ac:dyDescent="0.35">
      <c r="A1367" s="16">
        <v>42947</v>
      </c>
      <c r="B1367">
        <v>3.1301000000000001</v>
      </c>
    </row>
    <row r="1368" spans="1:2" x14ac:dyDescent="0.35">
      <c r="A1368" s="16">
        <v>42944</v>
      </c>
      <c r="B1368">
        <v>3.1450999999999998</v>
      </c>
    </row>
    <row r="1369" spans="1:2" x14ac:dyDescent="0.35">
      <c r="A1369" s="16">
        <v>42943</v>
      </c>
      <c r="B1369">
        <v>3.1507000000000001</v>
      </c>
    </row>
    <row r="1370" spans="1:2" x14ac:dyDescent="0.35">
      <c r="A1370" s="16">
        <v>42942</v>
      </c>
      <c r="B1370">
        <v>3.1650999999999998</v>
      </c>
    </row>
    <row r="1371" spans="1:2" x14ac:dyDescent="0.35">
      <c r="A1371" s="16">
        <v>42941</v>
      </c>
      <c r="B1371">
        <v>3.1549999999999998</v>
      </c>
    </row>
    <row r="1372" spans="1:2" x14ac:dyDescent="0.35">
      <c r="A1372" s="16">
        <v>42940</v>
      </c>
      <c r="B1372">
        <v>3.1453000000000002</v>
      </c>
    </row>
    <row r="1373" spans="1:2" x14ac:dyDescent="0.35">
      <c r="A1373" s="16">
        <v>42937</v>
      </c>
      <c r="B1373">
        <v>3.125</v>
      </c>
    </row>
    <row r="1374" spans="1:2" x14ac:dyDescent="0.35">
      <c r="A1374" s="16">
        <v>42936</v>
      </c>
      <c r="B1374">
        <v>3.1396000000000002</v>
      </c>
    </row>
    <row r="1375" spans="1:2" x14ac:dyDescent="0.35">
      <c r="A1375" s="16">
        <v>42935</v>
      </c>
      <c r="B1375">
        <v>3.1526999999999998</v>
      </c>
    </row>
    <row r="1376" spans="1:2" x14ac:dyDescent="0.35">
      <c r="A1376" s="16">
        <v>42934</v>
      </c>
      <c r="B1376">
        <v>3.1661999999999999</v>
      </c>
    </row>
    <row r="1377" spans="1:2" x14ac:dyDescent="0.35">
      <c r="A1377" s="16">
        <v>42933</v>
      </c>
      <c r="B1377">
        <v>3.1815000000000002</v>
      </c>
    </row>
    <row r="1378" spans="1:2" x14ac:dyDescent="0.35">
      <c r="A1378" s="16">
        <v>42930</v>
      </c>
      <c r="B1378">
        <v>3.1892999999999998</v>
      </c>
    </row>
    <row r="1379" spans="1:2" x14ac:dyDescent="0.35">
      <c r="A1379" s="16">
        <v>42929</v>
      </c>
      <c r="B1379">
        <v>3.2101999999999999</v>
      </c>
    </row>
    <row r="1380" spans="1:2" x14ac:dyDescent="0.35">
      <c r="A1380" s="16">
        <v>42928</v>
      </c>
      <c r="B1380">
        <v>3.2258</v>
      </c>
    </row>
    <row r="1381" spans="1:2" x14ac:dyDescent="0.35">
      <c r="A1381" s="16">
        <v>42927</v>
      </c>
      <c r="B1381">
        <v>3.2515999999999998</v>
      </c>
    </row>
    <row r="1382" spans="1:2" x14ac:dyDescent="0.35">
      <c r="A1382" s="16">
        <v>42926</v>
      </c>
      <c r="B1382">
        <v>3.2644000000000002</v>
      </c>
    </row>
    <row r="1383" spans="1:2" x14ac:dyDescent="0.35">
      <c r="A1383" s="16">
        <v>42923</v>
      </c>
      <c r="B1383">
        <v>3.2888999999999999</v>
      </c>
    </row>
    <row r="1384" spans="1:2" x14ac:dyDescent="0.35">
      <c r="A1384" s="16">
        <v>42922</v>
      </c>
      <c r="B1384">
        <v>3.3058000000000001</v>
      </c>
    </row>
    <row r="1385" spans="1:2" x14ac:dyDescent="0.35">
      <c r="A1385" s="16">
        <v>42921</v>
      </c>
      <c r="B1385">
        <v>3.3187000000000002</v>
      </c>
    </row>
    <row r="1386" spans="1:2" x14ac:dyDescent="0.35">
      <c r="A1386" s="16">
        <v>42920</v>
      </c>
      <c r="B1386">
        <v>3.3043999999999998</v>
      </c>
    </row>
    <row r="1387" spans="1:2" x14ac:dyDescent="0.35">
      <c r="A1387" s="16">
        <v>42919</v>
      </c>
      <c r="B1387">
        <v>3.3008999999999999</v>
      </c>
    </row>
    <row r="1388" spans="1:2" x14ac:dyDescent="0.35">
      <c r="A1388" s="16">
        <v>42916</v>
      </c>
      <c r="B1388">
        <v>3.3075999999999999</v>
      </c>
    </row>
    <row r="1389" spans="1:2" x14ac:dyDescent="0.35">
      <c r="A1389" s="16">
        <v>42915</v>
      </c>
      <c r="B1389">
        <v>3.2946</v>
      </c>
    </row>
    <row r="1390" spans="1:2" x14ac:dyDescent="0.35">
      <c r="A1390" s="16">
        <v>42914</v>
      </c>
      <c r="B1390">
        <v>3.3024</v>
      </c>
    </row>
    <row r="1391" spans="1:2" x14ac:dyDescent="0.35">
      <c r="A1391" s="16">
        <v>42913</v>
      </c>
      <c r="B1391">
        <v>3.3166000000000002</v>
      </c>
    </row>
    <row r="1392" spans="1:2" x14ac:dyDescent="0.35">
      <c r="A1392" s="16">
        <v>42912</v>
      </c>
      <c r="B1392">
        <v>3.3121999999999998</v>
      </c>
    </row>
    <row r="1393" spans="1:2" x14ac:dyDescent="0.35">
      <c r="A1393" s="16">
        <v>42909</v>
      </c>
      <c r="B1393">
        <v>3.3336000000000001</v>
      </c>
    </row>
    <row r="1394" spans="1:2" x14ac:dyDescent="0.35">
      <c r="A1394" s="16">
        <v>42908</v>
      </c>
      <c r="B1394">
        <v>3.3355999999999999</v>
      </c>
    </row>
    <row r="1395" spans="1:2" x14ac:dyDescent="0.35">
      <c r="A1395" s="16">
        <v>42907</v>
      </c>
      <c r="B1395">
        <v>3.3241000000000001</v>
      </c>
    </row>
    <row r="1396" spans="1:2" x14ac:dyDescent="0.35">
      <c r="A1396" s="16">
        <v>42906</v>
      </c>
      <c r="B1396">
        <v>3.3138999999999998</v>
      </c>
    </row>
    <row r="1397" spans="1:2" x14ac:dyDescent="0.35">
      <c r="A1397" s="16">
        <v>42905</v>
      </c>
      <c r="B1397">
        <v>3.2968999999999999</v>
      </c>
    </row>
    <row r="1398" spans="1:2" x14ac:dyDescent="0.35">
      <c r="A1398" s="16">
        <v>42902</v>
      </c>
      <c r="B1398">
        <v>3.2886000000000002</v>
      </c>
    </row>
    <row r="1399" spans="1:2" x14ac:dyDescent="0.35">
      <c r="A1399" s="16">
        <v>42900</v>
      </c>
      <c r="B1399">
        <v>3.2829999999999999</v>
      </c>
    </row>
    <row r="1400" spans="1:2" x14ac:dyDescent="0.35">
      <c r="A1400" s="16">
        <v>42899</v>
      </c>
      <c r="B1400">
        <v>3.3201999999999998</v>
      </c>
    </row>
    <row r="1401" spans="1:2" x14ac:dyDescent="0.35">
      <c r="A1401" s="16">
        <v>42898</v>
      </c>
      <c r="B1401">
        <v>3.298</v>
      </c>
    </row>
    <row r="1402" spans="1:2" x14ac:dyDescent="0.35">
      <c r="A1402" s="16">
        <v>42895</v>
      </c>
      <c r="B1402">
        <v>3.2734000000000001</v>
      </c>
    </row>
    <row r="1403" spans="1:2" x14ac:dyDescent="0.35">
      <c r="A1403" s="16">
        <v>42894</v>
      </c>
      <c r="B1403">
        <v>3.2831999999999999</v>
      </c>
    </row>
    <row r="1404" spans="1:2" x14ac:dyDescent="0.35">
      <c r="A1404" s="16">
        <v>42893</v>
      </c>
      <c r="B1404">
        <v>3.2740999999999998</v>
      </c>
    </row>
    <row r="1405" spans="1:2" x14ac:dyDescent="0.35">
      <c r="A1405" s="16">
        <v>42892</v>
      </c>
      <c r="B1405">
        <v>3.2810999999999999</v>
      </c>
    </row>
    <row r="1406" spans="1:2" x14ac:dyDescent="0.35">
      <c r="A1406" s="16">
        <v>42891</v>
      </c>
      <c r="B1406">
        <v>3.2814000000000001</v>
      </c>
    </row>
    <row r="1407" spans="1:2" x14ac:dyDescent="0.35">
      <c r="A1407" s="16">
        <v>42888</v>
      </c>
      <c r="B1407">
        <v>3.2395</v>
      </c>
    </row>
    <row r="1408" spans="1:2" x14ac:dyDescent="0.35">
      <c r="A1408" s="16">
        <v>42887</v>
      </c>
      <c r="B1408">
        <v>3.2301000000000002</v>
      </c>
    </row>
    <row r="1409" spans="1:2" x14ac:dyDescent="0.35">
      <c r="A1409" s="16">
        <v>42886</v>
      </c>
      <c r="B1409">
        <v>3.2431000000000001</v>
      </c>
    </row>
    <row r="1410" spans="1:2" x14ac:dyDescent="0.35">
      <c r="A1410" s="16">
        <v>42885</v>
      </c>
      <c r="B1410">
        <v>3.2652999999999999</v>
      </c>
    </row>
    <row r="1411" spans="1:2" x14ac:dyDescent="0.35">
      <c r="A1411" s="16">
        <v>42884</v>
      </c>
      <c r="B1411">
        <v>3.2703000000000002</v>
      </c>
    </row>
    <row r="1412" spans="1:2" x14ac:dyDescent="0.35">
      <c r="A1412" s="16">
        <v>42881</v>
      </c>
      <c r="B1412">
        <v>3.2608000000000001</v>
      </c>
    </row>
    <row r="1413" spans="1:2" x14ac:dyDescent="0.35">
      <c r="A1413" s="16">
        <v>42880</v>
      </c>
      <c r="B1413">
        <v>3.2818000000000001</v>
      </c>
    </row>
    <row r="1414" spans="1:2" x14ac:dyDescent="0.35">
      <c r="A1414" s="16">
        <v>42879</v>
      </c>
      <c r="B1414">
        <v>3.2623000000000002</v>
      </c>
    </row>
    <row r="1415" spans="1:2" x14ac:dyDescent="0.35">
      <c r="A1415" s="16">
        <v>42878</v>
      </c>
      <c r="B1415">
        <v>3.2648000000000001</v>
      </c>
    </row>
    <row r="1416" spans="1:2" x14ac:dyDescent="0.35">
      <c r="A1416" s="16">
        <v>42877</v>
      </c>
      <c r="B1416">
        <v>3.2856999999999998</v>
      </c>
    </row>
    <row r="1417" spans="1:2" x14ac:dyDescent="0.35">
      <c r="A1417" s="16">
        <v>42874</v>
      </c>
      <c r="B1417">
        <v>3.2871999999999999</v>
      </c>
    </row>
    <row r="1418" spans="1:2" x14ac:dyDescent="0.35">
      <c r="A1418" s="16">
        <v>42873</v>
      </c>
      <c r="B1418">
        <v>3.3755999999999999</v>
      </c>
    </row>
    <row r="1419" spans="1:2" x14ac:dyDescent="0.35">
      <c r="A1419" s="16">
        <v>42872</v>
      </c>
      <c r="B1419">
        <v>3.1070000000000002</v>
      </c>
    </row>
    <row r="1420" spans="1:2" x14ac:dyDescent="0.35">
      <c r="A1420" s="16">
        <v>42871</v>
      </c>
      <c r="B1420">
        <v>3.0918000000000001</v>
      </c>
    </row>
    <row r="1421" spans="1:2" x14ac:dyDescent="0.35">
      <c r="A1421" s="16">
        <v>42870</v>
      </c>
      <c r="B1421">
        <v>3.1004999999999998</v>
      </c>
    </row>
    <row r="1422" spans="1:2" x14ac:dyDescent="0.35">
      <c r="A1422" s="16">
        <v>42867</v>
      </c>
      <c r="B1422">
        <v>3.1284000000000001</v>
      </c>
    </row>
    <row r="1423" spans="1:2" x14ac:dyDescent="0.35">
      <c r="A1423" s="16">
        <v>42866</v>
      </c>
      <c r="B1423">
        <v>3.1553</v>
      </c>
    </row>
    <row r="1424" spans="1:2" x14ac:dyDescent="0.35">
      <c r="A1424" s="16">
        <v>42865</v>
      </c>
      <c r="B1424">
        <v>3.16</v>
      </c>
    </row>
    <row r="1425" spans="1:2" x14ac:dyDescent="0.35">
      <c r="A1425" s="16">
        <v>42864</v>
      </c>
      <c r="B1425">
        <v>3.1850999999999998</v>
      </c>
    </row>
    <row r="1426" spans="1:2" x14ac:dyDescent="0.35">
      <c r="A1426" s="16">
        <v>42863</v>
      </c>
      <c r="B1426">
        <v>3.1932</v>
      </c>
    </row>
    <row r="1427" spans="1:2" x14ac:dyDescent="0.35">
      <c r="A1427" s="16">
        <v>42860</v>
      </c>
      <c r="B1427">
        <v>3.1758000000000002</v>
      </c>
    </row>
    <row r="1428" spans="1:2" x14ac:dyDescent="0.35">
      <c r="A1428" s="16">
        <v>42859</v>
      </c>
      <c r="B1428">
        <v>3.1774</v>
      </c>
    </row>
    <row r="1429" spans="1:2" x14ac:dyDescent="0.35">
      <c r="A1429" s="16">
        <v>42858</v>
      </c>
      <c r="B1429">
        <v>3.1482999999999999</v>
      </c>
    </row>
    <row r="1430" spans="1:2" x14ac:dyDescent="0.35">
      <c r="A1430" s="16">
        <v>42857</v>
      </c>
      <c r="B1430">
        <v>3.1718000000000002</v>
      </c>
    </row>
    <row r="1431" spans="1:2" x14ac:dyDescent="0.35">
      <c r="A1431" s="16">
        <v>42853</v>
      </c>
      <c r="B1431">
        <v>3.1978</v>
      </c>
    </row>
    <row r="1432" spans="1:2" x14ac:dyDescent="0.35">
      <c r="A1432" s="16">
        <v>42852</v>
      </c>
      <c r="B1432">
        <v>3.1757</v>
      </c>
    </row>
    <row r="1433" spans="1:2" x14ac:dyDescent="0.35">
      <c r="A1433" s="16">
        <v>42851</v>
      </c>
      <c r="B1433">
        <v>3.1840999999999999</v>
      </c>
    </row>
    <row r="1434" spans="1:2" x14ac:dyDescent="0.35">
      <c r="A1434" s="16">
        <v>42850</v>
      </c>
      <c r="B1434">
        <v>3.1570999999999998</v>
      </c>
    </row>
    <row r="1435" spans="1:2" x14ac:dyDescent="0.35">
      <c r="A1435" s="16">
        <v>42849</v>
      </c>
      <c r="B1435">
        <v>3.1244999999999998</v>
      </c>
    </row>
    <row r="1436" spans="1:2" x14ac:dyDescent="0.35">
      <c r="A1436" s="16">
        <v>42845</v>
      </c>
      <c r="B1436">
        <v>3.1446999999999998</v>
      </c>
    </row>
    <row r="1437" spans="1:2" x14ac:dyDescent="0.35">
      <c r="A1437" s="16">
        <v>42844</v>
      </c>
      <c r="B1437">
        <v>3.1288</v>
      </c>
    </row>
    <row r="1438" spans="1:2" x14ac:dyDescent="0.35">
      <c r="A1438" s="16">
        <v>42843</v>
      </c>
      <c r="B1438">
        <v>3.0952000000000002</v>
      </c>
    </row>
    <row r="1439" spans="1:2" x14ac:dyDescent="0.35">
      <c r="A1439" s="16">
        <v>42842</v>
      </c>
      <c r="B1439">
        <v>3.1030000000000002</v>
      </c>
    </row>
    <row r="1440" spans="1:2" x14ac:dyDescent="0.35">
      <c r="A1440" s="16">
        <v>42838</v>
      </c>
      <c r="B1440">
        <v>3.1263000000000001</v>
      </c>
    </row>
    <row r="1441" spans="1:2" x14ac:dyDescent="0.35">
      <c r="A1441" s="16">
        <v>42837</v>
      </c>
      <c r="B1441">
        <v>3.1457000000000002</v>
      </c>
    </row>
    <row r="1442" spans="1:2" x14ac:dyDescent="0.35">
      <c r="A1442" s="16">
        <v>42836</v>
      </c>
      <c r="B1442">
        <v>3.1417999999999999</v>
      </c>
    </row>
    <row r="1443" spans="1:2" x14ac:dyDescent="0.35">
      <c r="A1443" s="16">
        <v>42835</v>
      </c>
      <c r="B1443">
        <v>3.1402999999999999</v>
      </c>
    </row>
    <row r="1444" spans="1:2" x14ac:dyDescent="0.35">
      <c r="A1444" s="16">
        <v>42832</v>
      </c>
      <c r="B1444">
        <v>3.1295999999999999</v>
      </c>
    </row>
    <row r="1445" spans="1:2" x14ac:dyDescent="0.35">
      <c r="A1445" s="16">
        <v>42831</v>
      </c>
      <c r="B1445">
        <v>3.1154000000000002</v>
      </c>
    </row>
    <row r="1446" spans="1:2" x14ac:dyDescent="0.35">
      <c r="A1446" s="16">
        <v>42830</v>
      </c>
      <c r="B1446">
        <v>3.0916999999999999</v>
      </c>
    </row>
    <row r="1447" spans="1:2" x14ac:dyDescent="0.35">
      <c r="A1447" s="16">
        <v>42829</v>
      </c>
      <c r="B1447">
        <v>3.1225000000000001</v>
      </c>
    </row>
    <row r="1448" spans="1:2" x14ac:dyDescent="0.35">
      <c r="A1448" s="16">
        <v>42828</v>
      </c>
      <c r="B1448">
        <v>3.1160999999999999</v>
      </c>
    </row>
    <row r="1449" spans="1:2" x14ac:dyDescent="0.35">
      <c r="A1449" s="16">
        <v>42825</v>
      </c>
      <c r="B1449">
        <v>3.1678000000000002</v>
      </c>
    </row>
    <row r="1450" spans="1:2" x14ac:dyDescent="0.35">
      <c r="A1450" s="16">
        <v>42824</v>
      </c>
      <c r="B1450">
        <v>3.1240999999999999</v>
      </c>
    </row>
    <row r="1451" spans="1:2" x14ac:dyDescent="0.35">
      <c r="A1451" s="16">
        <v>42823</v>
      </c>
      <c r="B1451">
        <v>3.1223000000000001</v>
      </c>
    </row>
    <row r="1452" spans="1:2" x14ac:dyDescent="0.35">
      <c r="A1452" s="16">
        <v>42822</v>
      </c>
      <c r="B1452">
        <v>3.1297000000000001</v>
      </c>
    </row>
    <row r="1453" spans="1:2" x14ac:dyDescent="0.35">
      <c r="A1453" s="16">
        <v>42821</v>
      </c>
      <c r="B1453">
        <v>3.125</v>
      </c>
    </row>
    <row r="1454" spans="1:2" x14ac:dyDescent="0.35">
      <c r="A1454" s="16">
        <v>42818</v>
      </c>
      <c r="B1454">
        <v>3.1276000000000002</v>
      </c>
    </row>
    <row r="1455" spans="1:2" x14ac:dyDescent="0.35">
      <c r="A1455" s="16">
        <v>42817</v>
      </c>
      <c r="B1455">
        <v>3.1242000000000001</v>
      </c>
    </row>
    <row r="1456" spans="1:2" x14ac:dyDescent="0.35">
      <c r="A1456" s="16">
        <v>42816</v>
      </c>
      <c r="B1456">
        <v>3.0933000000000002</v>
      </c>
    </row>
    <row r="1457" spans="1:2" x14ac:dyDescent="0.35">
      <c r="A1457" s="16">
        <v>42815</v>
      </c>
      <c r="B1457">
        <v>3.0758999999999999</v>
      </c>
    </row>
    <row r="1458" spans="1:2" x14ac:dyDescent="0.35">
      <c r="A1458" s="16">
        <v>42814</v>
      </c>
      <c r="B1458">
        <v>3.0891999999999999</v>
      </c>
    </row>
    <row r="1459" spans="1:2" x14ac:dyDescent="0.35">
      <c r="A1459" s="16">
        <v>42811</v>
      </c>
      <c r="B1459">
        <v>3.1069</v>
      </c>
    </row>
    <row r="1460" spans="1:2" x14ac:dyDescent="0.35">
      <c r="A1460" s="16">
        <v>42810</v>
      </c>
      <c r="B1460">
        <v>3.1074000000000002</v>
      </c>
    </row>
    <row r="1461" spans="1:2" x14ac:dyDescent="0.35">
      <c r="A1461" s="16">
        <v>42809</v>
      </c>
      <c r="B1461">
        <v>3.1623000000000001</v>
      </c>
    </row>
    <row r="1462" spans="1:2" x14ac:dyDescent="0.35">
      <c r="A1462" s="16">
        <v>42808</v>
      </c>
      <c r="B1462">
        <v>3.1633</v>
      </c>
    </row>
    <row r="1463" spans="1:2" x14ac:dyDescent="0.35">
      <c r="A1463" s="16">
        <v>42807</v>
      </c>
      <c r="B1463">
        <v>3.1535000000000002</v>
      </c>
    </row>
    <row r="1464" spans="1:2" x14ac:dyDescent="0.35">
      <c r="A1464" s="16">
        <v>42804</v>
      </c>
      <c r="B1464">
        <v>3.1617000000000002</v>
      </c>
    </row>
    <row r="1465" spans="1:2" x14ac:dyDescent="0.35">
      <c r="A1465" s="16">
        <v>42803</v>
      </c>
      <c r="B1465">
        <v>3.1728999999999998</v>
      </c>
    </row>
    <row r="1466" spans="1:2" x14ac:dyDescent="0.35">
      <c r="A1466" s="16">
        <v>42802</v>
      </c>
      <c r="B1466">
        <v>3.1471</v>
      </c>
    </row>
    <row r="1467" spans="1:2" x14ac:dyDescent="0.35">
      <c r="A1467" s="16">
        <v>42801</v>
      </c>
      <c r="B1467">
        <v>3.1179000000000001</v>
      </c>
    </row>
    <row r="1468" spans="1:2" x14ac:dyDescent="0.35">
      <c r="A1468" s="16">
        <v>42800</v>
      </c>
      <c r="B1468">
        <v>3.1105</v>
      </c>
    </row>
    <row r="1469" spans="1:2" x14ac:dyDescent="0.35">
      <c r="A1469" s="16">
        <v>42797</v>
      </c>
      <c r="B1469">
        <v>3.1358000000000001</v>
      </c>
    </row>
    <row r="1470" spans="1:2" x14ac:dyDescent="0.35">
      <c r="A1470" s="16">
        <v>42796</v>
      </c>
      <c r="B1470">
        <v>3.1132</v>
      </c>
    </row>
    <row r="1471" spans="1:2" x14ac:dyDescent="0.35">
      <c r="A1471" s="16">
        <v>42795</v>
      </c>
      <c r="B1471">
        <v>3.097</v>
      </c>
    </row>
    <row r="1472" spans="1:2" x14ac:dyDescent="0.35">
      <c r="A1472" s="16">
        <v>42790</v>
      </c>
      <c r="B1472">
        <v>3.0987</v>
      </c>
    </row>
    <row r="1473" spans="1:2" x14ac:dyDescent="0.35">
      <c r="A1473" s="16">
        <v>42789</v>
      </c>
      <c r="B1473">
        <v>3.0632000000000001</v>
      </c>
    </row>
    <row r="1474" spans="1:2" x14ac:dyDescent="0.35">
      <c r="A1474" s="16">
        <v>42788</v>
      </c>
      <c r="B1474">
        <v>3.0817999999999999</v>
      </c>
    </row>
    <row r="1475" spans="1:2" x14ac:dyDescent="0.35">
      <c r="A1475" s="16">
        <v>42787</v>
      </c>
      <c r="B1475">
        <v>3.0964</v>
      </c>
    </row>
    <row r="1476" spans="1:2" x14ac:dyDescent="0.35">
      <c r="A1476" s="16">
        <v>42786</v>
      </c>
      <c r="B1476">
        <v>3.0912000000000002</v>
      </c>
    </row>
    <row r="1477" spans="1:2" x14ac:dyDescent="0.35">
      <c r="A1477" s="16">
        <v>42783</v>
      </c>
      <c r="B1477">
        <v>3.0943999999999998</v>
      </c>
    </row>
    <row r="1478" spans="1:2" x14ac:dyDescent="0.35">
      <c r="A1478" s="16">
        <v>42782</v>
      </c>
      <c r="B1478">
        <v>3.0503999999999998</v>
      </c>
    </row>
    <row r="1479" spans="1:2" x14ac:dyDescent="0.35">
      <c r="A1479" s="16">
        <v>42781</v>
      </c>
      <c r="B1479">
        <v>3.0773000000000001</v>
      </c>
    </row>
    <row r="1480" spans="1:2" x14ac:dyDescent="0.35">
      <c r="A1480" s="16">
        <v>42780</v>
      </c>
      <c r="B1480">
        <v>3.0998000000000001</v>
      </c>
    </row>
    <row r="1481" spans="1:2" x14ac:dyDescent="0.35">
      <c r="A1481" s="16">
        <v>42779</v>
      </c>
      <c r="B1481">
        <v>3.1168999999999998</v>
      </c>
    </row>
    <row r="1482" spans="1:2" x14ac:dyDescent="0.35">
      <c r="A1482" s="16">
        <v>42776</v>
      </c>
      <c r="B1482">
        <v>3.1149</v>
      </c>
    </row>
    <row r="1483" spans="1:2" x14ac:dyDescent="0.35">
      <c r="A1483" s="16">
        <v>42775</v>
      </c>
      <c r="B1483">
        <v>3.1179000000000001</v>
      </c>
    </row>
    <row r="1484" spans="1:2" x14ac:dyDescent="0.35">
      <c r="A1484" s="16">
        <v>42774</v>
      </c>
      <c r="B1484">
        <v>3.1248</v>
      </c>
    </row>
    <row r="1485" spans="1:2" x14ac:dyDescent="0.35">
      <c r="A1485" s="16">
        <v>42773</v>
      </c>
      <c r="B1485">
        <v>3.1297999999999999</v>
      </c>
    </row>
    <row r="1486" spans="1:2" x14ac:dyDescent="0.35">
      <c r="A1486" s="16">
        <v>42772</v>
      </c>
      <c r="B1486">
        <v>3.1173000000000002</v>
      </c>
    </row>
    <row r="1487" spans="1:2" x14ac:dyDescent="0.35">
      <c r="A1487" s="16">
        <v>42769</v>
      </c>
      <c r="B1487">
        <v>3.1234999999999999</v>
      </c>
    </row>
    <row r="1488" spans="1:2" x14ac:dyDescent="0.35">
      <c r="A1488" s="16">
        <v>42768</v>
      </c>
      <c r="B1488">
        <v>3.1190000000000002</v>
      </c>
    </row>
    <row r="1489" spans="1:2" x14ac:dyDescent="0.35">
      <c r="A1489" s="16">
        <v>42767</v>
      </c>
      <c r="B1489">
        <v>3.1473</v>
      </c>
    </row>
    <row r="1490" spans="1:2" x14ac:dyDescent="0.35">
      <c r="A1490" s="16">
        <v>42766</v>
      </c>
      <c r="B1490">
        <v>3.1263999999999998</v>
      </c>
    </row>
    <row r="1491" spans="1:2" x14ac:dyDescent="0.35">
      <c r="A1491" s="16">
        <v>42765</v>
      </c>
      <c r="B1491">
        <v>3.1309999999999998</v>
      </c>
    </row>
    <row r="1492" spans="1:2" x14ac:dyDescent="0.35">
      <c r="A1492" s="16">
        <v>42762</v>
      </c>
      <c r="B1492">
        <v>3.1589999999999998</v>
      </c>
    </row>
    <row r="1493" spans="1:2" x14ac:dyDescent="0.35">
      <c r="A1493" s="16">
        <v>42761</v>
      </c>
      <c r="B1493">
        <v>3.1798000000000002</v>
      </c>
    </row>
    <row r="1494" spans="1:2" x14ac:dyDescent="0.35">
      <c r="A1494" s="16">
        <v>42760</v>
      </c>
      <c r="B1494">
        <v>3.1678999999999999</v>
      </c>
    </row>
    <row r="1495" spans="1:2" x14ac:dyDescent="0.35">
      <c r="A1495" s="16">
        <v>42759</v>
      </c>
      <c r="B1495">
        <v>3.1642999999999999</v>
      </c>
    </row>
    <row r="1496" spans="1:2" x14ac:dyDescent="0.35">
      <c r="A1496" s="16">
        <v>42758</v>
      </c>
      <c r="B1496">
        <v>3.1602999999999999</v>
      </c>
    </row>
    <row r="1497" spans="1:2" x14ac:dyDescent="0.35">
      <c r="A1497" s="16">
        <v>42755</v>
      </c>
      <c r="B1497">
        <v>3.1911999999999998</v>
      </c>
    </row>
    <row r="1498" spans="1:2" x14ac:dyDescent="0.35">
      <c r="A1498" s="16">
        <v>42754</v>
      </c>
      <c r="B1498">
        <v>3.2107000000000001</v>
      </c>
    </row>
    <row r="1499" spans="1:2" x14ac:dyDescent="0.35">
      <c r="A1499" s="16">
        <v>42753</v>
      </c>
      <c r="B1499">
        <v>3.2204999999999999</v>
      </c>
    </row>
    <row r="1500" spans="1:2" x14ac:dyDescent="0.35">
      <c r="A1500" s="16">
        <v>42752</v>
      </c>
      <c r="B1500">
        <v>3.2094</v>
      </c>
    </row>
    <row r="1501" spans="1:2" x14ac:dyDescent="0.35">
      <c r="A1501" s="16">
        <v>42751</v>
      </c>
      <c r="B1501">
        <v>3.2227999999999999</v>
      </c>
    </row>
    <row r="1502" spans="1:2" x14ac:dyDescent="0.35">
      <c r="A1502" s="16">
        <v>42748</v>
      </c>
      <c r="B1502">
        <v>3.2027999999999999</v>
      </c>
    </row>
    <row r="1503" spans="1:2" x14ac:dyDescent="0.35">
      <c r="A1503" s="16">
        <v>42747</v>
      </c>
      <c r="B1503">
        <v>3.1655000000000002</v>
      </c>
    </row>
    <row r="1504" spans="1:2" x14ac:dyDescent="0.35">
      <c r="A1504" s="16">
        <v>42746</v>
      </c>
      <c r="B1504">
        <v>3.2147999999999999</v>
      </c>
    </row>
    <row r="1505" spans="1:2" x14ac:dyDescent="0.35">
      <c r="A1505" s="16">
        <v>42745</v>
      </c>
      <c r="B1505">
        <v>3.1911999999999998</v>
      </c>
    </row>
    <row r="1506" spans="1:2" x14ac:dyDescent="0.35">
      <c r="A1506" s="16">
        <v>42744</v>
      </c>
      <c r="B1506">
        <v>3.2090999999999998</v>
      </c>
    </row>
    <row r="1507" spans="1:2" x14ac:dyDescent="0.35">
      <c r="A1507" s="16">
        <v>42741</v>
      </c>
      <c r="B1507">
        <v>3.2050999999999998</v>
      </c>
    </row>
    <row r="1508" spans="1:2" x14ac:dyDescent="0.35">
      <c r="A1508" s="16">
        <v>42740</v>
      </c>
      <c r="B1508">
        <v>3.2122999999999999</v>
      </c>
    </row>
    <row r="1509" spans="1:2" x14ac:dyDescent="0.35">
      <c r="A1509" s="16">
        <v>42739</v>
      </c>
      <c r="B1509">
        <v>3.2326999999999999</v>
      </c>
    </row>
    <row r="1510" spans="1:2" x14ac:dyDescent="0.35">
      <c r="A1510" s="16">
        <v>42738</v>
      </c>
      <c r="B1510">
        <v>3.2625999999999999</v>
      </c>
    </row>
    <row r="1511" spans="1:2" x14ac:dyDescent="0.35">
      <c r="A1511" s="16">
        <v>42737</v>
      </c>
      <c r="B1511">
        <v>3.2723</v>
      </c>
    </row>
    <row r="1512" spans="1:2" x14ac:dyDescent="0.35">
      <c r="A1512" s="16">
        <v>42734</v>
      </c>
      <c r="B1512">
        <v>3.2585000000000002</v>
      </c>
    </row>
    <row r="1513" spans="1:2" x14ac:dyDescent="0.35">
      <c r="A1513" s="16">
        <v>42733</v>
      </c>
      <c r="B1513">
        <v>3.2585000000000002</v>
      </c>
    </row>
    <row r="1514" spans="1:2" x14ac:dyDescent="0.35">
      <c r="A1514" s="16">
        <v>42732</v>
      </c>
      <c r="B1514">
        <v>3.2768000000000002</v>
      </c>
    </row>
    <row r="1515" spans="1:2" x14ac:dyDescent="0.35">
      <c r="A1515" s="16">
        <v>42731</v>
      </c>
      <c r="B1515">
        <v>3.2770000000000001</v>
      </c>
    </row>
    <row r="1516" spans="1:2" x14ac:dyDescent="0.35">
      <c r="A1516" s="16">
        <v>42730</v>
      </c>
      <c r="B1516">
        <v>3.2694999999999999</v>
      </c>
    </row>
    <row r="1517" spans="1:2" x14ac:dyDescent="0.35">
      <c r="A1517" s="16">
        <v>42727</v>
      </c>
      <c r="B1517">
        <v>3.2690000000000001</v>
      </c>
    </row>
    <row r="1518" spans="1:2" x14ac:dyDescent="0.35">
      <c r="A1518" s="16">
        <v>42726</v>
      </c>
      <c r="B1518">
        <v>3.3296000000000001</v>
      </c>
    </row>
    <row r="1519" spans="1:2" x14ac:dyDescent="0.35">
      <c r="A1519" s="16">
        <v>42725</v>
      </c>
      <c r="B1519">
        <v>3.3290999999999999</v>
      </c>
    </row>
    <row r="1520" spans="1:2" x14ac:dyDescent="0.35">
      <c r="A1520" s="16">
        <v>42724</v>
      </c>
      <c r="B1520">
        <v>3.3580000000000001</v>
      </c>
    </row>
    <row r="1521" spans="1:2" x14ac:dyDescent="0.35">
      <c r="A1521" s="16">
        <v>42723</v>
      </c>
      <c r="B1521">
        <v>3.3772000000000002</v>
      </c>
    </row>
    <row r="1522" spans="1:2" x14ac:dyDescent="0.35">
      <c r="A1522" s="16">
        <v>42720</v>
      </c>
      <c r="B1522">
        <v>3.3706</v>
      </c>
    </row>
    <row r="1523" spans="1:2" x14ac:dyDescent="0.35">
      <c r="A1523" s="16">
        <v>42719</v>
      </c>
      <c r="B1523">
        <v>3.3824000000000001</v>
      </c>
    </row>
    <row r="1524" spans="1:2" x14ac:dyDescent="0.35">
      <c r="A1524" s="16">
        <v>42718</v>
      </c>
      <c r="B1524">
        <v>3.3096999999999999</v>
      </c>
    </row>
    <row r="1525" spans="1:2" x14ac:dyDescent="0.35">
      <c r="A1525" s="16">
        <v>42717</v>
      </c>
      <c r="B1525">
        <v>3.3334000000000001</v>
      </c>
    </row>
    <row r="1526" spans="1:2" x14ac:dyDescent="0.35">
      <c r="A1526" s="16">
        <v>42716</v>
      </c>
      <c r="B1526">
        <v>3.3691</v>
      </c>
    </row>
    <row r="1527" spans="1:2" x14ac:dyDescent="0.35">
      <c r="A1527" s="16">
        <v>42713</v>
      </c>
      <c r="B1527">
        <v>3.3852000000000002</v>
      </c>
    </row>
    <row r="1528" spans="1:2" x14ac:dyDescent="0.35">
      <c r="A1528" s="16">
        <v>42712</v>
      </c>
      <c r="B1528">
        <v>3.4001999999999999</v>
      </c>
    </row>
    <row r="1529" spans="1:2" x14ac:dyDescent="0.35">
      <c r="A1529" s="16">
        <v>42711</v>
      </c>
      <c r="B1529">
        <v>3.3889</v>
      </c>
    </row>
    <row r="1530" spans="1:2" x14ac:dyDescent="0.35">
      <c r="A1530" s="16">
        <v>42710</v>
      </c>
      <c r="B1530">
        <v>3.4348000000000001</v>
      </c>
    </row>
    <row r="1531" spans="1:2" x14ac:dyDescent="0.35">
      <c r="A1531" s="16">
        <v>42709</v>
      </c>
      <c r="B1531">
        <v>3.4592000000000001</v>
      </c>
    </row>
    <row r="1532" spans="1:2" x14ac:dyDescent="0.35">
      <c r="A1532" s="16">
        <v>42706</v>
      </c>
      <c r="B1532">
        <v>3.4643999999999999</v>
      </c>
    </row>
    <row r="1533" spans="1:2" x14ac:dyDescent="0.35">
      <c r="A1533" s="16">
        <v>42705</v>
      </c>
      <c r="B1533">
        <v>3.4356</v>
      </c>
    </row>
    <row r="1534" spans="1:2" x14ac:dyDescent="0.35">
      <c r="A1534" s="16">
        <v>42704</v>
      </c>
      <c r="B1534">
        <v>3.3961000000000001</v>
      </c>
    </row>
    <row r="1535" spans="1:2" x14ac:dyDescent="0.35">
      <c r="A1535" s="16">
        <v>42703</v>
      </c>
      <c r="B1535">
        <v>3.4054000000000002</v>
      </c>
    </row>
    <row r="1536" spans="1:2" x14ac:dyDescent="0.35">
      <c r="A1536" s="16">
        <v>42702</v>
      </c>
      <c r="B1536">
        <v>3.399</v>
      </c>
    </row>
    <row r="1537" spans="1:2" x14ac:dyDescent="0.35">
      <c r="A1537" s="16">
        <v>42699</v>
      </c>
      <c r="B1537">
        <v>3.4272999999999998</v>
      </c>
    </row>
    <row r="1538" spans="1:2" x14ac:dyDescent="0.35">
      <c r="A1538" s="16">
        <v>42698</v>
      </c>
      <c r="B1538">
        <v>3.3980999999999999</v>
      </c>
    </row>
    <row r="1539" spans="1:2" x14ac:dyDescent="0.35">
      <c r="A1539" s="16">
        <v>42697</v>
      </c>
      <c r="B1539">
        <v>3.3921000000000001</v>
      </c>
    </row>
    <row r="1540" spans="1:2" x14ac:dyDescent="0.35">
      <c r="A1540" s="16">
        <v>42696</v>
      </c>
      <c r="B1540">
        <v>3.347</v>
      </c>
    </row>
    <row r="1541" spans="1:2" x14ac:dyDescent="0.35">
      <c r="A1541" s="16">
        <v>42695</v>
      </c>
      <c r="B1541">
        <v>3.3511000000000002</v>
      </c>
    </row>
    <row r="1542" spans="1:2" x14ac:dyDescent="0.35">
      <c r="A1542" s="16">
        <v>42692</v>
      </c>
      <c r="B1542">
        <v>3.3910999999999998</v>
      </c>
    </row>
    <row r="1543" spans="1:2" x14ac:dyDescent="0.35">
      <c r="A1543" s="16">
        <v>42691</v>
      </c>
      <c r="B1543">
        <v>3.4045999999999998</v>
      </c>
    </row>
    <row r="1544" spans="1:2" x14ac:dyDescent="0.35">
      <c r="A1544" s="16">
        <v>42690</v>
      </c>
      <c r="B1544">
        <v>3.4177</v>
      </c>
    </row>
    <row r="1545" spans="1:2" x14ac:dyDescent="0.35">
      <c r="A1545" s="16">
        <v>42688</v>
      </c>
      <c r="B1545">
        <v>3.444</v>
      </c>
    </row>
    <row r="1546" spans="1:2" x14ac:dyDescent="0.35">
      <c r="A1546" s="16">
        <v>42685</v>
      </c>
      <c r="B1546">
        <v>3.4371</v>
      </c>
    </row>
    <row r="1547" spans="1:2" x14ac:dyDescent="0.35">
      <c r="A1547" s="16">
        <v>42684</v>
      </c>
      <c r="B1547">
        <v>3.3098000000000001</v>
      </c>
    </row>
    <row r="1548" spans="1:2" x14ac:dyDescent="0.35">
      <c r="A1548" s="16">
        <v>42683</v>
      </c>
      <c r="B1548">
        <v>3.2252000000000001</v>
      </c>
    </row>
    <row r="1549" spans="1:2" x14ac:dyDescent="0.35">
      <c r="A1549" s="16">
        <v>42682</v>
      </c>
      <c r="B1549">
        <v>3.2018</v>
      </c>
    </row>
    <row r="1550" spans="1:2" x14ac:dyDescent="0.35">
      <c r="A1550" s="16">
        <v>42681</v>
      </c>
      <c r="B1550">
        <v>3.2018</v>
      </c>
    </row>
    <row r="1551" spans="1:2" x14ac:dyDescent="0.35">
      <c r="A1551" s="16">
        <v>42678</v>
      </c>
      <c r="B1551">
        <v>3.2443</v>
      </c>
    </row>
    <row r="1552" spans="1:2" x14ac:dyDescent="0.35">
      <c r="A1552" s="16">
        <v>42677</v>
      </c>
      <c r="B1552">
        <v>3.2303999999999999</v>
      </c>
    </row>
    <row r="1553" spans="1:2" x14ac:dyDescent="0.35">
      <c r="A1553" s="16">
        <v>42675</v>
      </c>
      <c r="B1553">
        <v>3.2046999999999999</v>
      </c>
    </row>
    <row r="1554" spans="1:2" x14ac:dyDescent="0.35">
      <c r="A1554" s="16">
        <v>42674</v>
      </c>
      <c r="B1554">
        <v>3.1804999999999999</v>
      </c>
    </row>
    <row r="1555" spans="1:2" x14ac:dyDescent="0.35">
      <c r="A1555" s="16">
        <v>42671</v>
      </c>
      <c r="B1555">
        <v>3.1808999999999998</v>
      </c>
    </row>
    <row r="1556" spans="1:2" x14ac:dyDescent="0.35">
      <c r="A1556" s="16">
        <v>42670</v>
      </c>
      <c r="B1556">
        <v>3.1423000000000001</v>
      </c>
    </row>
    <row r="1557" spans="1:2" x14ac:dyDescent="0.35">
      <c r="A1557" s="16">
        <v>42669</v>
      </c>
      <c r="B1557">
        <v>3.1213000000000002</v>
      </c>
    </row>
    <row r="1558" spans="1:2" x14ac:dyDescent="0.35">
      <c r="A1558" s="16">
        <v>42668</v>
      </c>
      <c r="B1558">
        <v>3.1187</v>
      </c>
    </row>
    <row r="1559" spans="1:2" x14ac:dyDescent="0.35">
      <c r="A1559" s="16">
        <v>42667</v>
      </c>
      <c r="B1559">
        <v>3.1305000000000001</v>
      </c>
    </row>
    <row r="1560" spans="1:2" x14ac:dyDescent="0.35">
      <c r="A1560" s="16">
        <v>42664</v>
      </c>
      <c r="B1560">
        <v>3.1587000000000001</v>
      </c>
    </row>
    <row r="1561" spans="1:2" x14ac:dyDescent="0.35">
      <c r="A1561" s="16">
        <v>42663</v>
      </c>
      <c r="B1561">
        <v>3.1598999999999999</v>
      </c>
    </row>
    <row r="1562" spans="1:2" x14ac:dyDescent="0.35">
      <c r="A1562" s="16">
        <v>42662</v>
      </c>
      <c r="B1562">
        <v>3.1793999999999998</v>
      </c>
    </row>
    <row r="1563" spans="1:2" x14ac:dyDescent="0.35">
      <c r="A1563" s="16">
        <v>42661</v>
      </c>
      <c r="B1563">
        <v>3.1867999999999999</v>
      </c>
    </row>
    <row r="1564" spans="1:2" x14ac:dyDescent="0.35">
      <c r="A1564" s="16">
        <v>42660</v>
      </c>
      <c r="B1564">
        <v>3.1957</v>
      </c>
    </row>
    <row r="1565" spans="1:2" x14ac:dyDescent="0.35">
      <c r="A1565" s="16">
        <v>42657</v>
      </c>
      <c r="B1565">
        <v>3.1858</v>
      </c>
    </row>
    <row r="1566" spans="1:2" x14ac:dyDescent="0.35">
      <c r="A1566" s="16">
        <v>42656</v>
      </c>
      <c r="B1566">
        <v>3.2081</v>
      </c>
    </row>
    <row r="1567" spans="1:2" x14ac:dyDescent="0.35">
      <c r="A1567" s="16">
        <v>42654</v>
      </c>
      <c r="B1567">
        <v>3.2130000000000001</v>
      </c>
    </row>
    <row r="1568" spans="1:2" x14ac:dyDescent="0.35">
      <c r="A1568" s="16">
        <v>42653</v>
      </c>
      <c r="B1568">
        <v>3.2119</v>
      </c>
    </row>
    <row r="1569" spans="1:2" x14ac:dyDescent="0.35">
      <c r="A1569" s="16">
        <v>42650</v>
      </c>
      <c r="B1569">
        <v>3.2128000000000001</v>
      </c>
    </row>
    <row r="1570" spans="1:2" x14ac:dyDescent="0.35">
      <c r="A1570" s="16">
        <v>42649</v>
      </c>
      <c r="B1570">
        <v>3.2303999999999999</v>
      </c>
    </row>
    <row r="1571" spans="1:2" x14ac:dyDescent="0.35">
      <c r="A1571" s="16">
        <v>42648</v>
      </c>
      <c r="B1571">
        <v>3.2353000000000001</v>
      </c>
    </row>
    <row r="1572" spans="1:2" x14ac:dyDescent="0.35">
      <c r="A1572" s="16">
        <v>42647</v>
      </c>
      <c r="B1572">
        <v>3.2197</v>
      </c>
    </row>
    <row r="1573" spans="1:2" x14ac:dyDescent="0.35">
      <c r="A1573" s="16">
        <v>42646</v>
      </c>
      <c r="B1573">
        <v>3.2332000000000001</v>
      </c>
    </row>
    <row r="1574" spans="1:2" x14ac:dyDescent="0.35">
      <c r="A1574" s="16">
        <v>42643</v>
      </c>
      <c r="B1574">
        <v>3.2456</v>
      </c>
    </row>
    <row r="1575" spans="1:2" x14ac:dyDescent="0.35">
      <c r="A1575" s="16">
        <v>42642</v>
      </c>
      <c r="B1575">
        <v>3.2229000000000001</v>
      </c>
    </row>
    <row r="1576" spans="1:2" x14ac:dyDescent="0.35">
      <c r="A1576" s="16">
        <v>42641</v>
      </c>
      <c r="B1576">
        <v>3.2469999999999999</v>
      </c>
    </row>
    <row r="1577" spans="1:2" x14ac:dyDescent="0.35">
      <c r="A1577" s="16">
        <v>42640</v>
      </c>
      <c r="B1577">
        <v>3.2351999999999999</v>
      </c>
    </row>
    <row r="1578" spans="1:2" x14ac:dyDescent="0.35">
      <c r="A1578" s="16">
        <v>42639</v>
      </c>
      <c r="B1578">
        <v>3.2393999999999998</v>
      </c>
    </row>
    <row r="1579" spans="1:2" x14ac:dyDescent="0.35">
      <c r="A1579" s="16">
        <v>42636</v>
      </c>
      <c r="B1579">
        <v>3.2235999999999998</v>
      </c>
    </row>
    <row r="1580" spans="1:2" x14ac:dyDescent="0.35">
      <c r="A1580" s="16">
        <v>42635</v>
      </c>
      <c r="B1580">
        <v>3.2008999999999999</v>
      </c>
    </row>
    <row r="1581" spans="1:2" x14ac:dyDescent="0.35">
      <c r="A1581" s="16">
        <v>42634</v>
      </c>
      <c r="B1581">
        <v>3.2402000000000002</v>
      </c>
    </row>
    <row r="1582" spans="1:2" x14ac:dyDescent="0.35">
      <c r="A1582" s="16">
        <v>42633</v>
      </c>
      <c r="B1582">
        <v>3.2534000000000001</v>
      </c>
    </row>
    <row r="1583" spans="1:2" x14ac:dyDescent="0.35">
      <c r="A1583" s="16">
        <v>42632</v>
      </c>
      <c r="B1583">
        <v>3.2629999999999999</v>
      </c>
    </row>
    <row r="1584" spans="1:2" x14ac:dyDescent="0.35">
      <c r="A1584" s="16">
        <v>42629</v>
      </c>
      <c r="B1584">
        <v>3.2997999999999998</v>
      </c>
    </row>
    <row r="1585" spans="1:2" x14ac:dyDescent="0.35">
      <c r="A1585" s="16">
        <v>42628</v>
      </c>
      <c r="B1585">
        <v>3.3319999999999999</v>
      </c>
    </row>
    <row r="1586" spans="1:2" x14ac:dyDescent="0.35">
      <c r="A1586" s="16">
        <v>42627</v>
      </c>
      <c r="B1586">
        <v>3.3256000000000001</v>
      </c>
    </row>
    <row r="1587" spans="1:2" x14ac:dyDescent="0.35">
      <c r="A1587" s="16">
        <v>42626</v>
      </c>
      <c r="B1587">
        <v>3.2966000000000002</v>
      </c>
    </row>
    <row r="1588" spans="1:2" x14ac:dyDescent="0.35">
      <c r="A1588" s="16">
        <v>42625</v>
      </c>
      <c r="B1588">
        <v>3.2848000000000002</v>
      </c>
    </row>
    <row r="1589" spans="1:2" x14ac:dyDescent="0.35">
      <c r="A1589" s="16">
        <v>42622</v>
      </c>
      <c r="B1589">
        <v>3.2631999999999999</v>
      </c>
    </row>
    <row r="1590" spans="1:2" x14ac:dyDescent="0.35">
      <c r="A1590" s="16">
        <v>42621</v>
      </c>
      <c r="B1590">
        <v>3.1928000000000001</v>
      </c>
    </row>
    <row r="1591" spans="1:2" x14ac:dyDescent="0.35">
      <c r="A1591" s="16">
        <v>42619</v>
      </c>
      <c r="B1591">
        <v>3.2446000000000002</v>
      </c>
    </row>
    <row r="1592" spans="1:2" x14ac:dyDescent="0.35">
      <c r="A1592" s="16">
        <v>42618</v>
      </c>
      <c r="B1592">
        <v>3.2715000000000001</v>
      </c>
    </row>
    <row r="1593" spans="1:2" x14ac:dyDescent="0.35">
      <c r="A1593" s="16">
        <v>42615</v>
      </c>
      <c r="B1593">
        <v>3.2425000000000002</v>
      </c>
    </row>
    <row r="1594" spans="1:2" x14ac:dyDescent="0.35">
      <c r="A1594" s="16">
        <v>42614</v>
      </c>
      <c r="B1594">
        <v>3.2465999999999999</v>
      </c>
    </row>
    <row r="1595" spans="1:2" x14ac:dyDescent="0.35">
      <c r="A1595" s="16">
        <v>42613</v>
      </c>
      <c r="B1595">
        <v>3.2397</v>
      </c>
    </row>
    <row r="1596" spans="1:2" x14ac:dyDescent="0.35">
      <c r="A1596" s="16">
        <v>42612</v>
      </c>
      <c r="B1596">
        <v>3.2519</v>
      </c>
    </row>
    <row r="1597" spans="1:2" x14ac:dyDescent="0.35">
      <c r="A1597" s="16">
        <v>42611</v>
      </c>
      <c r="B1597">
        <v>3.2606999999999999</v>
      </c>
    </row>
    <row r="1598" spans="1:2" x14ac:dyDescent="0.35">
      <c r="A1598" s="16">
        <v>42608</v>
      </c>
      <c r="B1598">
        <v>3.2147000000000001</v>
      </c>
    </row>
    <row r="1599" spans="1:2" x14ac:dyDescent="0.35">
      <c r="A1599" s="16">
        <v>42607</v>
      </c>
      <c r="B1599">
        <v>3.2313000000000001</v>
      </c>
    </row>
    <row r="1600" spans="1:2" x14ac:dyDescent="0.35">
      <c r="A1600" s="16">
        <v>42606</v>
      </c>
      <c r="B1600">
        <v>3.2366000000000001</v>
      </c>
    </row>
    <row r="1601" spans="1:2" x14ac:dyDescent="0.35">
      <c r="A1601" s="16">
        <v>42605</v>
      </c>
      <c r="B1601">
        <v>3.2046999999999999</v>
      </c>
    </row>
    <row r="1602" spans="1:2" x14ac:dyDescent="0.35">
      <c r="A1602" s="16">
        <v>42604</v>
      </c>
      <c r="B1602">
        <v>3.2157</v>
      </c>
    </row>
    <row r="1603" spans="1:2" x14ac:dyDescent="0.35">
      <c r="A1603" s="16">
        <v>42601</v>
      </c>
      <c r="B1603">
        <v>3.2261000000000002</v>
      </c>
    </row>
    <row r="1604" spans="1:2" x14ac:dyDescent="0.35">
      <c r="A1604" s="16">
        <v>42600</v>
      </c>
      <c r="B1604">
        <v>3.2208999999999999</v>
      </c>
    </row>
    <row r="1605" spans="1:2" x14ac:dyDescent="0.35">
      <c r="A1605" s="16">
        <v>42599</v>
      </c>
      <c r="B1605">
        <v>3.2242000000000002</v>
      </c>
    </row>
    <row r="1606" spans="1:2" x14ac:dyDescent="0.35">
      <c r="A1606" s="16">
        <v>42598</v>
      </c>
      <c r="B1606">
        <v>3.1743000000000001</v>
      </c>
    </row>
    <row r="1607" spans="1:2" x14ac:dyDescent="0.35">
      <c r="A1607" s="16">
        <v>42597</v>
      </c>
      <c r="B1607">
        <v>3.1665999999999999</v>
      </c>
    </row>
    <row r="1608" spans="1:2" x14ac:dyDescent="0.35">
      <c r="A1608" s="16">
        <v>42594</v>
      </c>
      <c r="B1608">
        <v>3.1596000000000002</v>
      </c>
    </row>
    <row r="1609" spans="1:2" x14ac:dyDescent="0.35">
      <c r="A1609" s="16">
        <v>42593</v>
      </c>
      <c r="B1609">
        <v>3.1358000000000001</v>
      </c>
    </row>
    <row r="1610" spans="1:2" x14ac:dyDescent="0.35">
      <c r="A1610" s="16">
        <v>42592</v>
      </c>
      <c r="B1610">
        <v>3.1295999999999999</v>
      </c>
    </row>
    <row r="1611" spans="1:2" x14ac:dyDescent="0.35">
      <c r="A1611" s="16">
        <v>42591</v>
      </c>
      <c r="B1611">
        <v>3.1497000000000002</v>
      </c>
    </row>
    <row r="1612" spans="1:2" x14ac:dyDescent="0.35">
      <c r="A1612" s="16">
        <v>42590</v>
      </c>
      <c r="B1612">
        <v>3.1764999999999999</v>
      </c>
    </row>
    <row r="1613" spans="1:2" x14ac:dyDescent="0.35">
      <c r="A1613" s="16">
        <v>42587</v>
      </c>
      <c r="B1613">
        <v>3.1852999999999998</v>
      </c>
    </row>
    <row r="1614" spans="1:2" x14ac:dyDescent="0.35">
      <c r="A1614" s="16">
        <v>42586</v>
      </c>
      <c r="B1614">
        <v>3.2176999999999998</v>
      </c>
    </row>
    <row r="1615" spans="1:2" x14ac:dyDescent="0.35">
      <c r="A1615" s="16">
        <v>42585</v>
      </c>
      <c r="B1615">
        <v>3.2726999999999999</v>
      </c>
    </row>
    <row r="1616" spans="1:2" x14ac:dyDescent="0.35">
      <c r="A1616" s="16">
        <v>42584</v>
      </c>
      <c r="B1616">
        <v>3.2484000000000002</v>
      </c>
    </row>
    <row r="1617" spans="1:2" x14ac:dyDescent="0.35">
      <c r="A1617" s="16">
        <v>42583</v>
      </c>
      <c r="B1617">
        <v>3.2656000000000001</v>
      </c>
    </row>
    <row r="1618" spans="1:2" x14ac:dyDescent="0.35">
      <c r="A1618" s="16">
        <v>42580</v>
      </c>
      <c r="B1618">
        <v>3.2383999999999999</v>
      </c>
    </row>
    <row r="1619" spans="1:2" x14ac:dyDescent="0.35">
      <c r="A1619" s="16">
        <v>42577</v>
      </c>
      <c r="B1619">
        <v>3.2784</v>
      </c>
    </row>
    <row r="1620" spans="1:2" x14ac:dyDescent="0.35">
      <c r="A1620" s="16">
        <v>42576</v>
      </c>
      <c r="B1620">
        <v>3.2812999999999999</v>
      </c>
    </row>
    <row r="1621" spans="1:2" x14ac:dyDescent="0.35">
      <c r="A1621" s="16">
        <v>42573</v>
      </c>
      <c r="B1621">
        <v>3.2848000000000002</v>
      </c>
    </row>
    <row r="1622" spans="1:2" x14ac:dyDescent="0.35">
      <c r="A1622" s="16">
        <v>42572</v>
      </c>
      <c r="B1622">
        <v>3.2578999999999998</v>
      </c>
    </row>
    <row r="1623" spans="1:2" x14ac:dyDescent="0.35">
      <c r="A1623" s="16">
        <v>42571</v>
      </c>
      <c r="B1623">
        <v>3.2505999999999999</v>
      </c>
    </row>
    <row r="1624" spans="1:2" x14ac:dyDescent="0.35">
      <c r="A1624" s="16">
        <v>42570</v>
      </c>
      <c r="B1624">
        <v>3.2795000000000001</v>
      </c>
    </row>
    <row r="1625" spans="1:2" x14ac:dyDescent="0.35">
      <c r="A1625" s="16">
        <v>42569</v>
      </c>
      <c r="B1625">
        <v>3.2627999999999999</v>
      </c>
    </row>
    <row r="1626" spans="1:2" x14ac:dyDescent="0.35">
      <c r="A1626" s="16">
        <v>42566</v>
      </c>
      <c r="B1626">
        <v>3.2650000000000001</v>
      </c>
    </row>
    <row r="1627" spans="1:2" x14ac:dyDescent="0.35">
      <c r="A1627" s="16">
        <v>42565</v>
      </c>
      <c r="B1627">
        <v>3.2305000000000001</v>
      </c>
    </row>
    <row r="1628" spans="1:2" x14ac:dyDescent="0.35">
      <c r="A1628" s="16">
        <v>42564</v>
      </c>
      <c r="B1628">
        <v>3.2890000000000001</v>
      </c>
    </row>
    <row r="1629" spans="1:2" x14ac:dyDescent="0.35">
      <c r="A1629" s="16">
        <v>42563</v>
      </c>
      <c r="B1629">
        <v>3.2744</v>
      </c>
    </row>
    <row r="1630" spans="1:2" x14ac:dyDescent="0.35">
      <c r="A1630" s="16">
        <v>42562</v>
      </c>
      <c r="B1630">
        <v>3.3025000000000002</v>
      </c>
    </row>
    <row r="1631" spans="1:2" x14ac:dyDescent="0.35">
      <c r="A1631" s="16">
        <v>42559</v>
      </c>
      <c r="B1631">
        <v>3.2961999999999998</v>
      </c>
    </row>
    <row r="1632" spans="1:2" x14ac:dyDescent="0.35">
      <c r="A1632" s="16">
        <v>42558</v>
      </c>
      <c r="B1632">
        <v>3.3382000000000001</v>
      </c>
    </row>
    <row r="1633" spans="1:2" x14ac:dyDescent="0.35">
      <c r="A1633" s="16">
        <v>42557</v>
      </c>
      <c r="B1633">
        <v>3.3235999999999999</v>
      </c>
    </row>
    <row r="1634" spans="1:2" x14ac:dyDescent="0.35">
      <c r="A1634" s="16">
        <v>42556</v>
      </c>
      <c r="B1634">
        <v>3.2898000000000001</v>
      </c>
    </row>
    <row r="1635" spans="1:2" x14ac:dyDescent="0.35">
      <c r="A1635" s="16">
        <v>42555</v>
      </c>
      <c r="B1635">
        <v>3.2473999999999998</v>
      </c>
    </row>
    <row r="1636" spans="1:2" x14ac:dyDescent="0.35">
      <c r="A1636" s="16">
        <v>42552</v>
      </c>
      <c r="B1636">
        <v>3.2292000000000001</v>
      </c>
    </row>
    <row r="1637" spans="1:2" x14ac:dyDescent="0.35">
      <c r="A1637" s="16">
        <v>42551</v>
      </c>
      <c r="B1637">
        <v>3.2092000000000001</v>
      </c>
    </row>
    <row r="1638" spans="1:2" x14ac:dyDescent="0.35">
      <c r="A1638" s="16">
        <v>42550</v>
      </c>
      <c r="B1638">
        <v>3.2429000000000001</v>
      </c>
    </row>
    <row r="1639" spans="1:2" x14ac:dyDescent="0.35">
      <c r="A1639" s="16">
        <v>42549</v>
      </c>
      <c r="B1639">
        <v>3.3260999999999998</v>
      </c>
    </row>
    <row r="1640" spans="1:2" x14ac:dyDescent="0.35">
      <c r="A1640" s="16">
        <v>42548</v>
      </c>
      <c r="B1640">
        <v>3.3927999999999998</v>
      </c>
    </row>
    <row r="1641" spans="1:2" x14ac:dyDescent="0.35">
      <c r="A1641" s="16">
        <v>42545</v>
      </c>
      <c r="B1641">
        <v>3.3765999999999998</v>
      </c>
    </row>
    <row r="1642" spans="1:2" x14ac:dyDescent="0.35">
      <c r="A1642" s="16">
        <v>42544</v>
      </c>
      <c r="B1642">
        <v>3.3527</v>
      </c>
    </row>
    <row r="1643" spans="1:2" x14ac:dyDescent="0.35">
      <c r="A1643" s="16">
        <v>42543</v>
      </c>
      <c r="B1643">
        <v>3.3877000000000002</v>
      </c>
    </row>
    <row r="1644" spans="1:2" x14ac:dyDescent="0.35">
      <c r="A1644" s="16">
        <v>42542</v>
      </c>
      <c r="B1644">
        <v>3.3891</v>
      </c>
    </row>
    <row r="1645" spans="1:2" x14ac:dyDescent="0.35">
      <c r="A1645" s="16">
        <v>42541</v>
      </c>
      <c r="B1645">
        <v>3.3828999999999998</v>
      </c>
    </row>
    <row r="1646" spans="1:2" x14ac:dyDescent="0.35">
      <c r="A1646" s="16">
        <v>42538</v>
      </c>
      <c r="B1646">
        <v>3.4365999999999999</v>
      </c>
    </row>
    <row r="1647" spans="1:2" x14ac:dyDescent="0.35">
      <c r="A1647" s="16">
        <v>42537</v>
      </c>
      <c r="B1647">
        <v>3.4897999999999998</v>
      </c>
    </row>
    <row r="1648" spans="1:2" x14ac:dyDescent="0.35">
      <c r="A1648" s="16">
        <v>42536</v>
      </c>
      <c r="B1648">
        <v>3.4762</v>
      </c>
    </row>
    <row r="1649" spans="1:2" x14ac:dyDescent="0.35">
      <c r="A1649" s="16">
        <v>42535</v>
      </c>
      <c r="B1649">
        <v>3.4832999999999998</v>
      </c>
    </row>
    <row r="1650" spans="1:2" x14ac:dyDescent="0.35">
      <c r="A1650" s="16">
        <v>42534</v>
      </c>
      <c r="B1650">
        <v>3.4527000000000001</v>
      </c>
    </row>
    <row r="1651" spans="1:2" x14ac:dyDescent="0.35">
      <c r="A1651" s="16">
        <v>42531</v>
      </c>
      <c r="B1651">
        <v>3.4255</v>
      </c>
    </row>
    <row r="1652" spans="1:2" x14ac:dyDescent="0.35">
      <c r="A1652" s="16">
        <v>42530</v>
      </c>
      <c r="B1652">
        <v>3.3811</v>
      </c>
    </row>
    <row r="1653" spans="1:2" x14ac:dyDescent="0.35">
      <c r="A1653" s="16">
        <v>42529</v>
      </c>
      <c r="B1653">
        <v>3.3892000000000002</v>
      </c>
    </row>
    <row r="1654" spans="1:2" x14ac:dyDescent="0.35">
      <c r="A1654" s="16">
        <v>42528</v>
      </c>
      <c r="B1654">
        <v>3.4739</v>
      </c>
    </row>
    <row r="1655" spans="1:2" x14ac:dyDescent="0.35">
      <c r="A1655" s="16">
        <v>42527</v>
      </c>
      <c r="B1655">
        <v>3.5091999999999999</v>
      </c>
    </row>
    <row r="1656" spans="1:2" x14ac:dyDescent="0.35">
      <c r="A1656" s="16">
        <v>42524</v>
      </c>
      <c r="B1656">
        <v>3.5402999999999998</v>
      </c>
    </row>
    <row r="1657" spans="1:2" x14ac:dyDescent="0.35">
      <c r="A1657" s="16">
        <v>42523</v>
      </c>
      <c r="B1657">
        <v>3.5954999999999999</v>
      </c>
    </row>
    <row r="1658" spans="1:2" x14ac:dyDescent="0.35">
      <c r="A1658" s="16">
        <v>42522</v>
      </c>
      <c r="B1658">
        <v>3.6120000000000001</v>
      </c>
    </row>
    <row r="1659" spans="1:2" x14ac:dyDescent="0.35">
      <c r="A1659" s="16">
        <v>42521</v>
      </c>
      <c r="B1659">
        <v>3.5945</v>
      </c>
    </row>
    <row r="1660" spans="1:2" x14ac:dyDescent="0.35">
      <c r="A1660" s="16">
        <v>42520</v>
      </c>
      <c r="B1660">
        <v>3.5991</v>
      </c>
    </row>
    <row r="1661" spans="1:2" x14ac:dyDescent="0.35">
      <c r="A1661" s="16">
        <v>42517</v>
      </c>
      <c r="B1661">
        <v>3.6162000000000001</v>
      </c>
    </row>
    <row r="1662" spans="1:2" x14ac:dyDescent="0.35">
      <c r="A1662" s="16">
        <v>42515</v>
      </c>
      <c r="B1662">
        <v>3.5798000000000001</v>
      </c>
    </row>
    <row r="1663" spans="1:2" x14ac:dyDescent="0.35">
      <c r="A1663" s="16">
        <v>42514</v>
      </c>
      <c r="B1663">
        <v>3.5485000000000002</v>
      </c>
    </row>
    <row r="1664" spans="1:2" x14ac:dyDescent="0.35">
      <c r="A1664" s="16">
        <v>42513</v>
      </c>
      <c r="B1664">
        <v>3.5653999999999999</v>
      </c>
    </row>
    <row r="1665" spans="1:2" x14ac:dyDescent="0.35">
      <c r="A1665" s="16">
        <v>42510</v>
      </c>
      <c r="B1665">
        <v>3.5413000000000001</v>
      </c>
    </row>
    <row r="1666" spans="1:2" x14ac:dyDescent="0.35">
      <c r="A1666" s="16">
        <v>42509</v>
      </c>
      <c r="B1666">
        <v>3.5996999999999999</v>
      </c>
    </row>
    <row r="1667" spans="1:2" x14ac:dyDescent="0.35">
      <c r="A1667" s="16">
        <v>42508</v>
      </c>
      <c r="B1667">
        <v>3.5362</v>
      </c>
    </row>
    <row r="1668" spans="1:2" x14ac:dyDescent="0.35">
      <c r="A1668" s="16">
        <v>42507</v>
      </c>
      <c r="B1668">
        <v>3.5030999999999999</v>
      </c>
    </row>
    <row r="1669" spans="1:2" x14ac:dyDescent="0.35">
      <c r="A1669" s="16">
        <v>42506</v>
      </c>
      <c r="B1669">
        <v>3.5028999999999999</v>
      </c>
    </row>
    <row r="1670" spans="1:2" x14ac:dyDescent="0.35">
      <c r="A1670" s="16">
        <v>42503</v>
      </c>
      <c r="B1670">
        <v>3.5034999999999998</v>
      </c>
    </row>
    <row r="1671" spans="1:2" x14ac:dyDescent="0.35">
      <c r="A1671" s="16">
        <v>42502</v>
      </c>
      <c r="B1671">
        <v>3.4870999999999999</v>
      </c>
    </row>
    <row r="1672" spans="1:2" x14ac:dyDescent="0.35">
      <c r="A1672" s="16">
        <v>42501</v>
      </c>
      <c r="B1672">
        <v>3.4639000000000002</v>
      </c>
    </row>
    <row r="1673" spans="1:2" x14ac:dyDescent="0.35">
      <c r="A1673" s="16">
        <v>42500</v>
      </c>
      <c r="B1673">
        <v>3.4765999999999999</v>
      </c>
    </row>
    <row r="1674" spans="1:2" x14ac:dyDescent="0.35">
      <c r="A1674" s="16">
        <v>42499</v>
      </c>
      <c r="B1674">
        <v>3.5379999999999998</v>
      </c>
    </row>
    <row r="1675" spans="1:2" x14ac:dyDescent="0.35">
      <c r="A1675" s="16">
        <v>42496</v>
      </c>
      <c r="B1675">
        <v>3.5356000000000001</v>
      </c>
    </row>
    <row r="1676" spans="1:2" x14ac:dyDescent="0.35">
      <c r="A1676" s="16">
        <v>42495</v>
      </c>
      <c r="B1676">
        <v>3.5289999999999999</v>
      </c>
    </row>
    <row r="1677" spans="1:2" x14ac:dyDescent="0.35">
      <c r="A1677" s="16">
        <v>42494</v>
      </c>
      <c r="B1677">
        <v>3.5390999999999999</v>
      </c>
    </row>
    <row r="1678" spans="1:2" x14ac:dyDescent="0.35">
      <c r="A1678" s="16">
        <v>42493</v>
      </c>
      <c r="B1678">
        <v>3.5543999999999998</v>
      </c>
    </row>
    <row r="1679" spans="1:2" x14ac:dyDescent="0.35">
      <c r="A1679" s="16">
        <v>42492</v>
      </c>
      <c r="B1679">
        <v>3.4984999999999999</v>
      </c>
    </row>
    <row r="1680" spans="1:2" x14ac:dyDescent="0.35">
      <c r="A1680" s="16">
        <v>42489</v>
      </c>
      <c r="B1680">
        <v>3.4502000000000002</v>
      </c>
    </row>
    <row r="1681" spans="1:2" x14ac:dyDescent="0.35">
      <c r="A1681" s="16">
        <v>42488</v>
      </c>
      <c r="B1681">
        <v>3.4986000000000002</v>
      </c>
    </row>
    <row r="1682" spans="1:2" x14ac:dyDescent="0.35">
      <c r="A1682" s="16">
        <v>42487</v>
      </c>
      <c r="B1682">
        <v>3.5289000000000001</v>
      </c>
    </row>
    <row r="1683" spans="1:2" x14ac:dyDescent="0.35">
      <c r="A1683" s="16">
        <v>42486</v>
      </c>
      <c r="B1683">
        <v>3.5293999999999999</v>
      </c>
    </row>
    <row r="1684" spans="1:2" x14ac:dyDescent="0.35">
      <c r="A1684" s="16">
        <v>42485</v>
      </c>
      <c r="B1684">
        <v>3.5466000000000002</v>
      </c>
    </row>
    <row r="1685" spans="1:2" x14ac:dyDescent="0.35">
      <c r="A1685" s="16">
        <v>42482</v>
      </c>
      <c r="B1685">
        <v>3.5823</v>
      </c>
    </row>
    <row r="1686" spans="1:2" x14ac:dyDescent="0.35">
      <c r="A1686" s="16">
        <v>42480</v>
      </c>
      <c r="B1686">
        <v>3.5497000000000001</v>
      </c>
    </row>
    <row r="1687" spans="1:2" x14ac:dyDescent="0.35">
      <c r="A1687" s="16">
        <v>42479</v>
      </c>
      <c r="B1687">
        <v>3.5531999999999999</v>
      </c>
    </row>
    <row r="1688" spans="1:2" x14ac:dyDescent="0.35">
      <c r="A1688" s="16">
        <v>42478</v>
      </c>
      <c r="B1688">
        <v>3.5897999999999999</v>
      </c>
    </row>
    <row r="1689" spans="1:2" x14ac:dyDescent="0.35">
      <c r="A1689" s="16">
        <v>42475</v>
      </c>
      <c r="B1689">
        <v>3.5270000000000001</v>
      </c>
    </row>
    <row r="1690" spans="1:2" x14ac:dyDescent="0.35">
      <c r="A1690" s="16">
        <v>42474</v>
      </c>
      <c r="B1690">
        <v>3.512</v>
      </c>
    </row>
    <row r="1691" spans="1:2" x14ac:dyDescent="0.35">
      <c r="A1691" s="16">
        <v>42473</v>
      </c>
      <c r="B1691">
        <v>3.5423</v>
      </c>
    </row>
    <row r="1692" spans="1:2" x14ac:dyDescent="0.35">
      <c r="A1692" s="16">
        <v>42472</v>
      </c>
      <c r="B1692">
        <v>3.54</v>
      </c>
    </row>
    <row r="1693" spans="1:2" x14ac:dyDescent="0.35">
      <c r="A1693" s="16">
        <v>42471</v>
      </c>
      <c r="B1693">
        <v>3.5278</v>
      </c>
    </row>
    <row r="1694" spans="1:2" x14ac:dyDescent="0.35">
      <c r="A1694" s="16">
        <v>42468</v>
      </c>
      <c r="B1694">
        <v>3.6379000000000001</v>
      </c>
    </row>
    <row r="1695" spans="1:2" x14ac:dyDescent="0.35">
      <c r="A1695" s="16">
        <v>42467</v>
      </c>
      <c r="B1695">
        <v>3.6915</v>
      </c>
    </row>
    <row r="1696" spans="1:2" x14ac:dyDescent="0.35">
      <c r="A1696" s="16">
        <v>42466</v>
      </c>
      <c r="B1696">
        <v>3.6743000000000001</v>
      </c>
    </row>
    <row r="1697" spans="1:2" x14ac:dyDescent="0.35">
      <c r="A1697" s="16">
        <v>42465</v>
      </c>
      <c r="B1697">
        <v>3.6575000000000002</v>
      </c>
    </row>
    <row r="1698" spans="1:2" x14ac:dyDescent="0.35">
      <c r="A1698" s="16">
        <v>42464</v>
      </c>
      <c r="B1698">
        <v>3.5865</v>
      </c>
    </row>
    <row r="1699" spans="1:2" x14ac:dyDescent="0.35">
      <c r="A1699" s="16">
        <v>42461</v>
      </c>
      <c r="B1699">
        <v>3.5792999999999999</v>
      </c>
    </row>
    <row r="1700" spans="1:2" x14ac:dyDescent="0.35">
      <c r="A1700" s="16">
        <v>42460</v>
      </c>
      <c r="B1700">
        <v>3.5583</v>
      </c>
    </row>
    <row r="1701" spans="1:2" x14ac:dyDescent="0.35">
      <c r="A1701" s="16">
        <v>42459</v>
      </c>
      <c r="B1701">
        <v>3.6110000000000002</v>
      </c>
    </row>
    <row r="1702" spans="1:2" x14ac:dyDescent="0.35">
      <c r="A1702" s="16">
        <v>42458</v>
      </c>
      <c r="B1702">
        <v>3.6680999999999999</v>
      </c>
    </row>
    <row r="1703" spans="1:2" x14ac:dyDescent="0.35">
      <c r="A1703" s="16">
        <v>42457</v>
      </c>
      <c r="B1703">
        <v>3.6400999999999999</v>
      </c>
    </row>
    <row r="1704" spans="1:2" x14ac:dyDescent="0.35">
      <c r="A1704" s="16">
        <v>42453</v>
      </c>
      <c r="B1704">
        <v>3.6941999999999999</v>
      </c>
    </row>
    <row r="1705" spans="1:2" x14ac:dyDescent="0.35">
      <c r="A1705" s="16">
        <v>42452</v>
      </c>
      <c r="B1705">
        <v>3.6524999999999999</v>
      </c>
    </row>
    <row r="1706" spans="1:2" x14ac:dyDescent="0.35">
      <c r="A1706" s="16">
        <v>42451</v>
      </c>
      <c r="B1706">
        <v>3.6067</v>
      </c>
    </row>
    <row r="1707" spans="1:2" x14ac:dyDescent="0.35">
      <c r="A1707" s="16">
        <v>42450</v>
      </c>
      <c r="B1707">
        <v>3.6223000000000001</v>
      </c>
    </row>
    <row r="1708" spans="1:2" x14ac:dyDescent="0.35">
      <c r="A1708" s="16">
        <v>42447</v>
      </c>
      <c r="B1708">
        <v>3.6139999999999999</v>
      </c>
    </row>
    <row r="1709" spans="1:2" x14ac:dyDescent="0.35">
      <c r="A1709" s="16">
        <v>42446</v>
      </c>
      <c r="B1709">
        <v>3.6438999999999999</v>
      </c>
    </row>
    <row r="1710" spans="1:2" x14ac:dyDescent="0.35">
      <c r="A1710" s="16">
        <v>42445</v>
      </c>
      <c r="B1710">
        <v>3.8073000000000001</v>
      </c>
    </row>
    <row r="1711" spans="1:2" x14ac:dyDescent="0.35">
      <c r="A1711" s="16">
        <v>42444</v>
      </c>
      <c r="B1711">
        <v>3.7109999999999999</v>
      </c>
    </row>
    <row r="1712" spans="1:2" x14ac:dyDescent="0.35">
      <c r="A1712" s="16">
        <v>42443</v>
      </c>
      <c r="B1712">
        <v>3.6232000000000002</v>
      </c>
    </row>
    <row r="1713" spans="1:2" x14ac:dyDescent="0.35">
      <c r="A1713" s="16">
        <v>42440</v>
      </c>
      <c r="B1713">
        <v>3.6265000000000001</v>
      </c>
    </row>
    <row r="1714" spans="1:2" x14ac:dyDescent="0.35">
      <c r="A1714" s="16">
        <v>42439</v>
      </c>
      <c r="B1714">
        <v>3.6694</v>
      </c>
    </row>
    <row r="1715" spans="1:2" x14ac:dyDescent="0.35">
      <c r="A1715" s="16">
        <v>42438</v>
      </c>
      <c r="B1715">
        <v>3.7031000000000001</v>
      </c>
    </row>
    <row r="1716" spans="1:2" x14ac:dyDescent="0.35">
      <c r="A1716" s="16">
        <v>42437</v>
      </c>
      <c r="B1716">
        <v>3.7806999999999999</v>
      </c>
    </row>
    <row r="1717" spans="1:2" x14ac:dyDescent="0.35">
      <c r="A1717" s="16">
        <v>42436</v>
      </c>
      <c r="B1717">
        <v>3.7707999999999999</v>
      </c>
    </row>
    <row r="1718" spans="1:2" x14ac:dyDescent="0.35">
      <c r="A1718" s="16">
        <v>42433</v>
      </c>
      <c r="B1718">
        <v>3.7181999999999999</v>
      </c>
    </row>
    <row r="1719" spans="1:2" x14ac:dyDescent="0.35">
      <c r="A1719" s="16">
        <v>42432</v>
      </c>
      <c r="B1719">
        <v>3.8498000000000001</v>
      </c>
    </row>
    <row r="1720" spans="1:2" x14ac:dyDescent="0.35">
      <c r="A1720" s="16">
        <v>42431</v>
      </c>
      <c r="B1720">
        <v>3.911</v>
      </c>
    </row>
    <row r="1721" spans="1:2" x14ac:dyDescent="0.35">
      <c r="A1721" s="16">
        <v>42430</v>
      </c>
      <c r="B1721">
        <v>3.9906999999999999</v>
      </c>
    </row>
    <row r="1722" spans="1:2" x14ac:dyDescent="0.35">
      <c r="A1722" s="16">
        <v>42429</v>
      </c>
      <c r="B1722">
        <v>3.9790000000000001</v>
      </c>
    </row>
    <row r="1723" spans="1:2" x14ac:dyDescent="0.35">
      <c r="A1723" s="16">
        <v>42426</v>
      </c>
      <c r="B1723">
        <v>3.9571000000000001</v>
      </c>
    </row>
    <row r="1724" spans="1:2" x14ac:dyDescent="0.35">
      <c r="A1724" s="16">
        <v>42425</v>
      </c>
      <c r="B1724">
        <v>3.9394</v>
      </c>
    </row>
    <row r="1725" spans="1:2" x14ac:dyDescent="0.35">
      <c r="A1725" s="16">
        <v>42424</v>
      </c>
      <c r="B1725">
        <v>3.9893999999999998</v>
      </c>
    </row>
    <row r="1726" spans="1:2" x14ac:dyDescent="0.35">
      <c r="A1726" s="16">
        <v>42423</v>
      </c>
      <c r="B1726">
        <v>3.9678</v>
      </c>
    </row>
    <row r="1727" spans="1:2" x14ac:dyDescent="0.35">
      <c r="A1727" s="16">
        <v>42422</v>
      </c>
      <c r="B1727">
        <v>3.9611999999999998</v>
      </c>
    </row>
    <row r="1728" spans="1:2" x14ac:dyDescent="0.35">
      <c r="A1728" s="16">
        <v>42419</v>
      </c>
      <c r="B1728">
        <v>4.0486000000000004</v>
      </c>
    </row>
    <row r="1729" spans="1:2" x14ac:dyDescent="0.35">
      <c r="A1729" s="16">
        <v>42418</v>
      </c>
      <c r="B1729">
        <v>4.0084</v>
      </c>
    </row>
    <row r="1730" spans="1:2" x14ac:dyDescent="0.35">
      <c r="A1730" s="16">
        <v>42417</v>
      </c>
      <c r="B1730">
        <v>4.0312000000000001</v>
      </c>
    </row>
    <row r="1731" spans="1:2" x14ac:dyDescent="0.35">
      <c r="A1731" s="16">
        <v>42416</v>
      </c>
      <c r="B1731">
        <v>4.0206999999999997</v>
      </c>
    </row>
    <row r="1732" spans="1:2" x14ac:dyDescent="0.35">
      <c r="A1732" s="16">
        <v>42415</v>
      </c>
      <c r="B1732">
        <v>3.9878999999999998</v>
      </c>
    </row>
    <row r="1733" spans="1:2" x14ac:dyDescent="0.35">
      <c r="A1733" s="16">
        <v>42412</v>
      </c>
      <c r="B1733">
        <v>3.9883999999999999</v>
      </c>
    </row>
    <row r="1734" spans="1:2" x14ac:dyDescent="0.35">
      <c r="A1734" s="16">
        <v>42411</v>
      </c>
      <c r="B1734">
        <v>3.9636</v>
      </c>
    </row>
    <row r="1735" spans="1:2" x14ac:dyDescent="0.35">
      <c r="A1735" s="16">
        <v>42410</v>
      </c>
      <c r="B1735">
        <v>3.9405999999999999</v>
      </c>
    </row>
    <row r="1736" spans="1:2" x14ac:dyDescent="0.35">
      <c r="A1736" s="16">
        <v>42405</v>
      </c>
      <c r="B1736">
        <v>3.8969</v>
      </c>
    </row>
    <row r="1737" spans="1:2" x14ac:dyDescent="0.35">
      <c r="A1737" s="16">
        <v>42404</v>
      </c>
      <c r="B1737">
        <v>3.8645999999999998</v>
      </c>
    </row>
    <row r="1738" spans="1:2" x14ac:dyDescent="0.35">
      <c r="A1738" s="16">
        <v>42403</v>
      </c>
      <c r="B1738">
        <v>3.9552</v>
      </c>
    </row>
    <row r="1739" spans="1:2" x14ac:dyDescent="0.35">
      <c r="A1739" s="16">
        <v>42402</v>
      </c>
      <c r="B1739">
        <v>3.9912999999999998</v>
      </c>
    </row>
    <row r="1740" spans="1:2" x14ac:dyDescent="0.35">
      <c r="A1740" s="16">
        <v>42401</v>
      </c>
      <c r="B1740">
        <v>3.9979</v>
      </c>
    </row>
    <row r="1741" spans="1:2" x14ac:dyDescent="0.35">
      <c r="A1741" s="16">
        <v>42398</v>
      </c>
      <c r="B1741">
        <v>4.0422000000000002</v>
      </c>
    </row>
    <row r="1742" spans="1:2" x14ac:dyDescent="0.35">
      <c r="A1742" s="16">
        <v>42397</v>
      </c>
      <c r="B1742">
        <v>4.0831999999999997</v>
      </c>
    </row>
    <row r="1743" spans="1:2" x14ac:dyDescent="0.35">
      <c r="A1743" s="16">
        <v>42396</v>
      </c>
      <c r="B1743">
        <v>4.0441000000000003</v>
      </c>
    </row>
    <row r="1744" spans="1:2" x14ac:dyDescent="0.35">
      <c r="A1744" s="16">
        <v>42395</v>
      </c>
      <c r="B1744">
        <v>4.0960999999999999</v>
      </c>
    </row>
    <row r="1745" spans="1:2" x14ac:dyDescent="0.35">
      <c r="A1745" s="16">
        <v>42394</v>
      </c>
      <c r="B1745">
        <v>4.0991</v>
      </c>
    </row>
    <row r="1746" spans="1:2" x14ac:dyDescent="0.35">
      <c r="A1746" s="16">
        <v>42391</v>
      </c>
      <c r="B1746">
        <v>4.1226000000000003</v>
      </c>
    </row>
    <row r="1747" spans="1:2" x14ac:dyDescent="0.35">
      <c r="A1747" s="16">
        <v>42390</v>
      </c>
      <c r="B1747">
        <v>4.1551999999999998</v>
      </c>
    </row>
    <row r="1748" spans="1:2" x14ac:dyDescent="0.35">
      <c r="A1748" s="16">
        <v>42389</v>
      </c>
      <c r="B1748">
        <v>4.0854999999999997</v>
      </c>
    </row>
    <row r="1749" spans="1:2" x14ac:dyDescent="0.35">
      <c r="A1749" s="16">
        <v>42388</v>
      </c>
      <c r="B1749">
        <v>4.0297000000000001</v>
      </c>
    </row>
    <row r="1750" spans="1:2" x14ac:dyDescent="0.35">
      <c r="A1750" s="16">
        <v>42387</v>
      </c>
      <c r="B1750">
        <v>4.0358000000000001</v>
      </c>
    </row>
    <row r="1751" spans="1:2" x14ac:dyDescent="0.35">
      <c r="A1751" s="16">
        <v>42384</v>
      </c>
      <c r="B1751">
        <v>4.0396000000000001</v>
      </c>
    </row>
    <row r="1752" spans="1:2" x14ac:dyDescent="0.35">
      <c r="A1752" s="16">
        <v>42383</v>
      </c>
      <c r="B1752">
        <v>4.0217000000000001</v>
      </c>
    </row>
    <row r="1753" spans="1:2" x14ac:dyDescent="0.35">
      <c r="A1753" s="16">
        <v>42382</v>
      </c>
      <c r="B1753">
        <v>3.9857</v>
      </c>
    </row>
    <row r="1754" spans="1:2" x14ac:dyDescent="0.35">
      <c r="A1754" s="16">
        <v>42381</v>
      </c>
      <c r="B1754">
        <v>4.0293000000000001</v>
      </c>
    </row>
    <row r="1755" spans="1:2" x14ac:dyDescent="0.35">
      <c r="A1755" s="16">
        <v>42380</v>
      </c>
      <c r="B1755">
        <v>4.0147000000000004</v>
      </c>
    </row>
    <row r="1756" spans="1:2" x14ac:dyDescent="0.35">
      <c r="A1756" s="16">
        <v>42377</v>
      </c>
      <c r="B1756">
        <v>4.0244</v>
      </c>
    </row>
    <row r="1757" spans="1:2" x14ac:dyDescent="0.35">
      <c r="A1757" s="16">
        <v>42376</v>
      </c>
      <c r="B1757">
        <v>4.0468999999999999</v>
      </c>
    </row>
    <row r="1758" spans="1:2" x14ac:dyDescent="0.35">
      <c r="A1758" s="16">
        <v>42375</v>
      </c>
      <c r="B1758">
        <v>4.0297000000000001</v>
      </c>
    </row>
    <row r="1759" spans="1:2" x14ac:dyDescent="0.35">
      <c r="A1759" s="16">
        <v>42374</v>
      </c>
      <c r="B1759">
        <v>4.0107999999999997</v>
      </c>
    </row>
    <row r="1760" spans="1:2" x14ac:dyDescent="0.35">
      <c r="A1760" s="16">
        <v>42373</v>
      </c>
      <c r="B1760">
        <v>4.0380000000000003</v>
      </c>
    </row>
    <row r="1761" spans="1:2" x14ac:dyDescent="0.35">
      <c r="A1761" s="16">
        <v>42369</v>
      </c>
      <c r="B1761">
        <v>3.9041999999999999</v>
      </c>
    </row>
    <row r="1762" spans="1:2" x14ac:dyDescent="0.35">
      <c r="A1762" s="16">
        <v>42368</v>
      </c>
      <c r="B1762">
        <v>3.9041999999999999</v>
      </c>
    </row>
    <row r="1763" spans="1:2" x14ac:dyDescent="0.35">
      <c r="A1763" s="16">
        <v>42367</v>
      </c>
      <c r="B1763">
        <v>3.8485999999999998</v>
      </c>
    </row>
    <row r="1764" spans="1:2" x14ac:dyDescent="0.35">
      <c r="A1764" s="16">
        <v>42366</v>
      </c>
      <c r="B1764">
        <v>3.9180000000000001</v>
      </c>
    </row>
    <row r="1765" spans="1:2" x14ac:dyDescent="0.35">
      <c r="A1765" s="16">
        <v>42362</v>
      </c>
      <c r="B1765">
        <v>3.9510999999999998</v>
      </c>
    </row>
    <row r="1766" spans="1:2" x14ac:dyDescent="0.35">
      <c r="A1766" s="16">
        <v>42361</v>
      </c>
      <c r="B1766">
        <v>3.9626000000000001</v>
      </c>
    </row>
    <row r="1767" spans="1:2" x14ac:dyDescent="0.35">
      <c r="A1767" s="16">
        <v>42360</v>
      </c>
      <c r="B1767">
        <v>3.9763999999999999</v>
      </c>
    </row>
    <row r="1768" spans="1:2" x14ac:dyDescent="0.35">
      <c r="A1768" s="16">
        <v>42359</v>
      </c>
      <c r="B1768">
        <v>3.9824999999999999</v>
      </c>
    </row>
    <row r="1769" spans="1:2" x14ac:dyDescent="0.35">
      <c r="A1769" s="16">
        <v>42356</v>
      </c>
      <c r="B1769">
        <v>3.9056000000000002</v>
      </c>
    </row>
    <row r="1770" spans="1:2" x14ac:dyDescent="0.35">
      <c r="A1770" s="16">
        <v>42355</v>
      </c>
      <c r="B1770">
        <v>3.8923000000000001</v>
      </c>
    </row>
    <row r="1771" spans="1:2" x14ac:dyDescent="0.35">
      <c r="A1771" s="16">
        <v>42354</v>
      </c>
      <c r="B1771">
        <v>3.9350999999999998</v>
      </c>
    </row>
    <row r="1772" spans="1:2" x14ac:dyDescent="0.35">
      <c r="A1772" s="16">
        <v>42353</v>
      </c>
      <c r="B1772">
        <v>3.8696999999999999</v>
      </c>
    </row>
    <row r="1773" spans="1:2" x14ac:dyDescent="0.35">
      <c r="A1773" s="16">
        <v>42352</v>
      </c>
      <c r="B1773">
        <v>3.9016999999999999</v>
      </c>
    </row>
    <row r="1774" spans="1:2" x14ac:dyDescent="0.35">
      <c r="A1774" s="16">
        <v>42349</v>
      </c>
      <c r="B1774">
        <v>3.8540999999999999</v>
      </c>
    </row>
    <row r="1775" spans="1:2" x14ac:dyDescent="0.35">
      <c r="A1775" s="16">
        <v>42348</v>
      </c>
      <c r="B1775">
        <v>3.7679</v>
      </c>
    </row>
    <row r="1776" spans="1:2" x14ac:dyDescent="0.35">
      <c r="A1776" s="16">
        <v>42347</v>
      </c>
      <c r="B1776">
        <v>3.7572999999999999</v>
      </c>
    </row>
    <row r="1777" spans="1:2" x14ac:dyDescent="0.35">
      <c r="A1777" s="16">
        <v>42346</v>
      </c>
      <c r="B1777">
        <v>3.7915000000000001</v>
      </c>
    </row>
    <row r="1778" spans="1:2" x14ac:dyDescent="0.35">
      <c r="A1778" s="16">
        <v>42345</v>
      </c>
      <c r="B1778">
        <v>3.7469999999999999</v>
      </c>
    </row>
    <row r="1779" spans="1:2" x14ac:dyDescent="0.35">
      <c r="A1779" s="16">
        <v>42342</v>
      </c>
      <c r="B1779">
        <v>3.7568999999999999</v>
      </c>
    </row>
    <row r="1780" spans="1:2" x14ac:dyDescent="0.35">
      <c r="A1780" s="16">
        <v>42341</v>
      </c>
      <c r="B1780">
        <v>3.7964000000000002</v>
      </c>
    </row>
    <row r="1781" spans="1:2" x14ac:dyDescent="0.35">
      <c r="A1781" s="16">
        <v>42340</v>
      </c>
      <c r="B1781">
        <v>3.8538999999999999</v>
      </c>
    </row>
    <row r="1782" spans="1:2" x14ac:dyDescent="0.35">
      <c r="A1782" s="16">
        <v>42339</v>
      </c>
      <c r="B1782">
        <v>3.8738999999999999</v>
      </c>
    </row>
    <row r="1783" spans="1:2" x14ac:dyDescent="0.35">
      <c r="A1783" s="16">
        <v>42338</v>
      </c>
      <c r="B1783">
        <v>3.8498999999999999</v>
      </c>
    </row>
    <row r="1784" spans="1:2" x14ac:dyDescent="0.35">
      <c r="A1784" s="16">
        <v>42335</v>
      </c>
      <c r="B1784">
        <v>3.7391999999999999</v>
      </c>
    </row>
    <row r="1785" spans="1:2" x14ac:dyDescent="0.35">
      <c r="A1785" s="16">
        <v>42334</v>
      </c>
      <c r="B1785">
        <v>3.76</v>
      </c>
    </row>
    <row r="1786" spans="1:2" x14ac:dyDescent="0.35">
      <c r="A1786" s="16">
        <v>42333</v>
      </c>
      <c r="B1786">
        <v>3.7682000000000002</v>
      </c>
    </row>
    <row r="1787" spans="1:2" x14ac:dyDescent="0.35">
      <c r="A1787" s="16">
        <v>42332</v>
      </c>
      <c r="B1787">
        <v>3.7075</v>
      </c>
    </row>
    <row r="1788" spans="1:2" x14ac:dyDescent="0.35">
      <c r="A1788" s="16">
        <v>42331</v>
      </c>
      <c r="B1788">
        <v>3.7223999999999999</v>
      </c>
    </row>
    <row r="1789" spans="1:2" x14ac:dyDescent="0.35">
      <c r="A1789" s="16">
        <v>42328</v>
      </c>
      <c r="B1789">
        <v>3.7</v>
      </c>
    </row>
    <row r="1790" spans="1:2" x14ac:dyDescent="0.35">
      <c r="A1790" s="16">
        <v>42327</v>
      </c>
      <c r="B1790">
        <v>3.7435</v>
      </c>
    </row>
    <row r="1791" spans="1:2" x14ac:dyDescent="0.35">
      <c r="A1791" s="16">
        <v>42326</v>
      </c>
      <c r="B1791">
        <v>3.7915000000000001</v>
      </c>
    </row>
    <row r="1792" spans="1:2" x14ac:dyDescent="0.35">
      <c r="A1792" s="16">
        <v>42325</v>
      </c>
      <c r="B1792">
        <v>3.8045</v>
      </c>
    </row>
    <row r="1793" spans="1:2" x14ac:dyDescent="0.35">
      <c r="A1793" s="16">
        <v>42324</v>
      </c>
      <c r="B1793">
        <v>3.8330000000000002</v>
      </c>
    </row>
    <row r="1794" spans="1:2" x14ac:dyDescent="0.35">
      <c r="A1794" s="16">
        <v>42321</v>
      </c>
      <c r="B1794">
        <v>3.8016000000000001</v>
      </c>
    </row>
    <row r="1795" spans="1:2" x14ac:dyDescent="0.35">
      <c r="A1795" s="16">
        <v>42320</v>
      </c>
      <c r="B1795">
        <v>3.7989999999999999</v>
      </c>
    </row>
    <row r="1796" spans="1:2" x14ac:dyDescent="0.35">
      <c r="A1796" s="16">
        <v>42319</v>
      </c>
      <c r="B1796">
        <v>3.7320000000000002</v>
      </c>
    </row>
    <row r="1797" spans="1:2" x14ac:dyDescent="0.35">
      <c r="A1797" s="16">
        <v>42318</v>
      </c>
      <c r="B1797">
        <v>3.7974999999999999</v>
      </c>
    </row>
    <row r="1798" spans="1:2" x14ac:dyDescent="0.35">
      <c r="A1798" s="16">
        <v>42317</v>
      </c>
      <c r="B1798">
        <v>3.7921999999999998</v>
      </c>
    </row>
    <row r="1799" spans="1:2" x14ac:dyDescent="0.35">
      <c r="A1799" s="16">
        <v>42314</v>
      </c>
      <c r="B1799">
        <v>3.8052999999999999</v>
      </c>
    </row>
    <row r="1800" spans="1:2" x14ac:dyDescent="0.35">
      <c r="A1800" s="16">
        <v>42313</v>
      </c>
      <c r="B1800">
        <v>3.7887</v>
      </c>
    </row>
    <row r="1801" spans="1:2" x14ac:dyDescent="0.35">
      <c r="A1801" s="16">
        <v>42312</v>
      </c>
      <c r="B1801">
        <v>3.7679999999999998</v>
      </c>
    </row>
    <row r="1802" spans="1:2" x14ac:dyDescent="0.35">
      <c r="A1802" s="16">
        <v>42311</v>
      </c>
      <c r="B1802">
        <v>3.8119999999999998</v>
      </c>
    </row>
    <row r="1803" spans="1:2" x14ac:dyDescent="0.35">
      <c r="A1803" s="16">
        <v>42307</v>
      </c>
      <c r="B1803">
        <v>3.8582000000000001</v>
      </c>
    </row>
    <row r="1804" spans="1:2" x14ac:dyDescent="0.35">
      <c r="A1804" s="16">
        <v>42306</v>
      </c>
      <c r="B1804">
        <v>3.9321000000000002</v>
      </c>
    </row>
    <row r="1805" spans="1:2" x14ac:dyDescent="0.35">
      <c r="A1805" s="16">
        <v>42305</v>
      </c>
      <c r="B1805">
        <v>3.8791000000000002</v>
      </c>
    </row>
    <row r="1806" spans="1:2" x14ac:dyDescent="0.35">
      <c r="A1806" s="16">
        <v>42304</v>
      </c>
      <c r="B1806">
        <v>3.9108000000000001</v>
      </c>
    </row>
    <row r="1807" spans="1:2" x14ac:dyDescent="0.35">
      <c r="A1807" s="16">
        <v>42303</v>
      </c>
      <c r="B1807">
        <v>3.8574999999999999</v>
      </c>
    </row>
    <row r="1808" spans="1:2" x14ac:dyDescent="0.35">
      <c r="A1808" s="16">
        <v>42300</v>
      </c>
      <c r="B1808">
        <v>3.8982000000000001</v>
      </c>
    </row>
    <row r="1809" spans="1:2" x14ac:dyDescent="0.35">
      <c r="A1809" s="16">
        <v>42299</v>
      </c>
      <c r="B1809">
        <v>3.9354</v>
      </c>
    </row>
    <row r="1810" spans="1:2" x14ac:dyDescent="0.35">
      <c r="A1810" s="16">
        <v>42298</v>
      </c>
      <c r="B1810">
        <v>3.9380000000000002</v>
      </c>
    </row>
    <row r="1811" spans="1:2" x14ac:dyDescent="0.35">
      <c r="A1811" s="16">
        <v>42297</v>
      </c>
      <c r="B1811">
        <v>3.8650000000000002</v>
      </c>
    </row>
    <row r="1812" spans="1:2" x14ac:dyDescent="0.35">
      <c r="A1812" s="16">
        <v>42296</v>
      </c>
      <c r="B1812">
        <v>3.9009</v>
      </c>
    </row>
    <row r="1813" spans="1:2" x14ac:dyDescent="0.35">
      <c r="A1813" s="16">
        <v>42293</v>
      </c>
      <c r="B1813">
        <v>3.8431999999999999</v>
      </c>
    </row>
    <row r="1814" spans="1:2" x14ac:dyDescent="0.35">
      <c r="A1814" s="16">
        <v>42292</v>
      </c>
      <c r="B1814">
        <v>3.8336999999999999</v>
      </c>
    </row>
    <row r="1815" spans="1:2" x14ac:dyDescent="0.35">
      <c r="A1815" s="16">
        <v>42291</v>
      </c>
      <c r="B1815">
        <v>3.8500999999999999</v>
      </c>
    </row>
    <row r="1816" spans="1:2" x14ac:dyDescent="0.35">
      <c r="A1816" s="16">
        <v>42290</v>
      </c>
      <c r="B1816">
        <v>3.8243</v>
      </c>
    </row>
    <row r="1817" spans="1:2" x14ac:dyDescent="0.35">
      <c r="A1817" s="16">
        <v>42286</v>
      </c>
      <c r="B1817">
        <v>3.738</v>
      </c>
    </row>
    <row r="1818" spans="1:2" x14ac:dyDescent="0.35">
      <c r="A1818" s="16">
        <v>42285</v>
      </c>
      <c r="B1818">
        <v>3.8511000000000002</v>
      </c>
    </row>
    <row r="1819" spans="1:2" x14ac:dyDescent="0.35">
      <c r="A1819" s="16">
        <v>42284</v>
      </c>
      <c r="B1819">
        <v>3.8052999999999999</v>
      </c>
    </row>
    <row r="1820" spans="1:2" x14ac:dyDescent="0.35">
      <c r="A1820" s="16">
        <v>42283</v>
      </c>
      <c r="B1820">
        <v>3.8561000000000001</v>
      </c>
    </row>
    <row r="1821" spans="1:2" x14ac:dyDescent="0.35">
      <c r="A1821" s="16">
        <v>42282</v>
      </c>
      <c r="B1821">
        <v>3.9135</v>
      </c>
    </row>
    <row r="1822" spans="1:2" x14ac:dyDescent="0.35">
      <c r="A1822" s="16">
        <v>42279</v>
      </c>
      <c r="B1822">
        <v>4.0003000000000002</v>
      </c>
    </row>
    <row r="1823" spans="1:2" x14ac:dyDescent="0.35">
      <c r="A1823" s="16">
        <v>42278</v>
      </c>
      <c r="B1823">
        <v>3.9788000000000001</v>
      </c>
    </row>
    <row r="1824" spans="1:2" x14ac:dyDescent="0.35">
      <c r="A1824" s="16">
        <v>42277</v>
      </c>
      <c r="B1824">
        <v>3.9722</v>
      </c>
    </row>
    <row r="1825" spans="1:2" x14ac:dyDescent="0.35">
      <c r="A1825" s="16">
        <v>42276</v>
      </c>
      <c r="B1825">
        <v>4.1165000000000003</v>
      </c>
    </row>
    <row r="1826" spans="1:2" x14ac:dyDescent="0.35">
      <c r="A1826" s="16">
        <v>42275</v>
      </c>
      <c r="B1826">
        <v>4.0092999999999996</v>
      </c>
    </row>
    <row r="1827" spans="1:2" x14ac:dyDescent="0.35">
      <c r="A1827" s="16">
        <v>42272</v>
      </c>
      <c r="B1827">
        <v>3.9472</v>
      </c>
    </row>
    <row r="1828" spans="1:2" x14ac:dyDescent="0.35">
      <c r="A1828" s="16">
        <v>42271</v>
      </c>
      <c r="B1828">
        <v>4.1942000000000004</v>
      </c>
    </row>
    <row r="1829" spans="1:2" x14ac:dyDescent="0.35">
      <c r="A1829" s="16">
        <v>42270</v>
      </c>
      <c r="B1829">
        <v>4.1033999999999997</v>
      </c>
    </row>
    <row r="1830" spans="1:2" x14ac:dyDescent="0.35">
      <c r="A1830" s="16">
        <v>42269</v>
      </c>
      <c r="B1830">
        <v>4.0419</v>
      </c>
    </row>
    <row r="1831" spans="1:2" x14ac:dyDescent="0.35">
      <c r="A1831" s="16">
        <v>42268</v>
      </c>
      <c r="B1831">
        <v>3.9815</v>
      </c>
    </row>
    <row r="1832" spans="1:2" x14ac:dyDescent="0.35">
      <c r="A1832" s="16">
        <v>42265</v>
      </c>
      <c r="B1832">
        <v>3.9015</v>
      </c>
    </row>
    <row r="1833" spans="1:2" x14ac:dyDescent="0.35">
      <c r="A1833" s="16">
        <v>42264</v>
      </c>
      <c r="B1833">
        <v>3.8915000000000002</v>
      </c>
    </row>
    <row r="1834" spans="1:2" x14ac:dyDescent="0.35">
      <c r="A1834" s="16">
        <v>42263</v>
      </c>
      <c r="B1834">
        <v>3.8361000000000001</v>
      </c>
    </row>
    <row r="1835" spans="1:2" x14ac:dyDescent="0.35">
      <c r="A1835" s="16">
        <v>42262</v>
      </c>
      <c r="B1835">
        <v>3.8593000000000002</v>
      </c>
    </row>
    <row r="1836" spans="1:2" x14ac:dyDescent="0.35">
      <c r="A1836" s="16">
        <v>42261</v>
      </c>
      <c r="B1836">
        <v>3.8647</v>
      </c>
    </row>
    <row r="1837" spans="1:2" x14ac:dyDescent="0.35">
      <c r="A1837" s="16">
        <v>42258</v>
      </c>
      <c r="B1837">
        <v>3.8692000000000002</v>
      </c>
    </row>
    <row r="1838" spans="1:2" x14ac:dyDescent="0.35">
      <c r="A1838" s="16">
        <v>42257</v>
      </c>
      <c r="B1838">
        <v>3.8691</v>
      </c>
    </row>
    <row r="1839" spans="1:2" x14ac:dyDescent="0.35">
      <c r="A1839" s="16">
        <v>42256</v>
      </c>
      <c r="B1839">
        <v>3.7864</v>
      </c>
    </row>
    <row r="1840" spans="1:2" x14ac:dyDescent="0.35">
      <c r="A1840" s="16">
        <v>42255</v>
      </c>
      <c r="B1840">
        <v>3.8020999999999998</v>
      </c>
    </row>
    <row r="1841" spans="1:2" x14ac:dyDescent="0.35">
      <c r="A1841" s="16">
        <v>42251</v>
      </c>
      <c r="B1841">
        <v>3.798</v>
      </c>
    </row>
    <row r="1842" spans="1:2" x14ac:dyDescent="0.35">
      <c r="A1842" s="16">
        <v>42250</v>
      </c>
      <c r="B1842">
        <v>3.7753000000000001</v>
      </c>
    </row>
    <row r="1843" spans="1:2" x14ac:dyDescent="0.35">
      <c r="A1843" s="16">
        <v>42249</v>
      </c>
      <c r="B1843">
        <v>3.7307000000000001</v>
      </c>
    </row>
    <row r="1844" spans="1:2" x14ac:dyDescent="0.35">
      <c r="A1844" s="16">
        <v>42248</v>
      </c>
      <c r="B1844">
        <v>3.6718999999999999</v>
      </c>
    </row>
    <row r="1845" spans="1:2" x14ac:dyDescent="0.35">
      <c r="A1845" s="16">
        <v>42247</v>
      </c>
      <c r="B1845">
        <v>3.6461000000000001</v>
      </c>
    </row>
    <row r="1846" spans="1:2" x14ac:dyDescent="0.35">
      <c r="A1846" s="16">
        <v>42244</v>
      </c>
      <c r="B1846">
        <v>3.5783999999999998</v>
      </c>
    </row>
    <row r="1847" spans="1:2" x14ac:dyDescent="0.35">
      <c r="A1847" s="16">
        <v>42243</v>
      </c>
      <c r="B1847">
        <v>3.5548999999999999</v>
      </c>
    </row>
    <row r="1848" spans="1:2" x14ac:dyDescent="0.35">
      <c r="A1848" s="16">
        <v>42242</v>
      </c>
      <c r="B1848">
        <v>3.6320000000000001</v>
      </c>
    </row>
    <row r="1849" spans="1:2" x14ac:dyDescent="0.35">
      <c r="A1849" s="16">
        <v>42241</v>
      </c>
      <c r="B1849">
        <v>3.5339</v>
      </c>
    </row>
    <row r="1850" spans="1:2" x14ac:dyDescent="0.35">
      <c r="A1850" s="16">
        <v>42240</v>
      </c>
      <c r="B1850">
        <v>3.5488</v>
      </c>
    </row>
    <row r="1851" spans="1:2" x14ac:dyDescent="0.35">
      <c r="A1851" s="16">
        <v>42237</v>
      </c>
      <c r="B1851">
        <v>3.4889999999999999</v>
      </c>
    </row>
    <row r="1852" spans="1:2" x14ac:dyDescent="0.35">
      <c r="A1852" s="16">
        <v>42236</v>
      </c>
      <c r="B1852">
        <v>3.4744999999999999</v>
      </c>
    </row>
    <row r="1853" spans="1:2" x14ac:dyDescent="0.35">
      <c r="A1853" s="16">
        <v>42235</v>
      </c>
      <c r="B1853">
        <v>3.4843000000000002</v>
      </c>
    </row>
    <row r="1854" spans="1:2" x14ac:dyDescent="0.35">
      <c r="A1854" s="16">
        <v>42234</v>
      </c>
      <c r="B1854">
        <v>3.4805000000000001</v>
      </c>
    </row>
    <row r="1855" spans="1:2" x14ac:dyDescent="0.35">
      <c r="A1855" s="16">
        <v>42233</v>
      </c>
      <c r="B1855">
        <v>3.4739</v>
      </c>
    </row>
    <row r="1856" spans="1:2" x14ac:dyDescent="0.35">
      <c r="A1856" s="16">
        <v>42230</v>
      </c>
      <c r="B1856">
        <v>3.4754999999999998</v>
      </c>
    </row>
    <row r="1857" spans="1:2" x14ac:dyDescent="0.35">
      <c r="A1857" s="16">
        <v>42229</v>
      </c>
      <c r="B1857">
        <v>3.5068000000000001</v>
      </c>
    </row>
    <row r="1858" spans="1:2" x14ac:dyDescent="0.35">
      <c r="A1858" s="16">
        <v>42228</v>
      </c>
      <c r="B1858">
        <v>3.4820000000000002</v>
      </c>
    </row>
    <row r="1859" spans="1:2" x14ac:dyDescent="0.35">
      <c r="A1859" s="16">
        <v>42227</v>
      </c>
      <c r="B1859">
        <v>3.4918999999999998</v>
      </c>
    </row>
    <row r="1860" spans="1:2" x14ac:dyDescent="0.35">
      <c r="A1860" s="16">
        <v>42226</v>
      </c>
      <c r="B1860">
        <v>3.4903</v>
      </c>
    </row>
    <row r="1861" spans="1:2" x14ac:dyDescent="0.35">
      <c r="A1861" s="16">
        <v>42223</v>
      </c>
      <c r="B1861">
        <v>3.5175000000000001</v>
      </c>
    </row>
    <row r="1862" spans="1:2" x14ac:dyDescent="0.35">
      <c r="A1862" s="16">
        <v>42222</v>
      </c>
      <c r="B1862">
        <v>3.5341</v>
      </c>
    </row>
    <row r="1863" spans="1:2" x14ac:dyDescent="0.35">
      <c r="A1863" s="16">
        <v>42221</v>
      </c>
      <c r="B1863">
        <v>3.4843999999999999</v>
      </c>
    </row>
    <row r="1864" spans="1:2" x14ac:dyDescent="0.35">
      <c r="A1864" s="16">
        <v>42220</v>
      </c>
      <c r="B1864">
        <v>3.4668999999999999</v>
      </c>
    </row>
    <row r="1865" spans="1:2" x14ac:dyDescent="0.35">
      <c r="A1865" s="16">
        <v>42219</v>
      </c>
      <c r="B1865">
        <v>3.4419</v>
      </c>
    </row>
    <row r="1866" spans="1:2" x14ac:dyDescent="0.35">
      <c r="A1866" s="16">
        <v>42216</v>
      </c>
      <c r="B1866">
        <v>3.3934000000000002</v>
      </c>
    </row>
    <row r="1867" spans="1:2" x14ac:dyDescent="0.35">
      <c r="A1867" s="16">
        <v>42215</v>
      </c>
      <c r="B1867">
        <v>3.3645999999999998</v>
      </c>
    </row>
    <row r="1868" spans="1:2" x14ac:dyDescent="0.35">
      <c r="A1868" s="16">
        <v>42214</v>
      </c>
      <c r="B1868">
        <v>3.3412999999999999</v>
      </c>
    </row>
    <row r="1869" spans="1:2" x14ac:dyDescent="0.35">
      <c r="A1869" s="16">
        <v>42213</v>
      </c>
      <c r="B1869">
        <v>3.3807999999999998</v>
      </c>
    </row>
    <row r="1870" spans="1:2" x14ac:dyDescent="0.35">
      <c r="A1870" s="16">
        <v>42212</v>
      </c>
      <c r="B1870">
        <v>3.3551000000000002</v>
      </c>
    </row>
    <row r="1871" spans="1:2" x14ac:dyDescent="0.35">
      <c r="A1871" s="16">
        <v>42209</v>
      </c>
      <c r="B1871">
        <v>3.3248000000000002</v>
      </c>
    </row>
    <row r="1872" spans="1:2" x14ac:dyDescent="0.35">
      <c r="A1872" s="16">
        <v>42208</v>
      </c>
      <c r="B1872">
        <v>3.2844000000000002</v>
      </c>
    </row>
    <row r="1873" spans="1:2" x14ac:dyDescent="0.35">
      <c r="A1873" s="16">
        <v>42207</v>
      </c>
      <c r="B1873">
        <v>3.2088000000000001</v>
      </c>
    </row>
    <row r="1874" spans="1:2" x14ac:dyDescent="0.35">
      <c r="A1874" s="16">
        <v>42206</v>
      </c>
      <c r="B1874">
        <v>3.1806999999999999</v>
      </c>
    </row>
    <row r="1875" spans="1:2" x14ac:dyDescent="0.35">
      <c r="A1875" s="16">
        <v>42205</v>
      </c>
      <c r="B1875">
        <v>3.2143000000000002</v>
      </c>
    </row>
    <row r="1876" spans="1:2" x14ac:dyDescent="0.35">
      <c r="A1876" s="16">
        <v>42202</v>
      </c>
      <c r="B1876">
        <v>3.1825999999999999</v>
      </c>
    </row>
    <row r="1877" spans="1:2" x14ac:dyDescent="0.35">
      <c r="A1877" s="16">
        <v>42201</v>
      </c>
      <c r="B1877">
        <v>3.1368999999999998</v>
      </c>
    </row>
    <row r="1878" spans="1:2" x14ac:dyDescent="0.35">
      <c r="A1878" s="16">
        <v>42200</v>
      </c>
      <c r="B1878">
        <v>3.1526000000000001</v>
      </c>
    </row>
    <row r="1879" spans="1:2" x14ac:dyDescent="0.35">
      <c r="A1879" s="16">
        <v>42199</v>
      </c>
      <c r="B1879">
        <v>3.1223999999999998</v>
      </c>
    </row>
    <row r="1880" spans="1:2" x14ac:dyDescent="0.35">
      <c r="A1880" s="16">
        <v>42198</v>
      </c>
      <c r="B1880">
        <v>3.1587999999999998</v>
      </c>
    </row>
    <row r="1881" spans="1:2" x14ac:dyDescent="0.35">
      <c r="A1881" s="16">
        <v>42195</v>
      </c>
      <c r="B1881">
        <v>3.1890999999999998</v>
      </c>
    </row>
    <row r="1882" spans="1:2" x14ac:dyDescent="0.35">
      <c r="A1882" s="16">
        <v>42194</v>
      </c>
      <c r="B1882">
        <v>3.2151999999999998</v>
      </c>
    </row>
    <row r="1883" spans="1:2" x14ac:dyDescent="0.35">
      <c r="A1883" s="16">
        <v>42193</v>
      </c>
      <c r="B1883">
        <v>3.2275</v>
      </c>
    </row>
    <row r="1884" spans="1:2" x14ac:dyDescent="0.35">
      <c r="A1884" s="16">
        <v>42192</v>
      </c>
      <c r="B1884">
        <v>3.1802999999999999</v>
      </c>
    </row>
    <row r="1885" spans="1:2" x14ac:dyDescent="0.35">
      <c r="A1885" s="16">
        <v>42191</v>
      </c>
      <c r="B1885">
        <v>3.1425000000000001</v>
      </c>
    </row>
    <row r="1886" spans="1:2" x14ac:dyDescent="0.35">
      <c r="A1886" s="16">
        <v>42188</v>
      </c>
      <c r="B1886">
        <v>3.1265000000000001</v>
      </c>
    </row>
    <row r="1887" spans="1:2" x14ac:dyDescent="0.35">
      <c r="A1887" s="16">
        <v>42187</v>
      </c>
      <c r="B1887">
        <v>3.1166</v>
      </c>
    </row>
    <row r="1888" spans="1:2" x14ac:dyDescent="0.35">
      <c r="A1888" s="16">
        <v>42186</v>
      </c>
      <c r="B1888">
        <v>3.1185</v>
      </c>
    </row>
    <row r="1889" spans="1:2" x14ac:dyDescent="0.35">
      <c r="A1889" s="16">
        <v>42185</v>
      </c>
      <c r="B1889">
        <v>3.1019000000000001</v>
      </c>
    </row>
    <row r="1890" spans="1:2" x14ac:dyDescent="0.35">
      <c r="A1890" s="16">
        <v>42184</v>
      </c>
      <c r="B1890">
        <v>3.1383000000000001</v>
      </c>
    </row>
    <row r="1891" spans="1:2" x14ac:dyDescent="0.35">
      <c r="A1891" s="16">
        <v>42181</v>
      </c>
      <c r="B1891">
        <v>3.1265000000000001</v>
      </c>
    </row>
    <row r="1892" spans="1:2" x14ac:dyDescent="0.35">
      <c r="A1892" s="16">
        <v>42180</v>
      </c>
      <c r="B1892">
        <v>3.1009000000000002</v>
      </c>
    </row>
    <row r="1893" spans="1:2" x14ac:dyDescent="0.35">
      <c r="A1893" s="16">
        <v>42179</v>
      </c>
      <c r="B1893">
        <v>3.0846</v>
      </c>
    </row>
    <row r="1894" spans="1:2" x14ac:dyDescent="0.35">
      <c r="A1894" s="16">
        <v>42178</v>
      </c>
      <c r="B1894">
        <v>3.1036000000000001</v>
      </c>
    </row>
    <row r="1895" spans="1:2" x14ac:dyDescent="0.35">
      <c r="A1895" s="16">
        <v>42177</v>
      </c>
      <c r="B1895">
        <v>3.0750999999999999</v>
      </c>
    </row>
    <row r="1896" spans="1:2" x14ac:dyDescent="0.35">
      <c r="A1896" s="16">
        <v>42174</v>
      </c>
      <c r="B1896">
        <v>3.0781999999999998</v>
      </c>
    </row>
    <row r="1897" spans="1:2" x14ac:dyDescent="0.35">
      <c r="A1897" s="16">
        <v>42173</v>
      </c>
      <c r="B1897">
        <v>3.0466000000000002</v>
      </c>
    </row>
    <row r="1898" spans="1:2" x14ac:dyDescent="0.35">
      <c r="A1898" s="16">
        <v>42172</v>
      </c>
      <c r="B1898">
        <v>3.0983000000000001</v>
      </c>
    </row>
    <row r="1899" spans="1:2" x14ac:dyDescent="0.35">
      <c r="A1899" s="16">
        <v>42171</v>
      </c>
      <c r="B1899">
        <v>3.1076000000000001</v>
      </c>
    </row>
    <row r="1900" spans="1:2" x14ac:dyDescent="0.35">
      <c r="A1900" s="16">
        <v>42170</v>
      </c>
      <c r="B1900">
        <v>3.1030000000000002</v>
      </c>
    </row>
    <row r="1901" spans="1:2" x14ac:dyDescent="0.35">
      <c r="A1901" s="16">
        <v>42167</v>
      </c>
      <c r="B1901">
        <v>3.1101000000000001</v>
      </c>
    </row>
    <row r="1902" spans="1:2" x14ac:dyDescent="0.35">
      <c r="A1902" s="16">
        <v>42166</v>
      </c>
      <c r="B1902">
        <v>3.1507999999999998</v>
      </c>
    </row>
    <row r="1903" spans="1:2" x14ac:dyDescent="0.35">
      <c r="A1903" s="16">
        <v>42165</v>
      </c>
      <c r="B1903">
        <v>3.0836999999999999</v>
      </c>
    </row>
    <row r="1904" spans="1:2" x14ac:dyDescent="0.35">
      <c r="A1904" s="16">
        <v>42164</v>
      </c>
      <c r="B1904">
        <v>3.0985</v>
      </c>
    </row>
    <row r="1905" spans="1:2" x14ac:dyDescent="0.35">
      <c r="A1905" s="16">
        <v>42163</v>
      </c>
      <c r="B1905">
        <v>3.1183999999999998</v>
      </c>
    </row>
    <row r="1906" spans="1:2" x14ac:dyDescent="0.35">
      <c r="A1906" s="16">
        <v>42160</v>
      </c>
      <c r="B1906">
        <v>3.1677</v>
      </c>
    </row>
    <row r="1907" spans="1:2" x14ac:dyDescent="0.35">
      <c r="A1907" s="16">
        <v>42158</v>
      </c>
      <c r="B1907">
        <v>3.1177999999999999</v>
      </c>
    </row>
    <row r="1908" spans="1:2" x14ac:dyDescent="0.35">
      <c r="A1908" s="16">
        <v>42157</v>
      </c>
      <c r="B1908">
        <v>3.1436999999999999</v>
      </c>
    </row>
    <row r="1909" spans="1:2" x14ac:dyDescent="0.35">
      <c r="A1909" s="16">
        <v>42156</v>
      </c>
      <c r="B1909">
        <v>3.1783000000000001</v>
      </c>
    </row>
    <row r="1910" spans="1:2" x14ac:dyDescent="0.35">
      <c r="A1910" s="16">
        <v>42153</v>
      </c>
      <c r="B1910">
        <v>3.1781000000000001</v>
      </c>
    </row>
    <row r="1911" spans="1:2" x14ac:dyDescent="0.35">
      <c r="A1911" s="16">
        <v>42152</v>
      </c>
      <c r="B1911">
        <v>3.1741000000000001</v>
      </c>
    </row>
    <row r="1912" spans="1:2" x14ac:dyDescent="0.35">
      <c r="A1912" s="16">
        <v>42151</v>
      </c>
      <c r="B1912">
        <v>3.1734</v>
      </c>
    </row>
    <row r="1913" spans="1:2" x14ac:dyDescent="0.35">
      <c r="A1913" s="16">
        <v>42150</v>
      </c>
      <c r="B1913">
        <v>3.1345000000000001</v>
      </c>
    </row>
    <row r="1914" spans="1:2" x14ac:dyDescent="0.35">
      <c r="A1914" s="16">
        <v>42149</v>
      </c>
      <c r="B1914">
        <v>3.1206</v>
      </c>
    </row>
    <row r="1915" spans="1:2" x14ac:dyDescent="0.35">
      <c r="A1915" s="16">
        <v>42146</v>
      </c>
      <c r="B1915">
        <v>3.0647000000000002</v>
      </c>
    </row>
    <row r="1916" spans="1:2" x14ac:dyDescent="0.35">
      <c r="A1916" s="16">
        <v>42145</v>
      </c>
      <c r="B1916">
        <v>3.0289000000000001</v>
      </c>
    </row>
    <row r="1917" spans="1:2" x14ac:dyDescent="0.35">
      <c r="A1917" s="16">
        <v>42144</v>
      </c>
      <c r="B1917">
        <v>3.0339999999999998</v>
      </c>
    </row>
    <row r="1918" spans="1:2" x14ac:dyDescent="0.35">
      <c r="A1918" s="16">
        <v>42143</v>
      </c>
      <c r="B1918">
        <v>3.0278</v>
      </c>
    </row>
    <row r="1919" spans="1:2" x14ac:dyDescent="0.35">
      <c r="A1919" s="16">
        <v>42142</v>
      </c>
      <c r="B1919">
        <v>3.0139</v>
      </c>
    </row>
    <row r="1920" spans="1:2" x14ac:dyDescent="0.35">
      <c r="A1920" s="16">
        <v>42139</v>
      </c>
      <c r="B1920">
        <v>2.9887000000000001</v>
      </c>
    </row>
    <row r="1921" spans="1:2" x14ac:dyDescent="0.35">
      <c r="A1921" s="16">
        <v>42138</v>
      </c>
      <c r="B1921">
        <v>3.0026000000000002</v>
      </c>
    </row>
    <row r="1922" spans="1:2" x14ac:dyDescent="0.35">
      <c r="A1922" s="16">
        <v>42137</v>
      </c>
      <c r="B1922">
        <v>3.0095999999999998</v>
      </c>
    </row>
    <row r="1923" spans="1:2" x14ac:dyDescent="0.35">
      <c r="A1923" s="16">
        <v>42136</v>
      </c>
      <c r="B1923">
        <v>3.0381999999999998</v>
      </c>
    </row>
    <row r="1924" spans="1:2" x14ac:dyDescent="0.35">
      <c r="A1924" s="16">
        <v>42135</v>
      </c>
      <c r="B1924">
        <v>3.0169000000000001</v>
      </c>
    </row>
    <row r="1925" spans="1:2" x14ac:dyDescent="0.35">
      <c r="A1925" s="16">
        <v>42132</v>
      </c>
      <c r="B1925">
        <v>2.9958999999999998</v>
      </c>
    </row>
    <row r="1926" spans="1:2" x14ac:dyDescent="0.35">
      <c r="A1926" s="16">
        <v>42131</v>
      </c>
      <c r="B1926">
        <v>3.0415000000000001</v>
      </c>
    </row>
    <row r="1927" spans="1:2" x14ac:dyDescent="0.35">
      <c r="A1927" s="16">
        <v>42130</v>
      </c>
      <c r="B1927">
        <v>3.0413999999999999</v>
      </c>
    </row>
    <row r="1928" spans="1:2" x14ac:dyDescent="0.35">
      <c r="A1928" s="16">
        <v>42129</v>
      </c>
      <c r="B1928">
        <v>3.0619000000000001</v>
      </c>
    </row>
    <row r="1929" spans="1:2" x14ac:dyDescent="0.35">
      <c r="A1929" s="16">
        <v>42128</v>
      </c>
      <c r="B1929">
        <v>3.0748000000000002</v>
      </c>
    </row>
    <row r="1930" spans="1:2" x14ac:dyDescent="0.35">
      <c r="A1930" s="16">
        <v>42124</v>
      </c>
      <c r="B1930">
        <v>2.9929999999999999</v>
      </c>
    </row>
    <row r="1931" spans="1:2" x14ac:dyDescent="0.35">
      <c r="A1931" s="16">
        <v>42123</v>
      </c>
      <c r="B1931">
        <v>2.9369000000000001</v>
      </c>
    </row>
    <row r="1932" spans="1:2" x14ac:dyDescent="0.35">
      <c r="A1932" s="16">
        <v>42122</v>
      </c>
      <c r="B1932">
        <v>2.8936999999999999</v>
      </c>
    </row>
    <row r="1933" spans="1:2" x14ac:dyDescent="0.35">
      <c r="A1933" s="16">
        <v>42121</v>
      </c>
      <c r="B1933">
        <v>2.9228999999999998</v>
      </c>
    </row>
    <row r="1934" spans="1:2" x14ac:dyDescent="0.35">
      <c r="A1934" s="16">
        <v>42118</v>
      </c>
      <c r="B1934">
        <v>2.9739</v>
      </c>
    </row>
    <row r="1935" spans="1:2" x14ac:dyDescent="0.35">
      <c r="A1935" s="16">
        <v>42117</v>
      </c>
      <c r="B1935">
        <v>3.0076999999999998</v>
      </c>
    </row>
    <row r="1936" spans="1:2" x14ac:dyDescent="0.35">
      <c r="A1936" s="16">
        <v>42116</v>
      </c>
      <c r="B1936">
        <v>3.0179999999999998</v>
      </c>
    </row>
    <row r="1937" spans="1:2" x14ac:dyDescent="0.35">
      <c r="A1937" s="16">
        <v>42114</v>
      </c>
      <c r="B1937">
        <v>3.0467</v>
      </c>
    </row>
    <row r="1938" spans="1:2" x14ac:dyDescent="0.35">
      <c r="A1938" s="16">
        <v>42111</v>
      </c>
      <c r="B1938">
        <v>3.0537999999999998</v>
      </c>
    </row>
    <row r="1939" spans="1:2" x14ac:dyDescent="0.35">
      <c r="A1939" s="16">
        <v>42110</v>
      </c>
      <c r="B1939">
        <v>3.0243000000000002</v>
      </c>
    </row>
    <row r="1940" spans="1:2" x14ac:dyDescent="0.35">
      <c r="A1940" s="16">
        <v>42109</v>
      </c>
      <c r="B1940">
        <v>3.0674999999999999</v>
      </c>
    </row>
    <row r="1941" spans="1:2" x14ac:dyDescent="0.35">
      <c r="A1941" s="16">
        <v>42108</v>
      </c>
      <c r="B1941">
        <v>3.0874000000000001</v>
      </c>
    </row>
    <row r="1942" spans="1:2" x14ac:dyDescent="0.35">
      <c r="A1942" s="16">
        <v>42107</v>
      </c>
      <c r="B1942">
        <v>3.1004999999999998</v>
      </c>
    </row>
    <row r="1943" spans="1:2" x14ac:dyDescent="0.35">
      <c r="A1943" s="16">
        <v>42104</v>
      </c>
      <c r="B1943">
        <v>3.0789</v>
      </c>
    </row>
    <row r="1944" spans="1:2" x14ac:dyDescent="0.35">
      <c r="A1944" s="16">
        <v>42103</v>
      </c>
      <c r="B1944">
        <v>3.0459000000000001</v>
      </c>
    </row>
    <row r="1945" spans="1:2" x14ac:dyDescent="0.35">
      <c r="A1945" s="16">
        <v>42102</v>
      </c>
      <c r="B1945">
        <v>3.0828000000000002</v>
      </c>
    </row>
    <row r="1946" spans="1:2" x14ac:dyDescent="0.35">
      <c r="A1946" s="16">
        <v>42101</v>
      </c>
      <c r="B1946">
        <v>3.1225000000000001</v>
      </c>
    </row>
    <row r="1947" spans="1:2" x14ac:dyDescent="0.35">
      <c r="A1947" s="16">
        <v>42100</v>
      </c>
      <c r="B1947">
        <v>3.0920000000000001</v>
      </c>
    </row>
    <row r="1948" spans="1:2" x14ac:dyDescent="0.35">
      <c r="A1948" s="16">
        <v>42096</v>
      </c>
      <c r="B1948">
        <v>3.1486000000000001</v>
      </c>
    </row>
    <row r="1949" spans="1:2" x14ac:dyDescent="0.35">
      <c r="A1949" s="16">
        <v>42095</v>
      </c>
      <c r="B1949">
        <v>3.1549</v>
      </c>
    </row>
    <row r="1950" spans="1:2" x14ac:dyDescent="0.35">
      <c r="A1950" s="16">
        <v>42094</v>
      </c>
      <c r="B1950">
        <v>3.2073999999999998</v>
      </c>
    </row>
    <row r="1951" spans="1:2" x14ac:dyDescent="0.35">
      <c r="A1951" s="16">
        <v>42093</v>
      </c>
      <c r="B1951">
        <v>3.2595000000000001</v>
      </c>
    </row>
    <row r="1952" spans="1:2" x14ac:dyDescent="0.35">
      <c r="A1952" s="16">
        <v>42090</v>
      </c>
      <c r="B1952">
        <v>3.2252999999999998</v>
      </c>
    </row>
    <row r="1953" spans="1:2" x14ac:dyDescent="0.35">
      <c r="A1953" s="16">
        <v>42089</v>
      </c>
      <c r="B1953">
        <v>3.1909000000000001</v>
      </c>
    </row>
    <row r="1954" spans="1:2" x14ac:dyDescent="0.35">
      <c r="A1954" s="16">
        <v>42088</v>
      </c>
      <c r="B1954">
        <v>3.1469</v>
      </c>
    </row>
    <row r="1955" spans="1:2" x14ac:dyDescent="0.35">
      <c r="A1955" s="16">
        <v>42087</v>
      </c>
      <c r="B1955">
        <v>3.1303999999999998</v>
      </c>
    </row>
    <row r="1956" spans="1:2" x14ac:dyDescent="0.35">
      <c r="A1956" s="16">
        <v>42086</v>
      </c>
      <c r="B1956">
        <v>3.1793</v>
      </c>
    </row>
    <row r="1957" spans="1:2" x14ac:dyDescent="0.35">
      <c r="A1957" s="16">
        <v>42083</v>
      </c>
      <c r="B1957">
        <v>3.2416999999999998</v>
      </c>
    </row>
    <row r="1958" spans="1:2" x14ac:dyDescent="0.35">
      <c r="A1958" s="16">
        <v>42082</v>
      </c>
      <c r="B1958">
        <v>3.2635000000000001</v>
      </c>
    </row>
    <row r="1959" spans="1:2" x14ac:dyDescent="0.35">
      <c r="A1959" s="16">
        <v>42081</v>
      </c>
      <c r="B1959">
        <v>3.2511999999999999</v>
      </c>
    </row>
    <row r="1960" spans="1:2" x14ac:dyDescent="0.35">
      <c r="A1960" s="16">
        <v>42080</v>
      </c>
      <c r="B1960">
        <v>3.2677</v>
      </c>
    </row>
    <row r="1961" spans="1:2" x14ac:dyDescent="0.35">
      <c r="A1961" s="16">
        <v>42079</v>
      </c>
      <c r="B1961">
        <v>3.2250999999999999</v>
      </c>
    </row>
    <row r="1962" spans="1:2" x14ac:dyDescent="0.35">
      <c r="A1962" s="16">
        <v>42076</v>
      </c>
      <c r="B1962">
        <v>3.2258</v>
      </c>
    </row>
    <row r="1963" spans="1:2" x14ac:dyDescent="0.35">
      <c r="A1963" s="16">
        <v>42075</v>
      </c>
      <c r="B1963">
        <v>3.1164999999999998</v>
      </c>
    </row>
    <row r="1964" spans="1:2" x14ac:dyDescent="0.35">
      <c r="A1964" s="16">
        <v>42074</v>
      </c>
      <c r="B1964">
        <v>3.1156000000000001</v>
      </c>
    </row>
    <row r="1965" spans="1:2" x14ac:dyDescent="0.35">
      <c r="A1965" s="16">
        <v>42073</v>
      </c>
      <c r="B1965">
        <v>3.1293000000000002</v>
      </c>
    </row>
    <row r="1966" spans="1:2" x14ac:dyDescent="0.35">
      <c r="A1966" s="16">
        <v>42072</v>
      </c>
      <c r="B1966">
        <v>3.1012</v>
      </c>
    </row>
    <row r="1967" spans="1:2" x14ac:dyDescent="0.35">
      <c r="A1967" s="16">
        <v>42069</v>
      </c>
      <c r="B1967">
        <v>3.036</v>
      </c>
    </row>
    <row r="1968" spans="1:2" x14ac:dyDescent="0.35">
      <c r="A1968" s="16">
        <v>42068</v>
      </c>
      <c r="B1968">
        <v>2.9925000000000002</v>
      </c>
    </row>
    <row r="1969" spans="1:2" x14ac:dyDescent="0.35">
      <c r="A1969" s="16">
        <v>42067</v>
      </c>
      <c r="B1969">
        <v>2.9798</v>
      </c>
    </row>
    <row r="1970" spans="1:2" x14ac:dyDescent="0.35">
      <c r="A1970" s="16">
        <v>42066</v>
      </c>
      <c r="B1970">
        <v>2.9045000000000001</v>
      </c>
    </row>
    <row r="1971" spans="1:2" x14ac:dyDescent="0.35">
      <c r="A1971" s="16">
        <v>42065</v>
      </c>
      <c r="B1971">
        <v>2.8649</v>
      </c>
    </row>
    <row r="1972" spans="1:2" x14ac:dyDescent="0.35">
      <c r="A1972" s="16">
        <v>42062</v>
      </c>
      <c r="B1972">
        <v>2.8776999999999999</v>
      </c>
    </row>
    <row r="1973" spans="1:2" x14ac:dyDescent="0.35">
      <c r="A1973" s="16">
        <v>42061</v>
      </c>
      <c r="B1973">
        <v>2.8721000000000001</v>
      </c>
    </row>
    <row r="1974" spans="1:2" x14ac:dyDescent="0.35">
      <c r="A1974" s="16">
        <v>42060</v>
      </c>
      <c r="B1974">
        <v>2.8639999999999999</v>
      </c>
    </row>
    <row r="1975" spans="1:2" x14ac:dyDescent="0.35">
      <c r="A1975" s="16">
        <v>42059</v>
      </c>
      <c r="B1975">
        <v>2.8643000000000001</v>
      </c>
    </row>
    <row r="1976" spans="1:2" x14ac:dyDescent="0.35">
      <c r="A1976" s="16">
        <v>42058</v>
      </c>
      <c r="B1976">
        <v>2.8805000000000001</v>
      </c>
    </row>
    <row r="1977" spans="1:2" x14ac:dyDescent="0.35">
      <c r="A1977" s="16">
        <v>42055</v>
      </c>
      <c r="B1977">
        <v>2.8694000000000002</v>
      </c>
    </row>
    <row r="1978" spans="1:2" x14ac:dyDescent="0.35">
      <c r="A1978" s="16">
        <v>42054</v>
      </c>
      <c r="B1978">
        <v>2.8538999999999999</v>
      </c>
    </row>
    <row r="1979" spans="1:2" x14ac:dyDescent="0.35">
      <c r="A1979" s="16">
        <v>42053</v>
      </c>
      <c r="B1979">
        <v>2.8424</v>
      </c>
    </row>
    <row r="1980" spans="1:2" x14ac:dyDescent="0.35">
      <c r="A1980" s="16">
        <v>42048</v>
      </c>
      <c r="B1980">
        <v>2.8384999999999998</v>
      </c>
    </row>
    <row r="1981" spans="1:2" x14ac:dyDescent="0.35">
      <c r="A1981" s="16">
        <v>42047</v>
      </c>
      <c r="B1981">
        <v>2.8618999999999999</v>
      </c>
    </row>
    <row r="1982" spans="1:2" x14ac:dyDescent="0.35">
      <c r="A1982" s="16">
        <v>42046</v>
      </c>
      <c r="B1982">
        <v>2.8570000000000002</v>
      </c>
    </row>
    <row r="1983" spans="1:2" x14ac:dyDescent="0.35">
      <c r="A1983" s="16">
        <v>42045</v>
      </c>
      <c r="B1983">
        <v>2.8069000000000002</v>
      </c>
    </row>
    <row r="1984" spans="1:2" x14ac:dyDescent="0.35">
      <c r="A1984" s="16">
        <v>42044</v>
      </c>
      <c r="B1984">
        <v>2.7867000000000002</v>
      </c>
    </row>
    <row r="1985" spans="1:2" x14ac:dyDescent="0.35">
      <c r="A1985" s="16">
        <v>42041</v>
      </c>
      <c r="B1985">
        <v>2.7635000000000001</v>
      </c>
    </row>
    <row r="1986" spans="1:2" x14ac:dyDescent="0.35">
      <c r="A1986" s="16">
        <v>42040</v>
      </c>
      <c r="B1986">
        <v>2.738</v>
      </c>
    </row>
    <row r="1987" spans="1:2" x14ac:dyDescent="0.35">
      <c r="A1987" s="16">
        <v>42039</v>
      </c>
      <c r="B1987">
        <v>2.7141999999999999</v>
      </c>
    </row>
    <row r="1988" spans="1:2" x14ac:dyDescent="0.35">
      <c r="A1988" s="16">
        <v>42038</v>
      </c>
      <c r="B1988">
        <v>2.7052999999999998</v>
      </c>
    </row>
    <row r="1989" spans="1:2" x14ac:dyDescent="0.35">
      <c r="A1989" s="16">
        <v>42037</v>
      </c>
      <c r="B1989">
        <v>2.6888000000000001</v>
      </c>
    </row>
    <row r="1990" spans="1:2" x14ac:dyDescent="0.35">
      <c r="A1990" s="16">
        <v>42034</v>
      </c>
      <c r="B1990">
        <v>2.6617000000000002</v>
      </c>
    </row>
    <row r="1991" spans="1:2" x14ac:dyDescent="0.35">
      <c r="A1991" s="16">
        <v>42033</v>
      </c>
      <c r="B1991">
        <v>2.5954000000000002</v>
      </c>
    </row>
    <row r="1992" spans="1:2" x14ac:dyDescent="0.35">
      <c r="A1992" s="16">
        <v>42032</v>
      </c>
      <c r="B1992">
        <v>2.5790999999999999</v>
      </c>
    </row>
    <row r="1993" spans="1:2" x14ac:dyDescent="0.35">
      <c r="A1993" s="16">
        <v>42031</v>
      </c>
      <c r="B1993">
        <v>2.5802999999999998</v>
      </c>
    </row>
    <row r="1994" spans="1:2" x14ac:dyDescent="0.35">
      <c r="A1994" s="16">
        <v>42030</v>
      </c>
      <c r="B1994">
        <v>2.5960000000000001</v>
      </c>
    </row>
    <row r="1995" spans="1:2" x14ac:dyDescent="0.35">
      <c r="A1995" s="16">
        <v>42027</v>
      </c>
      <c r="B1995">
        <v>2.585</v>
      </c>
    </row>
    <row r="1996" spans="1:2" x14ac:dyDescent="0.35">
      <c r="A1996" s="16">
        <v>42026</v>
      </c>
      <c r="B1996">
        <v>2.5748000000000002</v>
      </c>
    </row>
    <row r="1997" spans="1:2" x14ac:dyDescent="0.35">
      <c r="A1997" s="16">
        <v>42025</v>
      </c>
      <c r="B1997">
        <v>2.5960999999999999</v>
      </c>
    </row>
    <row r="1998" spans="1:2" x14ac:dyDescent="0.35">
      <c r="A1998" s="16">
        <v>42024</v>
      </c>
      <c r="B1998">
        <v>2.6240999999999999</v>
      </c>
    </row>
    <row r="1999" spans="1:2" x14ac:dyDescent="0.35">
      <c r="A1999" s="16">
        <v>42023</v>
      </c>
      <c r="B1999">
        <v>2.6236999999999999</v>
      </c>
    </row>
    <row r="2000" spans="1:2" x14ac:dyDescent="0.35">
      <c r="A2000" s="16">
        <v>42020</v>
      </c>
      <c r="B2000">
        <v>2.6187</v>
      </c>
    </row>
    <row r="2001" spans="1:2" x14ac:dyDescent="0.35">
      <c r="A2001" s="16">
        <v>42019</v>
      </c>
      <c r="B2001">
        <v>2.6116000000000001</v>
      </c>
    </row>
    <row r="2002" spans="1:2" x14ac:dyDescent="0.35">
      <c r="A2002" s="16">
        <v>42018</v>
      </c>
      <c r="B2002">
        <v>2.6215999999999999</v>
      </c>
    </row>
    <row r="2003" spans="1:2" x14ac:dyDescent="0.35">
      <c r="A2003" s="16">
        <v>42017</v>
      </c>
      <c r="B2003">
        <v>2.6478999999999999</v>
      </c>
    </row>
    <row r="2004" spans="1:2" x14ac:dyDescent="0.35">
      <c r="A2004" s="16">
        <v>42016</v>
      </c>
      <c r="B2004">
        <v>2.6568999999999998</v>
      </c>
    </row>
    <row r="2005" spans="1:2" x14ac:dyDescent="0.35">
      <c r="A2005" s="16">
        <v>42013</v>
      </c>
      <c r="B2005">
        <v>2.6577000000000002</v>
      </c>
    </row>
    <row r="2006" spans="1:2" x14ac:dyDescent="0.35">
      <c r="A2006" s="16">
        <v>42012</v>
      </c>
      <c r="B2006">
        <v>2.6913</v>
      </c>
    </row>
    <row r="2007" spans="1:2" x14ac:dyDescent="0.35">
      <c r="A2007" s="16">
        <v>42011</v>
      </c>
      <c r="B2007">
        <v>2.6800999999999999</v>
      </c>
    </row>
    <row r="2008" spans="1:2" x14ac:dyDescent="0.35">
      <c r="A2008" s="16">
        <v>42010</v>
      </c>
      <c r="B2008">
        <v>2.7016</v>
      </c>
    </row>
    <row r="2009" spans="1:2" x14ac:dyDescent="0.35">
      <c r="A2009" s="16">
        <v>42009</v>
      </c>
      <c r="B2009">
        <v>2.7101000000000002</v>
      </c>
    </row>
    <row r="2010" spans="1:2" x14ac:dyDescent="0.35">
      <c r="A2010" s="16">
        <v>42006</v>
      </c>
      <c r="B2010">
        <v>2.6922999999999999</v>
      </c>
    </row>
    <row r="2011" spans="1:2" x14ac:dyDescent="0.35">
      <c r="A2011" s="16">
        <v>42004</v>
      </c>
      <c r="B2011">
        <v>2.6556000000000002</v>
      </c>
    </row>
    <row r="2012" spans="1:2" x14ac:dyDescent="0.35">
      <c r="A2012" s="16">
        <v>42003</v>
      </c>
      <c r="B2012">
        <v>2.6556000000000002</v>
      </c>
    </row>
    <row r="2013" spans="1:2" x14ac:dyDescent="0.35">
      <c r="A2013" s="16">
        <v>42002</v>
      </c>
      <c r="B2013">
        <v>2.6777000000000002</v>
      </c>
    </row>
    <row r="2014" spans="1:2" x14ac:dyDescent="0.35">
      <c r="A2014" s="16">
        <v>41999</v>
      </c>
      <c r="B2014">
        <v>2.6806000000000001</v>
      </c>
    </row>
    <row r="2015" spans="1:2" x14ac:dyDescent="0.35">
      <c r="A2015" s="16">
        <v>41997</v>
      </c>
      <c r="B2015">
        <v>2.6821999999999999</v>
      </c>
    </row>
    <row r="2016" spans="1:2" x14ac:dyDescent="0.35">
      <c r="A2016" s="16">
        <v>41996</v>
      </c>
      <c r="B2016">
        <v>2.6768999999999998</v>
      </c>
    </row>
    <row r="2017" spans="1:2" x14ac:dyDescent="0.35">
      <c r="A2017" s="16">
        <v>41995</v>
      </c>
      <c r="B2017">
        <v>2.6520000000000001</v>
      </c>
    </row>
    <row r="2018" spans="1:2" x14ac:dyDescent="0.35">
      <c r="A2018" s="16">
        <v>41992</v>
      </c>
      <c r="B2018">
        <v>2.6480000000000001</v>
      </c>
    </row>
    <row r="2019" spans="1:2" x14ac:dyDescent="0.35">
      <c r="A2019" s="16">
        <v>41991</v>
      </c>
      <c r="B2019">
        <v>2.6669</v>
      </c>
    </row>
    <row r="2020" spans="1:2" x14ac:dyDescent="0.35">
      <c r="A2020" s="16">
        <v>41990</v>
      </c>
      <c r="B2020">
        <v>2.7240000000000002</v>
      </c>
    </row>
    <row r="2021" spans="1:2" x14ac:dyDescent="0.35">
      <c r="A2021" s="16">
        <v>41989</v>
      </c>
      <c r="B2021">
        <v>2.7397</v>
      </c>
    </row>
    <row r="2022" spans="1:2" x14ac:dyDescent="0.35">
      <c r="A2022" s="16">
        <v>41988</v>
      </c>
      <c r="B2022">
        <v>2.6711</v>
      </c>
    </row>
    <row r="2023" spans="1:2" x14ac:dyDescent="0.35">
      <c r="A2023" s="16">
        <v>41985</v>
      </c>
      <c r="B2023">
        <v>2.6551999999999998</v>
      </c>
    </row>
    <row r="2024" spans="1:2" x14ac:dyDescent="0.35">
      <c r="A2024" s="16">
        <v>41984</v>
      </c>
      <c r="B2024">
        <v>2.6265000000000001</v>
      </c>
    </row>
    <row r="2025" spans="1:2" x14ac:dyDescent="0.35">
      <c r="A2025" s="16">
        <v>41983</v>
      </c>
      <c r="B2025">
        <v>2.5924999999999998</v>
      </c>
    </row>
    <row r="2026" spans="1:2" x14ac:dyDescent="0.35">
      <c r="A2026" s="16">
        <v>41982</v>
      </c>
      <c r="B2026">
        <v>2.601</v>
      </c>
    </row>
    <row r="2027" spans="1:2" x14ac:dyDescent="0.35">
      <c r="A2027" s="16">
        <v>41981</v>
      </c>
      <c r="B2027">
        <v>2.5916999999999999</v>
      </c>
    </row>
    <row r="2028" spans="1:2" x14ac:dyDescent="0.35">
      <c r="A2028" s="16">
        <v>41978</v>
      </c>
      <c r="B2028">
        <v>2.5882000000000001</v>
      </c>
    </row>
    <row r="2029" spans="1:2" x14ac:dyDescent="0.35">
      <c r="A2029" s="16">
        <v>41977</v>
      </c>
      <c r="B2029">
        <v>2.5790999999999999</v>
      </c>
    </row>
    <row r="2030" spans="1:2" x14ac:dyDescent="0.35">
      <c r="A2030" s="16">
        <v>41976</v>
      </c>
      <c r="B2030">
        <v>2.5600999999999998</v>
      </c>
    </row>
    <row r="2031" spans="1:2" x14ac:dyDescent="0.35">
      <c r="A2031" s="16">
        <v>41975</v>
      </c>
      <c r="B2031">
        <v>2.5657999999999999</v>
      </c>
    </row>
    <row r="2032" spans="1:2" x14ac:dyDescent="0.35">
      <c r="A2032" s="16">
        <v>41974</v>
      </c>
      <c r="B2032">
        <v>2.5617999999999999</v>
      </c>
    </row>
    <row r="2033" spans="1:2" x14ac:dyDescent="0.35">
      <c r="A2033" s="16">
        <v>41971</v>
      </c>
      <c r="B2033">
        <v>2.5594999999999999</v>
      </c>
    </row>
    <row r="2034" spans="1:2" x14ac:dyDescent="0.35">
      <c r="A2034" s="16">
        <v>41970</v>
      </c>
      <c r="B2034">
        <v>2.5059</v>
      </c>
    </row>
    <row r="2035" spans="1:2" x14ac:dyDescent="0.35">
      <c r="A2035" s="16">
        <v>41969</v>
      </c>
      <c r="B2035">
        <v>2.5097</v>
      </c>
    </row>
    <row r="2036" spans="1:2" x14ac:dyDescent="0.35">
      <c r="A2036" s="16">
        <v>41968</v>
      </c>
      <c r="B2036">
        <v>2.5230000000000001</v>
      </c>
    </row>
    <row r="2037" spans="1:2" x14ac:dyDescent="0.35">
      <c r="A2037" s="16">
        <v>41967</v>
      </c>
      <c r="B2037">
        <v>2.5276000000000001</v>
      </c>
    </row>
    <row r="2038" spans="1:2" x14ac:dyDescent="0.35">
      <c r="A2038" s="16">
        <v>41964</v>
      </c>
      <c r="B2038">
        <v>2.5384000000000002</v>
      </c>
    </row>
    <row r="2039" spans="1:2" x14ac:dyDescent="0.35">
      <c r="A2039" s="16">
        <v>41963</v>
      </c>
      <c r="B2039">
        <v>2.5539999999999998</v>
      </c>
    </row>
    <row r="2040" spans="1:2" x14ac:dyDescent="0.35">
      <c r="A2040" s="16">
        <v>41962</v>
      </c>
      <c r="B2040">
        <v>2.5842999999999998</v>
      </c>
    </row>
    <row r="2041" spans="1:2" x14ac:dyDescent="0.35">
      <c r="A2041" s="16">
        <v>41961</v>
      </c>
      <c r="B2041">
        <v>2.5960999999999999</v>
      </c>
    </row>
    <row r="2042" spans="1:2" x14ac:dyDescent="0.35">
      <c r="A2042" s="16">
        <v>41960</v>
      </c>
      <c r="B2042">
        <v>2.6029</v>
      </c>
    </row>
    <row r="2043" spans="1:2" x14ac:dyDescent="0.35">
      <c r="A2043" s="16">
        <v>41957</v>
      </c>
      <c r="B2043">
        <v>2.6128999999999998</v>
      </c>
    </row>
    <row r="2044" spans="1:2" x14ac:dyDescent="0.35">
      <c r="A2044" s="16">
        <v>41956</v>
      </c>
      <c r="B2044">
        <v>2.5718999999999999</v>
      </c>
    </row>
    <row r="2045" spans="1:2" x14ac:dyDescent="0.35">
      <c r="A2045" s="16">
        <v>41955</v>
      </c>
      <c r="B2045">
        <v>2.5543999999999998</v>
      </c>
    </row>
    <row r="2046" spans="1:2" x14ac:dyDescent="0.35">
      <c r="A2046" s="16">
        <v>41954</v>
      </c>
      <c r="B2046">
        <v>2.5638000000000001</v>
      </c>
    </row>
    <row r="2047" spans="1:2" x14ac:dyDescent="0.35">
      <c r="A2047" s="16">
        <v>41953</v>
      </c>
      <c r="B2047">
        <v>2.5384000000000002</v>
      </c>
    </row>
    <row r="2048" spans="1:2" x14ac:dyDescent="0.35">
      <c r="A2048" s="16">
        <v>41950</v>
      </c>
      <c r="B2048">
        <v>2.5714999999999999</v>
      </c>
    </row>
    <row r="2049" spans="1:2" x14ac:dyDescent="0.35">
      <c r="A2049" s="16">
        <v>41949</v>
      </c>
      <c r="B2049">
        <v>2.5318999999999998</v>
      </c>
    </row>
    <row r="2050" spans="1:2" x14ac:dyDescent="0.35">
      <c r="A2050" s="16">
        <v>41948</v>
      </c>
      <c r="B2050">
        <v>2.5162</v>
      </c>
    </row>
    <row r="2051" spans="1:2" x14ac:dyDescent="0.35">
      <c r="A2051" s="16">
        <v>41947</v>
      </c>
      <c r="B2051">
        <v>2.5188999999999999</v>
      </c>
    </row>
    <row r="2052" spans="1:2" x14ac:dyDescent="0.35">
      <c r="A2052" s="16">
        <v>41946</v>
      </c>
      <c r="B2052">
        <v>2.4832999999999998</v>
      </c>
    </row>
    <row r="2053" spans="1:2" x14ac:dyDescent="0.35">
      <c r="A2053" s="16">
        <v>41943</v>
      </c>
      <c r="B2053">
        <v>2.4436</v>
      </c>
    </row>
    <row r="2054" spans="1:2" x14ac:dyDescent="0.35">
      <c r="A2054" s="16">
        <v>41942</v>
      </c>
      <c r="B2054">
        <v>2.4113000000000002</v>
      </c>
    </row>
    <row r="2055" spans="1:2" x14ac:dyDescent="0.35">
      <c r="A2055" s="16">
        <v>41941</v>
      </c>
      <c r="B2055">
        <v>2.4340000000000002</v>
      </c>
    </row>
    <row r="2056" spans="1:2" x14ac:dyDescent="0.35">
      <c r="A2056" s="16">
        <v>41940</v>
      </c>
      <c r="B2056">
        <v>2.4863</v>
      </c>
    </row>
    <row r="2057" spans="1:2" x14ac:dyDescent="0.35">
      <c r="A2057" s="16">
        <v>41939</v>
      </c>
      <c r="B2057">
        <v>2.5335000000000001</v>
      </c>
    </row>
    <row r="2058" spans="1:2" x14ac:dyDescent="0.35">
      <c r="A2058" s="16">
        <v>41936</v>
      </c>
      <c r="B2058">
        <v>2.4799000000000002</v>
      </c>
    </row>
    <row r="2059" spans="1:2" x14ac:dyDescent="0.35">
      <c r="A2059" s="16">
        <v>41935</v>
      </c>
      <c r="B2059">
        <v>2.4998</v>
      </c>
    </row>
    <row r="2060" spans="1:2" x14ac:dyDescent="0.35">
      <c r="A2060" s="16">
        <v>41934</v>
      </c>
      <c r="B2060">
        <v>2.4775</v>
      </c>
    </row>
    <row r="2061" spans="1:2" x14ac:dyDescent="0.35">
      <c r="A2061" s="16">
        <v>41933</v>
      </c>
      <c r="B2061">
        <v>2.4790999999999999</v>
      </c>
    </row>
    <row r="2062" spans="1:2" x14ac:dyDescent="0.35">
      <c r="A2062" s="16">
        <v>41932</v>
      </c>
      <c r="B2062">
        <v>2.4548000000000001</v>
      </c>
    </row>
    <row r="2063" spans="1:2" x14ac:dyDescent="0.35">
      <c r="A2063" s="16">
        <v>41929</v>
      </c>
      <c r="B2063">
        <v>2.4470000000000001</v>
      </c>
    </row>
    <row r="2064" spans="1:2" x14ac:dyDescent="0.35">
      <c r="A2064" s="16">
        <v>41928</v>
      </c>
      <c r="B2064">
        <v>2.4763000000000002</v>
      </c>
    </row>
    <row r="2065" spans="1:2" x14ac:dyDescent="0.35">
      <c r="A2065" s="16">
        <v>41927</v>
      </c>
      <c r="B2065">
        <v>2.431</v>
      </c>
    </row>
    <row r="2066" spans="1:2" x14ac:dyDescent="0.35">
      <c r="A2066" s="16">
        <v>41926</v>
      </c>
      <c r="B2066">
        <v>2.3984999999999999</v>
      </c>
    </row>
    <row r="2067" spans="1:2" x14ac:dyDescent="0.35">
      <c r="A2067" s="16">
        <v>41925</v>
      </c>
      <c r="B2067">
        <v>2.3917000000000002</v>
      </c>
    </row>
    <row r="2068" spans="1:2" x14ac:dyDescent="0.35">
      <c r="A2068" s="16">
        <v>41922</v>
      </c>
      <c r="B2068">
        <v>2.4096000000000002</v>
      </c>
    </row>
    <row r="2069" spans="1:2" x14ac:dyDescent="0.35">
      <c r="A2069" s="16">
        <v>41921</v>
      </c>
      <c r="B2069">
        <v>2.3908</v>
      </c>
    </row>
    <row r="2070" spans="1:2" x14ac:dyDescent="0.35">
      <c r="A2070" s="16">
        <v>41920</v>
      </c>
      <c r="B2070">
        <v>2.4064999999999999</v>
      </c>
    </row>
    <row r="2071" spans="1:2" x14ac:dyDescent="0.35">
      <c r="A2071" s="16">
        <v>41919</v>
      </c>
      <c r="B2071">
        <v>2.4032</v>
      </c>
    </row>
    <row r="2072" spans="1:2" x14ac:dyDescent="0.35">
      <c r="A2072" s="16">
        <v>41918</v>
      </c>
      <c r="B2072">
        <v>2.4091999999999998</v>
      </c>
    </row>
    <row r="2073" spans="1:2" x14ac:dyDescent="0.35">
      <c r="A2073" s="16">
        <v>41915</v>
      </c>
      <c r="B2073">
        <v>2.4925999999999999</v>
      </c>
    </row>
    <row r="2074" spans="1:2" x14ac:dyDescent="0.35">
      <c r="A2074" s="16">
        <v>41914</v>
      </c>
      <c r="B2074">
        <v>2.4779</v>
      </c>
    </row>
    <row r="2075" spans="1:2" x14ac:dyDescent="0.35">
      <c r="A2075" s="16">
        <v>41913</v>
      </c>
      <c r="B2075">
        <v>2.4617</v>
      </c>
    </row>
    <row r="2076" spans="1:2" x14ac:dyDescent="0.35">
      <c r="A2076" s="16">
        <v>41912</v>
      </c>
      <c r="B2076">
        <v>2.4504000000000001</v>
      </c>
    </row>
    <row r="2077" spans="1:2" x14ac:dyDescent="0.35">
      <c r="A2077" s="16">
        <v>41911</v>
      </c>
      <c r="B2077">
        <v>2.4516</v>
      </c>
    </row>
    <row r="2078" spans="1:2" x14ac:dyDescent="0.35">
      <c r="A2078" s="16">
        <v>41908</v>
      </c>
      <c r="B2078">
        <v>2.4304000000000001</v>
      </c>
    </row>
    <row r="2079" spans="1:2" x14ac:dyDescent="0.35">
      <c r="A2079" s="16">
        <v>41907</v>
      </c>
      <c r="B2079">
        <v>2.4077999999999999</v>
      </c>
    </row>
    <row r="2080" spans="1:2" x14ac:dyDescent="0.35">
      <c r="A2080" s="16">
        <v>41906</v>
      </c>
      <c r="B2080">
        <v>2.4064000000000001</v>
      </c>
    </row>
    <row r="2081" spans="1:2" x14ac:dyDescent="0.35">
      <c r="A2081" s="16">
        <v>41905</v>
      </c>
      <c r="B2081">
        <v>2.4020000000000001</v>
      </c>
    </row>
    <row r="2082" spans="1:2" x14ac:dyDescent="0.35">
      <c r="A2082" s="16">
        <v>41904</v>
      </c>
      <c r="B2082">
        <v>2.3864000000000001</v>
      </c>
    </row>
    <row r="2083" spans="1:2" x14ac:dyDescent="0.35">
      <c r="A2083" s="16">
        <v>41901</v>
      </c>
      <c r="B2083">
        <v>2.3650000000000002</v>
      </c>
    </row>
    <row r="2084" spans="1:2" x14ac:dyDescent="0.35">
      <c r="A2084" s="16">
        <v>41900</v>
      </c>
      <c r="B2084">
        <v>2.3660999999999999</v>
      </c>
    </row>
    <row r="2085" spans="1:2" x14ac:dyDescent="0.35">
      <c r="A2085" s="16">
        <v>41899</v>
      </c>
      <c r="B2085">
        <v>2.3378000000000001</v>
      </c>
    </row>
    <row r="2086" spans="1:2" x14ac:dyDescent="0.35">
      <c r="A2086" s="16">
        <v>41898</v>
      </c>
      <c r="B2086">
        <v>2.3344999999999998</v>
      </c>
    </row>
    <row r="2087" spans="1:2" x14ac:dyDescent="0.35">
      <c r="A2087" s="16">
        <v>41897</v>
      </c>
      <c r="B2087">
        <v>2.3395000000000001</v>
      </c>
    </row>
    <row r="2088" spans="1:2" x14ac:dyDescent="0.35">
      <c r="A2088" s="16">
        <v>41894</v>
      </c>
      <c r="B2088">
        <v>2.3243999999999998</v>
      </c>
    </row>
    <row r="2089" spans="1:2" x14ac:dyDescent="0.35">
      <c r="A2089" s="16">
        <v>41893</v>
      </c>
      <c r="B2089">
        <v>2.2873999999999999</v>
      </c>
    </row>
    <row r="2090" spans="1:2" x14ac:dyDescent="0.35">
      <c r="A2090" s="16">
        <v>41892</v>
      </c>
      <c r="B2090">
        <v>2.2961</v>
      </c>
    </row>
    <row r="2091" spans="1:2" x14ac:dyDescent="0.35">
      <c r="A2091" s="16">
        <v>41891</v>
      </c>
      <c r="B2091">
        <v>2.2806999999999999</v>
      </c>
    </row>
    <row r="2092" spans="1:2" x14ac:dyDescent="0.35">
      <c r="A2092" s="16">
        <v>41890</v>
      </c>
      <c r="B2092">
        <v>2.2484999999999999</v>
      </c>
    </row>
    <row r="2093" spans="1:2" x14ac:dyDescent="0.35">
      <c r="A2093" s="16">
        <v>41887</v>
      </c>
      <c r="B2093">
        <v>2.2410000000000001</v>
      </c>
    </row>
    <row r="2094" spans="1:2" x14ac:dyDescent="0.35">
      <c r="A2094" s="16">
        <v>41886</v>
      </c>
      <c r="B2094">
        <v>2.2349999999999999</v>
      </c>
    </row>
    <row r="2095" spans="1:2" x14ac:dyDescent="0.35">
      <c r="A2095" s="16">
        <v>41885</v>
      </c>
      <c r="B2095">
        <v>2.2313000000000001</v>
      </c>
    </row>
    <row r="2096" spans="1:2" x14ac:dyDescent="0.35">
      <c r="A2096" s="16">
        <v>41884</v>
      </c>
      <c r="B2096">
        <v>2.2515000000000001</v>
      </c>
    </row>
    <row r="2097" spans="1:2" x14ac:dyDescent="0.35">
      <c r="A2097" s="16">
        <v>41883</v>
      </c>
      <c r="B2097">
        <v>2.2357999999999998</v>
      </c>
    </row>
    <row r="2098" spans="1:2" x14ac:dyDescent="0.35">
      <c r="A2098" s="16">
        <v>41880</v>
      </c>
      <c r="B2098">
        <v>2.2389999999999999</v>
      </c>
    </row>
    <row r="2099" spans="1:2" x14ac:dyDescent="0.35">
      <c r="A2099" s="16">
        <v>41879</v>
      </c>
      <c r="B2099">
        <v>2.2492999999999999</v>
      </c>
    </row>
    <row r="2100" spans="1:2" x14ac:dyDescent="0.35">
      <c r="A2100" s="16">
        <v>41878</v>
      </c>
      <c r="B2100">
        <v>2.2585000000000002</v>
      </c>
    </row>
    <row r="2101" spans="1:2" x14ac:dyDescent="0.35">
      <c r="A2101" s="16">
        <v>41877</v>
      </c>
      <c r="B2101">
        <v>2.2742</v>
      </c>
    </row>
    <row r="2102" spans="1:2" x14ac:dyDescent="0.35">
      <c r="A2102" s="16">
        <v>41876</v>
      </c>
      <c r="B2102">
        <v>2.2801999999999998</v>
      </c>
    </row>
    <row r="2103" spans="1:2" x14ac:dyDescent="0.35">
      <c r="A2103" s="16">
        <v>41873</v>
      </c>
      <c r="B2103">
        <v>2.2772000000000001</v>
      </c>
    </row>
    <row r="2104" spans="1:2" x14ac:dyDescent="0.35">
      <c r="A2104" s="16">
        <v>41872</v>
      </c>
      <c r="B2104">
        <v>2.2576000000000001</v>
      </c>
    </row>
    <row r="2105" spans="1:2" x14ac:dyDescent="0.35">
      <c r="A2105" s="16">
        <v>41871</v>
      </c>
      <c r="B2105">
        <v>2.2544</v>
      </c>
    </row>
    <row r="2106" spans="1:2" x14ac:dyDescent="0.35">
      <c r="A2106" s="16">
        <v>41870</v>
      </c>
      <c r="B2106">
        <v>2.2581000000000002</v>
      </c>
    </row>
    <row r="2107" spans="1:2" x14ac:dyDescent="0.35">
      <c r="A2107" s="16">
        <v>41869</v>
      </c>
      <c r="B2107">
        <v>2.2589000000000001</v>
      </c>
    </row>
    <row r="2108" spans="1:2" x14ac:dyDescent="0.35">
      <c r="A2108" s="16">
        <v>41866</v>
      </c>
      <c r="B2108">
        <v>2.2684000000000002</v>
      </c>
    </row>
    <row r="2109" spans="1:2" x14ac:dyDescent="0.35">
      <c r="A2109" s="16">
        <v>41865</v>
      </c>
      <c r="B2109">
        <v>2.2696999999999998</v>
      </c>
    </row>
    <row r="2110" spans="1:2" x14ac:dyDescent="0.35">
      <c r="A2110" s="16">
        <v>41864</v>
      </c>
      <c r="B2110">
        <v>2.2686000000000002</v>
      </c>
    </row>
    <row r="2111" spans="1:2" x14ac:dyDescent="0.35">
      <c r="A2111" s="16">
        <v>41863</v>
      </c>
      <c r="B2111">
        <v>2.2764000000000002</v>
      </c>
    </row>
    <row r="2112" spans="1:2" x14ac:dyDescent="0.35">
      <c r="A2112" s="16">
        <v>41862</v>
      </c>
      <c r="B2112">
        <v>2.2772999999999999</v>
      </c>
    </row>
    <row r="2113" spans="1:2" x14ac:dyDescent="0.35">
      <c r="A2113" s="16">
        <v>41859</v>
      </c>
      <c r="B2113">
        <v>2.298</v>
      </c>
    </row>
    <row r="2114" spans="1:2" x14ac:dyDescent="0.35">
      <c r="A2114" s="16">
        <v>41858</v>
      </c>
      <c r="B2114">
        <v>2.2795999999999998</v>
      </c>
    </row>
    <row r="2115" spans="1:2" x14ac:dyDescent="0.35">
      <c r="A2115" s="16">
        <v>41857</v>
      </c>
      <c r="B2115">
        <v>2.2784</v>
      </c>
    </row>
    <row r="2116" spans="1:2" x14ac:dyDescent="0.35">
      <c r="A2116" s="16">
        <v>41856</v>
      </c>
      <c r="B2116">
        <v>2.2749999999999999</v>
      </c>
    </row>
    <row r="2117" spans="1:2" x14ac:dyDescent="0.35">
      <c r="A2117" s="16">
        <v>41855</v>
      </c>
      <c r="B2117">
        <v>2.2570999999999999</v>
      </c>
    </row>
    <row r="2118" spans="1:2" x14ac:dyDescent="0.35">
      <c r="A2118" s="16">
        <v>41852</v>
      </c>
      <c r="B2118">
        <v>2.2599999999999998</v>
      </c>
    </row>
    <row r="2119" spans="1:2" x14ac:dyDescent="0.35">
      <c r="A2119" s="16">
        <v>41851</v>
      </c>
      <c r="B2119">
        <v>2.2667999999999999</v>
      </c>
    </row>
    <row r="2120" spans="1:2" x14ac:dyDescent="0.35">
      <c r="A2120" s="16">
        <v>41850</v>
      </c>
      <c r="B2120">
        <v>2.2441</v>
      </c>
    </row>
    <row r="2121" spans="1:2" x14ac:dyDescent="0.35">
      <c r="A2121" s="16">
        <v>41849</v>
      </c>
      <c r="B2121">
        <v>2.2271999999999998</v>
      </c>
    </row>
    <row r="2122" spans="1:2" x14ac:dyDescent="0.35">
      <c r="A2122" s="16">
        <v>41848</v>
      </c>
      <c r="B2122">
        <v>2.2296</v>
      </c>
    </row>
    <row r="2123" spans="1:2" x14ac:dyDescent="0.35">
      <c r="A2123" s="16">
        <v>41845</v>
      </c>
      <c r="B2123">
        <v>2.2286999999999999</v>
      </c>
    </row>
    <row r="2124" spans="1:2" x14ac:dyDescent="0.35">
      <c r="A2124" s="16">
        <v>41844</v>
      </c>
      <c r="B2124">
        <v>2.2198000000000002</v>
      </c>
    </row>
    <row r="2125" spans="1:2" x14ac:dyDescent="0.35">
      <c r="A2125" s="16">
        <v>41843</v>
      </c>
      <c r="B2125">
        <v>2.2195999999999998</v>
      </c>
    </row>
    <row r="2126" spans="1:2" x14ac:dyDescent="0.35">
      <c r="A2126" s="16">
        <v>41842</v>
      </c>
      <c r="B2126">
        <v>2.2122999999999999</v>
      </c>
    </row>
    <row r="2127" spans="1:2" x14ac:dyDescent="0.35">
      <c r="A2127" s="16">
        <v>41841</v>
      </c>
      <c r="B2127">
        <v>2.2231999999999998</v>
      </c>
    </row>
    <row r="2128" spans="1:2" x14ac:dyDescent="0.35">
      <c r="A2128" s="16">
        <v>41838</v>
      </c>
      <c r="B2128">
        <v>2.2355999999999998</v>
      </c>
    </row>
    <row r="2129" spans="1:2" x14ac:dyDescent="0.35">
      <c r="A2129" s="16">
        <v>41837</v>
      </c>
      <c r="B2129">
        <v>2.2397</v>
      </c>
    </row>
    <row r="2130" spans="1:2" x14ac:dyDescent="0.35">
      <c r="A2130" s="16">
        <v>41836</v>
      </c>
      <c r="B2130">
        <v>2.2187000000000001</v>
      </c>
    </row>
    <row r="2131" spans="1:2" x14ac:dyDescent="0.35">
      <c r="A2131" s="16">
        <v>41835</v>
      </c>
      <c r="B2131">
        <v>2.2189000000000001</v>
      </c>
    </row>
    <row r="2132" spans="1:2" x14ac:dyDescent="0.35">
      <c r="A2132" s="16">
        <v>41834</v>
      </c>
      <c r="B2132">
        <v>2.2170000000000001</v>
      </c>
    </row>
    <row r="2133" spans="1:2" x14ac:dyDescent="0.35">
      <c r="A2133" s="16">
        <v>41831</v>
      </c>
      <c r="B2133">
        <v>2.2222</v>
      </c>
    </row>
    <row r="2134" spans="1:2" x14ac:dyDescent="0.35">
      <c r="A2134" s="16">
        <v>41830</v>
      </c>
      <c r="B2134">
        <v>2.2231000000000001</v>
      </c>
    </row>
    <row r="2135" spans="1:2" x14ac:dyDescent="0.35">
      <c r="A2135" s="16">
        <v>41829</v>
      </c>
      <c r="B2135">
        <v>2.2128000000000001</v>
      </c>
    </row>
    <row r="2136" spans="1:2" x14ac:dyDescent="0.35">
      <c r="A2136" s="16">
        <v>41828</v>
      </c>
      <c r="B2136">
        <v>2.2143999999999999</v>
      </c>
    </row>
    <row r="2137" spans="1:2" x14ac:dyDescent="0.35">
      <c r="A2137" s="16">
        <v>41827</v>
      </c>
      <c r="B2137">
        <v>2.2195</v>
      </c>
    </row>
    <row r="2138" spans="1:2" x14ac:dyDescent="0.35">
      <c r="A2138" s="16">
        <v>41824</v>
      </c>
      <c r="B2138">
        <v>2.2143000000000002</v>
      </c>
    </row>
    <row r="2139" spans="1:2" x14ac:dyDescent="0.35">
      <c r="A2139" s="16">
        <v>41823</v>
      </c>
      <c r="B2139">
        <v>2.2275</v>
      </c>
    </row>
    <row r="2140" spans="1:2" x14ac:dyDescent="0.35">
      <c r="A2140" s="16">
        <v>41822</v>
      </c>
      <c r="B2140">
        <v>2.2126999999999999</v>
      </c>
    </row>
    <row r="2141" spans="1:2" x14ac:dyDescent="0.35">
      <c r="A2141" s="16">
        <v>41821</v>
      </c>
      <c r="B2141">
        <v>2.2048000000000001</v>
      </c>
    </row>
    <row r="2142" spans="1:2" x14ac:dyDescent="0.35">
      <c r="A2142" s="16">
        <v>41820</v>
      </c>
      <c r="B2142">
        <v>2.2019000000000002</v>
      </c>
    </row>
    <row r="2143" spans="1:2" x14ac:dyDescent="0.35">
      <c r="A2143" s="16">
        <v>41817</v>
      </c>
      <c r="B2143">
        <v>2.1968999999999999</v>
      </c>
    </row>
    <row r="2144" spans="1:2" x14ac:dyDescent="0.35">
      <c r="A2144" s="16">
        <v>41816</v>
      </c>
      <c r="B2144">
        <v>2.2082999999999999</v>
      </c>
    </row>
    <row r="2145" spans="1:2" x14ac:dyDescent="0.35">
      <c r="A2145" s="16">
        <v>41815</v>
      </c>
      <c r="B2145">
        <v>2.2046000000000001</v>
      </c>
    </row>
    <row r="2146" spans="1:2" x14ac:dyDescent="0.35">
      <c r="A2146" s="16">
        <v>41814</v>
      </c>
      <c r="B2146">
        <v>2.2210999999999999</v>
      </c>
    </row>
    <row r="2147" spans="1:2" x14ac:dyDescent="0.35">
      <c r="A2147" s="16">
        <v>41813</v>
      </c>
      <c r="B2147">
        <v>2.2189000000000001</v>
      </c>
    </row>
    <row r="2148" spans="1:2" x14ac:dyDescent="0.35">
      <c r="A2148" s="16">
        <v>41810</v>
      </c>
      <c r="B2148">
        <v>2.2374000000000001</v>
      </c>
    </row>
    <row r="2149" spans="1:2" x14ac:dyDescent="0.35">
      <c r="A2149" s="16">
        <v>41808</v>
      </c>
      <c r="B2149">
        <v>2.2528000000000001</v>
      </c>
    </row>
    <row r="2150" spans="1:2" x14ac:dyDescent="0.35">
      <c r="A2150" s="16">
        <v>41807</v>
      </c>
      <c r="B2150">
        <v>2.2480000000000002</v>
      </c>
    </row>
    <row r="2151" spans="1:2" x14ac:dyDescent="0.35">
      <c r="A2151" s="16">
        <v>41806</v>
      </c>
      <c r="B2151">
        <v>2.2307000000000001</v>
      </c>
    </row>
    <row r="2152" spans="1:2" x14ac:dyDescent="0.35">
      <c r="A2152" s="16">
        <v>41803</v>
      </c>
      <c r="B2152">
        <v>2.2341000000000002</v>
      </c>
    </row>
    <row r="2153" spans="1:2" x14ac:dyDescent="0.35">
      <c r="A2153" s="16">
        <v>41802</v>
      </c>
      <c r="B2153">
        <v>2.2298</v>
      </c>
    </row>
    <row r="2154" spans="1:2" x14ac:dyDescent="0.35">
      <c r="A2154" s="16">
        <v>41801</v>
      </c>
      <c r="B2154">
        <v>2.2301000000000002</v>
      </c>
    </row>
    <row r="2155" spans="1:2" x14ac:dyDescent="0.35">
      <c r="A2155" s="16">
        <v>41800</v>
      </c>
      <c r="B2155">
        <v>2.2290000000000001</v>
      </c>
    </row>
    <row r="2156" spans="1:2" x14ac:dyDescent="0.35">
      <c r="A2156" s="16">
        <v>41799</v>
      </c>
      <c r="B2156">
        <v>2.2330000000000001</v>
      </c>
    </row>
    <row r="2157" spans="1:2" x14ac:dyDescent="0.35">
      <c r="A2157" s="16">
        <v>41796</v>
      </c>
      <c r="B2157">
        <v>2.2439</v>
      </c>
    </row>
    <row r="2158" spans="1:2" x14ac:dyDescent="0.35">
      <c r="A2158" s="16">
        <v>41795</v>
      </c>
      <c r="B2158">
        <v>2.2688999999999999</v>
      </c>
    </row>
    <row r="2159" spans="1:2" x14ac:dyDescent="0.35">
      <c r="A2159" s="16">
        <v>41794</v>
      </c>
      <c r="B2159">
        <v>2.2795999999999998</v>
      </c>
    </row>
    <row r="2160" spans="1:2" x14ac:dyDescent="0.35">
      <c r="A2160" s="16">
        <v>41793</v>
      </c>
      <c r="B2160">
        <v>2.2648000000000001</v>
      </c>
    </row>
    <row r="2161" spans="1:2" x14ac:dyDescent="0.35">
      <c r="A2161" s="16">
        <v>41792</v>
      </c>
      <c r="B2161">
        <v>2.2633999999999999</v>
      </c>
    </row>
    <row r="2162" spans="1:2" x14ac:dyDescent="0.35">
      <c r="A2162" s="16">
        <v>41789</v>
      </c>
      <c r="B2162">
        <v>2.2383999999999999</v>
      </c>
    </row>
    <row r="2163" spans="1:2" x14ac:dyDescent="0.35">
      <c r="A2163" s="16">
        <v>41788</v>
      </c>
      <c r="B2163">
        <v>2.2244999999999999</v>
      </c>
    </row>
    <row r="2164" spans="1:2" x14ac:dyDescent="0.35">
      <c r="A2164" s="16">
        <v>41787</v>
      </c>
      <c r="B2164">
        <v>2.2399</v>
      </c>
    </row>
    <row r="2165" spans="1:2" x14ac:dyDescent="0.35">
      <c r="A2165" s="16">
        <v>41786</v>
      </c>
      <c r="B2165">
        <v>2.2347999999999999</v>
      </c>
    </row>
    <row r="2166" spans="1:2" x14ac:dyDescent="0.35">
      <c r="A2166" s="16">
        <v>41785</v>
      </c>
      <c r="B2166">
        <v>2.2202999999999999</v>
      </c>
    </row>
    <row r="2167" spans="1:2" x14ac:dyDescent="0.35">
      <c r="A2167" s="16">
        <v>41782</v>
      </c>
      <c r="B2167">
        <v>2.2181000000000002</v>
      </c>
    </row>
    <row r="2168" spans="1:2" x14ac:dyDescent="0.35">
      <c r="A2168" s="16">
        <v>41781</v>
      </c>
      <c r="B2168">
        <v>2.2124999999999999</v>
      </c>
    </row>
    <row r="2169" spans="1:2" x14ac:dyDescent="0.35">
      <c r="A2169" s="16">
        <v>41780</v>
      </c>
      <c r="B2169">
        <v>2.2105000000000001</v>
      </c>
    </row>
    <row r="2170" spans="1:2" x14ac:dyDescent="0.35">
      <c r="A2170" s="16">
        <v>41779</v>
      </c>
      <c r="B2170">
        <v>2.2149999999999999</v>
      </c>
    </row>
    <row r="2171" spans="1:2" x14ac:dyDescent="0.35">
      <c r="A2171" s="16">
        <v>41778</v>
      </c>
      <c r="B2171">
        <v>2.2105000000000001</v>
      </c>
    </row>
    <row r="2172" spans="1:2" x14ac:dyDescent="0.35">
      <c r="A2172" s="16">
        <v>41775</v>
      </c>
      <c r="B2172">
        <v>2.2103999999999999</v>
      </c>
    </row>
    <row r="2173" spans="1:2" x14ac:dyDescent="0.35">
      <c r="A2173" s="16">
        <v>41774</v>
      </c>
      <c r="B2173">
        <v>2.2160000000000002</v>
      </c>
    </row>
    <row r="2174" spans="1:2" x14ac:dyDescent="0.35">
      <c r="A2174" s="16">
        <v>41773</v>
      </c>
      <c r="B2174">
        <v>2.2122999999999999</v>
      </c>
    </row>
    <row r="2175" spans="1:2" x14ac:dyDescent="0.35">
      <c r="A2175" s="16">
        <v>41772</v>
      </c>
      <c r="B2175">
        <v>2.2094999999999998</v>
      </c>
    </row>
    <row r="2176" spans="1:2" x14ac:dyDescent="0.35">
      <c r="A2176" s="16">
        <v>41771</v>
      </c>
      <c r="B2176">
        <v>2.2158000000000002</v>
      </c>
    </row>
    <row r="2177" spans="1:2" x14ac:dyDescent="0.35">
      <c r="A2177" s="16">
        <v>41768</v>
      </c>
      <c r="B2177">
        <v>2.2185999999999999</v>
      </c>
    </row>
    <row r="2178" spans="1:2" x14ac:dyDescent="0.35">
      <c r="A2178" s="16">
        <v>41767</v>
      </c>
      <c r="B2178">
        <v>2.2101000000000002</v>
      </c>
    </row>
    <row r="2179" spans="1:2" x14ac:dyDescent="0.35">
      <c r="A2179" s="16">
        <v>41766</v>
      </c>
      <c r="B2179">
        <v>2.2275999999999998</v>
      </c>
    </row>
    <row r="2180" spans="1:2" x14ac:dyDescent="0.35">
      <c r="A2180" s="16">
        <v>41765</v>
      </c>
      <c r="B2180">
        <v>2.2315999999999998</v>
      </c>
    </row>
    <row r="2181" spans="1:2" x14ac:dyDescent="0.35">
      <c r="A2181" s="16">
        <v>41764</v>
      </c>
      <c r="B2181">
        <v>2.2280000000000002</v>
      </c>
    </row>
    <row r="2182" spans="1:2" x14ac:dyDescent="0.35">
      <c r="A2182" s="16">
        <v>41761</v>
      </c>
      <c r="B2182">
        <v>2.2214999999999998</v>
      </c>
    </row>
    <row r="2183" spans="1:2" x14ac:dyDescent="0.35">
      <c r="A2183" s="16">
        <v>41759</v>
      </c>
      <c r="B2183">
        <v>2.2353999999999998</v>
      </c>
    </row>
    <row r="2184" spans="1:2" x14ac:dyDescent="0.35">
      <c r="A2184" s="16">
        <v>41758</v>
      </c>
      <c r="B2184">
        <v>2.2193000000000001</v>
      </c>
    </row>
    <row r="2185" spans="1:2" x14ac:dyDescent="0.35">
      <c r="A2185" s="16">
        <v>41757</v>
      </c>
      <c r="B2185">
        <v>2.2364000000000002</v>
      </c>
    </row>
    <row r="2186" spans="1:2" x14ac:dyDescent="0.35">
      <c r="A2186" s="16">
        <v>41754</v>
      </c>
      <c r="B2186">
        <v>2.2319</v>
      </c>
    </row>
    <row r="2187" spans="1:2" x14ac:dyDescent="0.35">
      <c r="A2187" s="16">
        <v>41753</v>
      </c>
      <c r="B2187">
        <v>2.2223000000000002</v>
      </c>
    </row>
    <row r="2188" spans="1:2" x14ac:dyDescent="0.35">
      <c r="A2188" s="16">
        <v>41752</v>
      </c>
      <c r="B2188">
        <v>2.242</v>
      </c>
    </row>
    <row r="2189" spans="1:2" x14ac:dyDescent="0.35">
      <c r="A2189" s="16">
        <v>41751</v>
      </c>
      <c r="B2189">
        <v>2.2443</v>
      </c>
    </row>
    <row r="2190" spans="1:2" x14ac:dyDescent="0.35">
      <c r="A2190" s="16">
        <v>41746</v>
      </c>
      <c r="B2190">
        <v>2.2475999999999998</v>
      </c>
    </row>
    <row r="2191" spans="1:2" x14ac:dyDescent="0.35">
      <c r="A2191" s="16">
        <v>41745</v>
      </c>
      <c r="B2191">
        <v>2.2336</v>
      </c>
    </row>
    <row r="2192" spans="1:2" x14ac:dyDescent="0.35">
      <c r="A2192" s="16">
        <v>41744</v>
      </c>
      <c r="B2192">
        <v>2.2250999999999999</v>
      </c>
    </row>
    <row r="2193" spans="1:2" x14ac:dyDescent="0.35">
      <c r="A2193" s="16">
        <v>41743</v>
      </c>
      <c r="B2193">
        <v>2.2090000000000001</v>
      </c>
    </row>
    <row r="2194" spans="1:2" x14ac:dyDescent="0.35">
      <c r="A2194" s="16">
        <v>41740</v>
      </c>
      <c r="B2194">
        <v>2.2052999999999998</v>
      </c>
    </row>
    <row r="2195" spans="1:2" x14ac:dyDescent="0.35">
      <c r="A2195" s="16">
        <v>41739</v>
      </c>
      <c r="B2195">
        <v>2.1981999999999999</v>
      </c>
    </row>
    <row r="2196" spans="1:2" x14ac:dyDescent="0.35">
      <c r="A2196" s="16">
        <v>41738</v>
      </c>
      <c r="B2196">
        <v>2.2105000000000001</v>
      </c>
    </row>
    <row r="2197" spans="1:2" x14ac:dyDescent="0.35">
      <c r="A2197" s="16">
        <v>41737</v>
      </c>
      <c r="B2197">
        <v>2.1968000000000001</v>
      </c>
    </row>
    <row r="2198" spans="1:2" x14ac:dyDescent="0.35">
      <c r="A2198" s="16">
        <v>41736</v>
      </c>
      <c r="B2198">
        <v>2.2229999999999999</v>
      </c>
    </row>
    <row r="2199" spans="1:2" x14ac:dyDescent="0.35">
      <c r="A2199" s="16">
        <v>41733</v>
      </c>
      <c r="B2199">
        <v>2.2414000000000001</v>
      </c>
    </row>
    <row r="2200" spans="1:2" x14ac:dyDescent="0.35">
      <c r="A2200" s="16">
        <v>41732</v>
      </c>
      <c r="B2200">
        <v>2.2805</v>
      </c>
    </row>
    <row r="2201" spans="1:2" x14ac:dyDescent="0.35">
      <c r="A2201" s="16">
        <v>41731</v>
      </c>
      <c r="B2201">
        <v>2.2705000000000002</v>
      </c>
    </row>
    <row r="2202" spans="1:2" x14ac:dyDescent="0.35">
      <c r="A2202" s="16">
        <v>41730</v>
      </c>
      <c r="B2202">
        <v>2.2614000000000001</v>
      </c>
    </row>
    <row r="2203" spans="1:2" x14ac:dyDescent="0.35">
      <c r="A2203" s="16">
        <v>41729</v>
      </c>
      <c r="B2203">
        <v>2.2624</v>
      </c>
    </row>
    <row r="2204" spans="1:2" x14ac:dyDescent="0.35">
      <c r="A2204" s="16">
        <v>41726</v>
      </c>
      <c r="B2204">
        <v>2.2597</v>
      </c>
    </row>
    <row r="2205" spans="1:2" x14ac:dyDescent="0.35">
      <c r="A2205" s="16">
        <v>41725</v>
      </c>
      <c r="B2205">
        <v>2.2824</v>
      </c>
    </row>
    <row r="2206" spans="1:2" x14ac:dyDescent="0.35">
      <c r="A2206" s="16">
        <v>41724</v>
      </c>
      <c r="B2206">
        <v>2.3113000000000001</v>
      </c>
    </row>
    <row r="2207" spans="1:2" x14ac:dyDescent="0.35">
      <c r="A2207" s="16">
        <v>41723</v>
      </c>
      <c r="B2207">
        <v>2.3117999999999999</v>
      </c>
    </row>
    <row r="2208" spans="1:2" x14ac:dyDescent="0.35">
      <c r="A2208" s="16">
        <v>41722</v>
      </c>
      <c r="B2208">
        <v>2.3241999999999998</v>
      </c>
    </row>
    <row r="2209" spans="1:2" x14ac:dyDescent="0.35">
      <c r="A2209" s="16">
        <v>41719</v>
      </c>
      <c r="B2209">
        <v>2.3239000000000001</v>
      </c>
    </row>
    <row r="2210" spans="1:2" x14ac:dyDescent="0.35">
      <c r="A2210" s="16">
        <v>41718</v>
      </c>
      <c r="B2210">
        <v>2.3414000000000001</v>
      </c>
    </row>
    <row r="2211" spans="1:2" x14ac:dyDescent="0.35">
      <c r="A2211" s="16">
        <v>41717</v>
      </c>
      <c r="B2211">
        <v>2.3332999999999999</v>
      </c>
    </row>
    <row r="2212" spans="1:2" x14ac:dyDescent="0.35">
      <c r="A2212" s="16">
        <v>41716</v>
      </c>
      <c r="B2212">
        <v>2.3515999999999999</v>
      </c>
    </row>
    <row r="2213" spans="1:2" x14ac:dyDescent="0.35">
      <c r="A2213" s="16">
        <v>41715</v>
      </c>
      <c r="B2213">
        <v>2.3513000000000002</v>
      </c>
    </row>
    <row r="2214" spans="1:2" x14ac:dyDescent="0.35">
      <c r="A2214" s="16">
        <v>41712</v>
      </c>
      <c r="B2214">
        <v>2.3631000000000002</v>
      </c>
    </row>
    <row r="2215" spans="1:2" x14ac:dyDescent="0.35">
      <c r="A2215" s="16">
        <v>41711</v>
      </c>
      <c r="B2215">
        <v>2.3479999999999999</v>
      </c>
    </row>
    <row r="2216" spans="1:2" x14ac:dyDescent="0.35">
      <c r="A2216" s="16">
        <v>41710</v>
      </c>
      <c r="B2216">
        <v>2.3643000000000001</v>
      </c>
    </row>
    <row r="2217" spans="1:2" x14ac:dyDescent="0.35">
      <c r="A2217" s="16">
        <v>41709</v>
      </c>
      <c r="B2217">
        <v>2.3454999999999999</v>
      </c>
    </row>
    <row r="2218" spans="1:2" x14ac:dyDescent="0.35">
      <c r="A2218" s="16">
        <v>41708</v>
      </c>
      <c r="B2218">
        <v>2.3403999999999998</v>
      </c>
    </row>
    <row r="2219" spans="1:2" x14ac:dyDescent="0.35">
      <c r="A2219" s="16">
        <v>41705</v>
      </c>
      <c r="B2219">
        <v>2.3376000000000001</v>
      </c>
    </row>
    <row r="2220" spans="1:2" x14ac:dyDescent="0.35">
      <c r="A2220" s="16">
        <v>41704</v>
      </c>
      <c r="B2220">
        <v>2.3088000000000002</v>
      </c>
    </row>
    <row r="2221" spans="1:2" x14ac:dyDescent="0.35">
      <c r="A2221" s="16">
        <v>41703</v>
      </c>
      <c r="B2221">
        <v>2.3233999999999999</v>
      </c>
    </row>
    <row r="2222" spans="1:2" x14ac:dyDescent="0.35">
      <c r="A2222" s="16">
        <v>41698</v>
      </c>
      <c r="B2222">
        <v>2.3327</v>
      </c>
    </row>
    <row r="2223" spans="1:2" x14ac:dyDescent="0.35">
      <c r="A2223" s="16">
        <v>41697</v>
      </c>
      <c r="B2223">
        <v>2.3431000000000002</v>
      </c>
    </row>
    <row r="2224" spans="1:2" x14ac:dyDescent="0.35">
      <c r="A2224" s="16">
        <v>41696</v>
      </c>
      <c r="B2224">
        <v>2.3448000000000002</v>
      </c>
    </row>
    <row r="2225" spans="1:2" x14ac:dyDescent="0.35">
      <c r="A2225" s="16">
        <v>41695</v>
      </c>
      <c r="B2225">
        <v>2.3361000000000001</v>
      </c>
    </row>
    <row r="2226" spans="1:2" x14ac:dyDescent="0.35">
      <c r="A2226" s="16">
        <v>41694</v>
      </c>
      <c r="B2226">
        <v>2.3384999999999998</v>
      </c>
    </row>
    <row r="2227" spans="1:2" x14ac:dyDescent="0.35">
      <c r="A2227" s="16">
        <v>41691</v>
      </c>
      <c r="B2227">
        <v>2.3618999999999999</v>
      </c>
    </row>
    <row r="2228" spans="1:2" x14ac:dyDescent="0.35">
      <c r="A2228" s="16">
        <v>41690</v>
      </c>
      <c r="B2228">
        <v>2.3793000000000002</v>
      </c>
    </row>
    <row r="2229" spans="1:2" x14ac:dyDescent="0.35">
      <c r="A2229" s="16">
        <v>41689</v>
      </c>
      <c r="B2229">
        <v>2.3980000000000001</v>
      </c>
    </row>
    <row r="2230" spans="1:2" x14ac:dyDescent="0.35">
      <c r="A2230" s="16">
        <v>41688</v>
      </c>
      <c r="B2230">
        <v>2.3976999999999999</v>
      </c>
    </row>
    <row r="2231" spans="1:2" x14ac:dyDescent="0.35">
      <c r="A2231" s="16">
        <v>41687</v>
      </c>
      <c r="B2231">
        <v>2.3864000000000001</v>
      </c>
    </row>
    <row r="2232" spans="1:2" x14ac:dyDescent="0.35">
      <c r="A2232" s="16">
        <v>41684</v>
      </c>
      <c r="B2232">
        <v>2.3919000000000001</v>
      </c>
    </row>
    <row r="2233" spans="1:2" x14ac:dyDescent="0.35">
      <c r="A2233" s="16">
        <v>41683</v>
      </c>
      <c r="B2233">
        <v>2.4232</v>
      </c>
    </row>
    <row r="2234" spans="1:2" x14ac:dyDescent="0.35">
      <c r="A2234" s="16">
        <v>41682</v>
      </c>
      <c r="B2234">
        <v>2.4079999999999999</v>
      </c>
    </row>
    <row r="2235" spans="1:2" x14ac:dyDescent="0.35">
      <c r="A2235" s="16">
        <v>41681</v>
      </c>
      <c r="B2235">
        <v>2.407</v>
      </c>
    </row>
    <row r="2236" spans="1:2" x14ac:dyDescent="0.35">
      <c r="A2236" s="16">
        <v>41680</v>
      </c>
      <c r="B2236">
        <v>2.3929999999999998</v>
      </c>
    </row>
    <row r="2237" spans="1:2" x14ac:dyDescent="0.35">
      <c r="A2237" s="16">
        <v>41677</v>
      </c>
      <c r="B2237">
        <v>2.3811</v>
      </c>
    </row>
    <row r="2238" spans="1:2" x14ac:dyDescent="0.35">
      <c r="A2238" s="16">
        <v>41676</v>
      </c>
      <c r="B2238">
        <v>2.4035000000000002</v>
      </c>
    </row>
    <row r="2239" spans="1:2" x14ac:dyDescent="0.35">
      <c r="A2239" s="16">
        <v>41675</v>
      </c>
      <c r="B2239">
        <v>2.4100999999999999</v>
      </c>
    </row>
    <row r="2240" spans="1:2" x14ac:dyDescent="0.35">
      <c r="A2240" s="16">
        <v>41674</v>
      </c>
      <c r="B2240">
        <v>2.4171</v>
      </c>
    </row>
    <row r="2241" spans="1:2" x14ac:dyDescent="0.35">
      <c r="A2241" s="16">
        <v>41673</v>
      </c>
      <c r="B2241">
        <v>2.4083999999999999</v>
      </c>
    </row>
    <row r="2242" spans="1:2" x14ac:dyDescent="0.35">
      <c r="A2242" s="16">
        <v>41670</v>
      </c>
      <c r="B2242">
        <v>2.4257</v>
      </c>
    </row>
    <row r="2243" spans="1:2" x14ac:dyDescent="0.35">
      <c r="A2243" s="16">
        <v>41669</v>
      </c>
      <c r="B2243">
        <v>2.4218000000000002</v>
      </c>
    </row>
    <row r="2244" spans="1:2" x14ac:dyDescent="0.35">
      <c r="A2244" s="16">
        <v>41668</v>
      </c>
      <c r="B2244">
        <v>2.4390000000000001</v>
      </c>
    </row>
    <row r="2245" spans="1:2" x14ac:dyDescent="0.35">
      <c r="A2245" s="16">
        <v>41667</v>
      </c>
      <c r="B2245">
        <v>2.4159000000000002</v>
      </c>
    </row>
    <row r="2246" spans="1:2" x14ac:dyDescent="0.35">
      <c r="A2246" s="16">
        <v>41666</v>
      </c>
      <c r="B2246">
        <v>2.4037999999999999</v>
      </c>
    </row>
    <row r="2247" spans="1:2" x14ac:dyDescent="0.35">
      <c r="A2247" s="16">
        <v>41663</v>
      </c>
      <c r="B2247">
        <v>2.4123000000000001</v>
      </c>
    </row>
    <row r="2248" spans="1:2" x14ac:dyDescent="0.35">
      <c r="A2248" s="16">
        <v>41662</v>
      </c>
      <c r="B2248">
        <v>2.3755000000000002</v>
      </c>
    </row>
    <row r="2249" spans="1:2" x14ac:dyDescent="0.35">
      <c r="A2249" s="16">
        <v>41661</v>
      </c>
      <c r="B2249">
        <v>2.3595000000000002</v>
      </c>
    </row>
    <row r="2250" spans="1:2" x14ac:dyDescent="0.35">
      <c r="A2250" s="16">
        <v>41660</v>
      </c>
      <c r="B2250">
        <v>2.3601999999999999</v>
      </c>
    </row>
    <row r="2251" spans="1:2" x14ac:dyDescent="0.35">
      <c r="A2251" s="16">
        <v>41659</v>
      </c>
      <c r="B2251">
        <v>2.3329</v>
      </c>
    </row>
    <row r="2252" spans="1:2" x14ac:dyDescent="0.35">
      <c r="A2252" s="16">
        <v>41656</v>
      </c>
      <c r="B2252">
        <v>2.3595000000000002</v>
      </c>
    </row>
    <row r="2253" spans="1:2" x14ac:dyDescent="0.35">
      <c r="A2253" s="16">
        <v>41655</v>
      </c>
      <c r="B2253">
        <v>2.3677000000000001</v>
      </c>
    </row>
    <row r="2254" spans="1:2" x14ac:dyDescent="0.35">
      <c r="A2254" s="16">
        <v>41654</v>
      </c>
      <c r="B2254">
        <v>2.3464999999999998</v>
      </c>
    </row>
    <row r="2255" spans="1:2" x14ac:dyDescent="0.35">
      <c r="A2255" s="16">
        <v>41653</v>
      </c>
      <c r="B2255">
        <v>2.3611</v>
      </c>
    </row>
    <row r="2256" spans="1:2" x14ac:dyDescent="0.35">
      <c r="A2256" s="16">
        <v>41652</v>
      </c>
      <c r="B2256">
        <v>2.3485</v>
      </c>
    </row>
    <row r="2257" spans="1:2" x14ac:dyDescent="0.35">
      <c r="A2257" s="16">
        <v>41649</v>
      </c>
      <c r="B2257">
        <v>2.3813</v>
      </c>
    </row>
    <row r="2258" spans="1:2" x14ac:dyDescent="0.35">
      <c r="A2258" s="16">
        <v>41648</v>
      </c>
      <c r="B2258">
        <v>2.3954</v>
      </c>
    </row>
    <row r="2259" spans="1:2" x14ac:dyDescent="0.35">
      <c r="A2259" s="16">
        <v>41647</v>
      </c>
      <c r="B2259">
        <v>2.3773</v>
      </c>
    </row>
    <row r="2260" spans="1:2" x14ac:dyDescent="0.35">
      <c r="A2260" s="16">
        <v>41646</v>
      </c>
      <c r="B2260">
        <v>2.3628</v>
      </c>
    </row>
    <row r="2261" spans="1:2" x14ac:dyDescent="0.35">
      <c r="A2261" s="16">
        <v>41645</v>
      </c>
      <c r="B2261">
        <v>2.3782999999999999</v>
      </c>
    </row>
    <row r="2262" spans="1:2" x14ac:dyDescent="0.35">
      <c r="A2262" s="16">
        <v>41642</v>
      </c>
      <c r="B2262">
        <v>2.3734000000000002</v>
      </c>
    </row>
    <row r="2263" spans="1:2" x14ac:dyDescent="0.35">
      <c r="A2263" s="16">
        <v>41641</v>
      </c>
      <c r="B2263">
        <v>2.3969</v>
      </c>
    </row>
    <row r="2264" spans="1:2" x14ac:dyDescent="0.35">
      <c r="A2264" s="16">
        <v>41639</v>
      </c>
      <c r="B2264">
        <v>2.3420000000000001</v>
      </c>
    </row>
    <row r="2265" spans="1:2" x14ac:dyDescent="0.35">
      <c r="A2265" s="16">
        <v>41638</v>
      </c>
      <c r="B2265">
        <v>2.3420000000000001</v>
      </c>
    </row>
    <row r="2266" spans="1:2" x14ac:dyDescent="0.35">
      <c r="A2266" s="16">
        <v>41635</v>
      </c>
      <c r="B2266">
        <v>2.3532000000000002</v>
      </c>
    </row>
    <row r="2267" spans="1:2" x14ac:dyDescent="0.35">
      <c r="A2267" s="16">
        <v>41634</v>
      </c>
      <c r="B2267">
        <v>2.3500999999999999</v>
      </c>
    </row>
    <row r="2268" spans="1:2" x14ac:dyDescent="0.35">
      <c r="A2268" s="16">
        <v>41632</v>
      </c>
      <c r="B2268">
        <v>2.3542999999999998</v>
      </c>
    </row>
    <row r="2269" spans="1:2" x14ac:dyDescent="0.35">
      <c r="A2269" s="16">
        <v>41631</v>
      </c>
      <c r="B2269">
        <v>2.37</v>
      </c>
    </row>
    <row r="2270" spans="1:2" x14ac:dyDescent="0.35">
      <c r="A2270" s="16">
        <v>41628</v>
      </c>
      <c r="B2270">
        <v>2.3811</v>
      </c>
    </row>
    <row r="2271" spans="1:2" x14ac:dyDescent="0.35">
      <c r="A2271" s="16">
        <v>41627</v>
      </c>
      <c r="B2271">
        <v>2.3521999999999998</v>
      </c>
    </row>
    <row r="2272" spans="1:2" x14ac:dyDescent="0.35">
      <c r="A2272" s="16">
        <v>41626</v>
      </c>
      <c r="B2272">
        <v>2.3268</v>
      </c>
    </row>
    <row r="2273" spans="1:2" x14ac:dyDescent="0.35">
      <c r="A2273" s="16">
        <v>41625</v>
      </c>
      <c r="B2273">
        <v>2.3214999999999999</v>
      </c>
    </row>
    <row r="2274" spans="1:2" x14ac:dyDescent="0.35">
      <c r="A2274" s="16">
        <v>41624</v>
      </c>
      <c r="B2274">
        <v>2.3249</v>
      </c>
    </row>
    <row r="2275" spans="1:2" x14ac:dyDescent="0.35">
      <c r="A2275" s="16">
        <v>41621</v>
      </c>
      <c r="B2275">
        <v>2.3348</v>
      </c>
    </row>
    <row r="2276" spans="1:2" x14ac:dyDescent="0.35">
      <c r="A2276" s="16">
        <v>41620</v>
      </c>
      <c r="B2276">
        <v>2.3332999999999999</v>
      </c>
    </row>
    <row r="2277" spans="1:2" x14ac:dyDescent="0.35">
      <c r="A2277" s="16">
        <v>41619</v>
      </c>
      <c r="B2277">
        <v>2.3256000000000001</v>
      </c>
    </row>
    <row r="2278" spans="1:2" x14ac:dyDescent="0.35">
      <c r="A2278" s="16">
        <v>41618</v>
      </c>
      <c r="B2278">
        <v>2.3096000000000001</v>
      </c>
    </row>
    <row r="2279" spans="1:2" x14ac:dyDescent="0.35">
      <c r="A2279" s="16">
        <v>41617</v>
      </c>
      <c r="B2279">
        <v>2.3218000000000001</v>
      </c>
    </row>
    <row r="2280" spans="1:2" x14ac:dyDescent="0.35">
      <c r="A2280" s="16">
        <v>41614</v>
      </c>
      <c r="B2280">
        <v>2.3519000000000001</v>
      </c>
    </row>
    <row r="2281" spans="1:2" x14ac:dyDescent="0.35">
      <c r="A2281" s="16">
        <v>41613</v>
      </c>
      <c r="B2281">
        <v>2.3740999999999999</v>
      </c>
    </row>
    <row r="2282" spans="1:2" x14ac:dyDescent="0.35">
      <c r="A2282" s="16">
        <v>41612</v>
      </c>
      <c r="B2282">
        <v>2.3740000000000001</v>
      </c>
    </row>
    <row r="2283" spans="1:2" x14ac:dyDescent="0.35">
      <c r="A2283" s="16">
        <v>41611</v>
      </c>
      <c r="B2283">
        <v>2.3552</v>
      </c>
    </row>
    <row r="2284" spans="1:2" x14ac:dyDescent="0.35">
      <c r="A2284" s="16">
        <v>41610</v>
      </c>
      <c r="B2284">
        <v>2.3443000000000001</v>
      </c>
    </row>
    <row r="2285" spans="1:2" x14ac:dyDescent="0.35">
      <c r="A2285" s="16">
        <v>41607</v>
      </c>
      <c r="B2285">
        <v>2.3243</v>
      </c>
    </row>
    <row r="2286" spans="1:2" x14ac:dyDescent="0.35">
      <c r="A2286" s="16">
        <v>41606</v>
      </c>
      <c r="B2286">
        <v>2.3201999999999998</v>
      </c>
    </row>
    <row r="2287" spans="1:2" x14ac:dyDescent="0.35">
      <c r="A2287" s="16">
        <v>41605</v>
      </c>
      <c r="B2287">
        <v>2.3052000000000001</v>
      </c>
    </row>
    <row r="2288" spans="1:2" x14ac:dyDescent="0.35">
      <c r="A2288" s="16">
        <v>41604</v>
      </c>
      <c r="B2288">
        <v>2.3033999999999999</v>
      </c>
    </row>
    <row r="2289" spans="1:2" x14ac:dyDescent="0.35">
      <c r="A2289" s="16">
        <v>41603</v>
      </c>
      <c r="B2289">
        <v>2.2865000000000002</v>
      </c>
    </row>
    <row r="2290" spans="1:2" x14ac:dyDescent="0.35">
      <c r="A2290" s="16">
        <v>41600</v>
      </c>
      <c r="B2290">
        <v>2.2906</v>
      </c>
    </row>
    <row r="2291" spans="1:2" x14ac:dyDescent="0.35">
      <c r="A2291" s="16">
        <v>41599</v>
      </c>
      <c r="B2291">
        <v>2.3060999999999998</v>
      </c>
    </row>
    <row r="2292" spans="1:2" x14ac:dyDescent="0.35">
      <c r="A2292" s="16">
        <v>41598</v>
      </c>
      <c r="B2292">
        <v>2.2713000000000001</v>
      </c>
    </row>
    <row r="2293" spans="1:2" x14ac:dyDescent="0.35">
      <c r="A2293" s="16">
        <v>41597</v>
      </c>
      <c r="B2293">
        <v>2.2656000000000001</v>
      </c>
    </row>
    <row r="2294" spans="1:2" x14ac:dyDescent="0.35">
      <c r="A2294" s="16">
        <v>41596</v>
      </c>
      <c r="B2294">
        <v>2.2822</v>
      </c>
    </row>
    <row r="2295" spans="1:2" x14ac:dyDescent="0.35">
      <c r="A2295" s="16">
        <v>41592</v>
      </c>
      <c r="B2295">
        <v>2.3283</v>
      </c>
    </row>
    <row r="2296" spans="1:2" x14ac:dyDescent="0.35">
      <c r="A2296" s="16">
        <v>41591</v>
      </c>
      <c r="B2296">
        <v>2.3228</v>
      </c>
    </row>
    <row r="2297" spans="1:2" x14ac:dyDescent="0.35">
      <c r="A2297" s="16">
        <v>41590</v>
      </c>
      <c r="B2297">
        <v>2.3355999999999999</v>
      </c>
    </row>
    <row r="2298" spans="1:2" x14ac:dyDescent="0.35">
      <c r="A2298" s="16">
        <v>41589</v>
      </c>
      <c r="B2298">
        <v>2.3136000000000001</v>
      </c>
    </row>
    <row r="2299" spans="1:2" x14ac:dyDescent="0.35">
      <c r="A2299" s="16">
        <v>41586</v>
      </c>
      <c r="B2299">
        <v>2.3163999999999998</v>
      </c>
    </row>
    <row r="2300" spans="1:2" x14ac:dyDescent="0.35">
      <c r="A2300" s="16">
        <v>41585</v>
      </c>
      <c r="B2300">
        <v>2.2818999999999998</v>
      </c>
    </row>
    <row r="2301" spans="1:2" x14ac:dyDescent="0.35">
      <c r="A2301" s="16">
        <v>41584</v>
      </c>
      <c r="B2301">
        <v>2.2778999999999998</v>
      </c>
    </row>
    <row r="2302" spans="1:2" x14ac:dyDescent="0.35">
      <c r="A2302" s="16">
        <v>41583</v>
      </c>
      <c r="B2302">
        <v>2.2740999999999998</v>
      </c>
    </row>
    <row r="2303" spans="1:2" x14ac:dyDescent="0.35">
      <c r="A2303" s="16">
        <v>41582</v>
      </c>
      <c r="B2303">
        <v>2.242</v>
      </c>
    </row>
    <row r="2304" spans="1:2" x14ac:dyDescent="0.35">
      <c r="A2304" s="16">
        <v>41579</v>
      </c>
      <c r="B2304">
        <v>2.2462</v>
      </c>
    </row>
    <row r="2305" spans="1:2" x14ac:dyDescent="0.35">
      <c r="A2305" s="16">
        <v>41578</v>
      </c>
      <c r="B2305">
        <v>2.202</v>
      </c>
    </row>
    <row r="2306" spans="1:2" x14ac:dyDescent="0.35">
      <c r="A2306" s="16">
        <v>41577</v>
      </c>
      <c r="B2306">
        <v>2.1882000000000001</v>
      </c>
    </row>
    <row r="2307" spans="1:2" x14ac:dyDescent="0.35">
      <c r="A2307" s="16">
        <v>41576</v>
      </c>
      <c r="B2307">
        <v>2.1798000000000002</v>
      </c>
    </row>
    <row r="2308" spans="1:2" x14ac:dyDescent="0.35">
      <c r="A2308" s="16">
        <v>41575</v>
      </c>
      <c r="B2308">
        <v>2.1840000000000002</v>
      </c>
    </row>
    <row r="2309" spans="1:2" x14ac:dyDescent="0.35">
      <c r="A2309" s="16">
        <v>41572</v>
      </c>
      <c r="B2309">
        <v>2.1842000000000001</v>
      </c>
    </row>
    <row r="2310" spans="1:2" x14ac:dyDescent="0.35">
      <c r="A2310" s="16">
        <v>41571</v>
      </c>
      <c r="B2310">
        <v>2.1997</v>
      </c>
    </row>
    <row r="2311" spans="1:2" x14ac:dyDescent="0.35">
      <c r="A2311" s="16">
        <v>41570</v>
      </c>
      <c r="B2311">
        <v>2.1821000000000002</v>
      </c>
    </row>
    <row r="2312" spans="1:2" x14ac:dyDescent="0.35">
      <c r="A2312" s="16">
        <v>41569</v>
      </c>
      <c r="B2312">
        <v>2.1753999999999998</v>
      </c>
    </row>
    <row r="2313" spans="1:2" x14ac:dyDescent="0.35">
      <c r="A2313" s="16">
        <v>41568</v>
      </c>
      <c r="B2313">
        <v>2.1732</v>
      </c>
    </row>
    <row r="2314" spans="1:2" x14ac:dyDescent="0.35">
      <c r="A2314" s="16">
        <v>41565</v>
      </c>
      <c r="B2314">
        <v>2.161</v>
      </c>
    </row>
    <row r="2315" spans="1:2" x14ac:dyDescent="0.35">
      <c r="A2315" s="16">
        <v>41564</v>
      </c>
      <c r="B2315">
        <v>2.1604999999999999</v>
      </c>
    </row>
    <row r="2316" spans="1:2" x14ac:dyDescent="0.35">
      <c r="A2316" s="16">
        <v>41563</v>
      </c>
      <c r="B2316">
        <v>2.1623000000000001</v>
      </c>
    </row>
    <row r="2317" spans="1:2" x14ac:dyDescent="0.35">
      <c r="A2317" s="16">
        <v>41562</v>
      </c>
      <c r="B2317">
        <v>2.1812</v>
      </c>
    </row>
    <row r="2318" spans="1:2" x14ac:dyDescent="0.35">
      <c r="A2318" s="16">
        <v>41561</v>
      </c>
      <c r="B2318">
        <v>2.1810999999999998</v>
      </c>
    </row>
    <row r="2319" spans="1:2" x14ac:dyDescent="0.35">
      <c r="A2319" s="16">
        <v>41558</v>
      </c>
      <c r="B2319">
        <v>2.1815000000000002</v>
      </c>
    </row>
    <row r="2320" spans="1:2" x14ac:dyDescent="0.35">
      <c r="A2320" s="16">
        <v>41557</v>
      </c>
      <c r="B2320">
        <v>2.1844000000000001</v>
      </c>
    </row>
    <row r="2321" spans="1:2" x14ac:dyDescent="0.35">
      <c r="A2321" s="16">
        <v>41556</v>
      </c>
      <c r="B2321">
        <v>2.2048000000000001</v>
      </c>
    </row>
    <row r="2322" spans="1:2" x14ac:dyDescent="0.35">
      <c r="A2322" s="16">
        <v>41555</v>
      </c>
      <c r="B2322">
        <v>2.2010000000000001</v>
      </c>
    </row>
    <row r="2323" spans="1:2" x14ac:dyDescent="0.35">
      <c r="A2323" s="16">
        <v>41554</v>
      </c>
      <c r="B2323">
        <v>2.2081</v>
      </c>
    </row>
    <row r="2324" spans="1:2" x14ac:dyDescent="0.35">
      <c r="A2324" s="16">
        <v>41551</v>
      </c>
      <c r="B2324">
        <v>2.2044999999999999</v>
      </c>
    </row>
    <row r="2325" spans="1:2" x14ac:dyDescent="0.35">
      <c r="A2325" s="16">
        <v>41550</v>
      </c>
      <c r="B2325">
        <v>2.2063000000000001</v>
      </c>
    </row>
    <row r="2326" spans="1:2" x14ac:dyDescent="0.35">
      <c r="A2326" s="16">
        <v>41549</v>
      </c>
      <c r="B2326">
        <v>2.2082000000000002</v>
      </c>
    </row>
    <row r="2327" spans="1:2" x14ac:dyDescent="0.35">
      <c r="A2327" s="16">
        <v>41548</v>
      </c>
      <c r="B2327">
        <v>2.2118000000000002</v>
      </c>
    </row>
    <row r="2328" spans="1:2" x14ac:dyDescent="0.35">
      <c r="A2328" s="16">
        <v>41547</v>
      </c>
      <c r="B2328">
        <v>2.2294</v>
      </c>
    </row>
    <row r="2329" spans="1:2" x14ac:dyDescent="0.35">
      <c r="A2329" s="16">
        <v>41544</v>
      </c>
      <c r="B2329">
        <v>2.2565</v>
      </c>
    </row>
    <row r="2330" spans="1:2" x14ac:dyDescent="0.35">
      <c r="A2330" s="16">
        <v>41543</v>
      </c>
      <c r="B2330">
        <v>2.2279</v>
      </c>
    </row>
    <row r="2331" spans="1:2" x14ac:dyDescent="0.35">
      <c r="A2331" s="16">
        <v>41542</v>
      </c>
      <c r="B2331">
        <v>2.2218</v>
      </c>
    </row>
    <row r="2332" spans="1:2" x14ac:dyDescent="0.35">
      <c r="A2332" s="16">
        <v>41541</v>
      </c>
      <c r="B2332">
        <v>2.2025000000000001</v>
      </c>
    </row>
    <row r="2333" spans="1:2" x14ac:dyDescent="0.35">
      <c r="A2333" s="16">
        <v>41540</v>
      </c>
      <c r="B2333">
        <v>2.2025999999999999</v>
      </c>
    </row>
    <row r="2334" spans="1:2" x14ac:dyDescent="0.35">
      <c r="A2334" s="16">
        <v>41537</v>
      </c>
      <c r="B2334">
        <v>2.2046999999999999</v>
      </c>
    </row>
    <row r="2335" spans="1:2" x14ac:dyDescent="0.35">
      <c r="A2335" s="16">
        <v>41536</v>
      </c>
      <c r="B2335">
        <v>2.2029000000000001</v>
      </c>
    </row>
    <row r="2336" spans="1:2" x14ac:dyDescent="0.35">
      <c r="A2336" s="16">
        <v>41535</v>
      </c>
      <c r="B2336">
        <v>2.2483</v>
      </c>
    </row>
    <row r="2337" spans="1:2" x14ac:dyDescent="0.35">
      <c r="A2337" s="16">
        <v>41534</v>
      </c>
      <c r="B2337">
        <v>2.2610999999999999</v>
      </c>
    </row>
    <row r="2338" spans="1:2" x14ac:dyDescent="0.35">
      <c r="A2338" s="16">
        <v>41533</v>
      </c>
      <c r="B2338">
        <v>2.2643</v>
      </c>
    </row>
    <row r="2339" spans="1:2" x14ac:dyDescent="0.35">
      <c r="A2339" s="16">
        <v>41530</v>
      </c>
      <c r="B2339">
        <v>2.2778999999999998</v>
      </c>
    </row>
    <row r="2340" spans="1:2" x14ac:dyDescent="0.35">
      <c r="A2340" s="16">
        <v>41529</v>
      </c>
      <c r="B2340">
        <v>2.2763</v>
      </c>
    </row>
    <row r="2341" spans="1:2" x14ac:dyDescent="0.35">
      <c r="A2341" s="16">
        <v>41528</v>
      </c>
      <c r="B2341">
        <v>2.2940999999999998</v>
      </c>
    </row>
    <row r="2342" spans="1:2" x14ac:dyDescent="0.35">
      <c r="A2342" s="16">
        <v>41527</v>
      </c>
      <c r="B2342">
        <v>2.2772999999999999</v>
      </c>
    </row>
    <row r="2343" spans="1:2" x14ac:dyDescent="0.35">
      <c r="A2343" s="16">
        <v>41526</v>
      </c>
      <c r="B2343">
        <v>2.2862</v>
      </c>
    </row>
    <row r="2344" spans="1:2" x14ac:dyDescent="0.35">
      <c r="A2344" s="16">
        <v>41523</v>
      </c>
      <c r="B2344">
        <v>2.2972999999999999</v>
      </c>
    </row>
    <row r="2345" spans="1:2" x14ac:dyDescent="0.35">
      <c r="A2345" s="16">
        <v>41522</v>
      </c>
      <c r="B2345">
        <v>2.3308</v>
      </c>
    </row>
    <row r="2346" spans="1:2" x14ac:dyDescent="0.35">
      <c r="A2346" s="16">
        <v>41521</v>
      </c>
      <c r="B2346">
        <v>2.3532000000000002</v>
      </c>
    </row>
    <row r="2347" spans="1:2" x14ac:dyDescent="0.35">
      <c r="A2347" s="16">
        <v>41520</v>
      </c>
      <c r="B2347">
        <v>2.3891</v>
      </c>
    </row>
    <row r="2348" spans="1:2" x14ac:dyDescent="0.35">
      <c r="A2348" s="16">
        <v>41519</v>
      </c>
      <c r="B2348">
        <v>2.3637000000000001</v>
      </c>
    </row>
    <row r="2349" spans="1:2" x14ac:dyDescent="0.35">
      <c r="A2349" s="16">
        <v>41516</v>
      </c>
      <c r="B2349">
        <v>2.3719000000000001</v>
      </c>
    </row>
    <row r="2350" spans="1:2" x14ac:dyDescent="0.35">
      <c r="A2350" s="16">
        <v>41515</v>
      </c>
      <c r="B2350">
        <v>2.3572000000000002</v>
      </c>
    </row>
    <row r="2351" spans="1:2" x14ac:dyDescent="0.35">
      <c r="A2351" s="16">
        <v>41514</v>
      </c>
      <c r="B2351">
        <v>2.3509000000000002</v>
      </c>
    </row>
    <row r="2352" spans="1:2" x14ac:dyDescent="0.35">
      <c r="A2352" s="16">
        <v>41513</v>
      </c>
      <c r="B2352">
        <v>2.3992</v>
      </c>
    </row>
    <row r="2353" spans="1:2" x14ac:dyDescent="0.35">
      <c r="A2353" s="16">
        <v>41512</v>
      </c>
      <c r="B2353">
        <v>2.3698999999999999</v>
      </c>
    </row>
    <row r="2354" spans="1:2" x14ac:dyDescent="0.35">
      <c r="A2354" s="16">
        <v>41509</v>
      </c>
      <c r="B2354">
        <v>2.3862000000000001</v>
      </c>
    </row>
    <row r="2355" spans="1:2" x14ac:dyDescent="0.35">
      <c r="A2355" s="16">
        <v>41508</v>
      </c>
      <c r="B2355">
        <v>2.4451000000000001</v>
      </c>
    </row>
    <row r="2356" spans="1:2" x14ac:dyDescent="0.35">
      <c r="A2356" s="16">
        <v>41507</v>
      </c>
      <c r="B2356">
        <v>2.4163000000000001</v>
      </c>
    </row>
    <row r="2357" spans="1:2" x14ac:dyDescent="0.35">
      <c r="A2357" s="16">
        <v>41506</v>
      </c>
      <c r="B2357">
        <v>2.3936999999999999</v>
      </c>
    </row>
    <row r="2358" spans="1:2" x14ac:dyDescent="0.35">
      <c r="A2358" s="16">
        <v>41505</v>
      </c>
      <c r="B2358">
        <v>2.3974000000000002</v>
      </c>
    </row>
    <row r="2359" spans="1:2" x14ac:dyDescent="0.35">
      <c r="A2359" s="16">
        <v>41502</v>
      </c>
      <c r="B2359">
        <v>2.3559000000000001</v>
      </c>
    </row>
    <row r="2360" spans="1:2" x14ac:dyDescent="0.35">
      <c r="A2360" s="16">
        <v>41501</v>
      </c>
      <c r="B2360">
        <v>2.3428</v>
      </c>
    </row>
    <row r="2361" spans="1:2" x14ac:dyDescent="0.35">
      <c r="A2361" s="16">
        <v>41500</v>
      </c>
      <c r="B2361">
        <v>2.3111999999999999</v>
      </c>
    </row>
    <row r="2362" spans="1:2" x14ac:dyDescent="0.35">
      <c r="A2362" s="16">
        <v>41499</v>
      </c>
      <c r="B2362">
        <v>2.3029000000000002</v>
      </c>
    </row>
    <row r="2363" spans="1:2" x14ac:dyDescent="0.35">
      <c r="A2363" s="16">
        <v>41498</v>
      </c>
      <c r="B2363">
        <v>2.2715999999999998</v>
      </c>
    </row>
    <row r="2364" spans="1:2" x14ac:dyDescent="0.35">
      <c r="A2364" s="16">
        <v>41495</v>
      </c>
      <c r="B2364">
        <v>2.2743000000000002</v>
      </c>
    </row>
    <row r="2365" spans="1:2" x14ac:dyDescent="0.35">
      <c r="A2365" s="16">
        <v>41494</v>
      </c>
      <c r="B2365">
        <v>2.2875999999999999</v>
      </c>
    </row>
    <row r="2366" spans="1:2" x14ac:dyDescent="0.35">
      <c r="A2366" s="16">
        <v>41493</v>
      </c>
      <c r="B2366">
        <v>2.3022</v>
      </c>
    </row>
    <row r="2367" spans="1:2" x14ac:dyDescent="0.35">
      <c r="A2367" s="16">
        <v>41492</v>
      </c>
      <c r="B2367">
        <v>2.2949000000000002</v>
      </c>
    </row>
    <row r="2368" spans="1:2" x14ac:dyDescent="0.35">
      <c r="A2368" s="16">
        <v>41491</v>
      </c>
      <c r="B2368">
        <v>2.3003999999999998</v>
      </c>
    </row>
    <row r="2369" spans="1:2" x14ac:dyDescent="0.35">
      <c r="A2369" s="16">
        <v>41488</v>
      </c>
      <c r="B2369">
        <v>2.2927</v>
      </c>
    </row>
    <row r="2370" spans="1:2" x14ac:dyDescent="0.35">
      <c r="A2370" s="16">
        <v>41487</v>
      </c>
      <c r="B2370">
        <v>2.2907999999999999</v>
      </c>
    </row>
    <row r="2371" spans="1:2" x14ac:dyDescent="0.35">
      <c r="A2371" s="16">
        <v>41486</v>
      </c>
      <c r="B2371">
        <v>2.2896999999999998</v>
      </c>
    </row>
    <row r="2372" spans="1:2" x14ac:dyDescent="0.35">
      <c r="A2372" s="16">
        <v>41485</v>
      </c>
      <c r="B2372">
        <v>2.2728999999999999</v>
      </c>
    </row>
    <row r="2373" spans="1:2" x14ac:dyDescent="0.35">
      <c r="A2373" s="16">
        <v>41484</v>
      </c>
      <c r="B2373">
        <v>2.2603</v>
      </c>
    </row>
    <row r="2374" spans="1:2" x14ac:dyDescent="0.35">
      <c r="A2374" s="16">
        <v>41481</v>
      </c>
      <c r="B2374">
        <v>2.2483</v>
      </c>
    </row>
    <row r="2375" spans="1:2" x14ac:dyDescent="0.35">
      <c r="A2375" s="16">
        <v>41480</v>
      </c>
      <c r="B2375">
        <v>2.2490999999999999</v>
      </c>
    </row>
    <row r="2376" spans="1:2" x14ac:dyDescent="0.35">
      <c r="A2376" s="16">
        <v>41479</v>
      </c>
      <c r="B2376">
        <v>2.2342</v>
      </c>
    </row>
    <row r="2377" spans="1:2" x14ac:dyDescent="0.35">
      <c r="A2377" s="16">
        <v>41478</v>
      </c>
      <c r="B2377">
        <v>2.2261000000000002</v>
      </c>
    </row>
    <row r="2378" spans="1:2" x14ac:dyDescent="0.35">
      <c r="A2378" s="16">
        <v>41477</v>
      </c>
      <c r="B2378">
        <v>2.238</v>
      </c>
    </row>
    <row r="2379" spans="1:2" x14ac:dyDescent="0.35">
      <c r="A2379" s="16">
        <v>41474</v>
      </c>
      <c r="B2379">
        <v>2.2357999999999998</v>
      </c>
    </row>
    <row r="2380" spans="1:2" x14ac:dyDescent="0.35">
      <c r="A2380" s="16">
        <v>41473</v>
      </c>
      <c r="B2380">
        <v>2.2290999999999999</v>
      </c>
    </row>
    <row r="2381" spans="1:2" x14ac:dyDescent="0.35">
      <c r="A2381" s="16">
        <v>41472</v>
      </c>
      <c r="B2381">
        <v>2.2366000000000001</v>
      </c>
    </row>
    <row r="2382" spans="1:2" x14ac:dyDescent="0.35">
      <c r="A2382" s="16">
        <v>41471</v>
      </c>
      <c r="B2382">
        <v>2.2347000000000001</v>
      </c>
    </row>
    <row r="2383" spans="1:2" x14ac:dyDescent="0.35">
      <c r="A2383" s="16">
        <v>41470</v>
      </c>
      <c r="B2383">
        <v>2.2543000000000002</v>
      </c>
    </row>
    <row r="2384" spans="1:2" x14ac:dyDescent="0.35">
      <c r="A2384" s="16">
        <v>41467</v>
      </c>
      <c r="B2384">
        <v>2.2664</v>
      </c>
    </row>
    <row r="2385" spans="1:2" x14ac:dyDescent="0.35">
      <c r="A2385" s="16">
        <v>41466</v>
      </c>
      <c r="B2385">
        <v>2.2665999999999999</v>
      </c>
    </row>
    <row r="2386" spans="1:2" x14ac:dyDescent="0.35">
      <c r="A2386" s="16">
        <v>41465</v>
      </c>
      <c r="B2386">
        <v>2.2690999999999999</v>
      </c>
    </row>
    <row r="2387" spans="1:2" x14ac:dyDescent="0.35">
      <c r="A2387" s="16">
        <v>41464</v>
      </c>
      <c r="B2387">
        <v>2.2614999999999998</v>
      </c>
    </row>
    <row r="2388" spans="1:2" x14ac:dyDescent="0.35">
      <c r="A2388" s="16">
        <v>41463</v>
      </c>
      <c r="B2388">
        <v>2.2576999999999998</v>
      </c>
    </row>
    <row r="2389" spans="1:2" x14ac:dyDescent="0.35">
      <c r="A2389" s="16">
        <v>41460</v>
      </c>
      <c r="B2389">
        <v>2.2639</v>
      </c>
    </row>
    <row r="2390" spans="1:2" x14ac:dyDescent="0.35">
      <c r="A2390" s="16">
        <v>41459</v>
      </c>
      <c r="B2390">
        <v>2.2589000000000001</v>
      </c>
    </row>
    <row r="2391" spans="1:2" x14ac:dyDescent="0.35">
      <c r="A2391" s="16">
        <v>41458</v>
      </c>
      <c r="B2391">
        <v>2.2627999999999999</v>
      </c>
    </row>
    <row r="2392" spans="1:2" x14ac:dyDescent="0.35">
      <c r="A2392" s="16">
        <v>41457</v>
      </c>
      <c r="B2392">
        <v>2.2406999999999999</v>
      </c>
    </row>
    <row r="2393" spans="1:2" x14ac:dyDescent="0.35">
      <c r="A2393" s="16">
        <v>41456</v>
      </c>
      <c r="B2393">
        <v>2.2292000000000001</v>
      </c>
    </row>
    <row r="2394" spans="1:2" x14ac:dyDescent="0.35">
      <c r="A2394" s="16">
        <v>41453</v>
      </c>
      <c r="B2394">
        <v>2.2149999999999999</v>
      </c>
    </row>
    <row r="2395" spans="1:2" x14ac:dyDescent="0.35">
      <c r="A2395" s="16">
        <v>41452</v>
      </c>
      <c r="B2395">
        <v>2.1840000000000002</v>
      </c>
    </row>
    <row r="2396" spans="1:2" x14ac:dyDescent="0.35">
      <c r="A2396" s="16">
        <v>41451</v>
      </c>
      <c r="B2396">
        <v>2.1968999999999999</v>
      </c>
    </row>
    <row r="2397" spans="1:2" x14ac:dyDescent="0.35">
      <c r="A2397" s="16">
        <v>41450</v>
      </c>
      <c r="B2397">
        <v>2.218</v>
      </c>
    </row>
    <row r="2398" spans="1:2" x14ac:dyDescent="0.35">
      <c r="A2398" s="16">
        <v>41449</v>
      </c>
      <c r="B2398">
        <v>2.2509000000000001</v>
      </c>
    </row>
    <row r="2399" spans="1:2" x14ac:dyDescent="0.35">
      <c r="A2399" s="16">
        <v>41446</v>
      </c>
      <c r="B2399">
        <v>2.2642000000000002</v>
      </c>
    </row>
    <row r="2400" spans="1:2" x14ac:dyDescent="0.35">
      <c r="A2400" s="16">
        <v>41445</v>
      </c>
      <c r="B2400">
        <v>2.2517</v>
      </c>
    </row>
    <row r="2401" spans="1:2" x14ac:dyDescent="0.35">
      <c r="A2401" s="16">
        <v>41444</v>
      </c>
      <c r="B2401">
        <v>2.1738</v>
      </c>
    </row>
    <row r="2402" spans="1:2" x14ac:dyDescent="0.35">
      <c r="A2402" s="16">
        <v>41443</v>
      </c>
      <c r="B2402">
        <v>2.17</v>
      </c>
    </row>
    <row r="2403" spans="1:2" x14ac:dyDescent="0.35">
      <c r="A2403" s="16">
        <v>41442</v>
      </c>
      <c r="B2403">
        <v>2.1532</v>
      </c>
    </row>
    <row r="2404" spans="1:2" x14ac:dyDescent="0.35">
      <c r="A2404" s="16">
        <v>41439</v>
      </c>
      <c r="B2404">
        <v>2.1360999999999999</v>
      </c>
    </row>
    <row r="2405" spans="1:2" x14ac:dyDescent="0.35">
      <c r="A2405" s="16">
        <v>41438</v>
      </c>
      <c r="B2405">
        <v>2.1440999999999999</v>
      </c>
    </row>
    <row r="2406" spans="1:2" x14ac:dyDescent="0.35">
      <c r="A2406" s="16">
        <v>41437</v>
      </c>
      <c r="B2406">
        <v>2.1415000000000002</v>
      </c>
    </row>
    <row r="2407" spans="1:2" x14ac:dyDescent="0.35">
      <c r="A2407" s="16">
        <v>41436</v>
      </c>
      <c r="B2407">
        <v>2.1515</v>
      </c>
    </row>
    <row r="2408" spans="1:2" x14ac:dyDescent="0.35">
      <c r="A2408" s="16">
        <v>41435</v>
      </c>
      <c r="B2408">
        <v>2.1501000000000001</v>
      </c>
    </row>
    <row r="2409" spans="1:2" x14ac:dyDescent="0.35">
      <c r="A2409" s="16">
        <v>41432</v>
      </c>
      <c r="B2409">
        <v>2.1366999999999998</v>
      </c>
    </row>
    <row r="2410" spans="1:2" x14ac:dyDescent="0.35">
      <c r="A2410" s="16">
        <v>41431</v>
      </c>
      <c r="B2410">
        <v>2.1244000000000001</v>
      </c>
    </row>
    <row r="2411" spans="1:2" x14ac:dyDescent="0.35">
      <c r="A2411" s="16">
        <v>41430</v>
      </c>
      <c r="B2411">
        <v>2.1229</v>
      </c>
    </row>
    <row r="2412" spans="1:2" x14ac:dyDescent="0.35">
      <c r="A2412" s="16">
        <v>41429</v>
      </c>
      <c r="B2412">
        <v>2.1276000000000002</v>
      </c>
    </row>
    <row r="2413" spans="1:2" x14ac:dyDescent="0.35">
      <c r="A2413" s="16">
        <v>41428</v>
      </c>
      <c r="B2413">
        <v>2.1349</v>
      </c>
    </row>
    <row r="2414" spans="1:2" x14ac:dyDescent="0.35">
      <c r="A2414" s="16">
        <v>41425</v>
      </c>
      <c r="B2414">
        <v>2.1314000000000002</v>
      </c>
    </row>
    <row r="2415" spans="1:2" x14ac:dyDescent="0.35">
      <c r="A2415" s="16">
        <v>41423</v>
      </c>
      <c r="B2415">
        <v>2.0888</v>
      </c>
    </row>
    <row r="2416" spans="1:2" x14ac:dyDescent="0.35">
      <c r="A2416" s="16">
        <v>41422</v>
      </c>
      <c r="B2416">
        <v>2.0609999999999999</v>
      </c>
    </row>
    <row r="2417" spans="1:2" x14ac:dyDescent="0.35">
      <c r="A2417" s="16">
        <v>41421</v>
      </c>
      <c r="B2417">
        <v>2.0520999999999998</v>
      </c>
    </row>
    <row r="2418" spans="1:2" x14ac:dyDescent="0.35">
      <c r="A2418" s="16">
        <v>41418</v>
      </c>
      <c r="B2418">
        <v>2.0489000000000002</v>
      </c>
    </row>
    <row r="2419" spans="1:2" x14ac:dyDescent="0.35">
      <c r="A2419" s="16">
        <v>41417</v>
      </c>
      <c r="B2419">
        <v>2.0531000000000001</v>
      </c>
    </row>
    <row r="2420" spans="1:2" x14ac:dyDescent="0.35">
      <c r="A2420" s="16">
        <v>41416</v>
      </c>
      <c r="B2420">
        <v>2.0381</v>
      </c>
    </row>
    <row r="2421" spans="1:2" x14ac:dyDescent="0.35">
      <c r="A2421" s="16">
        <v>41415</v>
      </c>
      <c r="B2421">
        <v>2.0396000000000001</v>
      </c>
    </row>
    <row r="2422" spans="1:2" x14ac:dyDescent="0.35">
      <c r="A2422" s="16">
        <v>41414</v>
      </c>
      <c r="B2422">
        <v>2.0327999999999999</v>
      </c>
    </row>
    <row r="2423" spans="1:2" x14ac:dyDescent="0.35">
      <c r="A2423" s="16">
        <v>41411</v>
      </c>
      <c r="B2423">
        <v>2.0348000000000002</v>
      </c>
    </row>
    <row r="2424" spans="1:2" x14ac:dyDescent="0.35">
      <c r="A2424" s="16">
        <v>41410</v>
      </c>
      <c r="B2424">
        <v>2.0249000000000001</v>
      </c>
    </row>
    <row r="2425" spans="1:2" x14ac:dyDescent="0.35">
      <c r="A2425" s="16">
        <v>41409</v>
      </c>
      <c r="B2425">
        <v>2.0226999999999999</v>
      </c>
    </row>
    <row r="2426" spans="1:2" x14ac:dyDescent="0.35">
      <c r="A2426" s="16">
        <v>41408</v>
      </c>
      <c r="B2426">
        <v>2.0057</v>
      </c>
    </row>
    <row r="2427" spans="1:2" x14ac:dyDescent="0.35">
      <c r="A2427" s="16">
        <v>41407</v>
      </c>
      <c r="B2427">
        <v>2.0144000000000002</v>
      </c>
    </row>
    <row r="2428" spans="1:2" x14ac:dyDescent="0.35">
      <c r="A2428" s="16">
        <v>41404</v>
      </c>
      <c r="B2428">
        <v>2.0225</v>
      </c>
    </row>
    <row r="2429" spans="1:2" x14ac:dyDescent="0.35">
      <c r="A2429" s="16">
        <v>41403</v>
      </c>
      <c r="B2429">
        <v>2.0045999999999999</v>
      </c>
    </row>
    <row r="2430" spans="1:2" x14ac:dyDescent="0.35">
      <c r="A2430" s="16">
        <v>41402</v>
      </c>
      <c r="B2430">
        <v>2.0024000000000002</v>
      </c>
    </row>
    <row r="2431" spans="1:2" x14ac:dyDescent="0.35">
      <c r="A2431" s="16">
        <v>41401</v>
      </c>
      <c r="B2431">
        <v>2.0104000000000002</v>
      </c>
    </row>
    <row r="2432" spans="1:2" x14ac:dyDescent="0.35">
      <c r="A2432" s="16">
        <v>41400</v>
      </c>
      <c r="B2432">
        <v>2.0137</v>
      </c>
    </row>
    <row r="2433" spans="1:2" x14ac:dyDescent="0.35">
      <c r="A2433" s="16">
        <v>41397</v>
      </c>
      <c r="B2433">
        <v>2.0087999999999999</v>
      </c>
    </row>
    <row r="2434" spans="1:2" x14ac:dyDescent="0.35">
      <c r="A2434" s="16">
        <v>41396</v>
      </c>
      <c r="B2434">
        <v>2.0089000000000001</v>
      </c>
    </row>
    <row r="2435" spans="1:2" x14ac:dyDescent="0.35">
      <c r="A2435" s="16">
        <v>41394</v>
      </c>
      <c r="B2435">
        <v>2.0011000000000001</v>
      </c>
    </row>
    <row r="2436" spans="1:2" x14ac:dyDescent="0.35">
      <c r="A2436" s="16">
        <v>41393</v>
      </c>
      <c r="B2436">
        <v>1.9993000000000001</v>
      </c>
    </row>
    <row r="2437" spans="1:2" x14ac:dyDescent="0.35">
      <c r="A2437" s="16">
        <v>41390</v>
      </c>
      <c r="B2437">
        <v>1.9995000000000001</v>
      </c>
    </row>
    <row r="2438" spans="1:2" x14ac:dyDescent="0.35">
      <c r="A2438" s="16">
        <v>41389</v>
      </c>
      <c r="B2438">
        <v>2.0114000000000001</v>
      </c>
    </row>
    <row r="2439" spans="1:2" x14ac:dyDescent="0.35">
      <c r="A2439" s="16">
        <v>41388</v>
      </c>
      <c r="B2439">
        <v>2.0238</v>
      </c>
    </row>
    <row r="2440" spans="1:2" x14ac:dyDescent="0.35">
      <c r="A2440" s="16">
        <v>41387</v>
      </c>
      <c r="B2440">
        <v>2.0164</v>
      </c>
    </row>
    <row r="2441" spans="1:2" x14ac:dyDescent="0.35">
      <c r="A2441" s="16">
        <v>41386</v>
      </c>
      <c r="B2441">
        <v>2.0148000000000001</v>
      </c>
    </row>
    <row r="2442" spans="1:2" x14ac:dyDescent="0.35">
      <c r="A2442" s="16">
        <v>41383</v>
      </c>
      <c r="B2442">
        <v>2.0084</v>
      </c>
    </row>
    <row r="2443" spans="1:2" x14ac:dyDescent="0.35">
      <c r="A2443" s="16">
        <v>41382</v>
      </c>
      <c r="B2443">
        <v>2.0146000000000002</v>
      </c>
    </row>
    <row r="2444" spans="1:2" x14ac:dyDescent="0.35">
      <c r="A2444" s="16">
        <v>41381</v>
      </c>
      <c r="B2444">
        <v>1.9933000000000001</v>
      </c>
    </row>
    <row r="2445" spans="1:2" x14ac:dyDescent="0.35">
      <c r="A2445" s="16">
        <v>41380</v>
      </c>
      <c r="B2445">
        <v>1.9897</v>
      </c>
    </row>
    <row r="2446" spans="1:2" x14ac:dyDescent="0.35">
      <c r="A2446" s="16">
        <v>41379</v>
      </c>
      <c r="B2446">
        <v>1.9783999999999999</v>
      </c>
    </row>
    <row r="2447" spans="1:2" x14ac:dyDescent="0.35">
      <c r="A2447" s="16">
        <v>41376</v>
      </c>
      <c r="B2447">
        <v>1.9755</v>
      </c>
    </row>
    <row r="2448" spans="1:2" x14ac:dyDescent="0.35">
      <c r="A2448" s="16">
        <v>41375</v>
      </c>
      <c r="B2448">
        <v>1.9731000000000001</v>
      </c>
    </row>
    <row r="2449" spans="1:2" x14ac:dyDescent="0.35">
      <c r="A2449" s="16">
        <v>41374</v>
      </c>
      <c r="B2449">
        <v>1.9803999999999999</v>
      </c>
    </row>
    <row r="2450" spans="1:2" x14ac:dyDescent="0.35">
      <c r="A2450" s="16">
        <v>41373</v>
      </c>
      <c r="B2450">
        <v>1.9855</v>
      </c>
    </row>
    <row r="2451" spans="1:2" x14ac:dyDescent="0.35">
      <c r="A2451" s="16">
        <v>41372</v>
      </c>
      <c r="B2451">
        <v>1.9897</v>
      </c>
    </row>
    <row r="2452" spans="1:2" x14ac:dyDescent="0.35">
      <c r="A2452" s="16">
        <v>41369</v>
      </c>
      <c r="B2452">
        <v>2.0028999999999999</v>
      </c>
    </row>
    <row r="2453" spans="1:2" x14ac:dyDescent="0.35">
      <c r="A2453" s="16">
        <v>41368</v>
      </c>
      <c r="B2453">
        <v>2.0194999999999999</v>
      </c>
    </row>
    <row r="2454" spans="1:2" x14ac:dyDescent="0.35">
      <c r="A2454" s="16">
        <v>41367</v>
      </c>
      <c r="B2454">
        <v>2.0232999999999999</v>
      </c>
    </row>
    <row r="2455" spans="1:2" x14ac:dyDescent="0.35">
      <c r="A2455" s="16">
        <v>41366</v>
      </c>
      <c r="B2455">
        <v>2.0173000000000001</v>
      </c>
    </row>
    <row r="2456" spans="1:2" x14ac:dyDescent="0.35">
      <c r="A2456" s="16">
        <v>41365</v>
      </c>
      <c r="B2456">
        <v>2.0179999999999998</v>
      </c>
    </row>
    <row r="2457" spans="1:2" x14ac:dyDescent="0.35">
      <c r="A2457" s="16">
        <v>41361</v>
      </c>
      <c r="B2457">
        <v>2.0131999999999999</v>
      </c>
    </row>
    <row r="2458" spans="1:2" x14ac:dyDescent="0.35">
      <c r="A2458" s="16">
        <v>41360</v>
      </c>
      <c r="B2458">
        <v>2.0179</v>
      </c>
    </row>
    <row r="2459" spans="1:2" x14ac:dyDescent="0.35">
      <c r="A2459" s="16">
        <v>41359</v>
      </c>
      <c r="B2459">
        <v>2.0081000000000002</v>
      </c>
    </row>
    <row r="2460" spans="1:2" x14ac:dyDescent="0.35">
      <c r="A2460" s="16">
        <v>41358</v>
      </c>
      <c r="B2460">
        <v>2.0133999999999999</v>
      </c>
    </row>
    <row r="2461" spans="1:2" x14ac:dyDescent="0.35">
      <c r="A2461" s="16">
        <v>41355</v>
      </c>
      <c r="B2461">
        <v>2.012</v>
      </c>
    </row>
    <row r="2462" spans="1:2" x14ac:dyDescent="0.35">
      <c r="A2462" s="16">
        <v>41354</v>
      </c>
      <c r="B2462">
        <v>1.9924999999999999</v>
      </c>
    </row>
    <row r="2463" spans="1:2" x14ac:dyDescent="0.35">
      <c r="A2463" s="16">
        <v>41353</v>
      </c>
      <c r="B2463">
        <v>1.9862</v>
      </c>
    </row>
    <row r="2464" spans="1:2" x14ac:dyDescent="0.35">
      <c r="A2464" s="16">
        <v>41352</v>
      </c>
      <c r="B2464">
        <v>1.9823999999999999</v>
      </c>
    </row>
    <row r="2465" spans="1:2" x14ac:dyDescent="0.35">
      <c r="A2465" s="16">
        <v>41351</v>
      </c>
      <c r="B2465">
        <v>1.9864999999999999</v>
      </c>
    </row>
    <row r="2466" spans="1:2" x14ac:dyDescent="0.35">
      <c r="A2466" s="16">
        <v>41348</v>
      </c>
      <c r="B2466">
        <v>1.9742999999999999</v>
      </c>
    </row>
    <row r="2467" spans="1:2" x14ac:dyDescent="0.35">
      <c r="A2467" s="16">
        <v>41347</v>
      </c>
      <c r="B2467">
        <v>1.9671000000000001</v>
      </c>
    </row>
    <row r="2468" spans="1:2" x14ac:dyDescent="0.35">
      <c r="A2468" s="16">
        <v>41346</v>
      </c>
      <c r="B2468">
        <v>1.9614</v>
      </c>
    </row>
    <row r="2469" spans="1:2" x14ac:dyDescent="0.35">
      <c r="A2469" s="16">
        <v>41345</v>
      </c>
      <c r="B2469">
        <v>1.9579</v>
      </c>
    </row>
    <row r="2470" spans="1:2" x14ac:dyDescent="0.35">
      <c r="A2470" s="16">
        <v>41344</v>
      </c>
      <c r="B2470">
        <v>1.9545999999999999</v>
      </c>
    </row>
    <row r="2471" spans="1:2" x14ac:dyDescent="0.35">
      <c r="A2471" s="16">
        <v>41341</v>
      </c>
      <c r="B2471">
        <v>1.9521999999999999</v>
      </c>
    </row>
    <row r="2472" spans="1:2" x14ac:dyDescent="0.35">
      <c r="A2472" s="16">
        <v>41340</v>
      </c>
      <c r="B2472">
        <v>1.9636</v>
      </c>
    </row>
    <row r="2473" spans="1:2" x14ac:dyDescent="0.35">
      <c r="A2473" s="16">
        <v>41339</v>
      </c>
      <c r="B2473">
        <v>1.9668000000000001</v>
      </c>
    </row>
    <row r="2474" spans="1:2" x14ac:dyDescent="0.35">
      <c r="A2474" s="16">
        <v>41338</v>
      </c>
      <c r="B2474">
        <v>1.9688000000000001</v>
      </c>
    </row>
    <row r="2475" spans="1:2" x14ac:dyDescent="0.35">
      <c r="A2475" s="16">
        <v>41337</v>
      </c>
      <c r="B2475">
        <v>1.9822</v>
      </c>
    </row>
    <row r="2476" spans="1:2" x14ac:dyDescent="0.35">
      <c r="A2476" s="16">
        <v>41334</v>
      </c>
      <c r="B2476">
        <v>1.9843</v>
      </c>
    </row>
    <row r="2477" spans="1:2" x14ac:dyDescent="0.35">
      <c r="A2477" s="16">
        <v>41333</v>
      </c>
      <c r="B2477">
        <v>1.9749000000000001</v>
      </c>
    </row>
    <row r="2478" spans="1:2" x14ac:dyDescent="0.35">
      <c r="A2478" s="16">
        <v>41332</v>
      </c>
      <c r="B2478">
        <v>1.9801</v>
      </c>
    </row>
    <row r="2479" spans="1:2" x14ac:dyDescent="0.35">
      <c r="A2479" s="16">
        <v>41331</v>
      </c>
      <c r="B2479">
        <v>1.9812000000000001</v>
      </c>
    </row>
    <row r="2480" spans="1:2" x14ac:dyDescent="0.35">
      <c r="A2480" s="16">
        <v>41330</v>
      </c>
      <c r="B2480">
        <v>1.9670000000000001</v>
      </c>
    </row>
    <row r="2481" spans="1:2" x14ac:dyDescent="0.35">
      <c r="A2481" s="16">
        <v>41327</v>
      </c>
      <c r="B2481">
        <v>1.9699</v>
      </c>
    </row>
    <row r="2482" spans="1:2" x14ac:dyDescent="0.35">
      <c r="A2482" s="16">
        <v>41326</v>
      </c>
      <c r="B2482">
        <v>1.9715</v>
      </c>
    </row>
    <row r="2483" spans="1:2" x14ac:dyDescent="0.35">
      <c r="A2483" s="16">
        <v>41325</v>
      </c>
      <c r="B2483">
        <v>1.9563999999999999</v>
      </c>
    </row>
    <row r="2484" spans="1:2" x14ac:dyDescent="0.35">
      <c r="A2484" s="16">
        <v>41324</v>
      </c>
      <c r="B2484">
        <v>1.9591000000000001</v>
      </c>
    </row>
    <row r="2485" spans="1:2" x14ac:dyDescent="0.35">
      <c r="A2485" s="16">
        <v>41323</v>
      </c>
      <c r="B2485">
        <v>1.9670000000000001</v>
      </c>
    </row>
    <row r="2486" spans="1:2" x14ac:dyDescent="0.35">
      <c r="A2486" s="16">
        <v>41320</v>
      </c>
      <c r="B2486">
        <v>1.9594</v>
      </c>
    </row>
    <row r="2487" spans="1:2" x14ac:dyDescent="0.35">
      <c r="A2487" s="16">
        <v>41319</v>
      </c>
      <c r="B2487">
        <v>1.966</v>
      </c>
    </row>
    <row r="2488" spans="1:2" x14ac:dyDescent="0.35">
      <c r="A2488" s="16">
        <v>41318</v>
      </c>
      <c r="B2488">
        <v>1.9664999999999999</v>
      </c>
    </row>
    <row r="2489" spans="1:2" x14ac:dyDescent="0.35">
      <c r="A2489" s="16">
        <v>41313</v>
      </c>
      <c r="B2489">
        <v>1.9630000000000001</v>
      </c>
    </row>
    <row r="2490" spans="1:2" x14ac:dyDescent="0.35">
      <c r="A2490" s="16">
        <v>41312</v>
      </c>
      <c r="B2490">
        <v>1.9782999999999999</v>
      </c>
    </row>
    <row r="2491" spans="1:2" x14ac:dyDescent="0.35">
      <c r="A2491" s="16">
        <v>41311</v>
      </c>
      <c r="B2491">
        <v>1.9878</v>
      </c>
    </row>
    <row r="2492" spans="1:2" x14ac:dyDescent="0.35">
      <c r="A2492" s="16">
        <v>41310</v>
      </c>
      <c r="B2492">
        <v>1.9875</v>
      </c>
    </row>
    <row r="2493" spans="1:2" x14ac:dyDescent="0.35">
      <c r="A2493" s="16">
        <v>41309</v>
      </c>
      <c r="B2493">
        <v>1.9887999999999999</v>
      </c>
    </row>
    <row r="2494" spans="1:2" x14ac:dyDescent="0.35">
      <c r="A2494" s="16">
        <v>41306</v>
      </c>
      <c r="B2494">
        <v>1.9838</v>
      </c>
    </row>
    <row r="2495" spans="1:2" x14ac:dyDescent="0.35">
      <c r="A2495" s="16">
        <v>41305</v>
      </c>
      <c r="B2495">
        <v>1.9877</v>
      </c>
    </row>
    <row r="2496" spans="1:2" x14ac:dyDescent="0.35">
      <c r="A2496" s="16">
        <v>41304</v>
      </c>
      <c r="B2496">
        <v>1.9894000000000001</v>
      </c>
    </row>
    <row r="2497" spans="1:2" x14ac:dyDescent="0.35">
      <c r="A2497" s="16">
        <v>41303</v>
      </c>
      <c r="B2497">
        <v>1.9905999999999999</v>
      </c>
    </row>
    <row r="2498" spans="1:2" x14ac:dyDescent="0.35">
      <c r="A2498" s="16">
        <v>41302</v>
      </c>
      <c r="B2498">
        <v>2.0234999999999999</v>
      </c>
    </row>
    <row r="2499" spans="1:2" x14ac:dyDescent="0.35">
      <c r="A2499" s="16">
        <v>41299</v>
      </c>
      <c r="B2499">
        <v>2.0276999999999998</v>
      </c>
    </row>
    <row r="2500" spans="1:2" x14ac:dyDescent="0.35">
      <c r="A2500" s="16">
        <v>41298</v>
      </c>
      <c r="B2500">
        <v>2.0337999999999998</v>
      </c>
    </row>
    <row r="2501" spans="1:2" x14ac:dyDescent="0.35">
      <c r="A2501" s="16">
        <v>41297</v>
      </c>
      <c r="B2501">
        <v>2.0388000000000002</v>
      </c>
    </row>
    <row r="2502" spans="1:2" x14ac:dyDescent="0.35">
      <c r="A2502" s="16">
        <v>41296</v>
      </c>
      <c r="B2502">
        <v>2.0466000000000002</v>
      </c>
    </row>
    <row r="2503" spans="1:2" x14ac:dyDescent="0.35">
      <c r="A2503" s="16">
        <v>41295</v>
      </c>
      <c r="B2503">
        <v>2.0415000000000001</v>
      </c>
    </row>
    <row r="2504" spans="1:2" x14ac:dyDescent="0.35">
      <c r="A2504" s="16">
        <v>41292</v>
      </c>
      <c r="B2504">
        <v>2.0434999999999999</v>
      </c>
    </row>
    <row r="2505" spans="1:2" x14ac:dyDescent="0.35">
      <c r="A2505" s="16">
        <v>41291</v>
      </c>
      <c r="B2505">
        <v>2.0405000000000002</v>
      </c>
    </row>
    <row r="2506" spans="1:2" x14ac:dyDescent="0.35">
      <c r="A2506" s="16">
        <v>41290</v>
      </c>
      <c r="B2506">
        <v>2.0402999999999998</v>
      </c>
    </row>
    <row r="2507" spans="1:2" x14ac:dyDescent="0.35">
      <c r="A2507" s="16">
        <v>41289</v>
      </c>
      <c r="B2507">
        <v>2.0367999999999999</v>
      </c>
    </row>
    <row r="2508" spans="1:2" x14ac:dyDescent="0.35">
      <c r="A2508" s="16">
        <v>41288</v>
      </c>
      <c r="B2508">
        <v>2.0327999999999999</v>
      </c>
    </row>
    <row r="2509" spans="1:2" x14ac:dyDescent="0.35">
      <c r="A2509" s="16">
        <v>41285</v>
      </c>
      <c r="B2509">
        <v>2.0335000000000001</v>
      </c>
    </row>
    <row r="2510" spans="1:2" x14ac:dyDescent="0.35">
      <c r="A2510" s="16">
        <v>41284</v>
      </c>
      <c r="B2510">
        <v>2.0352000000000001</v>
      </c>
    </row>
    <row r="2511" spans="1:2" x14ac:dyDescent="0.35">
      <c r="A2511" s="16">
        <v>41283</v>
      </c>
      <c r="B2511">
        <v>2.0411000000000001</v>
      </c>
    </row>
    <row r="2512" spans="1:2" x14ac:dyDescent="0.35">
      <c r="A2512" s="16">
        <v>41282</v>
      </c>
      <c r="B2512">
        <v>2.028</v>
      </c>
    </row>
    <row r="2513" spans="1:2" x14ac:dyDescent="0.35">
      <c r="A2513" s="16">
        <v>41281</v>
      </c>
      <c r="B2513">
        <v>2.0306000000000002</v>
      </c>
    </row>
    <row r="2514" spans="1:2" x14ac:dyDescent="0.35">
      <c r="A2514" s="16">
        <v>41278</v>
      </c>
      <c r="B2514">
        <v>2.0419</v>
      </c>
    </row>
    <row r="2515" spans="1:2" x14ac:dyDescent="0.35">
      <c r="A2515" s="16">
        <v>41277</v>
      </c>
      <c r="B2515">
        <v>2.0457999999999998</v>
      </c>
    </row>
    <row r="2516" spans="1:2" x14ac:dyDescent="0.35">
      <c r="A2516" s="16">
        <v>41276</v>
      </c>
      <c r="B2516">
        <v>2.0409000000000002</v>
      </c>
    </row>
    <row r="2517" spans="1:2" x14ac:dyDescent="0.35">
      <c r="A2517" s="16">
        <v>41274</v>
      </c>
      <c r="B2517">
        <v>2.0428999999999999</v>
      </c>
    </row>
    <row r="2518" spans="1:2" x14ac:dyDescent="0.35">
      <c r="A2518" s="16">
        <v>41271</v>
      </c>
      <c r="B2518">
        <v>2.0428999999999999</v>
      </c>
    </row>
    <row r="2519" spans="1:2" x14ac:dyDescent="0.35">
      <c r="A2519" s="16">
        <v>41270</v>
      </c>
      <c r="B2519">
        <v>2.0476999999999999</v>
      </c>
    </row>
    <row r="2520" spans="1:2" x14ac:dyDescent="0.35">
      <c r="A2520" s="16">
        <v>41269</v>
      </c>
      <c r="B2520">
        <v>2.0562999999999998</v>
      </c>
    </row>
    <row r="2521" spans="1:2" x14ac:dyDescent="0.35">
      <c r="A2521" s="16">
        <v>41267</v>
      </c>
      <c r="B2521">
        <v>2.0767000000000002</v>
      </c>
    </row>
    <row r="2522" spans="1:2" x14ac:dyDescent="0.35">
      <c r="A2522" s="16">
        <v>41264</v>
      </c>
      <c r="B2522">
        <v>2.0750999999999999</v>
      </c>
    </row>
    <row r="2523" spans="1:2" x14ac:dyDescent="0.35">
      <c r="A2523" s="16">
        <v>41263</v>
      </c>
      <c r="B2523">
        <v>2.0619999999999998</v>
      </c>
    </row>
    <row r="2524" spans="1:2" x14ac:dyDescent="0.35">
      <c r="A2524" s="16">
        <v>41262</v>
      </c>
      <c r="B2524">
        <v>2.0785</v>
      </c>
    </row>
    <row r="2525" spans="1:2" x14ac:dyDescent="0.35">
      <c r="A2525" s="16">
        <v>41261</v>
      </c>
      <c r="B2525">
        <v>2.0960000000000001</v>
      </c>
    </row>
    <row r="2526" spans="1:2" x14ac:dyDescent="0.35">
      <c r="A2526" s="16">
        <v>41260</v>
      </c>
      <c r="B2526">
        <v>2.0895999999999999</v>
      </c>
    </row>
    <row r="2527" spans="1:2" x14ac:dyDescent="0.35">
      <c r="A2527" s="16">
        <v>41257</v>
      </c>
      <c r="B2527">
        <v>2.0834000000000001</v>
      </c>
    </row>
    <row r="2528" spans="1:2" x14ac:dyDescent="0.35">
      <c r="A2528" s="16">
        <v>41256</v>
      </c>
      <c r="B2528">
        <v>2.0745</v>
      </c>
    </row>
    <row r="2529" spans="1:2" x14ac:dyDescent="0.35">
      <c r="A2529" s="16">
        <v>41255</v>
      </c>
      <c r="B2529">
        <v>2.0794999999999999</v>
      </c>
    </row>
    <row r="2530" spans="1:2" x14ac:dyDescent="0.35">
      <c r="A2530" s="16">
        <v>41254</v>
      </c>
      <c r="B2530">
        <v>2.0737000000000001</v>
      </c>
    </row>
    <row r="2531" spans="1:2" x14ac:dyDescent="0.35">
      <c r="A2531" s="16">
        <v>41253</v>
      </c>
      <c r="B2531">
        <v>2.0804</v>
      </c>
    </row>
    <row r="2532" spans="1:2" x14ac:dyDescent="0.35">
      <c r="A2532" s="16">
        <v>41250</v>
      </c>
      <c r="B2532">
        <v>2.0798000000000001</v>
      </c>
    </row>
    <row r="2533" spans="1:2" x14ac:dyDescent="0.35">
      <c r="A2533" s="16">
        <v>41249</v>
      </c>
      <c r="B2533">
        <v>2.0831</v>
      </c>
    </row>
    <row r="2534" spans="1:2" x14ac:dyDescent="0.35">
      <c r="A2534" s="16">
        <v>41248</v>
      </c>
      <c r="B2534">
        <v>2.1040000000000001</v>
      </c>
    </row>
    <row r="2535" spans="1:2" x14ac:dyDescent="0.35">
      <c r="A2535" s="16">
        <v>41247</v>
      </c>
      <c r="B2535">
        <v>2.1072000000000002</v>
      </c>
    </row>
    <row r="2536" spans="1:2" x14ac:dyDescent="0.35">
      <c r="A2536" s="16">
        <v>41246</v>
      </c>
      <c r="B2536">
        <v>2.1114999999999999</v>
      </c>
    </row>
    <row r="2537" spans="1:2" x14ac:dyDescent="0.35">
      <c r="A2537" s="16">
        <v>41243</v>
      </c>
      <c r="B2537">
        <v>2.1067999999999998</v>
      </c>
    </row>
    <row r="2538" spans="1:2" x14ac:dyDescent="0.35">
      <c r="A2538" s="16">
        <v>41242</v>
      </c>
      <c r="B2538">
        <v>2.0985999999999998</v>
      </c>
    </row>
    <row r="2539" spans="1:2" x14ac:dyDescent="0.35">
      <c r="A2539" s="16">
        <v>41241</v>
      </c>
      <c r="B2539">
        <v>2.0907</v>
      </c>
    </row>
    <row r="2540" spans="1:2" x14ac:dyDescent="0.35">
      <c r="A2540" s="16">
        <v>41240</v>
      </c>
      <c r="B2540">
        <v>2.0746000000000002</v>
      </c>
    </row>
    <row r="2541" spans="1:2" x14ac:dyDescent="0.35">
      <c r="A2541" s="16">
        <v>41239</v>
      </c>
      <c r="B2541">
        <v>2.0781999999999998</v>
      </c>
    </row>
    <row r="2542" spans="1:2" x14ac:dyDescent="0.35">
      <c r="A2542" s="16">
        <v>41236</v>
      </c>
      <c r="B2542">
        <v>2.0979999999999999</v>
      </c>
    </row>
    <row r="2543" spans="1:2" x14ac:dyDescent="0.35">
      <c r="A2543" s="16">
        <v>41235</v>
      </c>
      <c r="B2543">
        <v>2.0907</v>
      </c>
    </row>
    <row r="2544" spans="1:2" x14ac:dyDescent="0.35">
      <c r="A2544" s="16">
        <v>41234</v>
      </c>
      <c r="B2544">
        <v>2.0918000000000001</v>
      </c>
    </row>
    <row r="2545" spans="1:2" x14ac:dyDescent="0.35">
      <c r="A2545" s="16">
        <v>41233</v>
      </c>
      <c r="B2545">
        <v>2.0827</v>
      </c>
    </row>
    <row r="2546" spans="1:2" x14ac:dyDescent="0.35">
      <c r="A2546" s="16">
        <v>41232</v>
      </c>
      <c r="B2546">
        <v>2.0739999999999998</v>
      </c>
    </row>
    <row r="2547" spans="1:2" x14ac:dyDescent="0.35">
      <c r="A2547" s="16">
        <v>41229</v>
      </c>
      <c r="B2547">
        <v>2.0706000000000002</v>
      </c>
    </row>
    <row r="2548" spans="1:2" x14ac:dyDescent="0.35">
      <c r="A2548" s="16">
        <v>41227</v>
      </c>
      <c r="B2548">
        <v>2.0623999999999998</v>
      </c>
    </row>
    <row r="2549" spans="1:2" x14ac:dyDescent="0.35">
      <c r="A2549" s="16">
        <v>41226</v>
      </c>
      <c r="B2549">
        <v>2.0609000000000002</v>
      </c>
    </row>
    <row r="2550" spans="1:2" x14ac:dyDescent="0.35">
      <c r="A2550" s="16">
        <v>41225</v>
      </c>
      <c r="B2550">
        <v>2.0470000000000002</v>
      </c>
    </row>
    <row r="2551" spans="1:2" x14ac:dyDescent="0.35">
      <c r="A2551" s="16">
        <v>41222</v>
      </c>
      <c r="B2551">
        <v>2.0507</v>
      </c>
    </row>
    <row r="2552" spans="1:2" x14ac:dyDescent="0.35">
      <c r="A2552" s="16">
        <v>41221</v>
      </c>
      <c r="B2552">
        <v>2.0352000000000001</v>
      </c>
    </row>
    <row r="2553" spans="1:2" x14ac:dyDescent="0.35">
      <c r="A2553" s="16">
        <v>41220</v>
      </c>
      <c r="B2553">
        <v>2.0324</v>
      </c>
    </row>
    <row r="2554" spans="1:2" x14ac:dyDescent="0.35">
      <c r="A2554" s="16">
        <v>41219</v>
      </c>
      <c r="B2554">
        <v>2.0335999999999999</v>
      </c>
    </row>
    <row r="2555" spans="1:2" x14ac:dyDescent="0.35">
      <c r="A2555" s="16">
        <v>41218</v>
      </c>
      <c r="B2555">
        <v>2.0344000000000002</v>
      </c>
    </row>
    <row r="2556" spans="1:2" x14ac:dyDescent="0.35">
      <c r="A2556" s="16">
        <v>41214</v>
      </c>
      <c r="B2556">
        <v>2.0306000000000002</v>
      </c>
    </row>
    <row r="2557" spans="1:2" x14ac:dyDescent="0.35">
      <c r="A2557" s="16">
        <v>41213</v>
      </c>
      <c r="B2557">
        <v>2.0308000000000002</v>
      </c>
    </row>
    <row r="2558" spans="1:2" x14ac:dyDescent="0.35">
      <c r="A2558" s="16">
        <v>41212</v>
      </c>
      <c r="B2558">
        <v>2.0318000000000001</v>
      </c>
    </row>
    <row r="2559" spans="1:2" x14ac:dyDescent="0.35">
      <c r="A2559" s="16">
        <v>41211</v>
      </c>
      <c r="B2559">
        <v>2.0291000000000001</v>
      </c>
    </row>
    <row r="2560" spans="1:2" x14ac:dyDescent="0.35">
      <c r="A2560" s="16">
        <v>41208</v>
      </c>
      <c r="B2560">
        <v>2.0257000000000001</v>
      </c>
    </row>
    <row r="2561" spans="1:2" x14ac:dyDescent="0.35">
      <c r="A2561" s="16">
        <v>41207</v>
      </c>
      <c r="B2561">
        <v>2.0255999999999998</v>
      </c>
    </row>
    <row r="2562" spans="1:2" x14ac:dyDescent="0.35">
      <c r="A2562" s="16">
        <v>41206</v>
      </c>
      <c r="B2562">
        <v>2.0257000000000001</v>
      </c>
    </row>
    <row r="2563" spans="1:2" x14ac:dyDescent="0.35">
      <c r="A2563" s="16">
        <v>41205</v>
      </c>
      <c r="B2563">
        <v>2.0280999999999998</v>
      </c>
    </row>
    <row r="2564" spans="1:2" x14ac:dyDescent="0.35">
      <c r="A2564" s="16">
        <v>41204</v>
      </c>
      <c r="B2564">
        <v>2.0259999999999998</v>
      </c>
    </row>
    <row r="2565" spans="1:2" x14ac:dyDescent="0.35">
      <c r="A2565" s="16">
        <v>41201</v>
      </c>
      <c r="B2565">
        <v>2.0266000000000002</v>
      </c>
    </row>
    <row r="2566" spans="1:2" x14ac:dyDescent="0.35">
      <c r="A2566" s="16">
        <v>41200</v>
      </c>
      <c r="B2566">
        <v>2.0289999999999999</v>
      </c>
    </row>
    <row r="2567" spans="1:2" x14ac:dyDescent="0.35">
      <c r="A2567" s="16">
        <v>41199</v>
      </c>
      <c r="B2567">
        <v>2.0329999999999999</v>
      </c>
    </row>
    <row r="2568" spans="1:2" x14ac:dyDescent="0.35">
      <c r="A2568" s="16">
        <v>41198</v>
      </c>
      <c r="B2568">
        <v>2.0345</v>
      </c>
    </row>
    <row r="2569" spans="1:2" x14ac:dyDescent="0.35">
      <c r="A2569" s="16">
        <v>41197</v>
      </c>
      <c r="B2569">
        <v>2.0377000000000001</v>
      </c>
    </row>
    <row r="2570" spans="1:2" x14ac:dyDescent="0.35">
      <c r="A2570" s="16">
        <v>41193</v>
      </c>
      <c r="B2570">
        <v>2.0363000000000002</v>
      </c>
    </row>
    <row r="2571" spans="1:2" x14ac:dyDescent="0.35">
      <c r="A2571" s="16">
        <v>41192</v>
      </c>
      <c r="B2571">
        <v>2.0373000000000001</v>
      </c>
    </row>
    <row r="2572" spans="1:2" x14ac:dyDescent="0.35">
      <c r="A2572" s="16">
        <v>41191</v>
      </c>
      <c r="B2572">
        <v>2.0331000000000001</v>
      </c>
    </row>
    <row r="2573" spans="1:2" x14ac:dyDescent="0.35">
      <c r="A2573" s="16">
        <v>41190</v>
      </c>
      <c r="B2573">
        <v>2.0306999999999999</v>
      </c>
    </row>
    <row r="2574" spans="1:2" x14ac:dyDescent="0.35">
      <c r="A2574" s="16">
        <v>41187</v>
      </c>
      <c r="B2574">
        <v>2.024</v>
      </c>
    </row>
    <row r="2575" spans="1:2" x14ac:dyDescent="0.35">
      <c r="A2575" s="16">
        <v>41186</v>
      </c>
      <c r="B2575">
        <v>2.0217999999999998</v>
      </c>
    </row>
    <row r="2576" spans="1:2" x14ac:dyDescent="0.35">
      <c r="A2576" s="16">
        <v>41185</v>
      </c>
      <c r="B2576">
        <v>2.0259999999999998</v>
      </c>
    </row>
    <row r="2577" spans="1:2" x14ac:dyDescent="0.35">
      <c r="A2577" s="16">
        <v>41184</v>
      </c>
      <c r="B2577">
        <v>2.0259999999999998</v>
      </c>
    </row>
    <row r="2578" spans="1:2" x14ac:dyDescent="0.35">
      <c r="A2578" s="16">
        <v>41183</v>
      </c>
      <c r="B2578">
        <v>2.0253999999999999</v>
      </c>
    </row>
    <row r="2579" spans="1:2" x14ac:dyDescent="0.35">
      <c r="A2579" s="16">
        <v>41180</v>
      </c>
      <c r="B2579">
        <v>2.0299999999999998</v>
      </c>
    </row>
    <row r="2580" spans="1:2" x14ac:dyDescent="0.35">
      <c r="A2580" s="16">
        <v>41179</v>
      </c>
      <c r="B2580">
        <v>2.0305</v>
      </c>
    </row>
    <row r="2581" spans="1:2" x14ac:dyDescent="0.35">
      <c r="A2581" s="16">
        <v>41178</v>
      </c>
      <c r="B2581">
        <v>2.0335000000000001</v>
      </c>
    </row>
    <row r="2582" spans="1:2" x14ac:dyDescent="0.35">
      <c r="A2582" s="16">
        <v>41177</v>
      </c>
      <c r="B2582">
        <v>2.0245000000000002</v>
      </c>
    </row>
    <row r="2583" spans="1:2" x14ac:dyDescent="0.35">
      <c r="A2583" s="16">
        <v>41176</v>
      </c>
      <c r="B2583">
        <v>2.0266999999999999</v>
      </c>
    </row>
    <row r="2584" spans="1:2" x14ac:dyDescent="0.35">
      <c r="A2584" s="16">
        <v>41173</v>
      </c>
      <c r="B2584">
        <v>2.0234999999999999</v>
      </c>
    </row>
    <row r="2585" spans="1:2" x14ac:dyDescent="0.35">
      <c r="A2585" s="16">
        <v>41172</v>
      </c>
      <c r="B2585">
        <v>2.0257000000000001</v>
      </c>
    </row>
    <row r="2586" spans="1:2" x14ac:dyDescent="0.35">
      <c r="A2586" s="16">
        <v>41171</v>
      </c>
      <c r="B2586">
        <v>2.0230000000000001</v>
      </c>
    </row>
    <row r="2587" spans="1:2" x14ac:dyDescent="0.35">
      <c r="A2587" s="16">
        <v>41170</v>
      </c>
      <c r="B2587">
        <v>2.0268000000000002</v>
      </c>
    </row>
    <row r="2588" spans="1:2" x14ac:dyDescent="0.35">
      <c r="A2588" s="16">
        <v>41169</v>
      </c>
      <c r="B2588">
        <v>2.0306000000000002</v>
      </c>
    </row>
    <row r="2589" spans="1:2" x14ac:dyDescent="0.35">
      <c r="A2589" s="16">
        <v>41166</v>
      </c>
      <c r="B2589">
        <v>2.0133000000000001</v>
      </c>
    </row>
    <row r="2590" spans="1:2" x14ac:dyDescent="0.35">
      <c r="A2590" s="16">
        <v>41165</v>
      </c>
      <c r="B2590">
        <v>2.0249000000000001</v>
      </c>
    </row>
    <row r="2591" spans="1:2" x14ac:dyDescent="0.35">
      <c r="A2591" s="16">
        <v>41164</v>
      </c>
      <c r="B2591">
        <v>2.0198</v>
      </c>
    </row>
    <row r="2592" spans="1:2" x14ac:dyDescent="0.35">
      <c r="A2592" s="16">
        <v>41163</v>
      </c>
      <c r="B2592">
        <v>2.0192000000000001</v>
      </c>
    </row>
    <row r="2593" spans="1:2" x14ac:dyDescent="0.35">
      <c r="A2593" s="16">
        <v>41162</v>
      </c>
      <c r="B2593">
        <v>2.0234999999999999</v>
      </c>
    </row>
    <row r="2594" spans="1:2" x14ac:dyDescent="0.35">
      <c r="A2594" s="16">
        <v>41158</v>
      </c>
      <c r="B2594">
        <v>2.0375000000000001</v>
      </c>
    </row>
    <row r="2595" spans="1:2" x14ac:dyDescent="0.35">
      <c r="A2595" s="16">
        <v>41157</v>
      </c>
      <c r="B2595">
        <v>2.0379999999999998</v>
      </c>
    </row>
    <row r="2596" spans="1:2" x14ac:dyDescent="0.35">
      <c r="A2596" s="16">
        <v>41156</v>
      </c>
      <c r="B2596">
        <v>2.0386000000000002</v>
      </c>
    </row>
    <row r="2597" spans="1:2" x14ac:dyDescent="0.35">
      <c r="A2597" s="16">
        <v>41155</v>
      </c>
      <c r="B2597">
        <v>2.0329000000000002</v>
      </c>
    </row>
    <row r="2598" spans="1:2" x14ac:dyDescent="0.35">
      <c r="A2598" s="16">
        <v>41152</v>
      </c>
      <c r="B2598">
        <v>2.0366</v>
      </c>
    </row>
    <row r="2599" spans="1:2" x14ac:dyDescent="0.35">
      <c r="A2599" s="16">
        <v>41151</v>
      </c>
      <c r="B2599">
        <v>2.0507</v>
      </c>
    </row>
    <row r="2600" spans="1:2" x14ac:dyDescent="0.35">
      <c r="A2600" s="16">
        <v>41150</v>
      </c>
      <c r="B2600">
        <v>2.0503</v>
      </c>
    </row>
    <row r="2601" spans="1:2" x14ac:dyDescent="0.35">
      <c r="A2601" s="16">
        <v>41149</v>
      </c>
      <c r="B2601">
        <v>2.0427</v>
      </c>
    </row>
    <row r="2602" spans="1:2" x14ac:dyDescent="0.35">
      <c r="A2602" s="16">
        <v>41148</v>
      </c>
      <c r="B2602">
        <v>2.0287000000000002</v>
      </c>
    </row>
    <row r="2603" spans="1:2" x14ac:dyDescent="0.35">
      <c r="A2603" s="16">
        <v>41145</v>
      </c>
      <c r="B2603">
        <v>2.0249999999999999</v>
      </c>
    </row>
    <row r="2604" spans="1:2" x14ac:dyDescent="0.35">
      <c r="A2604" s="16">
        <v>41144</v>
      </c>
      <c r="B2604">
        <v>2.0236000000000001</v>
      </c>
    </row>
    <row r="2605" spans="1:2" x14ac:dyDescent="0.35">
      <c r="A2605" s="16">
        <v>41143</v>
      </c>
      <c r="B2605">
        <v>2.0204</v>
      </c>
    </row>
    <row r="2606" spans="1:2" x14ac:dyDescent="0.35">
      <c r="A2606" s="16">
        <v>41142</v>
      </c>
      <c r="B2606">
        <v>2.0167000000000002</v>
      </c>
    </row>
    <row r="2607" spans="1:2" x14ac:dyDescent="0.35">
      <c r="A2607" s="16">
        <v>41141</v>
      </c>
      <c r="B2607">
        <v>2.0203000000000002</v>
      </c>
    </row>
    <row r="2608" spans="1:2" x14ac:dyDescent="0.35">
      <c r="A2608" s="16">
        <v>41138</v>
      </c>
      <c r="B2608">
        <v>2.0175999999999998</v>
      </c>
    </row>
    <row r="2609" spans="1:2" x14ac:dyDescent="0.35">
      <c r="A2609" s="16">
        <v>41137</v>
      </c>
      <c r="B2609">
        <v>2.0207999999999999</v>
      </c>
    </row>
    <row r="2610" spans="1:2" x14ac:dyDescent="0.35">
      <c r="A2610" s="16">
        <v>41136</v>
      </c>
      <c r="B2610">
        <v>2.0228000000000002</v>
      </c>
    </row>
    <row r="2611" spans="1:2" x14ac:dyDescent="0.35">
      <c r="A2611" s="16">
        <v>41135</v>
      </c>
      <c r="B2611">
        <v>2.0251999999999999</v>
      </c>
    </row>
    <row r="2612" spans="1:2" x14ac:dyDescent="0.35">
      <c r="A2612" s="16">
        <v>41134</v>
      </c>
      <c r="B2612">
        <v>2.0259999999999998</v>
      </c>
    </row>
    <row r="2613" spans="1:2" x14ac:dyDescent="0.35">
      <c r="A2613" s="16">
        <v>41131</v>
      </c>
      <c r="B2613">
        <v>2.0169000000000001</v>
      </c>
    </row>
    <row r="2614" spans="1:2" x14ac:dyDescent="0.35">
      <c r="A2614" s="16">
        <v>41130</v>
      </c>
      <c r="B2614">
        <v>2.0177</v>
      </c>
    </row>
    <row r="2615" spans="1:2" x14ac:dyDescent="0.35">
      <c r="A2615" s="16">
        <v>41129</v>
      </c>
      <c r="B2615">
        <v>2.0266999999999999</v>
      </c>
    </row>
    <row r="2616" spans="1:2" x14ac:dyDescent="0.35">
      <c r="A2616" s="16">
        <v>41128</v>
      </c>
      <c r="B2616">
        <v>2.0276000000000001</v>
      </c>
    </row>
    <row r="2617" spans="1:2" x14ac:dyDescent="0.35">
      <c r="A2617" s="16">
        <v>41127</v>
      </c>
      <c r="B2617">
        <v>2.0272999999999999</v>
      </c>
    </row>
    <row r="2618" spans="1:2" x14ac:dyDescent="0.35">
      <c r="A2618" s="16">
        <v>41124</v>
      </c>
      <c r="B2618">
        <v>2.0306999999999999</v>
      </c>
    </row>
    <row r="2619" spans="1:2" x14ac:dyDescent="0.35">
      <c r="A2619" s="16">
        <v>41123</v>
      </c>
      <c r="B2619">
        <v>2.0470000000000002</v>
      </c>
    </row>
    <row r="2620" spans="1:2" x14ac:dyDescent="0.35">
      <c r="A2620" s="16">
        <v>41122</v>
      </c>
      <c r="B2620">
        <v>2.0426000000000002</v>
      </c>
    </row>
    <row r="2621" spans="1:2" x14ac:dyDescent="0.35">
      <c r="A2621" s="16">
        <v>41121</v>
      </c>
      <c r="B2621">
        <v>2.0493999999999999</v>
      </c>
    </row>
    <row r="2622" spans="1:2" x14ac:dyDescent="0.35">
      <c r="A2622" s="16">
        <v>41120</v>
      </c>
      <c r="B2622">
        <v>2.0308000000000002</v>
      </c>
    </row>
    <row r="2623" spans="1:2" x14ac:dyDescent="0.35">
      <c r="A2623" s="16">
        <v>41117</v>
      </c>
      <c r="B2623">
        <v>2.0167000000000002</v>
      </c>
    </row>
    <row r="2624" spans="1:2" x14ac:dyDescent="0.35">
      <c r="A2624" s="16">
        <v>41116</v>
      </c>
      <c r="B2624">
        <v>2.0249000000000001</v>
      </c>
    </row>
    <row r="2625" spans="1:2" x14ac:dyDescent="0.35">
      <c r="A2625" s="16">
        <v>41115</v>
      </c>
      <c r="B2625">
        <v>2.0396999999999998</v>
      </c>
    </row>
    <row r="2626" spans="1:2" x14ac:dyDescent="0.35">
      <c r="A2626" s="16">
        <v>41114</v>
      </c>
      <c r="B2626">
        <v>2.0413000000000001</v>
      </c>
    </row>
    <row r="2627" spans="1:2" x14ac:dyDescent="0.35">
      <c r="A2627" s="16">
        <v>41113</v>
      </c>
      <c r="B2627">
        <v>2.0406</v>
      </c>
    </row>
    <row r="2628" spans="1:2" x14ac:dyDescent="0.35">
      <c r="A2628" s="16">
        <v>41110</v>
      </c>
      <c r="B2628">
        <v>2.0219999999999998</v>
      </c>
    </row>
    <row r="2629" spans="1:2" x14ac:dyDescent="0.35">
      <c r="A2629" s="16">
        <v>41109</v>
      </c>
      <c r="B2629">
        <v>2.0232999999999999</v>
      </c>
    </row>
    <row r="2630" spans="1:2" x14ac:dyDescent="0.35">
      <c r="A2630" s="16">
        <v>41108</v>
      </c>
      <c r="B2630">
        <v>2.0253000000000001</v>
      </c>
    </row>
    <row r="2631" spans="1:2" x14ac:dyDescent="0.35">
      <c r="A2631" s="16">
        <v>41107</v>
      </c>
      <c r="B2631">
        <v>2.0343</v>
      </c>
    </row>
    <row r="2632" spans="1:2" x14ac:dyDescent="0.35">
      <c r="A2632" s="16">
        <v>41106</v>
      </c>
      <c r="B2632">
        <v>2.0375000000000001</v>
      </c>
    </row>
    <row r="2633" spans="1:2" x14ac:dyDescent="0.35">
      <c r="A2633" s="16">
        <v>41103</v>
      </c>
      <c r="B2633">
        <v>2.0331999999999999</v>
      </c>
    </row>
    <row r="2634" spans="1:2" x14ac:dyDescent="0.35">
      <c r="A2634" s="16">
        <v>41102</v>
      </c>
      <c r="B2634">
        <v>2.0465</v>
      </c>
    </row>
    <row r="2635" spans="1:2" x14ac:dyDescent="0.35">
      <c r="A2635" s="16">
        <v>41101</v>
      </c>
      <c r="B2635">
        <v>2.0304000000000002</v>
      </c>
    </row>
    <row r="2636" spans="1:2" x14ac:dyDescent="0.35">
      <c r="A2636" s="16">
        <v>41100</v>
      </c>
      <c r="B2636">
        <v>2.0327000000000002</v>
      </c>
    </row>
    <row r="2637" spans="1:2" x14ac:dyDescent="0.35">
      <c r="A2637" s="16">
        <v>41099</v>
      </c>
      <c r="B2637">
        <v>2.0303</v>
      </c>
    </row>
    <row r="2638" spans="1:2" x14ac:dyDescent="0.35">
      <c r="A2638" s="16">
        <v>41096</v>
      </c>
      <c r="B2638">
        <v>2.0287000000000002</v>
      </c>
    </row>
    <row r="2639" spans="1:2" x14ac:dyDescent="0.35">
      <c r="A2639" s="16">
        <v>41095</v>
      </c>
      <c r="B2639">
        <v>2.0287000000000002</v>
      </c>
    </row>
    <row r="2640" spans="1:2" x14ac:dyDescent="0.35">
      <c r="A2640" s="16">
        <v>41094</v>
      </c>
      <c r="B2640">
        <v>2.0194999999999999</v>
      </c>
    </row>
    <row r="2641" spans="1:2" x14ac:dyDescent="0.35">
      <c r="A2641" s="16">
        <v>41093</v>
      </c>
      <c r="B2641">
        <v>1.9882</v>
      </c>
    </row>
    <row r="2642" spans="1:2" x14ac:dyDescent="0.35">
      <c r="A2642" s="16">
        <v>41092</v>
      </c>
      <c r="B2642">
        <v>1.9886999999999999</v>
      </c>
    </row>
    <row r="2643" spans="1:2" x14ac:dyDescent="0.35">
      <c r="A2643" s="16">
        <v>41089</v>
      </c>
      <c r="B2643">
        <v>2.0207000000000002</v>
      </c>
    </row>
    <row r="2644" spans="1:2" x14ac:dyDescent="0.35">
      <c r="A2644" s="16">
        <v>41088</v>
      </c>
      <c r="B2644">
        <v>2.0897000000000001</v>
      </c>
    </row>
    <row r="2645" spans="1:2" x14ac:dyDescent="0.35">
      <c r="A2645" s="16">
        <v>41087</v>
      </c>
      <c r="B2645">
        <v>2.0758000000000001</v>
      </c>
    </row>
    <row r="2646" spans="1:2" x14ac:dyDescent="0.35">
      <c r="A2646" s="16">
        <v>41086</v>
      </c>
      <c r="B2646">
        <v>2.0737000000000001</v>
      </c>
    </row>
    <row r="2647" spans="1:2" x14ac:dyDescent="0.35">
      <c r="A2647" s="16">
        <v>41085</v>
      </c>
      <c r="B2647">
        <v>2.0712000000000002</v>
      </c>
    </row>
    <row r="2648" spans="1:2" x14ac:dyDescent="0.35">
      <c r="A2648" s="16">
        <v>41082</v>
      </c>
      <c r="B2648">
        <v>2.0548999999999999</v>
      </c>
    </row>
    <row r="2649" spans="1:2" x14ac:dyDescent="0.35">
      <c r="A2649" s="16">
        <v>41081</v>
      </c>
      <c r="B2649">
        <v>2.0356999999999998</v>
      </c>
    </row>
    <row r="2650" spans="1:2" x14ac:dyDescent="0.35">
      <c r="A2650" s="16">
        <v>41080</v>
      </c>
      <c r="B2650">
        <v>2.0287000000000002</v>
      </c>
    </row>
    <row r="2651" spans="1:2" x14ac:dyDescent="0.35">
      <c r="A2651" s="16">
        <v>41079</v>
      </c>
      <c r="B2651">
        <v>2.0432999999999999</v>
      </c>
    </row>
    <row r="2652" spans="1:2" x14ac:dyDescent="0.35">
      <c r="A2652" s="16">
        <v>41078</v>
      </c>
      <c r="B2652">
        <v>2.0628000000000002</v>
      </c>
    </row>
    <row r="2653" spans="1:2" x14ac:dyDescent="0.35">
      <c r="A2653" s="16">
        <v>41075</v>
      </c>
      <c r="B2653">
        <v>2.0436999999999999</v>
      </c>
    </row>
    <row r="2654" spans="1:2" x14ac:dyDescent="0.35">
      <c r="A2654" s="16">
        <v>41074</v>
      </c>
      <c r="B2654">
        <v>2.0684999999999998</v>
      </c>
    </row>
    <row r="2655" spans="1:2" x14ac:dyDescent="0.35">
      <c r="A2655" s="16">
        <v>41073</v>
      </c>
      <c r="B2655">
        <v>2.0596999999999999</v>
      </c>
    </row>
    <row r="2656" spans="1:2" x14ac:dyDescent="0.35">
      <c r="A2656" s="16">
        <v>41072</v>
      </c>
      <c r="B2656">
        <v>2.0558000000000001</v>
      </c>
    </row>
    <row r="2657" spans="1:2" x14ac:dyDescent="0.35">
      <c r="A2657" s="16">
        <v>41071</v>
      </c>
      <c r="B2657">
        <v>2.0341999999999998</v>
      </c>
    </row>
    <row r="2658" spans="1:2" x14ac:dyDescent="0.35">
      <c r="A2658" s="16">
        <v>41068</v>
      </c>
      <c r="B2658">
        <v>2.0347</v>
      </c>
    </row>
    <row r="2659" spans="1:2" x14ac:dyDescent="0.35">
      <c r="A2659" s="16">
        <v>41066</v>
      </c>
      <c r="B2659">
        <v>2.0175999999999998</v>
      </c>
    </row>
    <row r="2660" spans="1:2" x14ac:dyDescent="0.35">
      <c r="A2660" s="16">
        <v>41065</v>
      </c>
      <c r="B2660">
        <v>2.0259</v>
      </c>
    </row>
    <row r="2661" spans="1:2" x14ac:dyDescent="0.35">
      <c r="A2661" s="16">
        <v>41064</v>
      </c>
      <c r="B2661">
        <v>2.0404</v>
      </c>
    </row>
    <row r="2662" spans="1:2" x14ac:dyDescent="0.35">
      <c r="A2662" s="16">
        <v>41061</v>
      </c>
      <c r="B2662">
        <v>2.0344000000000002</v>
      </c>
    </row>
    <row r="2663" spans="1:2" x14ac:dyDescent="0.35">
      <c r="A2663" s="16">
        <v>41060</v>
      </c>
      <c r="B2663">
        <v>2.0217000000000001</v>
      </c>
    </row>
    <row r="2664" spans="1:2" x14ac:dyDescent="0.35">
      <c r="A2664" s="16">
        <v>41059</v>
      </c>
      <c r="B2664">
        <v>2.0072000000000001</v>
      </c>
    </row>
    <row r="2665" spans="1:2" x14ac:dyDescent="0.35">
      <c r="A2665" s="16">
        <v>41058</v>
      </c>
      <c r="B2665">
        <v>1.9938</v>
      </c>
    </row>
    <row r="2666" spans="1:2" x14ac:dyDescent="0.35">
      <c r="A2666" s="16">
        <v>41057</v>
      </c>
      <c r="B2666">
        <v>1.9772000000000001</v>
      </c>
    </row>
    <row r="2667" spans="1:2" x14ac:dyDescent="0.35">
      <c r="A2667" s="16">
        <v>41054</v>
      </c>
      <c r="B2667">
        <v>2.0026000000000002</v>
      </c>
    </row>
    <row r="2668" spans="1:2" x14ac:dyDescent="0.35">
      <c r="A2668" s="16">
        <v>41053</v>
      </c>
      <c r="B2668">
        <v>2.0377999999999998</v>
      </c>
    </row>
    <row r="2669" spans="1:2" x14ac:dyDescent="0.35">
      <c r="A2669" s="16">
        <v>41052</v>
      </c>
      <c r="B2669">
        <v>2.0809000000000002</v>
      </c>
    </row>
    <row r="2670" spans="1:2" x14ac:dyDescent="0.35">
      <c r="A2670" s="16">
        <v>41051</v>
      </c>
      <c r="B2670">
        <v>2.0487000000000002</v>
      </c>
    </row>
    <row r="2671" spans="1:2" x14ac:dyDescent="0.35">
      <c r="A2671" s="16">
        <v>41050</v>
      </c>
      <c r="B2671">
        <v>2.0367999999999999</v>
      </c>
    </row>
    <row r="2672" spans="1:2" x14ac:dyDescent="0.35">
      <c r="A2672" s="16">
        <v>41047</v>
      </c>
      <c r="B2672">
        <v>2.0087999999999999</v>
      </c>
    </row>
    <row r="2673" spans="1:2" x14ac:dyDescent="0.35">
      <c r="A2673" s="16">
        <v>41046</v>
      </c>
      <c r="B2673">
        <v>1.9966999999999999</v>
      </c>
    </row>
    <row r="2674" spans="1:2" x14ac:dyDescent="0.35">
      <c r="A2674" s="16">
        <v>41045</v>
      </c>
      <c r="B2674">
        <v>1.9967999999999999</v>
      </c>
    </row>
    <row r="2675" spans="1:2" x14ac:dyDescent="0.35">
      <c r="A2675" s="16">
        <v>41044</v>
      </c>
      <c r="B2675">
        <v>1.9941</v>
      </c>
    </row>
    <row r="2676" spans="1:2" x14ac:dyDescent="0.35">
      <c r="A2676" s="16">
        <v>41043</v>
      </c>
      <c r="B2676">
        <v>1.986</v>
      </c>
    </row>
    <row r="2677" spans="1:2" x14ac:dyDescent="0.35">
      <c r="A2677" s="16">
        <v>41040</v>
      </c>
      <c r="B2677">
        <v>1.9507000000000001</v>
      </c>
    </row>
    <row r="2678" spans="1:2" x14ac:dyDescent="0.35">
      <c r="A2678" s="16">
        <v>41039</v>
      </c>
      <c r="B2678">
        <v>1.9576</v>
      </c>
    </row>
    <row r="2679" spans="1:2" x14ac:dyDescent="0.35">
      <c r="A2679" s="16">
        <v>41038</v>
      </c>
      <c r="B2679">
        <v>1.9571000000000001</v>
      </c>
    </row>
    <row r="2680" spans="1:2" x14ac:dyDescent="0.35">
      <c r="A2680" s="16">
        <v>41037</v>
      </c>
      <c r="B2680">
        <v>1.9359999999999999</v>
      </c>
    </row>
    <row r="2681" spans="1:2" x14ac:dyDescent="0.35">
      <c r="A2681" s="16">
        <v>41036</v>
      </c>
      <c r="B2681">
        <v>1.9261999999999999</v>
      </c>
    </row>
    <row r="2682" spans="1:2" x14ac:dyDescent="0.35">
      <c r="A2682" s="16">
        <v>41033</v>
      </c>
      <c r="B2682">
        <v>1.9204000000000001</v>
      </c>
    </row>
    <row r="2683" spans="1:2" x14ac:dyDescent="0.35">
      <c r="A2683" s="16">
        <v>41032</v>
      </c>
      <c r="B2683">
        <v>1.9271</v>
      </c>
    </row>
    <row r="2684" spans="1:2" x14ac:dyDescent="0.35">
      <c r="A2684" s="16">
        <v>41031</v>
      </c>
      <c r="B2684">
        <v>1.9142999999999999</v>
      </c>
    </row>
    <row r="2685" spans="1:2" x14ac:dyDescent="0.35">
      <c r="A2685" s="16">
        <v>41029</v>
      </c>
      <c r="B2685">
        <v>1.8912</v>
      </c>
    </row>
    <row r="2686" spans="1:2" x14ac:dyDescent="0.35">
      <c r="A2686" s="16">
        <v>41026</v>
      </c>
      <c r="B2686">
        <v>1.8846000000000001</v>
      </c>
    </row>
    <row r="2687" spans="1:2" x14ac:dyDescent="0.35">
      <c r="A2687" s="16">
        <v>41025</v>
      </c>
      <c r="B2687">
        <v>1.8864000000000001</v>
      </c>
    </row>
    <row r="2688" spans="1:2" x14ac:dyDescent="0.35">
      <c r="A2688" s="16">
        <v>41024</v>
      </c>
      <c r="B2688">
        <v>1.8801000000000001</v>
      </c>
    </row>
    <row r="2689" spans="1:2" x14ac:dyDescent="0.35">
      <c r="A2689" s="16">
        <v>41023</v>
      </c>
      <c r="B2689">
        <v>1.8774</v>
      </c>
    </row>
    <row r="2690" spans="1:2" x14ac:dyDescent="0.35">
      <c r="A2690" s="16">
        <v>41022</v>
      </c>
      <c r="B2690">
        <v>1.8857999999999999</v>
      </c>
    </row>
    <row r="2691" spans="1:2" x14ac:dyDescent="0.35">
      <c r="A2691" s="16">
        <v>41019</v>
      </c>
      <c r="B2691">
        <v>1.8779999999999999</v>
      </c>
    </row>
    <row r="2692" spans="1:2" x14ac:dyDescent="0.35">
      <c r="A2692" s="16">
        <v>41018</v>
      </c>
      <c r="B2692">
        <v>1.8861000000000001</v>
      </c>
    </row>
    <row r="2693" spans="1:2" x14ac:dyDescent="0.35">
      <c r="A2693" s="16">
        <v>41017</v>
      </c>
      <c r="B2693">
        <v>1.8688</v>
      </c>
    </row>
    <row r="2694" spans="1:2" x14ac:dyDescent="0.35">
      <c r="A2694" s="16">
        <v>41016</v>
      </c>
      <c r="B2694">
        <v>1.8447</v>
      </c>
    </row>
    <row r="2695" spans="1:2" x14ac:dyDescent="0.35">
      <c r="A2695" s="16">
        <v>41015</v>
      </c>
      <c r="B2695">
        <v>1.8367</v>
      </c>
    </row>
    <row r="2696" spans="1:2" x14ac:dyDescent="0.35">
      <c r="A2696" s="16">
        <v>41012</v>
      </c>
      <c r="B2696">
        <v>1.8358000000000001</v>
      </c>
    </row>
    <row r="2697" spans="1:2" x14ac:dyDescent="0.35">
      <c r="A2697" s="16">
        <v>41011</v>
      </c>
      <c r="B2697">
        <v>1.8264</v>
      </c>
    </row>
    <row r="2698" spans="1:2" x14ac:dyDescent="0.35">
      <c r="A2698" s="16">
        <v>41010</v>
      </c>
      <c r="B2698">
        <v>1.8297000000000001</v>
      </c>
    </row>
    <row r="2699" spans="1:2" x14ac:dyDescent="0.35">
      <c r="A2699" s="16">
        <v>41009</v>
      </c>
      <c r="B2699">
        <v>1.8310999999999999</v>
      </c>
    </row>
    <row r="2700" spans="1:2" x14ac:dyDescent="0.35">
      <c r="A2700" s="16">
        <v>41008</v>
      </c>
      <c r="B2700">
        <v>1.8253999999999999</v>
      </c>
    </row>
    <row r="2701" spans="1:2" x14ac:dyDescent="0.35">
      <c r="A2701" s="16">
        <v>41004</v>
      </c>
      <c r="B2701">
        <v>1.8294999999999999</v>
      </c>
    </row>
    <row r="2702" spans="1:2" x14ac:dyDescent="0.35">
      <c r="A2702" s="16">
        <v>41003</v>
      </c>
      <c r="B2702">
        <v>1.831</v>
      </c>
    </row>
    <row r="2703" spans="1:2" x14ac:dyDescent="0.35">
      <c r="A2703" s="16">
        <v>41002</v>
      </c>
      <c r="B2703">
        <v>1.825</v>
      </c>
    </row>
    <row r="2704" spans="1:2" x14ac:dyDescent="0.35">
      <c r="A2704" s="16">
        <v>41001</v>
      </c>
      <c r="B2704">
        <v>1.8308</v>
      </c>
    </row>
    <row r="2705" spans="1:2" x14ac:dyDescent="0.35">
      <c r="A2705" s="16">
        <v>40998</v>
      </c>
      <c r="B2705">
        <v>1.8214999999999999</v>
      </c>
    </row>
    <row r="2706" spans="1:2" x14ac:dyDescent="0.35">
      <c r="A2706" s="16">
        <v>40997</v>
      </c>
      <c r="B2706">
        <v>1.8327</v>
      </c>
    </row>
    <row r="2707" spans="1:2" x14ac:dyDescent="0.35">
      <c r="A2707" s="16">
        <v>40996</v>
      </c>
      <c r="B2707">
        <v>1.8217000000000001</v>
      </c>
    </row>
    <row r="2708" spans="1:2" x14ac:dyDescent="0.35">
      <c r="A2708" s="16">
        <v>40995</v>
      </c>
      <c r="B2708">
        <v>1.8129</v>
      </c>
    </row>
    <row r="2709" spans="1:2" x14ac:dyDescent="0.35">
      <c r="A2709" s="16">
        <v>40994</v>
      </c>
      <c r="B2709">
        <v>1.8137000000000001</v>
      </c>
    </row>
    <row r="2710" spans="1:2" x14ac:dyDescent="0.35">
      <c r="A2710" s="16">
        <v>40991</v>
      </c>
      <c r="B2710">
        <v>1.8188</v>
      </c>
    </row>
    <row r="2711" spans="1:2" x14ac:dyDescent="0.35">
      <c r="A2711" s="16">
        <v>40990</v>
      </c>
      <c r="B2711">
        <v>1.8244</v>
      </c>
    </row>
    <row r="2712" spans="1:2" x14ac:dyDescent="0.35">
      <c r="A2712" s="16">
        <v>40989</v>
      </c>
      <c r="B2712">
        <v>1.8261000000000001</v>
      </c>
    </row>
    <row r="2713" spans="1:2" x14ac:dyDescent="0.35">
      <c r="A2713" s="16">
        <v>40988</v>
      </c>
      <c r="B2713">
        <v>1.8252999999999999</v>
      </c>
    </row>
    <row r="2714" spans="1:2" x14ac:dyDescent="0.35">
      <c r="A2714" s="16">
        <v>40987</v>
      </c>
      <c r="B2714">
        <v>1.8084</v>
      </c>
    </row>
    <row r="2715" spans="1:2" x14ac:dyDescent="0.35">
      <c r="A2715" s="16">
        <v>40984</v>
      </c>
      <c r="B2715">
        <v>1.8011999999999999</v>
      </c>
    </row>
    <row r="2716" spans="1:2" x14ac:dyDescent="0.35">
      <c r="A2716" s="16">
        <v>40983</v>
      </c>
      <c r="B2716">
        <v>1.8</v>
      </c>
    </row>
    <row r="2717" spans="1:2" x14ac:dyDescent="0.35">
      <c r="A2717" s="16">
        <v>40982</v>
      </c>
      <c r="B2717">
        <v>1.8140000000000001</v>
      </c>
    </row>
    <row r="2718" spans="1:2" x14ac:dyDescent="0.35">
      <c r="A2718" s="16">
        <v>40981</v>
      </c>
      <c r="B2718">
        <v>1.8096000000000001</v>
      </c>
    </row>
    <row r="2719" spans="1:2" x14ac:dyDescent="0.35">
      <c r="A2719" s="16">
        <v>40980</v>
      </c>
      <c r="B2719">
        <v>1.8150999999999999</v>
      </c>
    </row>
    <row r="2720" spans="1:2" x14ac:dyDescent="0.35">
      <c r="A2720" s="16">
        <v>40977</v>
      </c>
      <c r="B2720">
        <v>1.7761</v>
      </c>
    </row>
    <row r="2721" spans="1:2" x14ac:dyDescent="0.35">
      <c r="A2721" s="16">
        <v>40976</v>
      </c>
      <c r="B2721">
        <v>1.7690999999999999</v>
      </c>
    </row>
    <row r="2722" spans="1:2" x14ac:dyDescent="0.35">
      <c r="A2722" s="16">
        <v>40975</v>
      </c>
      <c r="B2722">
        <v>1.7685</v>
      </c>
    </row>
    <row r="2723" spans="1:2" x14ac:dyDescent="0.35">
      <c r="A2723" s="16">
        <v>40974</v>
      </c>
      <c r="B2723">
        <v>1.7549999999999999</v>
      </c>
    </row>
    <row r="2724" spans="1:2" x14ac:dyDescent="0.35">
      <c r="A2724" s="16">
        <v>40973</v>
      </c>
      <c r="B2724">
        <v>1.7307999999999999</v>
      </c>
    </row>
    <row r="2725" spans="1:2" x14ac:dyDescent="0.35">
      <c r="A2725" s="16">
        <v>40970</v>
      </c>
      <c r="B2725">
        <v>1.7239</v>
      </c>
    </row>
    <row r="2726" spans="1:2" x14ac:dyDescent="0.35">
      <c r="A2726" s="16">
        <v>40969</v>
      </c>
      <c r="B2726">
        <v>1.7145999999999999</v>
      </c>
    </row>
    <row r="2727" spans="1:2" x14ac:dyDescent="0.35">
      <c r="A2727" s="16">
        <v>40968</v>
      </c>
      <c r="B2727">
        <v>1.7085999999999999</v>
      </c>
    </row>
    <row r="2728" spans="1:2" x14ac:dyDescent="0.35">
      <c r="A2728" s="16">
        <v>40967</v>
      </c>
      <c r="B2728">
        <v>1.7017</v>
      </c>
    </row>
    <row r="2729" spans="1:2" x14ac:dyDescent="0.35">
      <c r="A2729" s="16">
        <v>40966</v>
      </c>
      <c r="B2729">
        <v>1.7081999999999999</v>
      </c>
    </row>
    <row r="2730" spans="1:2" x14ac:dyDescent="0.35">
      <c r="A2730" s="16">
        <v>40963</v>
      </c>
      <c r="B2730">
        <v>1.7091000000000001</v>
      </c>
    </row>
    <row r="2731" spans="1:2" x14ac:dyDescent="0.35">
      <c r="A2731" s="16">
        <v>40962</v>
      </c>
      <c r="B2731">
        <v>1.7033</v>
      </c>
    </row>
    <row r="2732" spans="1:2" x14ac:dyDescent="0.35">
      <c r="A2732" s="16">
        <v>40961</v>
      </c>
      <c r="B2732">
        <v>1.7069000000000001</v>
      </c>
    </row>
    <row r="2733" spans="1:2" x14ac:dyDescent="0.35">
      <c r="A2733" s="16">
        <v>40956</v>
      </c>
      <c r="B2733">
        <v>1.7130000000000001</v>
      </c>
    </row>
    <row r="2734" spans="1:2" x14ac:dyDescent="0.35">
      <c r="A2734" s="16">
        <v>40955</v>
      </c>
      <c r="B2734">
        <v>1.732</v>
      </c>
    </row>
    <row r="2735" spans="1:2" x14ac:dyDescent="0.35">
      <c r="A2735" s="16">
        <v>40954</v>
      </c>
      <c r="B2735">
        <v>1.7151000000000001</v>
      </c>
    </row>
    <row r="2736" spans="1:2" x14ac:dyDescent="0.35">
      <c r="A2736" s="16">
        <v>40953</v>
      </c>
      <c r="B2736">
        <v>1.7166999999999999</v>
      </c>
    </row>
    <row r="2737" spans="1:2" x14ac:dyDescent="0.35">
      <c r="A2737" s="16">
        <v>40952</v>
      </c>
      <c r="B2737">
        <v>1.7161999999999999</v>
      </c>
    </row>
    <row r="2738" spans="1:2" x14ac:dyDescent="0.35">
      <c r="A2738" s="16">
        <v>40949</v>
      </c>
      <c r="B2738">
        <v>1.7254</v>
      </c>
    </row>
    <row r="2739" spans="1:2" x14ac:dyDescent="0.35">
      <c r="A2739" s="16">
        <v>40948</v>
      </c>
      <c r="B2739">
        <v>1.7219</v>
      </c>
    </row>
    <row r="2740" spans="1:2" x14ac:dyDescent="0.35">
      <c r="A2740" s="16">
        <v>40947</v>
      </c>
      <c r="B2740">
        <v>1.7189000000000001</v>
      </c>
    </row>
    <row r="2741" spans="1:2" x14ac:dyDescent="0.35">
      <c r="A2741" s="16">
        <v>40946</v>
      </c>
      <c r="B2741">
        <v>1.7255</v>
      </c>
    </row>
    <row r="2742" spans="1:2" x14ac:dyDescent="0.35">
      <c r="A2742" s="16">
        <v>40945</v>
      </c>
      <c r="B2742">
        <v>1.7242999999999999</v>
      </c>
    </row>
    <row r="2743" spans="1:2" x14ac:dyDescent="0.35">
      <c r="A2743" s="16">
        <v>40942</v>
      </c>
      <c r="B2743">
        <v>1.7216</v>
      </c>
    </row>
    <row r="2744" spans="1:2" x14ac:dyDescent="0.35">
      <c r="A2744" s="16">
        <v>40941</v>
      </c>
      <c r="B2744">
        <v>1.732</v>
      </c>
    </row>
    <row r="2745" spans="1:2" x14ac:dyDescent="0.35">
      <c r="A2745" s="16">
        <v>40940</v>
      </c>
      <c r="B2745">
        <v>1.7370000000000001</v>
      </c>
    </row>
    <row r="2746" spans="1:2" x14ac:dyDescent="0.35">
      <c r="A2746" s="16">
        <v>40939</v>
      </c>
      <c r="B2746">
        <v>1.7384999999999999</v>
      </c>
    </row>
    <row r="2747" spans="1:2" x14ac:dyDescent="0.35">
      <c r="A2747" s="16">
        <v>40938</v>
      </c>
      <c r="B2747">
        <v>1.7502</v>
      </c>
    </row>
    <row r="2748" spans="1:2" x14ac:dyDescent="0.35">
      <c r="A2748" s="16">
        <v>40935</v>
      </c>
      <c r="B2748">
        <v>1.7428999999999999</v>
      </c>
    </row>
    <row r="2749" spans="1:2" x14ac:dyDescent="0.35">
      <c r="A2749" s="16">
        <v>40934</v>
      </c>
      <c r="B2749">
        <v>1.7382</v>
      </c>
    </row>
    <row r="2750" spans="1:2" x14ac:dyDescent="0.35">
      <c r="A2750" s="16">
        <v>40933</v>
      </c>
      <c r="B2750">
        <v>1.7623</v>
      </c>
    </row>
    <row r="2751" spans="1:2" x14ac:dyDescent="0.35">
      <c r="A2751" s="16">
        <v>40932</v>
      </c>
      <c r="B2751">
        <v>1.7643</v>
      </c>
    </row>
    <row r="2752" spans="1:2" x14ac:dyDescent="0.35">
      <c r="A2752" s="16">
        <v>40931</v>
      </c>
      <c r="B2752">
        <v>1.7521</v>
      </c>
    </row>
    <row r="2753" spans="1:2" x14ac:dyDescent="0.35">
      <c r="A2753" s="16">
        <v>40928</v>
      </c>
      <c r="B2753">
        <v>1.7664</v>
      </c>
    </row>
    <row r="2754" spans="1:2" x14ac:dyDescent="0.35">
      <c r="A2754" s="16">
        <v>40927</v>
      </c>
      <c r="B2754">
        <v>1.7642</v>
      </c>
    </row>
    <row r="2755" spans="1:2" x14ac:dyDescent="0.35">
      <c r="A2755" s="16">
        <v>40926</v>
      </c>
      <c r="B2755">
        <v>1.7785</v>
      </c>
    </row>
    <row r="2756" spans="1:2" x14ac:dyDescent="0.35">
      <c r="A2756" s="16">
        <v>40925</v>
      </c>
      <c r="B2756">
        <v>1.7754000000000001</v>
      </c>
    </row>
    <row r="2757" spans="1:2" x14ac:dyDescent="0.35">
      <c r="A2757" s="16">
        <v>40924</v>
      </c>
      <c r="B2757">
        <v>1.7829999999999999</v>
      </c>
    </row>
    <row r="2758" spans="1:2" x14ac:dyDescent="0.35">
      <c r="A2758" s="16">
        <v>40921</v>
      </c>
      <c r="B2758">
        <v>1.7846</v>
      </c>
    </row>
    <row r="2759" spans="1:2" x14ac:dyDescent="0.35">
      <c r="A2759" s="16">
        <v>40920</v>
      </c>
      <c r="B2759">
        <v>1.7867</v>
      </c>
    </row>
    <row r="2760" spans="1:2" x14ac:dyDescent="0.35">
      <c r="A2760" s="16">
        <v>40919</v>
      </c>
      <c r="B2760">
        <v>1.8041</v>
      </c>
    </row>
    <row r="2761" spans="1:2" x14ac:dyDescent="0.35">
      <c r="A2761" s="16">
        <v>40918</v>
      </c>
      <c r="B2761">
        <v>1.8036000000000001</v>
      </c>
    </row>
    <row r="2762" spans="1:2" x14ac:dyDescent="0.35">
      <c r="A2762" s="16">
        <v>40917</v>
      </c>
      <c r="B2762">
        <v>1.8434999999999999</v>
      </c>
    </row>
    <row r="2763" spans="1:2" x14ac:dyDescent="0.35">
      <c r="A2763" s="16">
        <v>40914</v>
      </c>
      <c r="B2763">
        <v>1.8442000000000001</v>
      </c>
    </row>
    <row r="2764" spans="1:2" x14ac:dyDescent="0.35">
      <c r="A2764" s="16">
        <v>40913</v>
      </c>
      <c r="B2764">
        <v>1.8365</v>
      </c>
    </row>
    <row r="2765" spans="1:2" x14ac:dyDescent="0.35">
      <c r="A2765" s="16">
        <v>40912</v>
      </c>
      <c r="B2765">
        <v>1.8265</v>
      </c>
    </row>
    <row r="2766" spans="1:2" x14ac:dyDescent="0.35">
      <c r="A2766" s="16">
        <v>40911</v>
      </c>
      <c r="B2766">
        <v>1.845</v>
      </c>
    </row>
    <row r="2767" spans="1:2" x14ac:dyDescent="0.35">
      <c r="A2767" s="16">
        <v>40910</v>
      </c>
      <c r="B2767">
        <v>1.8675999999999999</v>
      </c>
    </row>
    <row r="2768" spans="1:2" x14ac:dyDescent="0.35">
      <c r="A2768" s="16">
        <v>40906</v>
      </c>
      <c r="B2768">
        <v>1.8751</v>
      </c>
    </row>
    <row r="2769" spans="1:2" x14ac:dyDescent="0.35">
      <c r="A2769" s="16">
        <v>40905</v>
      </c>
      <c r="B2769">
        <v>1.8626</v>
      </c>
    </row>
    <row r="2770" spans="1:2" x14ac:dyDescent="0.35">
      <c r="A2770" s="16">
        <v>40904</v>
      </c>
      <c r="B2770">
        <v>1.8577999999999999</v>
      </c>
    </row>
    <row r="2771" spans="1:2" x14ac:dyDescent="0.35">
      <c r="A2771" s="16">
        <v>40903</v>
      </c>
      <c r="B2771">
        <v>1.8559000000000001</v>
      </c>
    </row>
    <row r="2772" spans="1:2" x14ac:dyDescent="0.35">
      <c r="A2772" s="16">
        <v>40900</v>
      </c>
      <c r="B2772">
        <v>1.8553999999999999</v>
      </c>
    </row>
    <row r="2773" spans="1:2" x14ac:dyDescent="0.35">
      <c r="A2773" s="16">
        <v>40899</v>
      </c>
      <c r="B2773">
        <v>1.8571</v>
      </c>
    </row>
    <row r="2774" spans="1:2" x14ac:dyDescent="0.35">
      <c r="A2774" s="16">
        <v>40898</v>
      </c>
      <c r="B2774">
        <v>1.855</v>
      </c>
    </row>
    <row r="2775" spans="1:2" x14ac:dyDescent="0.35">
      <c r="A2775" s="16">
        <v>40897</v>
      </c>
      <c r="B2775">
        <v>1.8501000000000001</v>
      </c>
    </row>
    <row r="2776" spans="1:2" x14ac:dyDescent="0.35">
      <c r="A2776" s="16">
        <v>40896</v>
      </c>
      <c r="B2776">
        <v>1.8608</v>
      </c>
    </row>
    <row r="2777" spans="1:2" x14ac:dyDescent="0.35">
      <c r="A2777" s="16">
        <v>40893</v>
      </c>
      <c r="B2777">
        <v>1.8458000000000001</v>
      </c>
    </row>
    <row r="2778" spans="1:2" x14ac:dyDescent="0.35">
      <c r="A2778" s="16">
        <v>40892</v>
      </c>
      <c r="B2778">
        <v>1.8602000000000001</v>
      </c>
    </row>
    <row r="2779" spans="1:2" x14ac:dyDescent="0.35">
      <c r="A2779" s="16">
        <v>40891</v>
      </c>
      <c r="B2779">
        <v>1.8721000000000001</v>
      </c>
    </row>
    <row r="2780" spans="1:2" x14ac:dyDescent="0.35">
      <c r="A2780" s="16">
        <v>40890</v>
      </c>
      <c r="B2780">
        <v>1.8403</v>
      </c>
    </row>
    <row r="2781" spans="1:2" x14ac:dyDescent="0.35">
      <c r="A2781" s="16">
        <v>40889</v>
      </c>
      <c r="B2781">
        <v>1.8210999999999999</v>
      </c>
    </row>
    <row r="2782" spans="1:2" x14ac:dyDescent="0.35">
      <c r="A2782" s="16">
        <v>40886</v>
      </c>
      <c r="B2782">
        <v>1.8123</v>
      </c>
    </row>
    <row r="2783" spans="1:2" x14ac:dyDescent="0.35">
      <c r="A2783" s="16">
        <v>40885</v>
      </c>
      <c r="B2783">
        <v>1.7934000000000001</v>
      </c>
    </row>
    <row r="2784" spans="1:2" x14ac:dyDescent="0.35">
      <c r="A2784" s="16">
        <v>40884</v>
      </c>
      <c r="B2784">
        <v>1.7974000000000001</v>
      </c>
    </row>
    <row r="2785" spans="1:2" x14ac:dyDescent="0.35">
      <c r="A2785" s="16">
        <v>40883</v>
      </c>
      <c r="B2785">
        <v>1.7906</v>
      </c>
    </row>
    <row r="2786" spans="1:2" x14ac:dyDescent="0.35">
      <c r="A2786" s="16">
        <v>40882</v>
      </c>
      <c r="B2786">
        <v>1.7823</v>
      </c>
    </row>
    <row r="2787" spans="1:2" x14ac:dyDescent="0.35">
      <c r="A2787" s="16">
        <v>40879</v>
      </c>
      <c r="B2787">
        <v>1.7836000000000001</v>
      </c>
    </row>
    <row r="2788" spans="1:2" x14ac:dyDescent="0.35">
      <c r="A2788" s="16">
        <v>40878</v>
      </c>
      <c r="B2788">
        <v>1.7922</v>
      </c>
    </row>
    <row r="2789" spans="1:2" x14ac:dyDescent="0.35">
      <c r="A2789" s="16">
        <v>40877</v>
      </c>
      <c r="B2789">
        <v>1.8102</v>
      </c>
    </row>
    <row r="2790" spans="1:2" x14ac:dyDescent="0.35">
      <c r="A2790" s="16">
        <v>40876</v>
      </c>
      <c r="B2790">
        <v>1.8478000000000001</v>
      </c>
    </row>
    <row r="2791" spans="1:2" x14ac:dyDescent="0.35">
      <c r="A2791" s="16">
        <v>40875</v>
      </c>
      <c r="B2791">
        <v>1.859</v>
      </c>
    </row>
    <row r="2792" spans="1:2" x14ac:dyDescent="0.35">
      <c r="A2792" s="16">
        <v>40872</v>
      </c>
      <c r="B2792">
        <v>1.893</v>
      </c>
    </row>
    <row r="2793" spans="1:2" x14ac:dyDescent="0.35">
      <c r="A2793" s="16">
        <v>40871</v>
      </c>
      <c r="B2793">
        <v>1.8652</v>
      </c>
    </row>
    <row r="2794" spans="1:2" x14ac:dyDescent="0.35">
      <c r="A2794" s="16">
        <v>40870</v>
      </c>
      <c r="B2794">
        <v>1.8433999999999999</v>
      </c>
    </row>
    <row r="2795" spans="1:2" x14ac:dyDescent="0.35">
      <c r="A2795" s="16">
        <v>40869</v>
      </c>
      <c r="B2795">
        <v>1.8062</v>
      </c>
    </row>
    <row r="2796" spans="1:2" x14ac:dyDescent="0.35">
      <c r="A2796" s="16">
        <v>40868</v>
      </c>
      <c r="B2796">
        <v>1.8052999999999999</v>
      </c>
    </row>
    <row r="2797" spans="1:2" x14ac:dyDescent="0.35">
      <c r="A2797" s="16">
        <v>40865</v>
      </c>
      <c r="B2797">
        <v>1.7716000000000001</v>
      </c>
    </row>
    <row r="2798" spans="1:2" x14ac:dyDescent="0.35">
      <c r="A2798" s="16">
        <v>40864</v>
      </c>
      <c r="B2798">
        <v>1.7766999999999999</v>
      </c>
    </row>
    <row r="2799" spans="1:2" x14ac:dyDescent="0.35">
      <c r="A2799" s="16">
        <v>40863</v>
      </c>
      <c r="B2799">
        <v>1.7765</v>
      </c>
    </row>
    <row r="2800" spans="1:2" x14ac:dyDescent="0.35">
      <c r="A2800" s="16">
        <v>40861</v>
      </c>
      <c r="B2800">
        <v>1.7642</v>
      </c>
    </row>
    <row r="2801" spans="1:2" x14ac:dyDescent="0.35">
      <c r="A2801" s="16">
        <v>40858</v>
      </c>
      <c r="B2801">
        <v>1.754</v>
      </c>
    </row>
    <row r="2802" spans="1:2" x14ac:dyDescent="0.35">
      <c r="A2802" s="16">
        <v>40857</v>
      </c>
      <c r="B2802">
        <v>1.7603</v>
      </c>
    </row>
    <row r="2803" spans="1:2" x14ac:dyDescent="0.35">
      <c r="A2803" s="16">
        <v>40856</v>
      </c>
      <c r="B2803">
        <v>1.7509999999999999</v>
      </c>
    </row>
    <row r="2804" spans="1:2" x14ac:dyDescent="0.35">
      <c r="A2804" s="16">
        <v>40855</v>
      </c>
      <c r="B2804">
        <v>1.7445999999999999</v>
      </c>
    </row>
    <row r="2805" spans="1:2" x14ac:dyDescent="0.35">
      <c r="A2805" s="16">
        <v>40854</v>
      </c>
      <c r="B2805">
        <v>1.7485999999999999</v>
      </c>
    </row>
    <row r="2806" spans="1:2" x14ac:dyDescent="0.35">
      <c r="A2806" s="16">
        <v>40851</v>
      </c>
      <c r="B2806">
        <v>1.7407999999999999</v>
      </c>
    </row>
    <row r="2807" spans="1:2" x14ac:dyDescent="0.35">
      <c r="A2807" s="16">
        <v>40850</v>
      </c>
      <c r="B2807">
        <v>1.7262</v>
      </c>
    </row>
    <row r="2808" spans="1:2" x14ac:dyDescent="0.35">
      <c r="A2808" s="16">
        <v>40848</v>
      </c>
      <c r="B2808">
        <v>1.7499</v>
      </c>
    </row>
    <row r="2809" spans="1:2" x14ac:dyDescent="0.35">
      <c r="A2809" s="16">
        <v>40847</v>
      </c>
      <c r="B2809">
        <v>1.6878</v>
      </c>
    </row>
    <row r="2810" spans="1:2" x14ac:dyDescent="0.35">
      <c r="A2810" s="16">
        <v>40844</v>
      </c>
      <c r="B2810">
        <v>1.6979</v>
      </c>
    </row>
    <row r="2811" spans="1:2" x14ac:dyDescent="0.35">
      <c r="A2811" s="16">
        <v>40843</v>
      </c>
      <c r="B2811">
        <v>1.7316</v>
      </c>
    </row>
    <row r="2812" spans="1:2" x14ac:dyDescent="0.35">
      <c r="A2812" s="16">
        <v>40842</v>
      </c>
      <c r="B2812">
        <v>1.7599</v>
      </c>
    </row>
    <row r="2813" spans="1:2" x14ac:dyDescent="0.35">
      <c r="A2813" s="16">
        <v>40841</v>
      </c>
      <c r="B2813">
        <v>1.7541</v>
      </c>
    </row>
    <row r="2814" spans="1:2" x14ac:dyDescent="0.35">
      <c r="A2814" s="16">
        <v>40840</v>
      </c>
      <c r="B2814">
        <v>1.7761</v>
      </c>
    </row>
    <row r="2815" spans="1:2" x14ac:dyDescent="0.35">
      <c r="A2815" s="16">
        <v>40837</v>
      </c>
      <c r="B2815">
        <v>1.7796000000000001</v>
      </c>
    </row>
    <row r="2816" spans="1:2" x14ac:dyDescent="0.35">
      <c r="A2816" s="16">
        <v>40836</v>
      </c>
      <c r="B2816">
        <v>1.7819</v>
      </c>
    </row>
    <row r="2817" spans="1:2" x14ac:dyDescent="0.35">
      <c r="A2817" s="16">
        <v>40835</v>
      </c>
      <c r="B2817">
        <v>1.7597</v>
      </c>
    </row>
    <row r="2818" spans="1:2" x14ac:dyDescent="0.35">
      <c r="A2818" s="16">
        <v>40834</v>
      </c>
      <c r="B2818">
        <v>1.7717000000000001</v>
      </c>
    </row>
    <row r="2819" spans="1:2" x14ac:dyDescent="0.35">
      <c r="A2819" s="16">
        <v>40833</v>
      </c>
      <c r="B2819">
        <v>1.7481</v>
      </c>
    </row>
    <row r="2820" spans="1:2" x14ac:dyDescent="0.35">
      <c r="A2820" s="16">
        <v>40830</v>
      </c>
      <c r="B2820">
        <v>1.7369000000000001</v>
      </c>
    </row>
    <row r="2821" spans="1:2" x14ac:dyDescent="0.35">
      <c r="A2821" s="16">
        <v>40829</v>
      </c>
      <c r="B2821">
        <v>1.7528999999999999</v>
      </c>
    </row>
    <row r="2822" spans="1:2" x14ac:dyDescent="0.35">
      <c r="A2822" s="16">
        <v>40827</v>
      </c>
      <c r="B2822">
        <v>1.7652000000000001</v>
      </c>
    </row>
    <row r="2823" spans="1:2" x14ac:dyDescent="0.35">
      <c r="A2823" s="16">
        <v>40826</v>
      </c>
      <c r="B2823">
        <v>1.7471000000000001</v>
      </c>
    </row>
    <row r="2824" spans="1:2" x14ac:dyDescent="0.35">
      <c r="A2824" s="16">
        <v>40823</v>
      </c>
      <c r="B2824">
        <v>1.7659</v>
      </c>
    </row>
    <row r="2825" spans="1:2" x14ac:dyDescent="0.35">
      <c r="A2825" s="16">
        <v>40822</v>
      </c>
      <c r="B2825">
        <v>1.8109</v>
      </c>
    </row>
    <row r="2826" spans="1:2" x14ac:dyDescent="0.35">
      <c r="A2826" s="16">
        <v>40821</v>
      </c>
      <c r="B2826">
        <v>1.8449</v>
      </c>
    </row>
    <row r="2827" spans="1:2" x14ac:dyDescent="0.35">
      <c r="A2827" s="16">
        <v>40820</v>
      </c>
      <c r="B2827">
        <v>1.8848</v>
      </c>
    </row>
    <row r="2828" spans="1:2" x14ac:dyDescent="0.35">
      <c r="A2828" s="16">
        <v>40819</v>
      </c>
      <c r="B2828">
        <v>1.8804000000000001</v>
      </c>
    </row>
    <row r="2829" spans="1:2" x14ac:dyDescent="0.35">
      <c r="A2829" s="16">
        <v>40816</v>
      </c>
      <c r="B2829">
        <v>1.8535999999999999</v>
      </c>
    </row>
    <row r="2830" spans="1:2" x14ac:dyDescent="0.35">
      <c r="A2830" s="16">
        <v>40815</v>
      </c>
      <c r="B2830">
        <v>1.8283</v>
      </c>
    </row>
    <row r="2831" spans="1:2" x14ac:dyDescent="0.35">
      <c r="A2831" s="16">
        <v>40814</v>
      </c>
      <c r="B2831">
        <v>1.8123</v>
      </c>
    </row>
    <row r="2832" spans="1:2" x14ac:dyDescent="0.35">
      <c r="A2832" s="16">
        <v>40813</v>
      </c>
      <c r="B2832">
        <v>1.8</v>
      </c>
    </row>
    <row r="2833" spans="1:2" x14ac:dyDescent="0.35">
      <c r="A2833" s="16">
        <v>40812</v>
      </c>
      <c r="B2833">
        <v>1.8436999999999999</v>
      </c>
    </row>
    <row r="2834" spans="1:2" x14ac:dyDescent="0.35">
      <c r="A2834" s="16">
        <v>40809</v>
      </c>
      <c r="B2834">
        <v>1.8727</v>
      </c>
    </row>
    <row r="2835" spans="1:2" x14ac:dyDescent="0.35">
      <c r="A2835" s="16">
        <v>40808</v>
      </c>
      <c r="B2835">
        <v>1.9008</v>
      </c>
    </row>
    <row r="2836" spans="1:2" x14ac:dyDescent="0.35">
      <c r="A2836" s="16">
        <v>40807</v>
      </c>
      <c r="B2836">
        <v>1.8271999999999999</v>
      </c>
    </row>
    <row r="2837" spans="1:2" x14ac:dyDescent="0.35">
      <c r="A2837" s="16">
        <v>40806</v>
      </c>
      <c r="B2837">
        <v>1.7862</v>
      </c>
    </row>
    <row r="2838" spans="1:2" x14ac:dyDescent="0.35">
      <c r="A2838" s="16">
        <v>40805</v>
      </c>
      <c r="B2838">
        <v>1.7755000000000001</v>
      </c>
    </row>
    <row r="2839" spans="1:2" x14ac:dyDescent="0.35">
      <c r="A2839" s="16">
        <v>40802</v>
      </c>
      <c r="B2839">
        <v>1.7114</v>
      </c>
    </row>
    <row r="2840" spans="1:2" x14ac:dyDescent="0.35">
      <c r="A2840" s="16">
        <v>40801</v>
      </c>
      <c r="B2840">
        <v>1.7098</v>
      </c>
    </row>
    <row r="2841" spans="1:2" x14ac:dyDescent="0.35">
      <c r="A2841" s="16">
        <v>40800</v>
      </c>
      <c r="B2841">
        <v>1.728</v>
      </c>
    </row>
    <row r="2842" spans="1:2" x14ac:dyDescent="0.35">
      <c r="A2842" s="16">
        <v>40799</v>
      </c>
      <c r="B2842">
        <v>1.7119</v>
      </c>
    </row>
    <row r="2843" spans="1:2" x14ac:dyDescent="0.35">
      <c r="A2843" s="16">
        <v>40798</v>
      </c>
      <c r="B2843">
        <v>1.6891</v>
      </c>
    </row>
    <row r="2844" spans="1:2" x14ac:dyDescent="0.35">
      <c r="A2844" s="16">
        <v>40795</v>
      </c>
      <c r="B2844">
        <v>1.6766000000000001</v>
      </c>
    </row>
    <row r="2845" spans="1:2" x14ac:dyDescent="0.35">
      <c r="A2845" s="16">
        <v>40794</v>
      </c>
      <c r="B2845">
        <v>1.6557999999999999</v>
      </c>
    </row>
    <row r="2846" spans="1:2" x14ac:dyDescent="0.35">
      <c r="A2846" s="16">
        <v>40792</v>
      </c>
      <c r="B2846">
        <v>1.6575</v>
      </c>
    </row>
    <row r="2847" spans="1:2" x14ac:dyDescent="0.35">
      <c r="A2847" s="16">
        <v>40791</v>
      </c>
      <c r="B2847">
        <v>1.6514</v>
      </c>
    </row>
    <row r="2848" spans="1:2" x14ac:dyDescent="0.35">
      <c r="A2848" s="16">
        <v>40788</v>
      </c>
      <c r="B2848">
        <v>1.6335</v>
      </c>
    </row>
    <row r="2849" spans="1:2" x14ac:dyDescent="0.35">
      <c r="A2849" s="16">
        <v>40787</v>
      </c>
      <c r="B2849">
        <v>1.6032</v>
      </c>
    </row>
    <row r="2850" spans="1:2" x14ac:dyDescent="0.35">
      <c r="A2850" s="16">
        <v>40786</v>
      </c>
      <c r="B2850">
        <v>1.5864</v>
      </c>
    </row>
    <row r="2851" spans="1:2" x14ac:dyDescent="0.35">
      <c r="A2851" s="16">
        <v>40785</v>
      </c>
      <c r="B2851">
        <v>1.5895999999999999</v>
      </c>
    </row>
    <row r="2852" spans="1:2" x14ac:dyDescent="0.35">
      <c r="A2852" s="16">
        <v>40784</v>
      </c>
      <c r="B2852">
        <v>1.5966</v>
      </c>
    </row>
    <row r="2853" spans="1:2" x14ac:dyDescent="0.35">
      <c r="A2853" s="16">
        <v>40781</v>
      </c>
      <c r="B2853">
        <v>1.6106</v>
      </c>
    </row>
    <row r="2854" spans="1:2" x14ac:dyDescent="0.35">
      <c r="A2854" s="16">
        <v>40780</v>
      </c>
      <c r="B2854">
        <v>1.6146</v>
      </c>
    </row>
    <row r="2855" spans="1:2" x14ac:dyDescent="0.35">
      <c r="A2855" s="16">
        <v>40779</v>
      </c>
      <c r="B2855">
        <v>1.6031</v>
      </c>
    </row>
    <row r="2856" spans="1:2" x14ac:dyDescent="0.35">
      <c r="A2856" s="16">
        <v>40778</v>
      </c>
      <c r="B2856">
        <v>1.6028</v>
      </c>
    </row>
    <row r="2857" spans="1:2" x14ac:dyDescent="0.35">
      <c r="A2857" s="16">
        <v>40777</v>
      </c>
      <c r="B2857">
        <v>1.6001000000000001</v>
      </c>
    </row>
    <row r="2858" spans="1:2" x14ac:dyDescent="0.35">
      <c r="A2858" s="16">
        <v>40774</v>
      </c>
      <c r="B2858">
        <v>1.5952</v>
      </c>
    </row>
    <row r="2859" spans="1:2" x14ac:dyDescent="0.35">
      <c r="A2859" s="16">
        <v>40773</v>
      </c>
      <c r="B2859">
        <v>1.6053999999999999</v>
      </c>
    </row>
    <row r="2860" spans="1:2" x14ac:dyDescent="0.35">
      <c r="A2860" s="16">
        <v>40772</v>
      </c>
      <c r="B2860">
        <v>1.5822000000000001</v>
      </c>
    </row>
    <row r="2861" spans="1:2" x14ac:dyDescent="0.35">
      <c r="A2861" s="16">
        <v>40771</v>
      </c>
      <c r="B2861">
        <v>1.591</v>
      </c>
    </row>
    <row r="2862" spans="1:2" x14ac:dyDescent="0.35">
      <c r="A2862" s="16">
        <v>40770</v>
      </c>
      <c r="B2862">
        <v>1.5948</v>
      </c>
    </row>
    <row r="2863" spans="1:2" x14ac:dyDescent="0.35">
      <c r="A2863" s="16">
        <v>40767</v>
      </c>
      <c r="B2863">
        <v>1.6149</v>
      </c>
    </row>
    <row r="2864" spans="1:2" x14ac:dyDescent="0.35">
      <c r="A2864" s="16">
        <v>40766</v>
      </c>
      <c r="B2864">
        <v>1.6297999999999999</v>
      </c>
    </row>
    <row r="2865" spans="1:2" x14ac:dyDescent="0.35">
      <c r="A2865" s="16">
        <v>40765</v>
      </c>
      <c r="B2865">
        <v>1.6174999999999999</v>
      </c>
    </row>
    <row r="2866" spans="1:2" x14ac:dyDescent="0.35">
      <c r="A2866" s="16">
        <v>40764</v>
      </c>
      <c r="B2866">
        <v>1.6326000000000001</v>
      </c>
    </row>
    <row r="2867" spans="1:2" x14ac:dyDescent="0.35">
      <c r="A2867" s="16">
        <v>40763</v>
      </c>
      <c r="B2867">
        <v>1.5991</v>
      </c>
    </row>
    <row r="2868" spans="1:2" x14ac:dyDescent="0.35">
      <c r="A2868" s="16">
        <v>40760</v>
      </c>
      <c r="B2868">
        <v>1.5887</v>
      </c>
    </row>
    <row r="2869" spans="1:2" x14ac:dyDescent="0.35">
      <c r="A2869" s="16">
        <v>40759</v>
      </c>
      <c r="B2869">
        <v>1.5744</v>
      </c>
    </row>
    <row r="2870" spans="1:2" x14ac:dyDescent="0.35">
      <c r="A2870" s="16">
        <v>40758</v>
      </c>
      <c r="B2870">
        <v>1.5643</v>
      </c>
    </row>
    <row r="2871" spans="1:2" x14ac:dyDescent="0.35">
      <c r="A2871" s="16">
        <v>40757</v>
      </c>
      <c r="B2871">
        <v>1.5648</v>
      </c>
    </row>
    <row r="2872" spans="1:2" x14ac:dyDescent="0.35">
      <c r="A2872" s="16">
        <v>40756</v>
      </c>
      <c r="B2872">
        <v>1.5543</v>
      </c>
    </row>
    <row r="2873" spans="1:2" x14ac:dyDescent="0.35">
      <c r="A2873" s="16">
        <v>40753</v>
      </c>
      <c r="B2873">
        <v>1.5555000000000001</v>
      </c>
    </row>
    <row r="2874" spans="1:2" x14ac:dyDescent="0.35">
      <c r="A2874" s="16">
        <v>40752</v>
      </c>
      <c r="B2874">
        <v>1.5643</v>
      </c>
    </row>
    <row r="2875" spans="1:2" x14ac:dyDescent="0.35">
      <c r="A2875" s="16">
        <v>40751</v>
      </c>
      <c r="B2875">
        <v>1.5630999999999999</v>
      </c>
    </row>
    <row r="2876" spans="1:2" x14ac:dyDescent="0.35">
      <c r="A2876" s="16">
        <v>40750</v>
      </c>
      <c r="B2876">
        <v>1.5337000000000001</v>
      </c>
    </row>
    <row r="2877" spans="1:2" x14ac:dyDescent="0.35">
      <c r="A2877" s="16">
        <v>40749</v>
      </c>
      <c r="B2877">
        <v>1.5441</v>
      </c>
    </row>
    <row r="2878" spans="1:2" x14ac:dyDescent="0.35">
      <c r="A2878" s="16">
        <v>40746</v>
      </c>
      <c r="B2878">
        <v>1.5539000000000001</v>
      </c>
    </row>
    <row r="2879" spans="1:2" x14ac:dyDescent="0.35">
      <c r="A2879" s="16">
        <v>40745</v>
      </c>
      <c r="B2879">
        <v>1.5559000000000001</v>
      </c>
    </row>
    <row r="2880" spans="1:2" x14ac:dyDescent="0.35">
      <c r="A2880" s="16">
        <v>40744</v>
      </c>
      <c r="B2880">
        <v>1.5643</v>
      </c>
    </row>
    <row r="2881" spans="1:2" x14ac:dyDescent="0.35">
      <c r="A2881" s="16">
        <v>40743</v>
      </c>
      <c r="B2881">
        <v>1.5683</v>
      </c>
    </row>
    <row r="2882" spans="1:2" x14ac:dyDescent="0.35">
      <c r="A2882" s="16">
        <v>40742</v>
      </c>
      <c r="B2882">
        <v>1.5820000000000001</v>
      </c>
    </row>
    <row r="2883" spans="1:2" x14ac:dyDescent="0.35">
      <c r="A2883" s="16">
        <v>40739</v>
      </c>
      <c r="B2883">
        <v>1.5734999999999999</v>
      </c>
    </row>
    <row r="2884" spans="1:2" x14ac:dyDescent="0.35">
      <c r="A2884" s="16">
        <v>40738</v>
      </c>
      <c r="B2884">
        <v>1.5721000000000001</v>
      </c>
    </row>
    <row r="2885" spans="1:2" x14ac:dyDescent="0.35">
      <c r="A2885" s="16">
        <v>40737</v>
      </c>
      <c r="B2885">
        <v>1.5753999999999999</v>
      </c>
    </row>
    <row r="2886" spans="1:2" x14ac:dyDescent="0.35">
      <c r="A2886" s="16">
        <v>40736</v>
      </c>
      <c r="B2886">
        <v>1.5765</v>
      </c>
    </row>
    <row r="2887" spans="1:2" x14ac:dyDescent="0.35">
      <c r="A2887" s="16">
        <v>40735</v>
      </c>
      <c r="B2887">
        <v>1.5788</v>
      </c>
    </row>
    <row r="2888" spans="1:2" x14ac:dyDescent="0.35">
      <c r="A2888" s="16">
        <v>40732</v>
      </c>
      <c r="B2888">
        <v>1.5626</v>
      </c>
    </row>
    <row r="2889" spans="1:2" x14ac:dyDescent="0.35">
      <c r="A2889" s="16">
        <v>40731</v>
      </c>
      <c r="B2889">
        <v>1.5572999999999999</v>
      </c>
    </row>
    <row r="2890" spans="1:2" x14ac:dyDescent="0.35">
      <c r="A2890" s="16">
        <v>40730</v>
      </c>
      <c r="B2890">
        <v>1.5653999999999999</v>
      </c>
    </row>
    <row r="2891" spans="1:2" x14ac:dyDescent="0.35">
      <c r="A2891" s="16">
        <v>40729</v>
      </c>
      <c r="B2891">
        <v>1.5629</v>
      </c>
    </row>
    <row r="2892" spans="1:2" x14ac:dyDescent="0.35">
      <c r="A2892" s="16">
        <v>40728</v>
      </c>
      <c r="B2892">
        <v>1.5571999999999999</v>
      </c>
    </row>
    <row r="2893" spans="1:2" x14ac:dyDescent="0.35">
      <c r="A2893" s="16">
        <v>40725</v>
      </c>
      <c r="B2893">
        <v>1.5590999999999999</v>
      </c>
    </row>
    <row r="2894" spans="1:2" x14ac:dyDescent="0.35">
      <c r="A2894" s="16">
        <v>40724</v>
      </c>
      <c r="B2894">
        <v>1.5603</v>
      </c>
    </row>
    <row r="2895" spans="1:2" x14ac:dyDescent="0.35">
      <c r="A2895" s="16">
        <v>40723</v>
      </c>
      <c r="B2895">
        <v>1.5722</v>
      </c>
    </row>
    <row r="2896" spans="1:2" x14ac:dyDescent="0.35">
      <c r="A2896" s="16">
        <v>40722</v>
      </c>
      <c r="B2896">
        <v>1.5825</v>
      </c>
    </row>
    <row r="2897" spans="1:2" x14ac:dyDescent="0.35">
      <c r="A2897" s="16">
        <v>40721</v>
      </c>
      <c r="B2897">
        <v>1.5961000000000001</v>
      </c>
    </row>
    <row r="2898" spans="1:2" x14ac:dyDescent="0.35">
      <c r="A2898" s="16">
        <v>40718</v>
      </c>
      <c r="B2898">
        <v>1.5980000000000001</v>
      </c>
    </row>
    <row r="2899" spans="1:2" x14ac:dyDescent="0.35">
      <c r="A2899" s="16">
        <v>40716</v>
      </c>
      <c r="B2899">
        <v>1.5869</v>
      </c>
    </row>
    <row r="2900" spans="1:2" x14ac:dyDescent="0.35">
      <c r="A2900" s="16">
        <v>40715</v>
      </c>
      <c r="B2900">
        <v>1.5902000000000001</v>
      </c>
    </row>
    <row r="2901" spans="1:2" x14ac:dyDescent="0.35">
      <c r="A2901" s="16">
        <v>40714</v>
      </c>
      <c r="B2901">
        <v>1.5961000000000001</v>
      </c>
    </row>
    <row r="2902" spans="1:2" x14ac:dyDescent="0.35">
      <c r="A2902" s="16">
        <v>40711</v>
      </c>
      <c r="B2902">
        <v>1.5971</v>
      </c>
    </row>
    <row r="2903" spans="1:2" x14ac:dyDescent="0.35">
      <c r="A2903" s="16">
        <v>40710</v>
      </c>
      <c r="B2903">
        <v>1.61</v>
      </c>
    </row>
    <row r="2904" spans="1:2" x14ac:dyDescent="0.35">
      <c r="A2904" s="16">
        <v>40709</v>
      </c>
      <c r="B2904">
        <v>1.5952</v>
      </c>
    </row>
    <row r="2905" spans="1:2" x14ac:dyDescent="0.35">
      <c r="A2905" s="16">
        <v>40708</v>
      </c>
      <c r="B2905">
        <v>1.5812999999999999</v>
      </c>
    </row>
    <row r="2906" spans="1:2" x14ac:dyDescent="0.35">
      <c r="A2906" s="16">
        <v>40707</v>
      </c>
      <c r="B2906">
        <v>1.5880000000000001</v>
      </c>
    </row>
    <row r="2907" spans="1:2" x14ac:dyDescent="0.35">
      <c r="A2907" s="16">
        <v>40704</v>
      </c>
      <c r="B2907">
        <v>1.593</v>
      </c>
    </row>
    <row r="2908" spans="1:2" x14ac:dyDescent="0.35">
      <c r="A2908" s="16">
        <v>40703</v>
      </c>
      <c r="B2908">
        <v>1.5869</v>
      </c>
    </row>
    <row r="2909" spans="1:2" x14ac:dyDescent="0.35">
      <c r="A2909" s="16">
        <v>40702</v>
      </c>
      <c r="B2909">
        <v>1.5811999999999999</v>
      </c>
    </row>
    <row r="2910" spans="1:2" x14ac:dyDescent="0.35">
      <c r="A2910" s="16">
        <v>40701</v>
      </c>
      <c r="B2910">
        <v>1.5755999999999999</v>
      </c>
    </row>
    <row r="2911" spans="1:2" x14ac:dyDescent="0.35">
      <c r="A2911" s="16">
        <v>40700</v>
      </c>
      <c r="B2911">
        <v>1.5802</v>
      </c>
    </row>
    <row r="2912" spans="1:2" x14ac:dyDescent="0.35">
      <c r="A2912" s="16">
        <v>40697</v>
      </c>
      <c r="B2912">
        <v>1.5736000000000001</v>
      </c>
    </row>
    <row r="2913" spans="1:2" x14ac:dyDescent="0.35">
      <c r="A2913" s="16">
        <v>40696</v>
      </c>
      <c r="B2913">
        <v>1.5797000000000001</v>
      </c>
    </row>
    <row r="2914" spans="1:2" x14ac:dyDescent="0.35">
      <c r="A2914" s="16">
        <v>40695</v>
      </c>
      <c r="B2914">
        <v>1.587</v>
      </c>
    </row>
    <row r="2915" spans="1:2" x14ac:dyDescent="0.35">
      <c r="A2915" s="16">
        <v>40694</v>
      </c>
      <c r="B2915">
        <v>1.5790999999999999</v>
      </c>
    </row>
    <row r="2916" spans="1:2" x14ac:dyDescent="0.35">
      <c r="A2916" s="16">
        <v>40693</v>
      </c>
      <c r="B2916">
        <v>1.595</v>
      </c>
    </row>
    <row r="2917" spans="1:2" x14ac:dyDescent="0.35">
      <c r="A2917" s="16">
        <v>40690</v>
      </c>
      <c r="B2917">
        <v>1.603</v>
      </c>
    </row>
    <row r="2918" spans="1:2" x14ac:dyDescent="0.35">
      <c r="A2918" s="16">
        <v>40689</v>
      </c>
      <c r="B2918">
        <v>1.6188</v>
      </c>
    </row>
    <row r="2919" spans="1:2" x14ac:dyDescent="0.35">
      <c r="A2919" s="16">
        <v>40688</v>
      </c>
      <c r="B2919">
        <v>1.6289</v>
      </c>
    </row>
    <row r="2920" spans="1:2" x14ac:dyDescent="0.35">
      <c r="A2920" s="16">
        <v>40687</v>
      </c>
      <c r="B2920">
        <v>1.6248</v>
      </c>
    </row>
    <row r="2921" spans="1:2" x14ac:dyDescent="0.35">
      <c r="A2921" s="16">
        <v>40686</v>
      </c>
      <c r="B2921">
        <v>1.6331</v>
      </c>
    </row>
    <row r="2922" spans="1:2" x14ac:dyDescent="0.35">
      <c r="A2922" s="16">
        <v>40683</v>
      </c>
      <c r="B2922">
        <v>1.6161000000000001</v>
      </c>
    </row>
    <row r="2923" spans="1:2" x14ac:dyDescent="0.35">
      <c r="A2923" s="16">
        <v>40682</v>
      </c>
      <c r="B2923">
        <v>1.6156999999999999</v>
      </c>
    </row>
    <row r="2924" spans="1:2" x14ac:dyDescent="0.35">
      <c r="A2924" s="16">
        <v>40681</v>
      </c>
      <c r="B2924">
        <v>1.6157999999999999</v>
      </c>
    </row>
    <row r="2925" spans="1:2" x14ac:dyDescent="0.35">
      <c r="A2925" s="16">
        <v>40680</v>
      </c>
      <c r="B2925">
        <v>1.6282000000000001</v>
      </c>
    </row>
    <row r="2926" spans="1:2" x14ac:dyDescent="0.35">
      <c r="A2926" s="16">
        <v>40679</v>
      </c>
      <c r="B2926">
        <v>1.6309</v>
      </c>
    </row>
    <row r="2927" spans="1:2" x14ac:dyDescent="0.35">
      <c r="A2927" s="16">
        <v>40676</v>
      </c>
      <c r="B2927">
        <v>1.6319999999999999</v>
      </c>
    </row>
    <row r="2928" spans="1:2" x14ac:dyDescent="0.35">
      <c r="A2928" s="16">
        <v>40675</v>
      </c>
      <c r="B2928">
        <v>1.6198999999999999</v>
      </c>
    </row>
    <row r="2929" spans="1:2" x14ac:dyDescent="0.35">
      <c r="A2929" s="16">
        <v>40674</v>
      </c>
      <c r="B2929">
        <v>1.617</v>
      </c>
    </row>
    <row r="2930" spans="1:2" x14ac:dyDescent="0.35">
      <c r="A2930" s="16">
        <v>40673</v>
      </c>
      <c r="B2930">
        <v>1.6061000000000001</v>
      </c>
    </row>
    <row r="2931" spans="1:2" x14ac:dyDescent="0.35">
      <c r="A2931" s="16">
        <v>40672</v>
      </c>
      <c r="B2931">
        <v>1.6191</v>
      </c>
    </row>
    <row r="2932" spans="1:2" x14ac:dyDescent="0.35">
      <c r="A2932" s="16">
        <v>40669</v>
      </c>
      <c r="B2932">
        <v>1.6103000000000001</v>
      </c>
    </row>
    <row r="2933" spans="1:2" x14ac:dyDescent="0.35">
      <c r="A2933" s="16">
        <v>40668</v>
      </c>
      <c r="B2933">
        <v>1.6211</v>
      </c>
    </row>
    <row r="2934" spans="1:2" x14ac:dyDescent="0.35">
      <c r="A2934" s="16">
        <v>40667</v>
      </c>
      <c r="B2934">
        <v>1.6022000000000001</v>
      </c>
    </row>
    <row r="2935" spans="1:2" x14ac:dyDescent="0.35">
      <c r="A2935" s="16">
        <v>40666</v>
      </c>
      <c r="B2935">
        <v>1.5882000000000001</v>
      </c>
    </row>
    <row r="2936" spans="1:2" x14ac:dyDescent="0.35">
      <c r="A2936" s="16">
        <v>40665</v>
      </c>
      <c r="B2936">
        <v>1.5739000000000001</v>
      </c>
    </row>
    <row r="2937" spans="1:2" x14ac:dyDescent="0.35">
      <c r="A2937" s="16">
        <v>40662</v>
      </c>
      <c r="B2937">
        <v>1.5725</v>
      </c>
    </row>
    <row r="2938" spans="1:2" x14ac:dyDescent="0.35">
      <c r="A2938" s="16">
        <v>40661</v>
      </c>
      <c r="B2938">
        <v>1.5845</v>
      </c>
    </row>
    <row r="2939" spans="1:2" x14ac:dyDescent="0.35">
      <c r="A2939" s="16">
        <v>40660</v>
      </c>
      <c r="B2939">
        <v>1.5697000000000001</v>
      </c>
    </row>
    <row r="2940" spans="1:2" x14ac:dyDescent="0.35">
      <c r="A2940" s="16">
        <v>40659</v>
      </c>
      <c r="B2940">
        <v>1.5646</v>
      </c>
    </row>
    <row r="2941" spans="1:2" x14ac:dyDescent="0.35">
      <c r="A2941" s="16">
        <v>40658</v>
      </c>
      <c r="B2941">
        <v>1.5711999999999999</v>
      </c>
    </row>
    <row r="2942" spans="1:2" x14ac:dyDescent="0.35">
      <c r="A2942" s="16">
        <v>40653</v>
      </c>
      <c r="B2942">
        <v>1.5713999999999999</v>
      </c>
    </row>
    <row r="2943" spans="1:2" x14ac:dyDescent="0.35">
      <c r="A2943" s="16">
        <v>40652</v>
      </c>
      <c r="B2943">
        <v>1.5784</v>
      </c>
    </row>
    <row r="2944" spans="1:2" x14ac:dyDescent="0.35">
      <c r="A2944" s="16">
        <v>40651</v>
      </c>
      <c r="B2944">
        <v>1.5904</v>
      </c>
    </row>
    <row r="2945" spans="1:2" x14ac:dyDescent="0.35">
      <c r="A2945" s="16">
        <v>40648</v>
      </c>
      <c r="B2945">
        <v>1.5768</v>
      </c>
    </row>
    <row r="2946" spans="1:2" x14ac:dyDescent="0.35">
      <c r="A2946" s="16">
        <v>40647</v>
      </c>
      <c r="B2946">
        <v>1.5833999999999999</v>
      </c>
    </row>
    <row r="2947" spans="1:2" x14ac:dyDescent="0.35">
      <c r="A2947" s="16">
        <v>40646</v>
      </c>
      <c r="B2947">
        <v>1.5855999999999999</v>
      </c>
    </row>
    <row r="2948" spans="1:2" x14ac:dyDescent="0.35">
      <c r="A2948" s="16">
        <v>40645</v>
      </c>
      <c r="B2948">
        <v>1.5862000000000001</v>
      </c>
    </row>
    <row r="2949" spans="1:2" x14ac:dyDescent="0.35">
      <c r="A2949" s="16">
        <v>40644</v>
      </c>
      <c r="B2949">
        <v>1.5797000000000001</v>
      </c>
    </row>
    <row r="2950" spans="1:2" x14ac:dyDescent="0.35">
      <c r="A2950" s="16">
        <v>40641</v>
      </c>
      <c r="B2950">
        <v>1.5753999999999999</v>
      </c>
    </row>
    <row r="2951" spans="1:2" x14ac:dyDescent="0.35">
      <c r="A2951" s="16">
        <v>40640</v>
      </c>
      <c r="B2951">
        <v>1.5919000000000001</v>
      </c>
    </row>
    <row r="2952" spans="1:2" x14ac:dyDescent="0.35">
      <c r="A2952" s="16">
        <v>40639</v>
      </c>
      <c r="B2952">
        <v>1.6089</v>
      </c>
    </row>
    <row r="2953" spans="1:2" x14ac:dyDescent="0.35">
      <c r="A2953" s="16">
        <v>40638</v>
      </c>
      <c r="B2953">
        <v>1.6079000000000001</v>
      </c>
    </row>
    <row r="2954" spans="1:2" x14ac:dyDescent="0.35">
      <c r="A2954" s="16">
        <v>40637</v>
      </c>
      <c r="B2954">
        <v>1.6102000000000001</v>
      </c>
    </row>
    <row r="2955" spans="1:2" x14ac:dyDescent="0.35">
      <c r="A2955" s="16">
        <v>40634</v>
      </c>
      <c r="B2955">
        <v>1.6186</v>
      </c>
    </row>
    <row r="2956" spans="1:2" x14ac:dyDescent="0.35">
      <c r="A2956" s="16">
        <v>40633</v>
      </c>
      <c r="B2956">
        <v>1.6278999999999999</v>
      </c>
    </row>
    <row r="2957" spans="1:2" x14ac:dyDescent="0.35">
      <c r="A2957" s="16">
        <v>40632</v>
      </c>
      <c r="B2957">
        <v>1.6352</v>
      </c>
    </row>
    <row r="2958" spans="1:2" x14ac:dyDescent="0.35">
      <c r="A2958" s="16">
        <v>40631</v>
      </c>
      <c r="B2958">
        <v>1.6537999999999999</v>
      </c>
    </row>
    <row r="2959" spans="1:2" x14ac:dyDescent="0.35">
      <c r="A2959" s="16">
        <v>40630</v>
      </c>
      <c r="B2959">
        <v>1.6606000000000001</v>
      </c>
    </row>
    <row r="2960" spans="1:2" x14ac:dyDescent="0.35">
      <c r="A2960" s="16">
        <v>40627</v>
      </c>
      <c r="B2960">
        <v>1.6573</v>
      </c>
    </row>
    <row r="2961" spans="1:2" x14ac:dyDescent="0.35">
      <c r="A2961" s="16">
        <v>40626</v>
      </c>
      <c r="B2961">
        <v>1.6585000000000001</v>
      </c>
    </row>
    <row r="2962" spans="1:2" x14ac:dyDescent="0.35">
      <c r="A2962" s="16">
        <v>40625</v>
      </c>
      <c r="B2962">
        <v>1.6594</v>
      </c>
    </row>
    <row r="2963" spans="1:2" x14ac:dyDescent="0.35">
      <c r="A2963" s="16">
        <v>40624</v>
      </c>
      <c r="B2963">
        <v>1.663</v>
      </c>
    </row>
    <row r="2964" spans="1:2" x14ac:dyDescent="0.35">
      <c r="A2964" s="16">
        <v>40623</v>
      </c>
      <c r="B2964">
        <v>1.6644000000000001</v>
      </c>
    </row>
    <row r="2965" spans="1:2" x14ac:dyDescent="0.35">
      <c r="A2965" s="16">
        <v>40620</v>
      </c>
      <c r="B2965">
        <v>1.6712</v>
      </c>
    </row>
    <row r="2966" spans="1:2" x14ac:dyDescent="0.35">
      <c r="A2966" s="16">
        <v>40619</v>
      </c>
      <c r="B2966">
        <v>1.6749000000000001</v>
      </c>
    </row>
    <row r="2967" spans="1:2" x14ac:dyDescent="0.35">
      <c r="A2967" s="16">
        <v>40618</v>
      </c>
      <c r="B2967">
        <v>1.6666000000000001</v>
      </c>
    </row>
    <row r="2968" spans="1:2" x14ac:dyDescent="0.35">
      <c r="A2968" s="16">
        <v>40617</v>
      </c>
      <c r="B2968">
        <v>1.6684000000000001</v>
      </c>
    </row>
    <row r="2969" spans="1:2" x14ac:dyDescent="0.35">
      <c r="A2969" s="16">
        <v>40616</v>
      </c>
      <c r="B2969">
        <v>1.6623000000000001</v>
      </c>
    </row>
    <row r="2970" spans="1:2" x14ac:dyDescent="0.35">
      <c r="A2970" s="16">
        <v>40613</v>
      </c>
      <c r="B2970">
        <v>1.6640999999999999</v>
      </c>
    </row>
    <row r="2971" spans="1:2" x14ac:dyDescent="0.35">
      <c r="A2971" s="16">
        <v>40612</v>
      </c>
      <c r="B2971">
        <v>1.6604000000000001</v>
      </c>
    </row>
    <row r="2972" spans="1:2" x14ac:dyDescent="0.35">
      <c r="A2972" s="16">
        <v>40611</v>
      </c>
      <c r="B2972">
        <v>1.6551</v>
      </c>
    </row>
    <row r="2973" spans="1:2" x14ac:dyDescent="0.35">
      <c r="A2973" s="16">
        <v>40606</v>
      </c>
      <c r="B2973">
        <v>1.6454</v>
      </c>
    </row>
    <row r="2974" spans="1:2" x14ac:dyDescent="0.35">
      <c r="A2974" s="16">
        <v>40605</v>
      </c>
      <c r="B2974">
        <v>1.6536999999999999</v>
      </c>
    </row>
    <row r="2975" spans="1:2" x14ac:dyDescent="0.35">
      <c r="A2975" s="16">
        <v>40604</v>
      </c>
      <c r="B2975">
        <v>1.6601999999999999</v>
      </c>
    </row>
    <row r="2976" spans="1:2" x14ac:dyDescent="0.35">
      <c r="A2976" s="16">
        <v>40603</v>
      </c>
      <c r="B2976">
        <v>1.6618999999999999</v>
      </c>
    </row>
    <row r="2977" spans="1:2" x14ac:dyDescent="0.35">
      <c r="A2977" s="16">
        <v>40602</v>
      </c>
      <c r="B2977">
        <v>1.6604000000000001</v>
      </c>
    </row>
    <row r="2978" spans="1:2" x14ac:dyDescent="0.35">
      <c r="A2978" s="16">
        <v>40599</v>
      </c>
      <c r="B2978">
        <v>1.6617</v>
      </c>
    </row>
    <row r="2979" spans="1:2" x14ac:dyDescent="0.35">
      <c r="A2979" s="16">
        <v>40598</v>
      </c>
      <c r="B2979">
        <v>1.6640999999999999</v>
      </c>
    </row>
    <row r="2980" spans="1:2" x14ac:dyDescent="0.35">
      <c r="A2980" s="16">
        <v>40597</v>
      </c>
      <c r="B2980">
        <v>1.6712</v>
      </c>
    </row>
    <row r="2981" spans="1:2" x14ac:dyDescent="0.35">
      <c r="A2981" s="16">
        <v>40596</v>
      </c>
      <c r="B2981">
        <v>1.6686000000000001</v>
      </c>
    </row>
    <row r="2982" spans="1:2" x14ac:dyDescent="0.35">
      <c r="A2982" s="16">
        <v>40595</v>
      </c>
      <c r="B2982">
        <v>1.6658999999999999</v>
      </c>
    </row>
    <row r="2983" spans="1:2" x14ac:dyDescent="0.35">
      <c r="A2983" s="16">
        <v>40592</v>
      </c>
      <c r="B2983">
        <v>1.6669</v>
      </c>
    </row>
    <row r="2984" spans="1:2" x14ac:dyDescent="0.35">
      <c r="A2984" s="16">
        <v>40591</v>
      </c>
      <c r="B2984">
        <v>1.6696</v>
      </c>
    </row>
    <row r="2985" spans="1:2" x14ac:dyDescent="0.35">
      <c r="A2985" s="16">
        <v>40590</v>
      </c>
      <c r="B2985">
        <v>1.6696</v>
      </c>
    </row>
    <row r="2986" spans="1:2" x14ac:dyDescent="0.35">
      <c r="A2986" s="16">
        <v>40589</v>
      </c>
      <c r="B2986">
        <v>1.6674</v>
      </c>
    </row>
    <row r="2987" spans="1:2" x14ac:dyDescent="0.35">
      <c r="A2987" s="16">
        <v>40588</v>
      </c>
      <c r="B2987">
        <v>1.6673</v>
      </c>
    </row>
    <row r="2988" spans="1:2" x14ac:dyDescent="0.35">
      <c r="A2988" s="16">
        <v>40585</v>
      </c>
      <c r="B2988">
        <v>1.6671</v>
      </c>
    </row>
    <row r="2989" spans="1:2" x14ac:dyDescent="0.35">
      <c r="A2989" s="16">
        <v>40584</v>
      </c>
      <c r="B2989">
        <v>1.6672</v>
      </c>
    </row>
    <row r="2990" spans="1:2" x14ac:dyDescent="0.35">
      <c r="A2990" s="16">
        <v>40583</v>
      </c>
      <c r="B2990">
        <v>1.6635</v>
      </c>
    </row>
    <row r="2991" spans="1:2" x14ac:dyDescent="0.35">
      <c r="A2991" s="16">
        <v>40582</v>
      </c>
      <c r="B2991">
        <v>1.6702999999999999</v>
      </c>
    </row>
    <row r="2992" spans="1:2" x14ac:dyDescent="0.35">
      <c r="A2992" s="16">
        <v>40581</v>
      </c>
      <c r="B2992">
        <v>1.6768000000000001</v>
      </c>
    </row>
    <row r="2993" spans="1:2" x14ac:dyDescent="0.35">
      <c r="A2993" s="16">
        <v>40578</v>
      </c>
      <c r="B2993">
        <v>1.673</v>
      </c>
    </row>
    <row r="2994" spans="1:2" x14ac:dyDescent="0.35">
      <c r="A2994" s="16">
        <v>40577</v>
      </c>
      <c r="B2994">
        <v>1.6689000000000001</v>
      </c>
    </row>
    <row r="2995" spans="1:2" x14ac:dyDescent="0.35">
      <c r="A2995" s="16">
        <v>40576</v>
      </c>
      <c r="B2995">
        <v>1.6662999999999999</v>
      </c>
    </row>
    <row r="2996" spans="1:2" x14ac:dyDescent="0.35">
      <c r="A2996" s="16">
        <v>40575</v>
      </c>
      <c r="B2996">
        <v>1.6623000000000001</v>
      </c>
    </row>
    <row r="2997" spans="1:2" x14ac:dyDescent="0.35">
      <c r="A2997" s="16">
        <v>40574</v>
      </c>
      <c r="B2997">
        <v>1.6726000000000001</v>
      </c>
    </row>
    <row r="2998" spans="1:2" x14ac:dyDescent="0.35">
      <c r="A2998" s="16">
        <v>40571</v>
      </c>
      <c r="B2998">
        <v>1.6774</v>
      </c>
    </row>
    <row r="2999" spans="1:2" x14ac:dyDescent="0.35">
      <c r="A2999" s="16">
        <v>40570</v>
      </c>
      <c r="B2999">
        <v>1.6712</v>
      </c>
    </row>
    <row r="3000" spans="1:2" x14ac:dyDescent="0.35">
      <c r="A3000" s="16">
        <v>40569</v>
      </c>
      <c r="B3000">
        <v>1.6684000000000001</v>
      </c>
    </row>
    <row r="3001" spans="1:2" x14ac:dyDescent="0.35">
      <c r="A3001" s="16">
        <v>40568</v>
      </c>
      <c r="B3001">
        <v>1.6737</v>
      </c>
    </row>
    <row r="3002" spans="1:2" x14ac:dyDescent="0.35">
      <c r="A3002" s="16">
        <v>40567</v>
      </c>
      <c r="B3002">
        <v>1.6722999999999999</v>
      </c>
    </row>
    <row r="3003" spans="1:2" x14ac:dyDescent="0.35">
      <c r="A3003" s="16">
        <v>40564</v>
      </c>
      <c r="B3003">
        <v>1.6715</v>
      </c>
    </row>
    <row r="3004" spans="1:2" x14ac:dyDescent="0.35">
      <c r="A3004" s="16">
        <v>40563</v>
      </c>
      <c r="B3004">
        <v>1.6707000000000001</v>
      </c>
    </row>
    <row r="3005" spans="1:2" x14ac:dyDescent="0.35">
      <c r="A3005" s="16">
        <v>40562</v>
      </c>
      <c r="B3005">
        <v>1.6706000000000001</v>
      </c>
    </row>
    <row r="3006" spans="1:2" x14ac:dyDescent="0.35">
      <c r="A3006" s="16">
        <v>40561</v>
      </c>
      <c r="B3006">
        <v>1.6737</v>
      </c>
    </row>
    <row r="3007" spans="1:2" x14ac:dyDescent="0.35">
      <c r="A3007" s="16">
        <v>40560</v>
      </c>
      <c r="B3007">
        <v>1.681</v>
      </c>
    </row>
    <row r="3008" spans="1:2" x14ac:dyDescent="0.35">
      <c r="A3008" s="16">
        <v>40557</v>
      </c>
      <c r="B3008">
        <v>1.6835</v>
      </c>
    </row>
    <row r="3009" spans="1:2" x14ac:dyDescent="0.35">
      <c r="A3009" s="16">
        <v>40556</v>
      </c>
      <c r="B3009">
        <v>1.6693</v>
      </c>
    </row>
    <row r="3010" spans="1:2" x14ac:dyDescent="0.35">
      <c r="A3010" s="16">
        <v>40555</v>
      </c>
      <c r="B3010">
        <v>1.6879</v>
      </c>
    </row>
    <row r="3011" spans="1:2" x14ac:dyDescent="0.35">
      <c r="A3011" s="16">
        <v>40554</v>
      </c>
      <c r="B3011">
        <v>1.6879</v>
      </c>
    </row>
    <row r="3012" spans="1:2" x14ac:dyDescent="0.35">
      <c r="A3012" s="16">
        <v>40553</v>
      </c>
      <c r="B3012">
        <v>1.6903999999999999</v>
      </c>
    </row>
    <row r="3013" spans="1:2" x14ac:dyDescent="0.35">
      <c r="A3013" s="16">
        <v>40550</v>
      </c>
      <c r="B3013">
        <v>1.6853</v>
      </c>
    </row>
    <row r="3014" spans="1:2" x14ac:dyDescent="0.35">
      <c r="A3014" s="16">
        <v>40549</v>
      </c>
      <c r="B3014">
        <v>1.6849000000000001</v>
      </c>
    </row>
    <row r="3015" spans="1:2" x14ac:dyDescent="0.35">
      <c r="A3015" s="16">
        <v>40548</v>
      </c>
      <c r="B3015">
        <v>1.6705000000000001</v>
      </c>
    </row>
    <row r="3016" spans="1:2" x14ac:dyDescent="0.35">
      <c r="A3016" s="16">
        <v>40547</v>
      </c>
      <c r="B3016">
        <v>1.6548</v>
      </c>
    </row>
    <row r="3017" spans="1:2" x14ac:dyDescent="0.35">
      <c r="A3017" s="16">
        <v>40546</v>
      </c>
      <c r="B3017">
        <v>1.6501999999999999</v>
      </c>
    </row>
  </sheetData>
  <autoFilter ref="A1:A2758" xr:uid="{E4B206D3-9F1B-4C5D-9240-54B5AA87FF00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Base</vt:lpstr>
      <vt:lpstr>Ratings</vt:lpstr>
      <vt:lpstr>EMBI+</vt:lpstr>
      <vt:lpstr>Dólar Spot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Bellodi</dc:creator>
  <cp:lastModifiedBy>Felipe Bellodi</cp:lastModifiedBy>
  <dcterms:created xsi:type="dcterms:W3CDTF">2023-05-16T00:00:09Z</dcterms:created>
  <dcterms:modified xsi:type="dcterms:W3CDTF">2023-05-23T11:44:49Z</dcterms:modified>
</cp:coreProperties>
</file>