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00" windowHeight="13035"/>
  </bookViews>
  <sheets>
    <sheet name="Inputs" sheetId="1" r:id="rId1"/>
    <sheet name="VIX Calculation" sheetId="2" r:id="rId2"/>
  </sheets>
  <calcPr calcId="144525"/>
</workbook>
</file>

<file path=xl/sharedStrings.xml><?xml version="1.0" encoding="utf-8"?>
<sst xmlns="http://schemas.openxmlformats.org/spreadsheetml/2006/main" count="29">
  <si>
    <t>BLUE CELLS ARE VIX INPUTS</t>
  </si>
  <si>
    <t>Near Term Options - 16 days to maturity</t>
  </si>
  <si>
    <t>Next Term Options - 44 day sto maturity</t>
  </si>
  <si>
    <t>Strike:</t>
  </si>
  <si>
    <t>Call</t>
  </si>
  <si>
    <t>Put</t>
  </si>
  <si>
    <t>Current Time</t>
  </si>
  <si>
    <t>Option 1 expiration</t>
  </si>
  <si>
    <t>days</t>
  </si>
  <si>
    <t>Option 2 expiration</t>
  </si>
  <si>
    <t>Risk Free Rate</t>
  </si>
  <si>
    <t>annual</t>
  </si>
  <si>
    <t>VIX value</t>
  </si>
  <si>
    <t>VIX CALCULATION</t>
  </si>
  <si>
    <t>Option 1</t>
  </si>
  <si>
    <t>years</t>
  </si>
  <si>
    <t>Option 2</t>
  </si>
  <si>
    <t>Near-Term</t>
  </si>
  <si>
    <t>Difference:</t>
  </si>
  <si>
    <t>Strike</t>
  </si>
  <si>
    <t>Delta-Strike</t>
  </si>
  <si>
    <t>C/P - NEar</t>
  </si>
  <si>
    <t>VIX-Near</t>
  </si>
  <si>
    <t>Far-Term</t>
  </si>
  <si>
    <t>Index level</t>
  </si>
  <si>
    <t>Level</t>
  </si>
  <si>
    <t>Reference-Strike</t>
  </si>
  <si>
    <t>Variance</t>
  </si>
  <si>
    <t>Term1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</si>
</sst>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7">
    <font>
      <sz val="10"/>
      <color rgb="FF000000"/>
      <name val="Arial"/>
      <charset val="134"/>
    </font>
    <font>
      <b/>
      <i/>
      <sz val="18"/>
      <color rgb="FF666666"/>
      <name val="Arial"/>
      <charset val="134"/>
    </font>
    <font>
      <sz val="10"/>
      <name val="Arial"/>
      <charset val="134"/>
    </font>
    <font>
      <sz val="11"/>
      <name val="Arial"/>
      <charset val="134"/>
    </font>
    <font>
      <b/>
      <sz val="10"/>
      <name val="Arial"/>
      <charset val="134"/>
    </font>
    <font>
      <b/>
      <i/>
      <sz val="18"/>
      <color rgb="FF6FA8DC"/>
      <name val="Arial"/>
      <charset val="134"/>
    </font>
    <font>
      <i/>
      <sz val="9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5" fillId="12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3" fillId="11" borderId="11" applyNumberFormat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7" fillId="13" borderId="1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20" borderId="9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2" fillId="8" borderId="14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</cellStyleXfs>
  <cellXfs count="28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35" fontId="2" fillId="0" borderId="0" xfId="0" applyNumberFormat="1" applyFont="1" applyAlignment="1"/>
    <xf numFmtId="0" fontId="3" fillId="0" borderId="0" xfId="0" applyFont="1"/>
    <xf numFmtId="0" fontId="2" fillId="2" borderId="0" xfId="0" applyFont="1" applyFill="1"/>
    <xf numFmtId="0" fontId="4" fillId="0" borderId="0" xfId="0" applyFont="1" applyAlignment="1"/>
    <xf numFmtId="0" fontId="4" fillId="3" borderId="1" xfId="0" applyFont="1" applyFill="1" applyBorder="1"/>
    <xf numFmtId="0" fontId="5" fillId="4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 applyAlignment="1"/>
    <xf numFmtId="0" fontId="2" fillId="0" borderId="5" xfId="0" applyFont="1" applyBorder="1" applyAlignment="1"/>
    <xf numFmtId="0" fontId="2" fillId="5" borderId="4" xfId="0" applyFont="1" applyFill="1" applyBorder="1" applyAlignment="1"/>
    <xf numFmtId="0" fontId="2" fillId="5" borderId="0" xfId="0" applyFont="1" applyFill="1" applyAlignment="1"/>
    <xf numFmtId="0" fontId="2" fillId="5" borderId="5" xfId="0" applyFont="1" applyFill="1" applyBorder="1" applyAlignment="1"/>
    <xf numFmtId="0" fontId="2" fillId="6" borderId="4" xfId="0" applyFont="1" applyFill="1" applyBorder="1" applyAlignment="1"/>
    <xf numFmtId="0" fontId="2" fillId="6" borderId="0" xfId="0" applyFont="1" applyFill="1" applyAlignment="1"/>
    <xf numFmtId="0" fontId="2" fillId="6" borderId="5" xfId="0" applyFont="1" applyFill="1" applyBorder="1" applyAlignment="1"/>
    <xf numFmtId="0" fontId="2" fillId="5" borderId="6" xfId="0" applyFont="1" applyFill="1" applyBorder="1" applyAlignment="1"/>
    <xf numFmtId="0" fontId="2" fillId="5" borderId="7" xfId="0" applyFont="1" applyFill="1" applyBorder="1" applyAlignment="1"/>
    <xf numFmtId="0" fontId="2" fillId="5" borderId="8" xfId="0" applyFont="1" applyFill="1" applyBorder="1" applyAlignment="1"/>
    <xf numFmtId="0" fontId="2" fillId="6" borderId="6" xfId="0" applyFont="1" applyFill="1" applyBorder="1" applyAlignment="1"/>
    <xf numFmtId="0" fontId="2" fillId="6" borderId="7" xfId="0" applyFont="1" applyFill="1" applyBorder="1" applyAlignment="1"/>
    <xf numFmtId="0" fontId="2" fillId="6" borderId="8" xfId="0" applyFont="1" applyFill="1" applyBorder="1" applyAlignment="1"/>
    <xf numFmtId="35" fontId="2" fillId="6" borderId="0" xfId="0" applyNumberFormat="1" applyFont="1" applyFill="1" applyAlignment="1"/>
    <xf numFmtId="0" fontId="6" fillId="0" borderId="0" xfId="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25"/>
  <sheetViews>
    <sheetView tabSelected="1" workbookViewId="0">
      <selection activeCell="I30" sqref="I30"/>
    </sheetView>
  </sheetViews>
  <sheetFormatPr defaultColWidth="14.4285714285714" defaultRowHeight="15.75" customHeight="1" outlineLevelCol="6"/>
  <cols>
    <col min="1" max="1" width="17.5714285714286" customWidth="1"/>
    <col min="5" max="5" width="24.1428571428571" customWidth="1"/>
  </cols>
  <sheetData>
    <row r="1" ht="23.25" spans="1:1">
      <c r="A1" s="8" t="s">
        <v>0</v>
      </c>
    </row>
    <row r="3" ht="12.75" spans="1:7">
      <c r="A3" s="9" t="s">
        <v>1</v>
      </c>
      <c r="B3" s="10"/>
      <c r="C3" s="11"/>
      <c r="E3" s="9" t="s">
        <v>2</v>
      </c>
      <c r="F3" s="10"/>
      <c r="G3" s="11"/>
    </row>
    <row r="4" ht="12.75" spans="1:7">
      <c r="A4" s="12" t="s">
        <v>3</v>
      </c>
      <c r="B4" s="2" t="s">
        <v>4</v>
      </c>
      <c r="C4" s="13" t="s">
        <v>5</v>
      </c>
      <c r="E4" s="12" t="s">
        <v>3</v>
      </c>
      <c r="F4" s="2" t="s">
        <v>4</v>
      </c>
      <c r="G4" s="13" t="s">
        <v>5</v>
      </c>
    </row>
    <row r="5" ht="12.75" spans="1:7">
      <c r="A5" s="14">
        <v>775</v>
      </c>
      <c r="B5" s="15">
        <v>125.48</v>
      </c>
      <c r="C5" s="16">
        <v>0.11</v>
      </c>
      <c r="E5" s="17">
        <v>775</v>
      </c>
      <c r="F5" s="18">
        <v>128.78</v>
      </c>
      <c r="G5" s="19">
        <v>2.72</v>
      </c>
    </row>
    <row r="6" ht="12.75" spans="1:7">
      <c r="A6" s="14">
        <v>800</v>
      </c>
      <c r="B6" s="15">
        <v>100.79</v>
      </c>
      <c r="C6" s="16">
        <v>0.41</v>
      </c>
      <c r="E6" s="17">
        <v>800</v>
      </c>
      <c r="F6" s="18">
        <v>105.85</v>
      </c>
      <c r="G6" s="19">
        <v>4.76</v>
      </c>
    </row>
    <row r="7" ht="12.75" spans="1:7">
      <c r="A7" s="14">
        <v>825</v>
      </c>
      <c r="B7" s="15">
        <v>76.7</v>
      </c>
      <c r="C7" s="16">
        <v>1.3</v>
      </c>
      <c r="E7" s="17">
        <v>825</v>
      </c>
      <c r="F7" s="18">
        <v>84.14</v>
      </c>
      <c r="G7" s="19">
        <v>8.01</v>
      </c>
    </row>
    <row r="8" ht="12.75" spans="1:7">
      <c r="A8" s="14">
        <v>850</v>
      </c>
      <c r="B8" s="15">
        <v>54.01</v>
      </c>
      <c r="C8" s="16">
        <v>3.6</v>
      </c>
      <c r="E8" s="17">
        <v>850</v>
      </c>
      <c r="F8" s="18">
        <v>64.13</v>
      </c>
      <c r="G8" s="19">
        <v>12.97</v>
      </c>
    </row>
    <row r="9" ht="12.75" spans="1:7">
      <c r="A9" s="14">
        <v>875</v>
      </c>
      <c r="B9" s="15">
        <v>34.05</v>
      </c>
      <c r="C9" s="16">
        <v>8.64</v>
      </c>
      <c r="E9" s="17">
        <v>875</v>
      </c>
      <c r="F9" s="18">
        <v>46.38</v>
      </c>
      <c r="G9" s="19">
        <v>20.18</v>
      </c>
    </row>
    <row r="10" ht="12.75" spans="1:7">
      <c r="A10" s="14">
        <v>900</v>
      </c>
      <c r="B10" s="15">
        <v>1841</v>
      </c>
      <c r="C10" s="16">
        <v>17.98</v>
      </c>
      <c r="E10" s="17">
        <v>900</v>
      </c>
      <c r="F10" s="18">
        <v>31.4</v>
      </c>
      <c r="G10" s="19">
        <v>30.17</v>
      </c>
    </row>
    <row r="11" ht="12.75" spans="1:7">
      <c r="A11" s="14">
        <v>925</v>
      </c>
      <c r="B11" s="15">
        <v>8.07</v>
      </c>
      <c r="C11" s="16">
        <v>32.63</v>
      </c>
      <c r="E11" s="17">
        <v>925</v>
      </c>
      <c r="F11" s="18">
        <v>19.57</v>
      </c>
      <c r="G11" s="19">
        <v>43.31</v>
      </c>
    </row>
    <row r="12" ht="12.75" spans="1:7">
      <c r="A12" s="14">
        <v>950</v>
      </c>
      <c r="B12" s="15">
        <v>2.68</v>
      </c>
      <c r="C12" s="16">
        <v>52.23</v>
      </c>
      <c r="E12" s="17">
        <v>950</v>
      </c>
      <c r="F12" s="18">
        <v>11</v>
      </c>
      <c r="G12" s="19">
        <v>59.7</v>
      </c>
    </row>
    <row r="13" ht="12.75" spans="1:7">
      <c r="A13" s="14">
        <v>975</v>
      </c>
      <c r="B13" s="15">
        <v>0.62</v>
      </c>
      <c r="C13" s="16">
        <v>75.16</v>
      </c>
      <c r="E13" s="17">
        <v>975</v>
      </c>
      <c r="F13" s="18">
        <v>5.43</v>
      </c>
      <c r="G13" s="19">
        <v>79.1</v>
      </c>
    </row>
    <row r="14" ht="12.75" spans="1:7">
      <c r="A14" s="14">
        <v>1000</v>
      </c>
      <c r="B14" s="15">
        <v>0.09</v>
      </c>
      <c r="C14" s="16">
        <v>99.61</v>
      </c>
      <c r="E14" s="17">
        <v>1000</v>
      </c>
      <c r="F14" s="18">
        <v>2.28</v>
      </c>
      <c r="G14" s="19">
        <v>100.91</v>
      </c>
    </row>
    <row r="15" ht="12.75" spans="1:7">
      <c r="A15" s="20">
        <v>1025</v>
      </c>
      <c r="B15" s="21">
        <v>0.01</v>
      </c>
      <c r="C15" s="22">
        <v>124.52</v>
      </c>
      <c r="E15" s="23">
        <v>1025</v>
      </c>
      <c r="F15" s="24">
        <v>0.78</v>
      </c>
      <c r="G15" s="25">
        <v>124.38</v>
      </c>
    </row>
    <row r="19" ht="12.75" spans="1:2">
      <c r="A19" s="2" t="s">
        <v>6</v>
      </c>
      <c r="B19" s="26">
        <v>0.354166666666667</v>
      </c>
    </row>
    <row r="21" ht="12.75" spans="1:3">
      <c r="A21" s="2" t="s">
        <v>7</v>
      </c>
      <c r="B21" s="18">
        <v>16</v>
      </c>
      <c r="C21" s="2" t="s">
        <v>8</v>
      </c>
    </row>
    <row r="22" ht="12.75" spans="1:3">
      <c r="A22" s="2" t="s">
        <v>9</v>
      </c>
      <c r="B22" s="18">
        <v>44</v>
      </c>
      <c r="C22" s="2" t="s">
        <v>8</v>
      </c>
    </row>
    <row r="24" spans="1:6">
      <c r="A24" s="2" t="s">
        <v>10</v>
      </c>
      <c r="B24" s="18">
        <v>0.0234</v>
      </c>
      <c r="C24" s="2" t="s">
        <v>11</v>
      </c>
      <c r="E24" t="s">
        <v>12</v>
      </c>
      <c r="F24">
        <f>'VIX Calculation'!G49</f>
        <v>25.3125447721997</v>
      </c>
    </row>
    <row r="25" spans="1:1">
      <c r="A25" s="27"/>
    </row>
  </sheetData>
  <mergeCells count="3">
    <mergeCell ref="A1:G1"/>
    <mergeCell ref="A3:C3"/>
    <mergeCell ref="E3:G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49"/>
  <sheetViews>
    <sheetView topLeftCell="A39" workbookViewId="0">
      <selection activeCell="D32" sqref="D32"/>
    </sheetView>
  </sheetViews>
  <sheetFormatPr defaultColWidth="14.4285714285714" defaultRowHeight="15.75" customHeight="1" outlineLevelCol="6"/>
  <cols>
    <col min="7" max="7" width="18.7142857142857" customWidth="1"/>
  </cols>
  <sheetData>
    <row r="1" ht="23.25" spans="1:1">
      <c r="A1" s="1" t="s">
        <v>13</v>
      </c>
    </row>
    <row r="3" ht="12.75" spans="1:2">
      <c r="A3" s="2" t="s">
        <v>6</v>
      </c>
      <c r="B3" s="3">
        <f>Inputs!B19</f>
        <v>0.354166666666667</v>
      </c>
    </row>
    <row r="5" ht="12.75" spans="1:7">
      <c r="A5" s="2" t="s">
        <v>14</v>
      </c>
      <c r="B5" s="2">
        <f>Inputs!B21</f>
        <v>16</v>
      </c>
      <c r="C5" s="2" t="s">
        <v>8</v>
      </c>
      <c r="D5">
        <f>(1440-(HOUR($B$3)*60+MINUTE($B$3)+SECOND($B$3)/60)+510)/(1440*365)+(B5-2)/365</f>
        <v>0.0410958904109589</v>
      </c>
      <c r="E5" s="2" t="s">
        <v>15</v>
      </c>
      <c r="F5">
        <f>D5*365</f>
        <v>15</v>
      </c>
      <c r="G5" s="2" t="s">
        <v>8</v>
      </c>
    </row>
    <row r="7" ht="12.75" spans="1:7">
      <c r="A7" s="2" t="s">
        <v>16</v>
      </c>
      <c r="B7" s="2">
        <f>Inputs!B22</f>
        <v>44</v>
      </c>
      <c r="C7" s="2" t="s">
        <v>8</v>
      </c>
      <c r="D7">
        <f>(1440-(HOUR($B$3)*60+MINUTE($B$3)+SECOND($B$3)/60)+510)/(1440*365)+(B7-2)/365</f>
        <v>0.117808219178082</v>
      </c>
      <c r="E7" s="2" t="s">
        <v>15</v>
      </c>
      <c r="F7">
        <f>D7*365</f>
        <v>43</v>
      </c>
      <c r="G7" s="2" t="s">
        <v>8</v>
      </c>
    </row>
    <row r="9" ht="12.75" spans="1:3">
      <c r="A9" s="2" t="s">
        <v>10</v>
      </c>
      <c r="B9" s="2">
        <f>Inputs!B24</f>
        <v>0.0234</v>
      </c>
      <c r="C9" s="2" t="s">
        <v>11</v>
      </c>
    </row>
    <row r="11" ht="12.75" spans="1:1">
      <c r="A11" s="2" t="s">
        <v>17</v>
      </c>
    </row>
    <row r="12" ht="12.75" spans="1:7">
      <c r="A12" s="2" t="s">
        <v>18</v>
      </c>
      <c r="B12" s="2" t="s">
        <v>19</v>
      </c>
      <c r="C12" s="2" t="s">
        <v>4</v>
      </c>
      <c r="D12" s="2" t="s">
        <v>5</v>
      </c>
      <c r="E12" s="2" t="s">
        <v>20</v>
      </c>
      <c r="F12" s="2" t="s">
        <v>21</v>
      </c>
      <c r="G12" s="2" t="s">
        <v>22</v>
      </c>
    </row>
    <row r="13" ht="12.75" spans="1:7">
      <c r="A13">
        <f t="shared" ref="A13:A23" si="0">ABS(C13-D13)</f>
        <v>125.37</v>
      </c>
      <c r="B13">
        <f>Inputs!A5</f>
        <v>775</v>
      </c>
      <c r="C13">
        <f>Inputs!B5</f>
        <v>125.48</v>
      </c>
      <c r="D13">
        <f>Inputs!C5</f>
        <v>0.11</v>
      </c>
      <c r="E13" s="2">
        <f t="shared" ref="E13:E23" si="1">IF(B13=MIN($B$13:$B$23),B14-B13,IF(B13=MAX($B$13:$B$23),B13-B12,(B14-B12)/2))</f>
        <v>25</v>
      </c>
      <c r="F13">
        <f t="shared" ref="F13:F23" si="2">IF(B13=$B$43,(C13+D13)/2,IF(B13&gt;$E$43,C13,D13))</f>
        <v>0.11</v>
      </c>
      <c r="G13">
        <f t="shared" ref="G13:G23" si="3">E13/B13^2*EXP($B$9*$D$5)*F13</f>
        <v>4.58296906139284e-6</v>
      </c>
    </row>
    <row r="14" ht="12.75" spans="1:7">
      <c r="A14">
        <f t="shared" si="0"/>
        <v>100.38</v>
      </c>
      <c r="B14">
        <f>Inputs!A6</f>
        <v>800</v>
      </c>
      <c r="C14">
        <f>Inputs!B6</f>
        <v>100.79</v>
      </c>
      <c r="D14">
        <f>Inputs!C6</f>
        <v>0.41</v>
      </c>
      <c r="E14" s="2">
        <f t="shared" si="1"/>
        <v>25</v>
      </c>
      <c r="F14">
        <f t="shared" si="2"/>
        <v>0.41</v>
      </c>
      <c r="G14">
        <f t="shared" si="3"/>
        <v>1.60310337347247e-5</v>
      </c>
    </row>
    <row r="15" ht="12.75" spans="1:7">
      <c r="A15">
        <f t="shared" si="0"/>
        <v>75.4</v>
      </c>
      <c r="B15">
        <f>Inputs!A7</f>
        <v>825</v>
      </c>
      <c r="C15">
        <f>Inputs!B7</f>
        <v>76.7</v>
      </c>
      <c r="D15">
        <f>Inputs!C7</f>
        <v>1.3</v>
      </c>
      <c r="E15" s="2">
        <f t="shared" si="1"/>
        <v>25</v>
      </c>
      <c r="F15">
        <f t="shared" si="2"/>
        <v>1.3</v>
      </c>
      <c r="G15">
        <f t="shared" si="3"/>
        <v>4.77961703681282e-5</v>
      </c>
    </row>
    <row r="16" ht="12.75" spans="1:7">
      <c r="A16">
        <f t="shared" si="0"/>
        <v>50.41</v>
      </c>
      <c r="B16">
        <f>Inputs!A8</f>
        <v>850</v>
      </c>
      <c r="C16">
        <f>Inputs!B8</f>
        <v>54.01</v>
      </c>
      <c r="D16">
        <f>Inputs!C8</f>
        <v>3.6</v>
      </c>
      <c r="E16" s="2">
        <f t="shared" si="1"/>
        <v>25</v>
      </c>
      <c r="F16">
        <f t="shared" si="2"/>
        <v>3.6</v>
      </c>
      <c r="G16">
        <f t="shared" si="3"/>
        <v>0.000124687321207885</v>
      </c>
    </row>
    <row r="17" ht="12.75" spans="1:7">
      <c r="A17">
        <f t="shared" si="0"/>
        <v>25.41</v>
      </c>
      <c r="B17">
        <f>Inputs!A9</f>
        <v>875</v>
      </c>
      <c r="C17">
        <f>Inputs!B9</f>
        <v>34.05</v>
      </c>
      <c r="D17">
        <f>Inputs!C9</f>
        <v>8.64</v>
      </c>
      <c r="E17" s="2">
        <f t="shared" si="1"/>
        <v>25</v>
      </c>
      <c r="F17">
        <f t="shared" si="2"/>
        <v>8.64</v>
      </c>
      <c r="G17">
        <f t="shared" si="3"/>
        <v>0.000282393880782985</v>
      </c>
    </row>
    <row r="18" ht="12.75" spans="1:7">
      <c r="A18">
        <f t="shared" si="0"/>
        <v>0.43</v>
      </c>
      <c r="B18">
        <f>Inputs!A10</f>
        <v>900</v>
      </c>
      <c r="C18" s="2">
        <v>18.41</v>
      </c>
      <c r="D18">
        <f>Inputs!C10</f>
        <v>17.98</v>
      </c>
      <c r="E18" s="2">
        <f t="shared" si="1"/>
        <v>25</v>
      </c>
      <c r="F18">
        <f t="shared" si="2"/>
        <v>17.98</v>
      </c>
      <c r="G18">
        <f t="shared" si="3"/>
        <v>0.000555472181247288</v>
      </c>
    </row>
    <row r="19" ht="12.75" spans="1:7">
      <c r="A19">
        <f t="shared" si="0"/>
        <v>24.56</v>
      </c>
      <c r="B19">
        <f>Inputs!A11</f>
        <v>925</v>
      </c>
      <c r="C19">
        <f>Inputs!B11</f>
        <v>8.07</v>
      </c>
      <c r="D19">
        <f>Inputs!C11</f>
        <v>32.63</v>
      </c>
      <c r="E19" s="2">
        <f t="shared" si="1"/>
        <v>25</v>
      </c>
      <c r="F19">
        <f t="shared" si="2"/>
        <v>8.07</v>
      </c>
      <c r="G19">
        <f t="shared" si="3"/>
        <v>0.000236019406818169</v>
      </c>
    </row>
    <row r="20" ht="12.75" spans="1:7">
      <c r="A20">
        <f t="shared" si="0"/>
        <v>49.55</v>
      </c>
      <c r="B20">
        <f>Inputs!A12</f>
        <v>950</v>
      </c>
      <c r="C20">
        <f>Inputs!B12</f>
        <v>2.68</v>
      </c>
      <c r="D20">
        <f>Inputs!C12</f>
        <v>52.23</v>
      </c>
      <c r="E20" s="2">
        <f t="shared" si="1"/>
        <v>25</v>
      </c>
      <c r="F20">
        <f t="shared" si="2"/>
        <v>2.68</v>
      </c>
      <c r="G20">
        <f t="shared" si="3"/>
        <v>7.43096522175525e-5</v>
      </c>
    </row>
    <row r="21" ht="12.75" spans="1:7">
      <c r="A21">
        <f t="shared" si="0"/>
        <v>74.54</v>
      </c>
      <c r="B21">
        <f>Inputs!A13</f>
        <v>975</v>
      </c>
      <c r="C21">
        <f>Inputs!B13</f>
        <v>0.62</v>
      </c>
      <c r="D21">
        <f>Inputs!C13</f>
        <v>75.16</v>
      </c>
      <c r="E21" s="2">
        <f t="shared" si="1"/>
        <v>25</v>
      </c>
      <c r="F21">
        <f t="shared" si="2"/>
        <v>0.62</v>
      </c>
      <c r="G21">
        <f t="shared" si="3"/>
        <v>1.63207496632543e-5</v>
      </c>
    </row>
    <row r="22" ht="12.75" spans="1:7">
      <c r="A22">
        <f t="shared" si="0"/>
        <v>99.52</v>
      </c>
      <c r="B22">
        <f>Inputs!A14</f>
        <v>1000</v>
      </c>
      <c r="C22">
        <f>Inputs!B14</f>
        <v>0.09</v>
      </c>
      <c r="D22">
        <f>Inputs!C14</f>
        <v>99.61</v>
      </c>
      <c r="E22" s="2">
        <f t="shared" si="1"/>
        <v>25</v>
      </c>
      <c r="F22">
        <f t="shared" si="2"/>
        <v>0.09</v>
      </c>
      <c r="G22">
        <f t="shared" si="3"/>
        <v>2.25216473931743e-6</v>
      </c>
    </row>
    <row r="23" ht="12.75" spans="1:7">
      <c r="A23">
        <f t="shared" si="0"/>
        <v>124.51</v>
      </c>
      <c r="B23">
        <f>Inputs!A15</f>
        <v>1025</v>
      </c>
      <c r="C23">
        <f>Inputs!B15</f>
        <v>0.01</v>
      </c>
      <c r="D23">
        <f>Inputs!C15</f>
        <v>124.52</v>
      </c>
      <c r="E23" s="2">
        <f t="shared" si="1"/>
        <v>25</v>
      </c>
      <c r="F23">
        <f t="shared" si="2"/>
        <v>0.01</v>
      </c>
      <c r="G23">
        <f t="shared" si="3"/>
        <v>2.3818253572e-7</v>
      </c>
    </row>
    <row r="25" ht="12.75" spans="1:1">
      <c r="A25" s="2" t="s">
        <v>23</v>
      </c>
    </row>
    <row r="26" ht="12.75" spans="1:7">
      <c r="A26" s="2" t="s">
        <v>18</v>
      </c>
      <c r="B26" s="2" t="s">
        <v>19</v>
      </c>
      <c r="C26" s="2" t="s">
        <v>4</v>
      </c>
      <c r="D26" s="2" t="s">
        <v>5</v>
      </c>
      <c r="E26" s="2" t="s">
        <v>20</v>
      </c>
      <c r="F26" s="2" t="s">
        <v>21</v>
      </c>
      <c r="G26" s="2" t="s">
        <v>22</v>
      </c>
    </row>
    <row r="27" ht="12.75" spans="1:7">
      <c r="A27">
        <f t="shared" ref="A27:A37" si="4">ABS(C27-D27)</f>
        <v>126.06</v>
      </c>
      <c r="B27">
        <f>Inputs!E5</f>
        <v>775</v>
      </c>
      <c r="C27">
        <f>Inputs!F5</f>
        <v>128.78</v>
      </c>
      <c r="D27">
        <f>Inputs!G5</f>
        <v>2.72</v>
      </c>
      <c r="E27" s="2">
        <f t="shared" ref="E27:E37" si="5">IF(B27=MIN($B$27:$B$37),B28-B27,IF(B27=MAX($B$27:$B$37),B27-B26,(B28-B26)/2))</f>
        <v>25</v>
      </c>
      <c r="F27">
        <f t="shared" ref="F27:F37" si="6">IF(B27=$B$47,(C27+D27)/2,IF(B27&gt;$E$47,C27,D27))</f>
        <v>2.72</v>
      </c>
      <c r="G27">
        <f t="shared" ref="G27:G37" si="7">E27/B27^2*EXP($B$9*$D$7)*F27</f>
        <v>0.000113527933498748</v>
      </c>
    </row>
    <row r="28" ht="12.75" spans="1:7">
      <c r="A28">
        <f t="shared" si="4"/>
        <v>101.09</v>
      </c>
      <c r="B28">
        <f>Inputs!E6</f>
        <v>800</v>
      </c>
      <c r="C28">
        <f>Inputs!F6</f>
        <v>105.85</v>
      </c>
      <c r="D28">
        <f>Inputs!G6</f>
        <v>4.76</v>
      </c>
      <c r="E28" s="2">
        <f t="shared" si="5"/>
        <v>25</v>
      </c>
      <c r="F28">
        <f t="shared" si="6"/>
        <v>4.76</v>
      </c>
      <c r="G28">
        <f t="shared" si="7"/>
        <v>0.000186450783360858</v>
      </c>
    </row>
    <row r="29" ht="12.75" spans="1:7">
      <c r="A29">
        <f t="shared" si="4"/>
        <v>76.13</v>
      </c>
      <c r="B29">
        <f>Inputs!E7</f>
        <v>825</v>
      </c>
      <c r="C29">
        <f>Inputs!F7</f>
        <v>84.14</v>
      </c>
      <c r="D29">
        <f>Inputs!G7</f>
        <v>8.01</v>
      </c>
      <c r="E29" s="2">
        <f t="shared" si="5"/>
        <v>25</v>
      </c>
      <c r="F29">
        <f t="shared" si="6"/>
        <v>8.01</v>
      </c>
      <c r="G29">
        <f t="shared" si="7"/>
        <v>0.000295027060774623</v>
      </c>
    </row>
    <row r="30" ht="12.75" spans="1:7">
      <c r="A30">
        <f t="shared" si="4"/>
        <v>51.16</v>
      </c>
      <c r="B30">
        <f>Inputs!E8</f>
        <v>850</v>
      </c>
      <c r="C30">
        <f>Inputs!F8</f>
        <v>64.13</v>
      </c>
      <c r="D30">
        <f>Inputs!G8</f>
        <v>12.97</v>
      </c>
      <c r="E30" s="2">
        <f t="shared" si="5"/>
        <v>25</v>
      </c>
      <c r="F30">
        <f t="shared" si="6"/>
        <v>12.97</v>
      </c>
      <c r="G30">
        <f t="shared" si="7"/>
        <v>0.000450027816150101</v>
      </c>
    </row>
    <row r="31" ht="12.75" spans="1:7">
      <c r="A31">
        <f t="shared" si="4"/>
        <v>26.2</v>
      </c>
      <c r="B31">
        <f>Inputs!E9</f>
        <v>875</v>
      </c>
      <c r="C31">
        <f>Inputs!F9</f>
        <v>46.38</v>
      </c>
      <c r="D31">
        <f>Inputs!G9</f>
        <v>20.18</v>
      </c>
      <c r="E31" s="2">
        <f t="shared" si="5"/>
        <v>25</v>
      </c>
      <c r="F31">
        <f t="shared" si="6"/>
        <v>20.18</v>
      </c>
      <c r="G31">
        <f t="shared" si="7"/>
        <v>0.000660757786249262</v>
      </c>
    </row>
    <row r="32" ht="12.75" spans="1:7">
      <c r="A32">
        <f t="shared" si="4"/>
        <v>1.23</v>
      </c>
      <c r="B32">
        <f>Inputs!E10</f>
        <v>900</v>
      </c>
      <c r="C32">
        <f>Inputs!F10</f>
        <v>31.4</v>
      </c>
      <c r="D32">
        <f>Inputs!G10</f>
        <v>30.17</v>
      </c>
      <c r="E32" s="2">
        <f t="shared" si="5"/>
        <v>25</v>
      </c>
      <c r="F32">
        <f t="shared" si="6"/>
        <v>30.17</v>
      </c>
      <c r="G32">
        <f t="shared" si="7"/>
        <v>0.000933743356613274</v>
      </c>
    </row>
    <row r="33" ht="12.75" spans="1:7">
      <c r="A33">
        <f t="shared" si="4"/>
        <v>23.74</v>
      </c>
      <c r="B33">
        <f>Inputs!E11</f>
        <v>925</v>
      </c>
      <c r="C33">
        <f>Inputs!F11</f>
        <v>19.57</v>
      </c>
      <c r="D33">
        <f>Inputs!G11</f>
        <v>43.31</v>
      </c>
      <c r="E33" s="2">
        <f t="shared" si="5"/>
        <v>25</v>
      </c>
      <c r="F33">
        <f t="shared" si="6"/>
        <v>19.57</v>
      </c>
      <c r="G33">
        <f t="shared" si="7"/>
        <v>0.000573382711158381</v>
      </c>
    </row>
    <row r="34" ht="12.75" spans="1:7">
      <c r="A34">
        <f t="shared" si="4"/>
        <v>48.7</v>
      </c>
      <c r="B34">
        <f>Inputs!E12</f>
        <v>950</v>
      </c>
      <c r="C34">
        <f>Inputs!F12</f>
        <v>11</v>
      </c>
      <c r="D34">
        <f>Inputs!G12</f>
        <v>59.7</v>
      </c>
      <c r="E34" s="2">
        <f t="shared" si="5"/>
        <v>25</v>
      </c>
      <c r="F34">
        <f t="shared" si="6"/>
        <v>11</v>
      </c>
      <c r="G34">
        <f t="shared" si="7"/>
        <v>0.000305550295598231</v>
      </c>
    </row>
    <row r="35" ht="12.75" spans="1:7">
      <c r="A35">
        <f t="shared" si="4"/>
        <v>73.67</v>
      </c>
      <c r="B35">
        <f>Inputs!E13</f>
        <v>975</v>
      </c>
      <c r="C35">
        <f>Inputs!F13</f>
        <v>5.43</v>
      </c>
      <c r="D35">
        <f>Inputs!G13</f>
        <v>79.1</v>
      </c>
      <c r="E35" s="2">
        <f t="shared" si="5"/>
        <v>25</v>
      </c>
      <c r="F35">
        <f t="shared" si="6"/>
        <v>5.43</v>
      </c>
      <c r="G35">
        <f t="shared" si="7"/>
        <v>0.000143194992753696</v>
      </c>
    </row>
    <row r="36" ht="12.75" spans="1:7">
      <c r="A36">
        <f t="shared" si="4"/>
        <v>98.63</v>
      </c>
      <c r="B36">
        <f>Inputs!E14</f>
        <v>1000</v>
      </c>
      <c r="C36">
        <f>Inputs!F14</f>
        <v>2.28</v>
      </c>
      <c r="D36">
        <f>Inputs!G14</f>
        <v>100.91</v>
      </c>
      <c r="E36" s="2">
        <f t="shared" si="5"/>
        <v>25</v>
      </c>
      <c r="F36">
        <f t="shared" si="6"/>
        <v>2.28</v>
      </c>
      <c r="G36">
        <f t="shared" si="7"/>
        <v>5.71573493865891e-5</v>
      </c>
    </row>
    <row r="37" ht="12.75" spans="1:7">
      <c r="A37">
        <f t="shared" si="4"/>
        <v>123.6</v>
      </c>
      <c r="B37">
        <f>Inputs!E15</f>
        <v>1025</v>
      </c>
      <c r="C37">
        <f>Inputs!F15</f>
        <v>0.78</v>
      </c>
      <c r="D37">
        <f>Inputs!G15</f>
        <v>124.38</v>
      </c>
      <c r="E37" s="2">
        <f t="shared" si="5"/>
        <v>25</v>
      </c>
      <c r="F37">
        <f t="shared" si="6"/>
        <v>0.78</v>
      </c>
      <c r="G37">
        <f t="shared" si="7"/>
        <v>1.86116169454437e-5</v>
      </c>
    </row>
    <row r="38" ht="12.75" spans="3:4">
      <c r="C38">
        <f>Inputs!F16</f>
        <v>0</v>
      </c>
      <c r="D38">
        <f>Inputs!G16</f>
        <v>0</v>
      </c>
    </row>
    <row r="39" ht="12.75" spans="1:4">
      <c r="A39" s="2" t="s">
        <v>24</v>
      </c>
      <c r="C39">
        <f>Inputs!F17</f>
        <v>0</v>
      </c>
      <c r="D39">
        <f>Inputs!G17</f>
        <v>0</v>
      </c>
    </row>
    <row r="40" ht="12.75" spans="3:4">
      <c r="C40">
        <f>Inputs!F18</f>
        <v>0</v>
      </c>
      <c r="D40">
        <f>Inputs!G18</f>
        <v>0</v>
      </c>
    </row>
    <row r="41" ht="12.75" spans="1:4">
      <c r="A41" s="2" t="s">
        <v>17</v>
      </c>
      <c r="C41">
        <f>Inputs!F19</f>
        <v>0</v>
      </c>
      <c r="D41">
        <f>Inputs!G19</f>
        <v>0</v>
      </c>
    </row>
    <row r="42" ht="12.75" spans="1:7">
      <c r="A42" s="2" t="s">
        <v>19</v>
      </c>
      <c r="B42" s="2" t="s">
        <v>4</v>
      </c>
      <c r="C42" s="2" t="s">
        <v>5</v>
      </c>
      <c r="D42" s="2" t="s">
        <v>25</v>
      </c>
      <c r="E42" s="2" t="s">
        <v>26</v>
      </c>
      <c r="F42" s="2" t="s">
        <v>27</v>
      </c>
      <c r="G42" s="2" t="s">
        <v>28</v>
      </c>
    </row>
    <row r="43" ht="14.25" spans="1:7">
      <c r="A43">
        <f>VLOOKUP(MIN(A13:A23),A13:D23,2,FALSE)</f>
        <v>900</v>
      </c>
      <c r="B43" s="4">
        <f>VLOOKUP(MIN(A13:A23),A13:D23,3,FALSE)</f>
        <v>18.41</v>
      </c>
      <c r="C43" s="4">
        <f>VLOOKUP(MIN(A13:A23),A13:D23,4,FALSE)</f>
        <v>17.98</v>
      </c>
      <c r="D43">
        <f>A43+EXP(B9*D5)*(B43-C43)</f>
        <v>900.430413705736</v>
      </c>
      <c r="E43">
        <f>IF(B43&gt;=C43,A43,LOOKUP((A43-0.01),B13:B23))</f>
        <v>900</v>
      </c>
      <c r="F43">
        <f>(2/D5)*SUM(G13:G23)-((D43/E43-1)^2)/D5</f>
        <v>0.0661861486998744</v>
      </c>
      <c r="G43" s="5">
        <f>D5*F43*((F7-30)/(F7-F5))</f>
        <v>0.00126284725992911</v>
      </c>
    </row>
    <row r="45" ht="12.75" spans="1:1">
      <c r="A45" s="2" t="s">
        <v>23</v>
      </c>
    </row>
    <row r="46" ht="12.75" spans="1:5">
      <c r="A46" s="2" t="s">
        <v>19</v>
      </c>
      <c r="B46" s="2" t="s">
        <v>4</v>
      </c>
      <c r="C46" s="2" t="s">
        <v>5</v>
      </c>
      <c r="D46" s="2" t="s">
        <v>25</v>
      </c>
      <c r="E46" s="2" t="s">
        <v>26</v>
      </c>
    </row>
    <row r="47" ht="14.25" spans="1:7">
      <c r="A47">
        <f>VLOOKUP(MIN(A27:A37),A27:D37,2,FALSE)</f>
        <v>900</v>
      </c>
      <c r="B47" s="4">
        <f>VLOOKUP(MIN(A27:A37),A27:D37,3,FALSE)</f>
        <v>31.4</v>
      </c>
      <c r="C47" s="4">
        <f>VLOOKUP(MIN(A27:A37),A27:D37,4,FALSE)</f>
        <v>30.17</v>
      </c>
      <c r="D47">
        <f>A47+EXP(B9*D7)*(B47-C47)</f>
        <v>901.233395434132</v>
      </c>
      <c r="E47">
        <f>IF(B47&gt;=C47,A47,LOOKUP((A47-0.01),B27:B37))</f>
        <v>900</v>
      </c>
      <c r="F47">
        <f>(2/D7)*SUM(G27:G37)-((D47/E47-1)^2)/D7</f>
        <v>0.0634334798798015</v>
      </c>
      <c r="G47" s="5">
        <f>D7*F47*((30-F5)/(F7-F5))</f>
        <v>0.00400338498262935</v>
      </c>
    </row>
    <row r="49" ht="12.75" spans="6:7">
      <c r="F49" s="6" t="s">
        <v>12</v>
      </c>
      <c r="G49" s="7">
        <f>SQRT((G43+G47)*365/30)*100</f>
        <v>25.3125447721997</v>
      </c>
    </row>
  </sheetData>
  <mergeCells count="1">
    <mergeCell ref="A1:G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Inputs</vt:lpstr>
      <vt:lpstr>VIX Calculation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Feynman</cp:lastModifiedBy>
  <dcterms:created xsi:type="dcterms:W3CDTF">2018-10-08T03:42:51Z</dcterms:created>
  <dcterms:modified xsi:type="dcterms:W3CDTF">2018-10-08T03:43:47Z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