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520" windowHeight="7755" tabRatio="711" activeTab="1"/>
  </bookViews>
  <sheets>
    <sheet name="Range" sheetId="1" r:id="rId1"/>
    <sheet name="Signal Chains" sheetId="9" r:id="rId2"/>
    <sheet name="diagram" sheetId="5" r:id="rId3"/>
    <sheet name="components" sheetId="7" r:id="rId4"/>
    <sheet name="Compnonent Power" sheetId="11" state="hidden" r:id="rId5"/>
    <sheet name="Converter" sheetId="10" r:id="rId6"/>
    <sheet name="Level Shift " sheetId="12" r:id="rId7"/>
    <sheet name="TX chain" sheetId="14" r:id="rId8"/>
    <sheet name="Rx chain" sheetId="15" r:id="rId9"/>
    <sheet name="IQ demod" sheetId="16" r:id="rId10"/>
  </sheets>
  <definedNames>
    <definedName name="_xlnm.Print_Area" localSheetId="2">diagram!$A$2:$M$24</definedName>
  </definedNames>
  <calcPr calcId="114210"/>
</workbook>
</file>

<file path=xl/calcChain.xml><?xml version="1.0" encoding="utf-8"?>
<calcChain xmlns="http://schemas.openxmlformats.org/spreadsheetml/2006/main">
  <c r="J13" i="9"/>
  <c r="C3"/>
  <c r="C6"/>
  <c r="D3"/>
  <c r="D6"/>
  <c r="E3"/>
  <c r="E6"/>
  <c r="F3"/>
  <c r="F6"/>
  <c r="G3"/>
  <c r="G6"/>
  <c r="H3"/>
  <c r="H6"/>
  <c r="I3"/>
  <c r="I6"/>
  <c r="J3"/>
  <c r="J6"/>
  <c r="L35"/>
  <c r="L19" i="15"/>
  <c r="K19"/>
  <c r="J19"/>
  <c r="I19"/>
  <c r="H19"/>
  <c r="G19"/>
  <c r="F19"/>
  <c r="E19"/>
  <c r="D19"/>
  <c r="C19"/>
  <c r="B19"/>
  <c r="B12" i="14"/>
  <c r="E12"/>
  <c r="F11"/>
  <c r="B4"/>
  <c r="C4"/>
  <c r="F3"/>
  <c r="C3"/>
  <c r="B11" i="16"/>
  <c r="C11"/>
  <c r="F10"/>
  <c r="C10"/>
  <c r="E3"/>
  <c r="F3"/>
  <c r="C3"/>
  <c r="F2"/>
  <c r="C2"/>
  <c r="B13" i="14"/>
  <c r="F12"/>
  <c r="E4"/>
  <c r="C12"/>
  <c r="B4" i="16"/>
  <c r="E11"/>
  <c r="F4" i="14"/>
  <c r="B5"/>
  <c r="E13"/>
  <c r="C13"/>
  <c r="F11" i="16"/>
  <c r="B12"/>
  <c r="C4"/>
  <c r="E4"/>
  <c r="B14" i="14"/>
  <c r="F13"/>
  <c r="C5"/>
  <c r="E5"/>
  <c r="F4" i="16"/>
  <c r="B5"/>
  <c r="C12"/>
  <c r="E12"/>
  <c r="E14" i="14"/>
  <c r="C14"/>
  <c r="F5"/>
  <c r="B6"/>
  <c r="F12" i="16"/>
  <c r="B13"/>
  <c r="C5"/>
  <c r="E5"/>
  <c r="B15" i="14"/>
  <c r="F14"/>
  <c r="C6"/>
  <c r="E6"/>
  <c r="F5" i="16"/>
  <c r="B6"/>
  <c r="C13"/>
  <c r="E13"/>
  <c r="E15" i="14"/>
  <c r="C15"/>
  <c r="F6"/>
  <c r="B7"/>
  <c r="F13" i="16"/>
  <c r="B14"/>
  <c r="C14"/>
  <c r="C6"/>
  <c r="E6"/>
  <c r="C7" i="14"/>
  <c r="E7"/>
  <c r="B16"/>
  <c r="F15"/>
  <c r="F6" i="16"/>
  <c r="B7"/>
  <c r="F7" i="14"/>
  <c r="B8"/>
  <c r="E16"/>
  <c r="C16"/>
  <c r="C7" i="16"/>
  <c r="E7"/>
  <c r="B17" i="14"/>
  <c r="F16"/>
  <c r="C8"/>
  <c r="E8"/>
  <c r="F7" i="16"/>
  <c r="B8"/>
  <c r="F8" i="14"/>
  <c r="B9"/>
  <c r="E17"/>
  <c r="C17"/>
  <c r="C8" i="16"/>
  <c r="E8"/>
  <c r="B18" i="14"/>
  <c r="F17"/>
  <c r="C9"/>
  <c r="E9"/>
  <c r="F8" i="16"/>
  <c r="B9"/>
  <c r="E18" i="14"/>
  <c r="C18"/>
  <c r="F9"/>
  <c r="B10"/>
  <c r="C9" i="16"/>
  <c r="E9"/>
  <c r="F9"/>
  <c r="C10" i="14"/>
  <c r="E10"/>
  <c r="B19"/>
  <c r="F18"/>
  <c r="F10"/>
  <c r="B11"/>
  <c r="C11"/>
  <c r="E19"/>
  <c r="C19"/>
  <c r="B20"/>
  <c r="F19"/>
  <c r="E20"/>
  <c r="F20"/>
  <c r="C20"/>
  <c r="A3"/>
  <c r="K20" i="9"/>
  <c r="K24"/>
  <c r="K25"/>
  <c r="A20" i="14"/>
  <c r="A19"/>
  <c r="A18"/>
  <c r="A17"/>
  <c r="A16"/>
  <c r="A15"/>
  <c r="A14"/>
  <c r="A13"/>
  <c r="A10"/>
  <c r="A9"/>
  <c r="A8"/>
  <c r="A7"/>
  <c r="A6"/>
  <c r="A5"/>
  <c r="A4"/>
  <c r="K27" i="9"/>
  <c r="J27"/>
  <c r="J25"/>
  <c r="J20"/>
  <c r="M19"/>
  <c r="M18"/>
  <c r="G20"/>
  <c r="L20"/>
  <c r="I24"/>
  <c r="I27"/>
  <c r="H24"/>
  <c r="H27"/>
  <c r="C24"/>
  <c r="D24"/>
  <c r="D27"/>
  <c r="E24"/>
  <c r="E27"/>
  <c r="F24"/>
  <c r="F27"/>
  <c r="B24"/>
  <c r="B27"/>
  <c r="E20"/>
  <c r="F20"/>
  <c r="H20"/>
  <c r="I20"/>
  <c r="D20"/>
  <c r="C20"/>
  <c r="B20"/>
  <c r="G27"/>
  <c r="L27"/>
  <c r="C27"/>
  <c r="E34"/>
  <c r="M20"/>
  <c r="I25"/>
  <c r="E25"/>
  <c r="F25"/>
  <c r="G25"/>
  <c r="H25"/>
  <c r="L25"/>
  <c r="D25"/>
  <c r="C25"/>
  <c r="B25"/>
  <c r="B26"/>
  <c r="B28"/>
  <c r="C26"/>
  <c r="H12" i="1"/>
  <c r="H13"/>
  <c r="D54"/>
  <c r="D26" i="9"/>
  <c r="C28"/>
  <c r="B13"/>
  <c r="C10"/>
  <c r="E4" i="10"/>
  <c r="F4"/>
  <c r="D3"/>
  <c r="E26" i="9"/>
  <c r="D28"/>
  <c r="C13"/>
  <c r="D10"/>
  <c r="E28"/>
  <c r="F26"/>
  <c r="G26"/>
  <c r="H26"/>
  <c r="I26"/>
  <c r="K26"/>
  <c r="K28"/>
  <c r="D13"/>
  <c r="E10"/>
  <c r="E13"/>
  <c r="F10"/>
  <c r="F13"/>
  <c r="G10"/>
  <c r="G13"/>
  <c r="G35" i="1"/>
  <c r="D28"/>
  <c r="D30"/>
  <c r="D19"/>
  <c r="D52"/>
  <c r="D56"/>
  <c r="D13"/>
  <c r="D42"/>
  <c r="D43"/>
  <c r="D47"/>
  <c r="D6"/>
  <c r="D14"/>
  <c r="D15"/>
  <c r="E56"/>
  <c r="D20"/>
  <c r="L26" i="9"/>
  <c r="J26"/>
  <c r="F28"/>
  <c r="H10"/>
  <c r="D49" i="1"/>
  <c r="D57"/>
  <c r="D9"/>
  <c r="D10"/>
  <c r="D59"/>
  <c r="D60"/>
  <c r="L36" i="9"/>
  <c r="D35" i="1"/>
  <c r="D36"/>
  <c r="D37"/>
  <c r="D38"/>
  <c r="G31"/>
  <c r="G32"/>
  <c r="J28" i="9"/>
  <c r="G28"/>
  <c r="H13"/>
  <c r="I10"/>
  <c r="I13"/>
  <c r="J10"/>
  <c r="H28"/>
  <c r="K10"/>
  <c r="I28"/>
  <c r="K13"/>
  <c r="L10"/>
  <c r="L13"/>
  <c r="M10"/>
  <c r="M13"/>
  <c r="N10"/>
  <c r="N13"/>
  <c r="L28"/>
  <c r="C35"/>
  <c r="C33"/>
  <c r="C34"/>
  <c r="K3"/>
  <c r="K6"/>
  <c r="L3"/>
  <c r="L6"/>
  <c r="M3"/>
  <c r="M6"/>
  <c r="N3"/>
  <c r="N6"/>
  <c r="O3"/>
  <c r="O6"/>
  <c r="P3"/>
  <c r="P6"/>
  <c r="Q3"/>
  <c r="Q6"/>
  <c r="R3"/>
  <c r="R6"/>
  <c r="S3"/>
  <c r="S6"/>
  <c r="D3" i="1"/>
  <c r="E23"/>
  <c r="H7"/>
  <c r="E24"/>
  <c r="B17" i="9"/>
  <c r="B21"/>
  <c r="H3" i="1"/>
  <c r="H4"/>
  <c r="H5"/>
  <c r="D23"/>
  <c r="D25"/>
  <c r="D26"/>
  <c r="D32"/>
  <c r="D33"/>
  <c r="C17" i="9"/>
  <c r="B22"/>
  <c r="B23"/>
  <c r="D24" i="1"/>
  <c r="D39"/>
  <c r="C21" i="9"/>
  <c r="C22"/>
  <c r="D17"/>
  <c r="D21"/>
  <c r="D23"/>
  <c r="C23"/>
  <c r="D22"/>
  <c r="E17"/>
  <c r="E21"/>
  <c r="F17"/>
  <c r="F21"/>
  <c r="F23"/>
  <c r="G17"/>
  <c r="G21"/>
  <c r="H17"/>
  <c r="H21"/>
  <c r="F22"/>
  <c r="E23"/>
  <c r="E22"/>
  <c r="G22"/>
  <c r="G23"/>
  <c r="H22"/>
  <c r="H23"/>
  <c r="I17"/>
  <c r="I21"/>
  <c r="J17"/>
  <c r="J21"/>
  <c r="K17"/>
  <c r="K21"/>
  <c r="K22"/>
  <c r="K23"/>
  <c r="L17"/>
  <c r="J22"/>
  <c r="J23"/>
  <c r="I22"/>
  <c r="I23"/>
  <c r="L21"/>
  <c r="L37"/>
  <c r="L40"/>
  <c r="L23"/>
  <c r="L22"/>
  <c r="M22"/>
  <c r="M23"/>
  <c r="M24"/>
  <c r="L33"/>
  <c r="L34"/>
</calcChain>
</file>

<file path=xl/comments1.xml><?xml version="1.0" encoding="utf-8"?>
<comments xmlns="http://schemas.openxmlformats.org/spreadsheetml/2006/main">
  <authors>
    <author>Joshua</author>
  </authors>
  <commentList>
    <comment ref="G41" authorId="0">
      <text>
        <r>
          <rPr>
            <sz val="9"/>
            <color indexed="81"/>
            <rFont val="Tahoma"/>
            <family val="2"/>
          </rPr>
          <t xml:space="preserve">Gt and Pt are from the transmit antenna data on the TX sheet </t>
        </r>
      </text>
    </comment>
  </commentList>
</comments>
</file>

<file path=xl/comments2.xml><?xml version="1.0" encoding="utf-8"?>
<comments xmlns="http://schemas.openxmlformats.org/spreadsheetml/2006/main">
  <authors>
    <author>Joshua</author>
    <author>studentpro</author>
    <author>J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Joshua:</t>
        </r>
        <r>
          <rPr>
            <sz val="9"/>
            <color indexed="81"/>
            <rFont val="Tahoma"/>
            <family val="2"/>
          </rPr>
          <t xml:space="preserve">
range of attenuation: 6-10dBM (order multiple attenuators)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Joshua:</t>
        </r>
        <r>
          <rPr>
            <sz val="9"/>
            <color indexed="81"/>
            <rFont val="Tahoma"/>
            <family val="2"/>
          </rPr>
          <t xml:space="preserve">
fixed output of +14dBM
once input is +6dBM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Joshua:</t>
        </r>
        <r>
          <rPr>
            <sz val="9"/>
            <color indexed="81"/>
            <rFont val="Tahoma"/>
            <family val="2"/>
          </rPr>
          <t xml:space="preserve">
range of attenuation: 6-10dBM (order multiple attenuators)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Joshua:</t>
        </r>
        <r>
          <rPr>
            <sz val="9"/>
            <color indexed="81"/>
            <rFont val="Tahoma"/>
            <family val="2"/>
          </rPr>
          <t xml:space="preserve">
range of attenuation: 6-10dBM (order multiple attenuators)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Joshua:</t>
        </r>
        <r>
          <rPr>
            <sz val="9"/>
            <color indexed="81"/>
            <rFont val="Tahoma"/>
            <family val="2"/>
          </rPr>
          <t xml:space="preserve">
fixed output of +14dBM
once input is +6dBM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Joshua:
comes from S in SNR equation</t>
        </r>
      </text>
    </comment>
    <comment ref="M20" authorId="2">
      <text>
        <r>
          <rPr>
            <b/>
            <sz val="9"/>
            <color indexed="81"/>
            <rFont val="Tahoma"/>
            <charset val="1"/>
          </rPr>
          <t>J:</t>
        </r>
        <r>
          <rPr>
            <sz val="9"/>
            <color indexed="81"/>
            <rFont val="Tahoma"/>
            <charset val="1"/>
          </rPr>
          <t xml:space="preserve">
overall gain of rx chain</t>
        </r>
      </text>
    </comment>
    <comment ref="M23" authorId="2">
      <text>
        <r>
          <rPr>
            <b/>
            <sz val="9"/>
            <color indexed="81"/>
            <rFont val="Tahoma"/>
            <charset val="1"/>
          </rPr>
          <t>J:</t>
        </r>
        <r>
          <rPr>
            <sz val="9"/>
            <color indexed="81"/>
            <rFont val="Tahoma"/>
            <charset val="1"/>
          </rPr>
          <t xml:space="preserve">
Vrms = Vdc
50 = impedance </t>
        </r>
      </text>
    </comment>
  </commentList>
</comments>
</file>

<file path=xl/sharedStrings.xml><?xml version="1.0" encoding="utf-8"?>
<sst xmlns="http://schemas.openxmlformats.org/spreadsheetml/2006/main" count="426" uniqueCount="204">
  <si>
    <t>watts</t>
  </si>
  <si>
    <t>Gt</t>
  </si>
  <si>
    <t>dB</t>
  </si>
  <si>
    <t>Gr</t>
  </si>
  <si>
    <t>freq</t>
  </si>
  <si>
    <t>lambda</t>
  </si>
  <si>
    <t>Ghz</t>
  </si>
  <si>
    <t>in</t>
  </si>
  <si>
    <t>cm</t>
  </si>
  <si>
    <t>m</t>
  </si>
  <si>
    <t>Rx Signal</t>
  </si>
  <si>
    <t>dBM</t>
  </si>
  <si>
    <t>dBsm</t>
  </si>
  <si>
    <t>Duty</t>
  </si>
  <si>
    <t>%</t>
  </si>
  <si>
    <t>avg EIRP</t>
  </si>
  <si>
    <t>nS</t>
  </si>
  <si>
    <t>MHz</t>
  </si>
  <si>
    <t>over 1 MHz</t>
  </si>
  <si>
    <t>NF</t>
  </si>
  <si>
    <t>Noise</t>
  </si>
  <si>
    <t>Pt peak</t>
  </si>
  <si>
    <t>peak eirp</t>
  </si>
  <si>
    <t>over 50 MHz</t>
  </si>
  <si>
    <t>fcc requires 0 dBM peak max EIRP over 50 MHz</t>
  </si>
  <si>
    <t>fcc requires -41.3 dBM max avg EIRP over 1 MHz</t>
  </si>
  <si>
    <t xml:space="preserve"> </t>
  </si>
  <si>
    <t>circ wg diamater</t>
  </si>
  <si>
    <t>TE11 cutoff</t>
  </si>
  <si>
    <t>circ wg radius</t>
  </si>
  <si>
    <t>GHz</t>
  </si>
  <si>
    <t>4piA/lambda^2  D</t>
  </si>
  <si>
    <t>Horn dia</t>
  </si>
  <si>
    <t>Horn area</t>
  </si>
  <si>
    <t>in^2</t>
  </si>
  <si>
    <t>Gain assume 50 % eff</t>
  </si>
  <si>
    <t>TM01 cutoff</t>
  </si>
  <si>
    <t>trihedral sigma</t>
  </si>
  <si>
    <t>trihedral side dim</t>
  </si>
  <si>
    <t>Range</t>
  </si>
  <si>
    <t>SNR (dB)</t>
  </si>
  <si>
    <t>AtoD</t>
  </si>
  <si>
    <t>bits</t>
  </si>
  <si>
    <t>states</t>
  </si>
  <si>
    <t>v</t>
  </si>
  <si>
    <t>FPGA voltage range</t>
  </si>
  <si>
    <t>Vp-p</t>
  </si>
  <si>
    <t>VRMS_50ohms</t>
  </si>
  <si>
    <t>Total Receive gain</t>
  </si>
  <si>
    <t>NOise</t>
  </si>
  <si>
    <t>Watts</t>
  </si>
  <si>
    <t>#quanta</t>
  </si>
  <si>
    <t>Noise at AtoD input</t>
  </si>
  <si>
    <t>signal Vp-p at AtoD input</t>
  </si>
  <si>
    <t>noise V rms  at AtoD input</t>
  </si>
  <si>
    <t>IF BW limit, AtoD input filter</t>
  </si>
  <si>
    <t>signal pulse width</t>
  </si>
  <si>
    <t>signal BW</t>
  </si>
  <si>
    <t>signal # quanta in AtoD</t>
  </si>
  <si>
    <t>1-quanta resolution</t>
  </si>
  <si>
    <t>Radar Cross Section (flat panal objects)</t>
  </si>
  <si>
    <t>m^2</t>
  </si>
  <si>
    <t>base</t>
  </si>
  <si>
    <t>height</t>
  </si>
  <si>
    <t>VCO</t>
  </si>
  <si>
    <t>BPF</t>
  </si>
  <si>
    <t>Power Amplifier</t>
  </si>
  <si>
    <t>SP4T</t>
  </si>
  <si>
    <t>QTY</t>
  </si>
  <si>
    <t>SP16T Switch</t>
  </si>
  <si>
    <t>NF (dB)</t>
  </si>
  <si>
    <t>boltzman (J/K)</t>
  </si>
  <si>
    <t>Low Noise Amplifier</t>
  </si>
  <si>
    <t>ADC</t>
  </si>
  <si>
    <t>Noise Temp (K)</t>
  </si>
  <si>
    <t>Signal Level (dB)</t>
  </si>
  <si>
    <t>Noise Power (dB)</t>
  </si>
  <si>
    <t>Effective Area</t>
  </si>
  <si>
    <t>Part Name</t>
  </si>
  <si>
    <t>Part Number</t>
  </si>
  <si>
    <t xml:space="preserve">Distributor </t>
  </si>
  <si>
    <t>Hittite</t>
  </si>
  <si>
    <t>Fairview Microwave</t>
  </si>
  <si>
    <t>Antenna Horns</t>
  </si>
  <si>
    <t>MA86551</t>
  </si>
  <si>
    <t>Advanced Receiver</t>
  </si>
  <si>
    <t>SLNA-120-38-22-SMA</t>
  </si>
  <si>
    <t>Frequency Multiplier</t>
  </si>
  <si>
    <t>SPDT Switch</t>
  </si>
  <si>
    <t>HMC-C058</t>
  </si>
  <si>
    <t>SP4T Switch</t>
  </si>
  <si>
    <t>UMC SW-L010-16S</t>
  </si>
  <si>
    <t>Universal Microwave Cmpts</t>
  </si>
  <si>
    <t>Variable Attenuator</t>
  </si>
  <si>
    <t>IQ Demodulator</t>
  </si>
  <si>
    <t>AD60100B</t>
  </si>
  <si>
    <t>Polyphase Microwave</t>
  </si>
  <si>
    <t>X2</t>
  </si>
  <si>
    <t>SP16T</t>
  </si>
  <si>
    <t>LNA</t>
  </si>
  <si>
    <t>Digilent</t>
  </si>
  <si>
    <t>x</t>
  </si>
  <si>
    <t xml:space="preserve">410-064P-KIT </t>
  </si>
  <si>
    <t>hmc-c056</t>
  </si>
  <si>
    <t>dBm</t>
  </si>
  <si>
    <t>Marki Microwave</t>
  </si>
  <si>
    <t>FB-1050</t>
  </si>
  <si>
    <t>Isolator</t>
  </si>
  <si>
    <t>cable</t>
  </si>
  <si>
    <t>SPDT</t>
  </si>
  <si>
    <t>Pin (dBM)</t>
  </si>
  <si>
    <t>Gain (dB)</t>
  </si>
  <si>
    <t>Pout (dBM)</t>
  </si>
  <si>
    <t>given</t>
  </si>
  <si>
    <t>mW</t>
  </si>
  <si>
    <t>W</t>
  </si>
  <si>
    <t>dBW</t>
  </si>
  <si>
    <t>desired</t>
  </si>
  <si>
    <t>link</t>
  </si>
  <si>
    <t>band pass filter</t>
  </si>
  <si>
    <t>LO(IQ)</t>
  </si>
  <si>
    <t xml:space="preserve">P compression =27dBM  </t>
  </si>
  <si>
    <t xml:space="preserve">P compression =24dBM  </t>
  </si>
  <si>
    <t>SA4077</t>
  </si>
  <si>
    <t>Var_Atten: SA4077</t>
  </si>
  <si>
    <t>Needs 6 dBM min drive power per data sheet</t>
  </si>
  <si>
    <t>P compression =  37dBM</t>
  </si>
  <si>
    <t>Pt in SNR equation</t>
  </si>
  <si>
    <t>HMC820LP6CE</t>
  </si>
  <si>
    <t>Pin  should be 5dBM</t>
  </si>
  <si>
    <t>same as TX path</t>
  </si>
  <si>
    <t>same as LO path</t>
  </si>
  <si>
    <t>TX path only</t>
  </si>
  <si>
    <t>LO path only</t>
  </si>
  <si>
    <t>RX path only</t>
  </si>
  <si>
    <t>Minicircuits</t>
  </si>
  <si>
    <t xml:space="preserve"> ZVA-183X-S+</t>
  </si>
  <si>
    <t>Fix_Atten</t>
  </si>
  <si>
    <t>Fixed Attenuator</t>
  </si>
  <si>
    <t>SA18H-07</t>
  </si>
  <si>
    <t>SA18H-08</t>
  </si>
  <si>
    <t>SA18H-09</t>
  </si>
  <si>
    <t>SA18H-10</t>
  </si>
  <si>
    <t>Wideband Amplifier</t>
  </si>
  <si>
    <t>Wideband Amp</t>
  </si>
  <si>
    <t>RF (IQ Demodulator)</t>
  </si>
  <si>
    <t xml:space="preserve">P compression =30dBM  </t>
  </si>
  <si>
    <t>SPA-110-30-01-SMA</t>
  </si>
  <si>
    <t>Power Amp:SPA-110-30-01-SMA</t>
  </si>
  <si>
    <t>RF Lambda</t>
  </si>
  <si>
    <t xml:space="preserve">RFLI-501-1 </t>
  </si>
  <si>
    <t>Loss (dB)</t>
  </si>
  <si>
    <t>Pr in SNR equation</t>
  </si>
  <si>
    <t>db</t>
  </si>
  <si>
    <t>cable (from RX antenna)</t>
  </si>
  <si>
    <t>Pout (W)</t>
  </si>
  <si>
    <t>Hz</t>
  </si>
  <si>
    <t>Pin&lt; +12dBM</t>
  </si>
  <si>
    <t>Pout (mW)</t>
  </si>
  <si>
    <t>RFSP4TA0812G</t>
  </si>
  <si>
    <t>Notes</t>
  </si>
  <si>
    <t xml:space="preserve">Specify the 5 Watt power capability </t>
  </si>
  <si>
    <t>System Nosie Figure (dB)</t>
  </si>
  <si>
    <r>
      <t>System Nosie Temp (</t>
    </r>
    <r>
      <rPr>
        <sz val="10"/>
        <rFont val="Times New Roman"/>
        <family val="1"/>
      </rPr>
      <t>°</t>
    </r>
    <r>
      <rPr>
        <sz val="7"/>
        <rFont val="Arial"/>
        <family val="2"/>
      </rPr>
      <t>K</t>
    </r>
    <r>
      <rPr>
        <sz val="10"/>
        <rFont val="Arial"/>
        <family val="2"/>
      </rPr>
      <t>)</t>
    </r>
  </si>
  <si>
    <t>price (USD)</t>
  </si>
  <si>
    <t>Josh Calculations</t>
  </si>
  <si>
    <t>Vsupply (V)</t>
  </si>
  <si>
    <t>Isupply (mA)</t>
  </si>
  <si>
    <t xml:space="preserve">NF </t>
  </si>
  <si>
    <t>NF (cascade)</t>
  </si>
  <si>
    <t>Gain/Loss (magntude)</t>
  </si>
  <si>
    <t xml:space="preserve">System Nosie Figure </t>
  </si>
  <si>
    <t>Noise Temp cascade (K)</t>
  </si>
  <si>
    <t>level shift</t>
  </si>
  <si>
    <t xml:space="preserve"> ZVA-183-S+</t>
  </si>
  <si>
    <t xml:space="preserve">Components </t>
  </si>
  <si>
    <t>Input Power (dBm)</t>
  </si>
  <si>
    <t>P1db Compression (dBm)</t>
  </si>
  <si>
    <t>Frequ mul</t>
  </si>
  <si>
    <t>Output Power (dBm)</t>
  </si>
  <si>
    <t>Cable</t>
  </si>
  <si>
    <t>X2 Frequency Multiplier</t>
  </si>
  <si>
    <t>Fixed  Attenuator</t>
  </si>
  <si>
    <t xml:space="preserve">LO IQ Demodulator </t>
  </si>
  <si>
    <t>Gain(magntude)</t>
  </si>
  <si>
    <t>Input Power (mW)</t>
  </si>
  <si>
    <t>Output  Power (dBm)</t>
  </si>
  <si>
    <t>Output Power (mW)</t>
  </si>
  <si>
    <t>Pin (mW)</t>
  </si>
  <si>
    <t>-</t>
  </si>
  <si>
    <t>SA18H-05</t>
  </si>
  <si>
    <t>SA18H-01</t>
  </si>
  <si>
    <t>SA18H-03</t>
  </si>
  <si>
    <t>cables</t>
  </si>
  <si>
    <t>noise power dBM/1Hz</t>
  </si>
  <si>
    <t>noise power dBM/.5MHz</t>
  </si>
  <si>
    <t>signal</t>
  </si>
  <si>
    <t>SNR</t>
  </si>
  <si>
    <t>Baseband Filter loss dB</t>
  </si>
  <si>
    <t>v peak RMS</t>
  </si>
  <si>
    <t>v p-p</t>
  </si>
  <si>
    <t>3dB pad</t>
  </si>
  <si>
    <t>3 dB pad</t>
  </si>
  <si>
    <t>use test pad into spec ana when measuring</t>
  </si>
</sst>
</file>

<file path=xl/styles.xml><?xml version="1.0" encoding="utf-8"?>
<styleSheet xmlns="http://schemas.openxmlformats.org/spreadsheetml/2006/main">
  <numFmts count="4">
    <numFmt numFmtId="164" formatCode="0.00000"/>
    <numFmt numFmtId="165" formatCode="0.0000"/>
    <numFmt numFmtId="166" formatCode="0.000"/>
    <numFmt numFmtId="167" formatCode="0.0"/>
  </numFmts>
  <fonts count="1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name val="Arial"/>
      <family val="2"/>
    </font>
    <font>
      <sz val="8"/>
      <name val="Arial"/>
    </font>
    <font>
      <sz val="20"/>
      <name val="Arial"/>
      <family val="2"/>
    </font>
    <font>
      <u/>
      <sz val="9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wrapText="1"/>
    </xf>
    <xf numFmtId="0" fontId="0" fillId="7" borderId="0" xfId="0" applyFill="1"/>
    <xf numFmtId="0" fontId="15" fillId="0" borderId="0" xfId="1" applyAlignment="1" applyProtection="1"/>
    <xf numFmtId="0" fontId="0" fillId="8" borderId="0" xfId="0" applyFill="1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9" borderId="0" xfId="0" applyFont="1" applyFill="1" applyAlignment="1">
      <alignment wrapText="1"/>
    </xf>
    <xf numFmtId="0" fontId="0" fillId="9" borderId="0" xfId="0" applyFill="1"/>
    <xf numFmtId="0" fontId="2" fillId="0" borderId="1" xfId="0" applyFont="1" applyBorder="1" applyAlignment="1">
      <alignment wrapText="1"/>
    </xf>
    <xf numFmtId="0" fontId="2" fillId="10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2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2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6" fillId="0" borderId="0" xfId="0" applyFont="1" applyFill="1" applyAlignment="1"/>
    <xf numFmtId="0" fontId="0" fillId="1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vertical="center"/>
    </xf>
    <xf numFmtId="0" fontId="2" fillId="14" borderId="0" xfId="0" applyFont="1" applyFill="1"/>
    <xf numFmtId="0" fontId="0" fillId="14" borderId="0" xfId="0" applyFill="1" applyAlignment="1">
      <alignment wrapText="1"/>
    </xf>
    <xf numFmtId="0" fontId="2" fillId="2" borderId="0" xfId="0" applyFont="1" applyFill="1"/>
    <xf numFmtId="0" fontId="0" fillId="7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2" fillId="0" borderId="1" xfId="0" applyFont="1" applyFill="1" applyBorder="1" applyAlignment="1">
      <alignment wrapText="1"/>
    </xf>
    <xf numFmtId="0" fontId="15" fillId="0" borderId="1" xfId="1" applyBorder="1" applyAlignment="1" applyProtection="1">
      <alignment wrapText="1"/>
    </xf>
    <xf numFmtId="0" fontId="4" fillId="0" borderId="1" xfId="1" applyFont="1" applyBorder="1" applyAlignment="1" applyProtection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166" fontId="2" fillId="0" borderId="0" xfId="0" applyNumberFormat="1" applyFont="1" applyFill="1"/>
    <xf numFmtId="166" fontId="2" fillId="0" borderId="0" xfId="0" applyNumberFormat="1" applyFont="1"/>
    <xf numFmtId="166" fontId="2" fillId="4" borderId="0" xfId="0" applyNumberFormat="1" applyFont="1" applyFill="1"/>
    <xf numFmtId="166" fontId="2" fillId="5" borderId="0" xfId="0" applyNumberFormat="1" applyFont="1" applyFill="1"/>
    <xf numFmtId="166" fontId="2" fillId="7" borderId="0" xfId="0" applyNumberFormat="1" applyFont="1" applyFill="1"/>
    <xf numFmtId="166" fontId="0" fillId="0" borderId="0" xfId="0" applyNumberFormat="1" applyFill="1"/>
    <xf numFmtId="0" fontId="6" fillId="0" borderId="0" xfId="0" quotePrefix="1" applyFont="1" applyFill="1" applyAlignment="1"/>
    <xf numFmtId="2" fontId="0" fillId="7" borderId="0" xfId="0" applyNumberFormat="1" applyFill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1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2" fillId="6" borderId="0" xfId="0" applyFont="1" applyFill="1"/>
    <xf numFmtId="166" fontId="14" fillId="0" borderId="0" xfId="0" applyNumberFormat="1" applyFont="1"/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13" borderId="0" xfId="0" applyFont="1" applyFill="1" applyAlignment="1">
      <alignment horizontal="center"/>
    </xf>
    <xf numFmtId="0" fontId="6" fillId="12" borderId="0" xfId="0" quotePrefix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34</xdr:row>
      <xdr:rowOff>133350</xdr:rowOff>
    </xdr:from>
    <xdr:to>
      <xdr:col>14</xdr:col>
      <xdr:colOff>314325</xdr:colOff>
      <xdr:row>38</xdr:row>
      <xdr:rowOff>104775</xdr:rowOff>
    </xdr:to>
    <xdr:grpSp>
      <xdr:nvGrpSpPr>
        <xdr:cNvPr id="2053" name="Group 3"/>
        <xdr:cNvGrpSpPr>
          <a:grpSpLocks/>
        </xdr:cNvGrpSpPr>
      </xdr:nvGrpSpPr>
      <xdr:grpSpPr bwMode="auto">
        <a:xfrm>
          <a:off x="7019925" y="6324600"/>
          <a:ext cx="4543425" cy="685800"/>
          <a:chOff x="7309303" y="6142136"/>
          <a:chExt cx="4534808" cy="621808"/>
        </a:xfrm>
      </xdr:grpSpPr>
      <xdr:pic>
        <xdr:nvPicPr>
          <xdr:cNvPr id="2056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l="1038" b="7214"/>
          <a:stretch>
            <a:fillRect/>
          </a:stretch>
        </xdr:blipFill>
        <xdr:spPr bwMode="auto">
          <a:xfrm>
            <a:off x="7312932" y="6142136"/>
            <a:ext cx="4531179" cy="61789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pic>
        <xdr:nvPicPr>
          <xdr:cNvPr id="2057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 flipV="1">
            <a:off x="7309303" y="6694712"/>
            <a:ext cx="1177925" cy="69232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7</xdr:col>
      <xdr:colOff>819150</xdr:colOff>
      <xdr:row>39</xdr:row>
      <xdr:rowOff>38100</xdr:rowOff>
    </xdr:from>
    <xdr:to>
      <xdr:col>12</xdr:col>
      <xdr:colOff>19050</xdr:colOff>
      <xdr:row>40</xdr:row>
      <xdr:rowOff>142875</xdr:rowOff>
    </xdr:to>
    <xdr:pic>
      <xdr:nvPicPr>
        <xdr:cNvPr id="205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24750" y="7105650"/>
          <a:ext cx="2524125" cy="266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219075</xdr:colOff>
      <xdr:row>20</xdr:row>
      <xdr:rowOff>47625</xdr:rowOff>
    </xdr:from>
    <xdr:to>
      <xdr:col>7</xdr:col>
      <xdr:colOff>219075</xdr:colOff>
      <xdr:row>23</xdr:row>
      <xdr:rowOff>171450</xdr:rowOff>
    </xdr:to>
    <xdr:pic>
      <xdr:nvPicPr>
        <xdr:cNvPr id="205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153025" y="3486150"/>
          <a:ext cx="1771650" cy="609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26</xdr:row>
      <xdr:rowOff>142875</xdr:rowOff>
    </xdr:from>
    <xdr:to>
      <xdr:col>22</xdr:col>
      <xdr:colOff>123825</xdr:colOff>
      <xdr:row>28</xdr:row>
      <xdr:rowOff>285750</xdr:rowOff>
    </xdr:to>
    <xdr:pic>
      <xdr:nvPicPr>
        <xdr:cNvPr id="308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39725" y="6753225"/>
          <a:ext cx="4295775" cy="800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447675</xdr:colOff>
      <xdr:row>20</xdr:row>
      <xdr:rowOff>57150</xdr:rowOff>
    </xdr:from>
    <xdr:to>
      <xdr:col>22</xdr:col>
      <xdr:colOff>371475</xdr:colOff>
      <xdr:row>26</xdr:row>
      <xdr:rowOff>47625</xdr:rowOff>
    </xdr:to>
    <xdr:pic>
      <xdr:nvPicPr>
        <xdr:cNvPr id="308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077825" y="5695950"/>
          <a:ext cx="4505325" cy="962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390525</xdr:colOff>
      <xdr:row>33</xdr:row>
      <xdr:rowOff>123825</xdr:rowOff>
    </xdr:from>
    <xdr:to>
      <xdr:col>23</xdr:col>
      <xdr:colOff>561975</xdr:colOff>
      <xdr:row>34</xdr:row>
      <xdr:rowOff>0</xdr:rowOff>
    </xdr:to>
    <xdr:pic>
      <xdr:nvPicPr>
        <xdr:cNvPr id="30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83000" y="8877300"/>
          <a:ext cx="2000250" cy="200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390525</xdr:colOff>
      <xdr:row>28</xdr:row>
      <xdr:rowOff>333375</xdr:rowOff>
    </xdr:from>
    <xdr:to>
      <xdr:col>27</xdr:col>
      <xdr:colOff>285750</xdr:colOff>
      <xdr:row>32</xdr:row>
      <xdr:rowOff>66675</xdr:rowOff>
    </xdr:to>
    <xdr:pic>
      <xdr:nvPicPr>
        <xdr:cNvPr id="30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6383000" y="7600950"/>
          <a:ext cx="416242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714375</xdr:colOff>
      <xdr:row>9</xdr:row>
      <xdr:rowOff>133350</xdr:rowOff>
    </xdr:from>
    <xdr:to>
      <xdr:col>22</xdr:col>
      <xdr:colOff>485775</xdr:colOff>
      <xdr:row>14</xdr:row>
      <xdr:rowOff>85725</xdr:rowOff>
    </xdr:to>
    <xdr:pic>
      <xdr:nvPicPr>
        <xdr:cNvPr id="30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344525" y="2876550"/>
          <a:ext cx="4352925" cy="1400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4</xdr:row>
      <xdr:rowOff>85725</xdr:rowOff>
    </xdr:from>
    <xdr:to>
      <xdr:col>21</xdr:col>
      <xdr:colOff>133350</xdr:colOff>
      <xdr:row>34</xdr:row>
      <xdr:rowOff>85725</xdr:rowOff>
    </xdr:to>
    <xdr:pic>
      <xdr:nvPicPr>
        <xdr:cNvPr id="4097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6225" y="733425"/>
          <a:ext cx="8848725" cy="485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291353</xdr:colOff>
      <xdr:row>9</xdr:row>
      <xdr:rowOff>96518</xdr:rowOff>
    </xdr:from>
    <xdr:to>
      <xdr:col>14</xdr:col>
      <xdr:colOff>291353</xdr:colOff>
      <xdr:row>22</xdr:row>
      <xdr:rowOff>145676</xdr:rowOff>
    </xdr:to>
    <xdr:sp macro="" textlink="">
      <xdr:nvSpPr>
        <xdr:cNvPr id="7" name="Freeform 6"/>
        <xdr:cNvSpPr/>
      </xdr:nvSpPr>
      <xdr:spPr>
        <a:xfrm>
          <a:off x="5737412" y="1508459"/>
          <a:ext cx="3025588" cy="2088629"/>
        </a:xfrm>
        <a:custGeom>
          <a:avLst/>
          <a:gdLst>
            <a:gd name="connsiteX0" fmla="*/ 381000 w 3025588"/>
            <a:gd name="connsiteY0" fmla="*/ 665482 h 2088629"/>
            <a:gd name="connsiteX1" fmla="*/ 291353 w 3025588"/>
            <a:gd name="connsiteY1" fmla="*/ 732717 h 2088629"/>
            <a:gd name="connsiteX2" fmla="*/ 224117 w 3025588"/>
            <a:gd name="connsiteY2" fmla="*/ 755129 h 2088629"/>
            <a:gd name="connsiteX3" fmla="*/ 179294 w 3025588"/>
            <a:gd name="connsiteY3" fmla="*/ 822365 h 2088629"/>
            <a:gd name="connsiteX4" fmla="*/ 168088 w 3025588"/>
            <a:gd name="connsiteY4" fmla="*/ 855982 h 2088629"/>
            <a:gd name="connsiteX5" fmla="*/ 112059 w 3025588"/>
            <a:gd name="connsiteY5" fmla="*/ 923217 h 2088629"/>
            <a:gd name="connsiteX6" fmla="*/ 67235 w 3025588"/>
            <a:gd name="connsiteY6" fmla="*/ 990453 h 2088629"/>
            <a:gd name="connsiteX7" fmla="*/ 22412 w 3025588"/>
            <a:gd name="connsiteY7" fmla="*/ 1057688 h 2088629"/>
            <a:gd name="connsiteX8" fmla="*/ 0 w 3025588"/>
            <a:gd name="connsiteY8" fmla="*/ 1124923 h 2088629"/>
            <a:gd name="connsiteX9" fmla="*/ 33617 w 3025588"/>
            <a:gd name="connsiteY9" fmla="*/ 1494717 h 2088629"/>
            <a:gd name="connsiteX10" fmla="*/ 78441 w 3025588"/>
            <a:gd name="connsiteY10" fmla="*/ 1561953 h 2088629"/>
            <a:gd name="connsiteX11" fmla="*/ 179294 w 3025588"/>
            <a:gd name="connsiteY11" fmla="*/ 1617982 h 2088629"/>
            <a:gd name="connsiteX12" fmla="*/ 280147 w 3025588"/>
            <a:gd name="connsiteY12" fmla="*/ 1662806 h 2088629"/>
            <a:gd name="connsiteX13" fmla="*/ 313764 w 3025588"/>
            <a:gd name="connsiteY13" fmla="*/ 1674012 h 2088629"/>
            <a:gd name="connsiteX14" fmla="*/ 414617 w 3025588"/>
            <a:gd name="connsiteY14" fmla="*/ 1707629 h 2088629"/>
            <a:gd name="connsiteX15" fmla="*/ 448235 w 3025588"/>
            <a:gd name="connsiteY15" fmla="*/ 1718835 h 2088629"/>
            <a:gd name="connsiteX16" fmla="*/ 649941 w 3025588"/>
            <a:gd name="connsiteY16" fmla="*/ 1730041 h 2088629"/>
            <a:gd name="connsiteX17" fmla="*/ 1176617 w 3025588"/>
            <a:gd name="connsiteY17" fmla="*/ 1741247 h 2088629"/>
            <a:gd name="connsiteX18" fmla="*/ 1255059 w 3025588"/>
            <a:gd name="connsiteY18" fmla="*/ 1718835 h 2088629"/>
            <a:gd name="connsiteX19" fmla="*/ 1423147 w 3025588"/>
            <a:gd name="connsiteY19" fmla="*/ 1707629 h 2088629"/>
            <a:gd name="connsiteX20" fmla="*/ 1456764 w 3025588"/>
            <a:gd name="connsiteY20" fmla="*/ 1696423 h 2088629"/>
            <a:gd name="connsiteX21" fmla="*/ 1792941 w 3025588"/>
            <a:gd name="connsiteY21" fmla="*/ 1718835 h 2088629"/>
            <a:gd name="connsiteX22" fmla="*/ 1826559 w 3025588"/>
            <a:gd name="connsiteY22" fmla="*/ 1752453 h 2088629"/>
            <a:gd name="connsiteX23" fmla="*/ 1905000 w 3025588"/>
            <a:gd name="connsiteY23" fmla="*/ 1808482 h 2088629"/>
            <a:gd name="connsiteX24" fmla="*/ 1949823 w 3025588"/>
            <a:gd name="connsiteY24" fmla="*/ 1875717 h 2088629"/>
            <a:gd name="connsiteX25" fmla="*/ 2017059 w 3025588"/>
            <a:gd name="connsiteY25" fmla="*/ 1976570 h 2088629"/>
            <a:gd name="connsiteX26" fmla="*/ 2106706 w 3025588"/>
            <a:gd name="connsiteY26" fmla="*/ 2055012 h 2088629"/>
            <a:gd name="connsiteX27" fmla="*/ 2330823 w 3025588"/>
            <a:gd name="connsiteY27" fmla="*/ 2077423 h 2088629"/>
            <a:gd name="connsiteX28" fmla="*/ 2498912 w 3025588"/>
            <a:gd name="connsiteY28" fmla="*/ 2088629 h 2088629"/>
            <a:gd name="connsiteX29" fmla="*/ 2756647 w 3025588"/>
            <a:gd name="connsiteY29" fmla="*/ 2077423 h 2088629"/>
            <a:gd name="connsiteX30" fmla="*/ 2823882 w 3025588"/>
            <a:gd name="connsiteY30" fmla="*/ 2043806 h 2088629"/>
            <a:gd name="connsiteX31" fmla="*/ 2857500 w 3025588"/>
            <a:gd name="connsiteY31" fmla="*/ 2010188 h 2088629"/>
            <a:gd name="connsiteX32" fmla="*/ 2891117 w 3025588"/>
            <a:gd name="connsiteY32" fmla="*/ 1987776 h 2088629"/>
            <a:gd name="connsiteX33" fmla="*/ 2902323 w 3025588"/>
            <a:gd name="connsiteY33" fmla="*/ 1954159 h 2088629"/>
            <a:gd name="connsiteX34" fmla="*/ 2913529 w 3025588"/>
            <a:gd name="connsiteY34" fmla="*/ 1909335 h 2088629"/>
            <a:gd name="connsiteX35" fmla="*/ 2935941 w 3025588"/>
            <a:gd name="connsiteY35" fmla="*/ 1875717 h 2088629"/>
            <a:gd name="connsiteX36" fmla="*/ 2969559 w 3025588"/>
            <a:gd name="connsiteY36" fmla="*/ 1786070 h 2088629"/>
            <a:gd name="connsiteX37" fmla="*/ 2991970 w 3025588"/>
            <a:gd name="connsiteY37" fmla="*/ 1741247 h 2088629"/>
            <a:gd name="connsiteX38" fmla="*/ 3003176 w 3025588"/>
            <a:gd name="connsiteY38" fmla="*/ 1696423 h 2088629"/>
            <a:gd name="connsiteX39" fmla="*/ 3025588 w 3025588"/>
            <a:gd name="connsiteY39" fmla="*/ 1617982 h 2088629"/>
            <a:gd name="connsiteX40" fmla="*/ 3014382 w 3025588"/>
            <a:gd name="connsiteY40" fmla="*/ 1259394 h 2088629"/>
            <a:gd name="connsiteX41" fmla="*/ 2991970 w 3025588"/>
            <a:gd name="connsiteY41" fmla="*/ 1192159 h 2088629"/>
            <a:gd name="connsiteX42" fmla="*/ 2969559 w 3025588"/>
            <a:gd name="connsiteY42" fmla="*/ 1158541 h 2088629"/>
            <a:gd name="connsiteX43" fmla="*/ 2958353 w 3025588"/>
            <a:gd name="connsiteY43" fmla="*/ 1124923 h 2088629"/>
            <a:gd name="connsiteX44" fmla="*/ 2913529 w 3025588"/>
            <a:gd name="connsiteY44" fmla="*/ 1057688 h 2088629"/>
            <a:gd name="connsiteX45" fmla="*/ 2891117 w 3025588"/>
            <a:gd name="connsiteY45" fmla="*/ 1024070 h 2088629"/>
            <a:gd name="connsiteX46" fmla="*/ 2857500 w 3025588"/>
            <a:gd name="connsiteY46" fmla="*/ 1001659 h 2088629"/>
            <a:gd name="connsiteX47" fmla="*/ 2767853 w 3025588"/>
            <a:gd name="connsiteY47" fmla="*/ 900806 h 2088629"/>
            <a:gd name="connsiteX48" fmla="*/ 2689412 w 3025588"/>
            <a:gd name="connsiteY48" fmla="*/ 799953 h 2088629"/>
            <a:gd name="connsiteX49" fmla="*/ 2678206 w 3025588"/>
            <a:gd name="connsiteY49" fmla="*/ 766335 h 2088629"/>
            <a:gd name="connsiteX50" fmla="*/ 2633382 w 3025588"/>
            <a:gd name="connsiteY50" fmla="*/ 699100 h 2088629"/>
            <a:gd name="connsiteX51" fmla="*/ 2577353 w 3025588"/>
            <a:gd name="connsiteY51" fmla="*/ 531012 h 2088629"/>
            <a:gd name="connsiteX52" fmla="*/ 2543735 w 3025588"/>
            <a:gd name="connsiteY52" fmla="*/ 497394 h 2088629"/>
            <a:gd name="connsiteX53" fmla="*/ 2521323 w 3025588"/>
            <a:gd name="connsiteY53" fmla="*/ 463776 h 2088629"/>
            <a:gd name="connsiteX54" fmla="*/ 2487706 w 3025588"/>
            <a:gd name="connsiteY54" fmla="*/ 430159 h 2088629"/>
            <a:gd name="connsiteX55" fmla="*/ 2431676 w 3025588"/>
            <a:gd name="connsiteY55" fmla="*/ 385335 h 2088629"/>
            <a:gd name="connsiteX56" fmla="*/ 2386853 w 3025588"/>
            <a:gd name="connsiteY56" fmla="*/ 351717 h 2088629"/>
            <a:gd name="connsiteX57" fmla="*/ 2353235 w 3025588"/>
            <a:gd name="connsiteY57" fmla="*/ 329306 h 2088629"/>
            <a:gd name="connsiteX58" fmla="*/ 2308412 w 3025588"/>
            <a:gd name="connsiteY58" fmla="*/ 262070 h 2088629"/>
            <a:gd name="connsiteX59" fmla="*/ 2286000 w 3025588"/>
            <a:gd name="connsiteY59" fmla="*/ 183629 h 2088629"/>
            <a:gd name="connsiteX60" fmla="*/ 2274794 w 3025588"/>
            <a:gd name="connsiteY60" fmla="*/ 138806 h 2088629"/>
            <a:gd name="connsiteX61" fmla="*/ 2241176 w 3025588"/>
            <a:gd name="connsiteY61" fmla="*/ 105188 h 2088629"/>
            <a:gd name="connsiteX62" fmla="*/ 2218764 w 3025588"/>
            <a:gd name="connsiteY62" fmla="*/ 71570 h 2088629"/>
            <a:gd name="connsiteX63" fmla="*/ 1972235 w 3025588"/>
            <a:gd name="connsiteY63" fmla="*/ 37953 h 2088629"/>
            <a:gd name="connsiteX64" fmla="*/ 1445559 w 3025588"/>
            <a:gd name="connsiteY64" fmla="*/ 26747 h 2088629"/>
            <a:gd name="connsiteX65" fmla="*/ 1344706 w 3025588"/>
            <a:gd name="connsiteY65" fmla="*/ 105188 h 2088629"/>
            <a:gd name="connsiteX66" fmla="*/ 1299882 w 3025588"/>
            <a:gd name="connsiteY66" fmla="*/ 172423 h 2088629"/>
            <a:gd name="connsiteX67" fmla="*/ 1255059 w 3025588"/>
            <a:gd name="connsiteY67" fmla="*/ 250865 h 2088629"/>
            <a:gd name="connsiteX68" fmla="*/ 1232647 w 3025588"/>
            <a:gd name="connsiteY68" fmla="*/ 284482 h 2088629"/>
            <a:gd name="connsiteX69" fmla="*/ 1199029 w 3025588"/>
            <a:gd name="connsiteY69" fmla="*/ 318100 h 2088629"/>
            <a:gd name="connsiteX70" fmla="*/ 1120588 w 3025588"/>
            <a:gd name="connsiteY70" fmla="*/ 407747 h 2088629"/>
            <a:gd name="connsiteX71" fmla="*/ 1086970 w 3025588"/>
            <a:gd name="connsiteY71" fmla="*/ 418953 h 2088629"/>
            <a:gd name="connsiteX72" fmla="*/ 1053353 w 3025588"/>
            <a:gd name="connsiteY72" fmla="*/ 441365 h 2088629"/>
            <a:gd name="connsiteX73" fmla="*/ 896470 w 3025588"/>
            <a:gd name="connsiteY73" fmla="*/ 486188 h 2088629"/>
            <a:gd name="connsiteX74" fmla="*/ 750794 w 3025588"/>
            <a:gd name="connsiteY74" fmla="*/ 497394 h 2088629"/>
            <a:gd name="connsiteX75" fmla="*/ 661147 w 3025588"/>
            <a:gd name="connsiteY75" fmla="*/ 519806 h 2088629"/>
            <a:gd name="connsiteX76" fmla="*/ 627529 w 3025588"/>
            <a:gd name="connsiteY76" fmla="*/ 531012 h 2088629"/>
            <a:gd name="connsiteX77" fmla="*/ 582706 w 3025588"/>
            <a:gd name="connsiteY77" fmla="*/ 542217 h 2088629"/>
            <a:gd name="connsiteX78" fmla="*/ 515470 w 3025588"/>
            <a:gd name="connsiteY78" fmla="*/ 564629 h 2088629"/>
            <a:gd name="connsiteX79" fmla="*/ 448235 w 3025588"/>
            <a:gd name="connsiteY79" fmla="*/ 587041 h 2088629"/>
            <a:gd name="connsiteX80" fmla="*/ 414617 w 3025588"/>
            <a:gd name="connsiteY80" fmla="*/ 598247 h 2088629"/>
            <a:gd name="connsiteX81" fmla="*/ 381000 w 3025588"/>
            <a:gd name="connsiteY81" fmla="*/ 620659 h 2088629"/>
            <a:gd name="connsiteX82" fmla="*/ 381000 w 3025588"/>
            <a:gd name="connsiteY82" fmla="*/ 665482 h 20886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3025588" h="2088629">
              <a:moveTo>
                <a:pt x="381000" y="665482"/>
              </a:moveTo>
              <a:cubicBezTo>
                <a:pt x="366059" y="684158"/>
                <a:pt x="311423" y="723797"/>
                <a:pt x="291353" y="732717"/>
              </a:cubicBezTo>
              <a:cubicBezTo>
                <a:pt x="269765" y="742312"/>
                <a:pt x="224117" y="755129"/>
                <a:pt x="224117" y="755129"/>
              </a:cubicBezTo>
              <a:cubicBezTo>
                <a:pt x="209176" y="777541"/>
                <a:pt x="187812" y="796812"/>
                <a:pt x="179294" y="822365"/>
              </a:cubicBezTo>
              <a:cubicBezTo>
                <a:pt x="175559" y="833571"/>
                <a:pt x="173370" y="845417"/>
                <a:pt x="168088" y="855982"/>
              </a:cubicBezTo>
              <a:cubicBezTo>
                <a:pt x="144061" y="904036"/>
                <a:pt x="146756" y="878606"/>
                <a:pt x="112059" y="923217"/>
              </a:cubicBezTo>
              <a:cubicBezTo>
                <a:pt x="95522" y="944479"/>
                <a:pt x="82176" y="968041"/>
                <a:pt x="67235" y="990453"/>
              </a:cubicBezTo>
              <a:lnTo>
                <a:pt x="22412" y="1057688"/>
              </a:lnTo>
              <a:cubicBezTo>
                <a:pt x="9308" y="1077345"/>
                <a:pt x="0" y="1124923"/>
                <a:pt x="0" y="1124923"/>
              </a:cubicBezTo>
              <a:cubicBezTo>
                <a:pt x="12080" y="1451090"/>
                <a:pt x="-20708" y="1331739"/>
                <a:pt x="33617" y="1494717"/>
              </a:cubicBezTo>
              <a:cubicBezTo>
                <a:pt x="42135" y="1520271"/>
                <a:pt x="63500" y="1539541"/>
                <a:pt x="78441" y="1561953"/>
              </a:cubicBezTo>
              <a:cubicBezTo>
                <a:pt x="100459" y="1594980"/>
                <a:pt x="144262" y="1606305"/>
                <a:pt x="179294" y="1617982"/>
              </a:cubicBezTo>
              <a:cubicBezTo>
                <a:pt x="232569" y="1653498"/>
                <a:pt x="200135" y="1636135"/>
                <a:pt x="280147" y="1662806"/>
              </a:cubicBezTo>
              <a:cubicBezTo>
                <a:pt x="291353" y="1666541"/>
                <a:pt x="303936" y="1667460"/>
                <a:pt x="313764" y="1674012"/>
              </a:cubicBezTo>
              <a:cubicBezTo>
                <a:pt x="372254" y="1713003"/>
                <a:pt x="324032" y="1687499"/>
                <a:pt x="414617" y="1707629"/>
              </a:cubicBezTo>
              <a:cubicBezTo>
                <a:pt x="426148" y="1710191"/>
                <a:pt x="436476" y="1717715"/>
                <a:pt x="448235" y="1718835"/>
              </a:cubicBezTo>
              <a:cubicBezTo>
                <a:pt x="515271" y="1725219"/>
                <a:pt x="582706" y="1726306"/>
                <a:pt x="649941" y="1730041"/>
              </a:cubicBezTo>
              <a:cubicBezTo>
                <a:pt x="862507" y="1800897"/>
                <a:pt x="693559" y="1753029"/>
                <a:pt x="1176617" y="1741247"/>
              </a:cubicBezTo>
              <a:cubicBezTo>
                <a:pt x="1197451" y="1734302"/>
                <a:pt x="1234494" y="1721000"/>
                <a:pt x="1255059" y="1718835"/>
              </a:cubicBezTo>
              <a:cubicBezTo>
                <a:pt x="1310904" y="1712957"/>
                <a:pt x="1367118" y="1711364"/>
                <a:pt x="1423147" y="1707629"/>
              </a:cubicBezTo>
              <a:cubicBezTo>
                <a:pt x="1434353" y="1703894"/>
                <a:pt x="1444952" y="1696423"/>
                <a:pt x="1456764" y="1696423"/>
              </a:cubicBezTo>
              <a:cubicBezTo>
                <a:pt x="1736197" y="1696423"/>
                <a:pt x="1667668" y="1677077"/>
                <a:pt x="1792941" y="1718835"/>
              </a:cubicBezTo>
              <a:cubicBezTo>
                <a:pt x="1804147" y="1730041"/>
                <a:pt x="1813663" y="1743242"/>
                <a:pt x="1826559" y="1752453"/>
              </a:cubicBezTo>
              <a:cubicBezTo>
                <a:pt x="1883735" y="1793293"/>
                <a:pt x="1861298" y="1752294"/>
                <a:pt x="1905000" y="1808482"/>
              </a:cubicBezTo>
              <a:cubicBezTo>
                <a:pt x="1921537" y="1829743"/>
                <a:pt x="1934882" y="1853305"/>
                <a:pt x="1949823" y="1875717"/>
              </a:cubicBezTo>
              <a:lnTo>
                <a:pt x="2017059" y="1976570"/>
              </a:lnTo>
              <a:cubicBezTo>
                <a:pt x="2043206" y="2015791"/>
                <a:pt x="2050673" y="2036336"/>
                <a:pt x="2106706" y="2055012"/>
              </a:cubicBezTo>
              <a:cubicBezTo>
                <a:pt x="2201179" y="2086501"/>
                <a:pt x="2125785" y="2064608"/>
                <a:pt x="2330823" y="2077423"/>
              </a:cubicBezTo>
              <a:lnTo>
                <a:pt x="2498912" y="2088629"/>
              </a:lnTo>
              <a:cubicBezTo>
                <a:pt x="2584824" y="2084894"/>
                <a:pt x="2670907" y="2084018"/>
                <a:pt x="2756647" y="2077423"/>
              </a:cubicBezTo>
              <a:cubicBezTo>
                <a:pt x="2778916" y="2075710"/>
                <a:pt x="2807942" y="2057089"/>
                <a:pt x="2823882" y="2043806"/>
              </a:cubicBezTo>
              <a:cubicBezTo>
                <a:pt x="2836057" y="2033661"/>
                <a:pt x="2845326" y="2020334"/>
                <a:pt x="2857500" y="2010188"/>
              </a:cubicBezTo>
              <a:cubicBezTo>
                <a:pt x="2867846" y="2001566"/>
                <a:pt x="2879911" y="1995247"/>
                <a:pt x="2891117" y="1987776"/>
              </a:cubicBezTo>
              <a:cubicBezTo>
                <a:pt x="2894852" y="1976570"/>
                <a:pt x="2899078" y="1965516"/>
                <a:pt x="2902323" y="1954159"/>
              </a:cubicBezTo>
              <a:cubicBezTo>
                <a:pt x="2906554" y="1939350"/>
                <a:pt x="2907462" y="1923491"/>
                <a:pt x="2913529" y="1909335"/>
              </a:cubicBezTo>
              <a:cubicBezTo>
                <a:pt x="2918834" y="1896956"/>
                <a:pt x="2929918" y="1887763"/>
                <a:pt x="2935941" y="1875717"/>
              </a:cubicBezTo>
              <a:cubicBezTo>
                <a:pt x="2982366" y="1782868"/>
                <a:pt x="2940467" y="1853952"/>
                <a:pt x="2969559" y="1786070"/>
              </a:cubicBezTo>
              <a:cubicBezTo>
                <a:pt x="2976139" y="1770716"/>
                <a:pt x="2986105" y="1756888"/>
                <a:pt x="2991970" y="1741247"/>
              </a:cubicBezTo>
              <a:cubicBezTo>
                <a:pt x="2997378" y="1726826"/>
                <a:pt x="2998945" y="1711232"/>
                <a:pt x="3003176" y="1696423"/>
              </a:cubicBezTo>
              <a:cubicBezTo>
                <a:pt x="3035329" y="1583890"/>
                <a:pt x="2990556" y="1758112"/>
                <a:pt x="3025588" y="1617982"/>
              </a:cubicBezTo>
              <a:cubicBezTo>
                <a:pt x="3021853" y="1498453"/>
                <a:pt x="3023794" y="1378611"/>
                <a:pt x="3014382" y="1259394"/>
              </a:cubicBezTo>
              <a:cubicBezTo>
                <a:pt x="3012523" y="1235843"/>
                <a:pt x="3005074" y="1211816"/>
                <a:pt x="2991970" y="1192159"/>
              </a:cubicBezTo>
              <a:cubicBezTo>
                <a:pt x="2984500" y="1180953"/>
                <a:pt x="2975582" y="1170587"/>
                <a:pt x="2969559" y="1158541"/>
              </a:cubicBezTo>
              <a:cubicBezTo>
                <a:pt x="2964277" y="1147976"/>
                <a:pt x="2964090" y="1135249"/>
                <a:pt x="2958353" y="1124923"/>
              </a:cubicBezTo>
              <a:cubicBezTo>
                <a:pt x="2945272" y="1101377"/>
                <a:pt x="2928470" y="1080100"/>
                <a:pt x="2913529" y="1057688"/>
              </a:cubicBezTo>
              <a:cubicBezTo>
                <a:pt x="2906058" y="1046482"/>
                <a:pt x="2902323" y="1031541"/>
                <a:pt x="2891117" y="1024070"/>
              </a:cubicBezTo>
              <a:lnTo>
                <a:pt x="2857500" y="1001659"/>
              </a:lnTo>
              <a:cubicBezTo>
                <a:pt x="2817507" y="941669"/>
                <a:pt x="2844611" y="977564"/>
                <a:pt x="2767853" y="900806"/>
              </a:cubicBezTo>
              <a:cubicBezTo>
                <a:pt x="2738847" y="871800"/>
                <a:pt x="2702816" y="840164"/>
                <a:pt x="2689412" y="799953"/>
              </a:cubicBezTo>
              <a:cubicBezTo>
                <a:pt x="2685677" y="788747"/>
                <a:pt x="2683943" y="776661"/>
                <a:pt x="2678206" y="766335"/>
              </a:cubicBezTo>
              <a:cubicBezTo>
                <a:pt x="2665125" y="742789"/>
                <a:pt x="2633382" y="699100"/>
                <a:pt x="2633382" y="699100"/>
              </a:cubicBezTo>
              <a:lnTo>
                <a:pt x="2577353" y="531012"/>
              </a:lnTo>
              <a:cubicBezTo>
                <a:pt x="2572341" y="515978"/>
                <a:pt x="2553880" y="509569"/>
                <a:pt x="2543735" y="497394"/>
              </a:cubicBezTo>
              <a:cubicBezTo>
                <a:pt x="2535113" y="487048"/>
                <a:pt x="2529945" y="474122"/>
                <a:pt x="2521323" y="463776"/>
              </a:cubicBezTo>
              <a:cubicBezTo>
                <a:pt x="2511178" y="451602"/>
                <a:pt x="2497851" y="442333"/>
                <a:pt x="2487706" y="430159"/>
              </a:cubicBezTo>
              <a:cubicBezTo>
                <a:pt x="2448716" y="383371"/>
                <a:pt x="2486864" y="403731"/>
                <a:pt x="2431676" y="385335"/>
              </a:cubicBezTo>
              <a:cubicBezTo>
                <a:pt x="2416735" y="374129"/>
                <a:pt x="2402051" y="362572"/>
                <a:pt x="2386853" y="351717"/>
              </a:cubicBezTo>
              <a:cubicBezTo>
                <a:pt x="2375894" y="343889"/>
                <a:pt x="2362104" y="339442"/>
                <a:pt x="2353235" y="329306"/>
              </a:cubicBezTo>
              <a:cubicBezTo>
                <a:pt x="2335498" y="309035"/>
                <a:pt x="2308412" y="262070"/>
                <a:pt x="2308412" y="262070"/>
              </a:cubicBezTo>
              <a:cubicBezTo>
                <a:pt x="2273381" y="121948"/>
                <a:pt x="2318152" y="296161"/>
                <a:pt x="2286000" y="183629"/>
              </a:cubicBezTo>
              <a:cubicBezTo>
                <a:pt x="2281769" y="168821"/>
                <a:pt x="2282435" y="152178"/>
                <a:pt x="2274794" y="138806"/>
              </a:cubicBezTo>
              <a:cubicBezTo>
                <a:pt x="2266931" y="125046"/>
                <a:pt x="2251321" y="117363"/>
                <a:pt x="2241176" y="105188"/>
              </a:cubicBezTo>
              <a:cubicBezTo>
                <a:pt x="2232554" y="94842"/>
                <a:pt x="2230185" y="78708"/>
                <a:pt x="2218764" y="71570"/>
              </a:cubicBezTo>
              <a:cubicBezTo>
                <a:pt x="2159041" y="34243"/>
                <a:pt x="2012068" y="40443"/>
                <a:pt x="1972235" y="37953"/>
              </a:cubicBezTo>
              <a:cubicBezTo>
                <a:pt x="1759669" y="-32903"/>
                <a:pt x="1928617" y="14965"/>
                <a:pt x="1445559" y="26747"/>
              </a:cubicBezTo>
              <a:cubicBezTo>
                <a:pt x="1381873" y="47976"/>
                <a:pt x="1420293" y="29601"/>
                <a:pt x="1344706" y="105188"/>
              </a:cubicBezTo>
              <a:cubicBezTo>
                <a:pt x="1325660" y="124234"/>
                <a:pt x="1299882" y="172423"/>
                <a:pt x="1299882" y="172423"/>
              </a:cubicBezTo>
              <a:cubicBezTo>
                <a:pt x="1281698" y="226975"/>
                <a:pt x="1297458" y="191506"/>
                <a:pt x="1255059" y="250865"/>
              </a:cubicBezTo>
              <a:cubicBezTo>
                <a:pt x="1247231" y="261824"/>
                <a:pt x="1241269" y="274136"/>
                <a:pt x="1232647" y="284482"/>
              </a:cubicBezTo>
              <a:cubicBezTo>
                <a:pt x="1222501" y="296656"/>
                <a:pt x="1208759" y="305591"/>
                <a:pt x="1199029" y="318100"/>
              </a:cubicBezTo>
              <a:cubicBezTo>
                <a:pt x="1156243" y="373111"/>
                <a:pt x="1171864" y="382109"/>
                <a:pt x="1120588" y="407747"/>
              </a:cubicBezTo>
              <a:cubicBezTo>
                <a:pt x="1110023" y="413030"/>
                <a:pt x="1098176" y="415218"/>
                <a:pt x="1086970" y="418953"/>
              </a:cubicBezTo>
              <a:cubicBezTo>
                <a:pt x="1075764" y="426424"/>
                <a:pt x="1065660" y="435895"/>
                <a:pt x="1053353" y="441365"/>
              </a:cubicBezTo>
              <a:cubicBezTo>
                <a:pt x="1026719" y="453202"/>
                <a:pt x="917998" y="484532"/>
                <a:pt x="896470" y="486188"/>
              </a:cubicBezTo>
              <a:lnTo>
                <a:pt x="750794" y="497394"/>
              </a:lnTo>
              <a:cubicBezTo>
                <a:pt x="720912" y="504865"/>
                <a:pt x="690368" y="510066"/>
                <a:pt x="661147" y="519806"/>
              </a:cubicBezTo>
              <a:cubicBezTo>
                <a:pt x="649941" y="523541"/>
                <a:pt x="638887" y="527767"/>
                <a:pt x="627529" y="531012"/>
              </a:cubicBezTo>
              <a:cubicBezTo>
                <a:pt x="612721" y="535243"/>
                <a:pt x="597457" y="537792"/>
                <a:pt x="582706" y="542217"/>
              </a:cubicBezTo>
              <a:cubicBezTo>
                <a:pt x="560078" y="549005"/>
                <a:pt x="537882" y="557158"/>
                <a:pt x="515470" y="564629"/>
              </a:cubicBezTo>
              <a:lnTo>
                <a:pt x="448235" y="587041"/>
              </a:lnTo>
              <a:lnTo>
                <a:pt x="414617" y="598247"/>
              </a:lnTo>
              <a:cubicBezTo>
                <a:pt x="403411" y="605718"/>
                <a:pt x="391346" y="612037"/>
                <a:pt x="381000" y="620659"/>
              </a:cubicBezTo>
              <a:cubicBezTo>
                <a:pt x="368826" y="630804"/>
                <a:pt x="395941" y="646806"/>
                <a:pt x="381000" y="665482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15</xdr:col>
      <xdr:colOff>67235</xdr:colOff>
      <xdr:row>3</xdr:row>
      <xdr:rowOff>100696</xdr:rowOff>
    </xdr:from>
    <xdr:to>
      <xdr:col>16</xdr:col>
      <xdr:colOff>381000</xdr:colOff>
      <xdr:row>10</xdr:row>
      <xdr:rowOff>145676</xdr:rowOff>
    </xdr:to>
    <xdr:sp macro="" textlink="">
      <xdr:nvSpPr>
        <xdr:cNvPr id="8" name="Freeform 7"/>
        <xdr:cNvSpPr/>
      </xdr:nvSpPr>
      <xdr:spPr>
        <a:xfrm>
          <a:off x="9144000" y="571343"/>
          <a:ext cx="918882" cy="1143157"/>
        </a:xfrm>
        <a:custGeom>
          <a:avLst/>
          <a:gdLst>
            <a:gd name="connsiteX0" fmla="*/ 246529 w 918882"/>
            <a:gd name="connsiteY0" fmla="*/ 33775 h 1143157"/>
            <a:gd name="connsiteX1" fmla="*/ 145676 w 918882"/>
            <a:gd name="connsiteY1" fmla="*/ 56186 h 1143157"/>
            <a:gd name="connsiteX2" fmla="*/ 67235 w 918882"/>
            <a:gd name="connsiteY2" fmla="*/ 101010 h 1143157"/>
            <a:gd name="connsiteX3" fmla="*/ 22412 w 918882"/>
            <a:gd name="connsiteY3" fmla="*/ 179451 h 1143157"/>
            <a:gd name="connsiteX4" fmla="*/ 11206 w 918882"/>
            <a:gd name="connsiteY4" fmla="*/ 291510 h 1143157"/>
            <a:gd name="connsiteX5" fmla="*/ 0 w 918882"/>
            <a:gd name="connsiteY5" fmla="*/ 347539 h 1143157"/>
            <a:gd name="connsiteX6" fmla="*/ 11206 w 918882"/>
            <a:gd name="connsiteY6" fmla="*/ 840598 h 1143157"/>
            <a:gd name="connsiteX7" fmla="*/ 67235 w 918882"/>
            <a:gd name="connsiteY7" fmla="*/ 963863 h 1143157"/>
            <a:gd name="connsiteX8" fmla="*/ 89647 w 918882"/>
            <a:gd name="connsiteY8" fmla="*/ 997481 h 1143157"/>
            <a:gd name="connsiteX9" fmla="*/ 134471 w 918882"/>
            <a:gd name="connsiteY9" fmla="*/ 1008686 h 1143157"/>
            <a:gd name="connsiteX10" fmla="*/ 168088 w 918882"/>
            <a:gd name="connsiteY10" fmla="*/ 1042304 h 1143157"/>
            <a:gd name="connsiteX11" fmla="*/ 212912 w 918882"/>
            <a:gd name="connsiteY11" fmla="*/ 1053510 h 1143157"/>
            <a:gd name="connsiteX12" fmla="*/ 280147 w 918882"/>
            <a:gd name="connsiteY12" fmla="*/ 1075922 h 1143157"/>
            <a:gd name="connsiteX13" fmla="*/ 347382 w 918882"/>
            <a:gd name="connsiteY13" fmla="*/ 1098333 h 1143157"/>
            <a:gd name="connsiteX14" fmla="*/ 392206 w 918882"/>
            <a:gd name="connsiteY14" fmla="*/ 1109539 h 1143157"/>
            <a:gd name="connsiteX15" fmla="*/ 515471 w 918882"/>
            <a:gd name="connsiteY15" fmla="*/ 1120745 h 1143157"/>
            <a:gd name="connsiteX16" fmla="*/ 627529 w 918882"/>
            <a:gd name="connsiteY16" fmla="*/ 1143157 h 1143157"/>
            <a:gd name="connsiteX17" fmla="*/ 728382 w 918882"/>
            <a:gd name="connsiteY17" fmla="*/ 1131951 h 1143157"/>
            <a:gd name="connsiteX18" fmla="*/ 762000 w 918882"/>
            <a:gd name="connsiteY18" fmla="*/ 1120745 h 1143157"/>
            <a:gd name="connsiteX19" fmla="*/ 851647 w 918882"/>
            <a:gd name="connsiteY19" fmla="*/ 1008686 h 1143157"/>
            <a:gd name="connsiteX20" fmla="*/ 862853 w 918882"/>
            <a:gd name="connsiteY20" fmla="*/ 963863 h 1143157"/>
            <a:gd name="connsiteX21" fmla="*/ 885265 w 918882"/>
            <a:gd name="connsiteY21" fmla="*/ 896628 h 1143157"/>
            <a:gd name="connsiteX22" fmla="*/ 896471 w 918882"/>
            <a:gd name="connsiteY22" fmla="*/ 795775 h 1143157"/>
            <a:gd name="connsiteX23" fmla="*/ 907676 w 918882"/>
            <a:gd name="connsiteY23" fmla="*/ 750951 h 1143157"/>
            <a:gd name="connsiteX24" fmla="*/ 918882 w 918882"/>
            <a:gd name="connsiteY24" fmla="*/ 560451 h 1143157"/>
            <a:gd name="connsiteX25" fmla="*/ 907676 w 918882"/>
            <a:gd name="connsiteY25" fmla="*/ 347539 h 1143157"/>
            <a:gd name="connsiteX26" fmla="*/ 851647 w 918882"/>
            <a:gd name="connsiteY26" fmla="*/ 246686 h 1143157"/>
            <a:gd name="connsiteX27" fmla="*/ 806824 w 918882"/>
            <a:gd name="connsiteY27" fmla="*/ 179451 h 1143157"/>
            <a:gd name="connsiteX28" fmla="*/ 773206 w 918882"/>
            <a:gd name="connsiteY28" fmla="*/ 157039 h 1143157"/>
            <a:gd name="connsiteX29" fmla="*/ 739588 w 918882"/>
            <a:gd name="connsiteY29" fmla="*/ 123422 h 1143157"/>
            <a:gd name="connsiteX30" fmla="*/ 717176 w 918882"/>
            <a:gd name="connsiteY30" fmla="*/ 89804 h 1143157"/>
            <a:gd name="connsiteX31" fmla="*/ 649941 w 918882"/>
            <a:gd name="connsiteY31" fmla="*/ 44981 h 1143157"/>
            <a:gd name="connsiteX32" fmla="*/ 616324 w 918882"/>
            <a:gd name="connsiteY32" fmla="*/ 22569 h 1143157"/>
            <a:gd name="connsiteX33" fmla="*/ 571500 w 918882"/>
            <a:gd name="connsiteY33" fmla="*/ 11363 h 1143157"/>
            <a:gd name="connsiteX34" fmla="*/ 448235 w 918882"/>
            <a:gd name="connsiteY34" fmla="*/ 157 h 1143157"/>
            <a:gd name="connsiteX35" fmla="*/ 246529 w 918882"/>
            <a:gd name="connsiteY35" fmla="*/ 33775 h 1143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</a:cxnLst>
          <a:rect l="l" t="t" r="r" b="b"/>
          <a:pathLst>
            <a:path w="918882" h="1143157">
              <a:moveTo>
                <a:pt x="246529" y="33775"/>
              </a:moveTo>
              <a:cubicBezTo>
                <a:pt x="196103" y="43113"/>
                <a:pt x="163754" y="49407"/>
                <a:pt x="145676" y="56186"/>
              </a:cubicBezTo>
              <a:cubicBezTo>
                <a:pt x="113182" y="68371"/>
                <a:pt x="95100" y="82434"/>
                <a:pt x="67235" y="101010"/>
              </a:cubicBezTo>
              <a:cubicBezTo>
                <a:pt x="54864" y="119567"/>
                <a:pt x="26901" y="158503"/>
                <a:pt x="22412" y="179451"/>
              </a:cubicBezTo>
              <a:cubicBezTo>
                <a:pt x="14546" y="216157"/>
                <a:pt x="16167" y="254300"/>
                <a:pt x="11206" y="291510"/>
              </a:cubicBezTo>
              <a:cubicBezTo>
                <a:pt x="8689" y="310389"/>
                <a:pt x="3735" y="328863"/>
                <a:pt x="0" y="347539"/>
              </a:cubicBezTo>
              <a:cubicBezTo>
                <a:pt x="3735" y="511892"/>
                <a:pt x="4502" y="676339"/>
                <a:pt x="11206" y="840598"/>
              </a:cubicBezTo>
              <a:cubicBezTo>
                <a:pt x="13715" y="902071"/>
                <a:pt x="31616" y="910435"/>
                <a:pt x="67235" y="963863"/>
              </a:cubicBezTo>
              <a:cubicBezTo>
                <a:pt x="74706" y="975069"/>
                <a:pt x="76581" y="994215"/>
                <a:pt x="89647" y="997481"/>
              </a:cubicBezTo>
              <a:lnTo>
                <a:pt x="134471" y="1008686"/>
              </a:lnTo>
              <a:cubicBezTo>
                <a:pt x="145677" y="1019892"/>
                <a:pt x="154329" y="1034441"/>
                <a:pt x="168088" y="1042304"/>
              </a:cubicBezTo>
              <a:cubicBezTo>
                <a:pt x="181460" y="1049945"/>
                <a:pt x="198160" y="1049084"/>
                <a:pt x="212912" y="1053510"/>
              </a:cubicBezTo>
              <a:cubicBezTo>
                <a:pt x="235540" y="1060298"/>
                <a:pt x="257735" y="1068451"/>
                <a:pt x="280147" y="1075922"/>
              </a:cubicBezTo>
              <a:cubicBezTo>
                <a:pt x="280157" y="1075925"/>
                <a:pt x="347371" y="1098330"/>
                <a:pt x="347382" y="1098333"/>
              </a:cubicBezTo>
              <a:cubicBezTo>
                <a:pt x="362323" y="1102068"/>
                <a:pt x="376940" y="1107504"/>
                <a:pt x="392206" y="1109539"/>
              </a:cubicBezTo>
              <a:cubicBezTo>
                <a:pt x="433102" y="1114992"/>
                <a:pt x="474383" y="1117010"/>
                <a:pt x="515471" y="1120745"/>
              </a:cubicBezTo>
              <a:cubicBezTo>
                <a:pt x="545089" y="1128150"/>
                <a:pt x="600053" y="1143157"/>
                <a:pt x="627529" y="1143157"/>
              </a:cubicBezTo>
              <a:cubicBezTo>
                <a:pt x="661354" y="1143157"/>
                <a:pt x="694764" y="1135686"/>
                <a:pt x="728382" y="1131951"/>
              </a:cubicBezTo>
              <a:cubicBezTo>
                <a:pt x="739588" y="1128216"/>
                <a:pt x="752676" y="1127997"/>
                <a:pt x="762000" y="1120745"/>
              </a:cubicBezTo>
              <a:cubicBezTo>
                <a:pt x="807248" y="1085552"/>
                <a:pt x="832875" y="1058745"/>
                <a:pt x="851647" y="1008686"/>
              </a:cubicBezTo>
              <a:cubicBezTo>
                <a:pt x="857055" y="994266"/>
                <a:pt x="858428" y="978614"/>
                <a:pt x="862853" y="963863"/>
              </a:cubicBezTo>
              <a:cubicBezTo>
                <a:pt x="869641" y="941235"/>
                <a:pt x="885265" y="896628"/>
                <a:pt x="885265" y="896628"/>
              </a:cubicBezTo>
              <a:cubicBezTo>
                <a:pt x="889000" y="863010"/>
                <a:pt x="891328" y="829206"/>
                <a:pt x="896471" y="795775"/>
              </a:cubicBezTo>
              <a:cubicBezTo>
                <a:pt x="898813" y="780553"/>
                <a:pt x="906216" y="766283"/>
                <a:pt x="907676" y="750951"/>
              </a:cubicBezTo>
              <a:cubicBezTo>
                <a:pt x="913707" y="687628"/>
                <a:pt x="915147" y="623951"/>
                <a:pt x="918882" y="560451"/>
              </a:cubicBezTo>
              <a:cubicBezTo>
                <a:pt x="915147" y="489480"/>
                <a:pt x="914110" y="418316"/>
                <a:pt x="907676" y="347539"/>
              </a:cubicBezTo>
              <a:cubicBezTo>
                <a:pt x="904562" y="313280"/>
                <a:pt x="865149" y="266939"/>
                <a:pt x="851647" y="246686"/>
              </a:cubicBezTo>
              <a:lnTo>
                <a:pt x="806824" y="179451"/>
              </a:lnTo>
              <a:cubicBezTo>
                <a:pt x="799354" y="168245"/>
                <a:pt x="783552" y="165661"/>
                <a:pt x="773206" y="157039"/>
              </a:cubicBezTo>
              <a:cubicBezTo>
                <a:pt x="761032" y="146894"/>
                <a:pt x="749733" y="135596"/>
                <a:pt x="739588" y="123422"/>
              </a:cubicBezTo>
              <a:cubicBezTo>
                <a:pt x="730966" y="113076"/>
                <a:pt x="727312" y="98673"/>
                <a:pt x="717176" y="89804"/>
              </a:cubicBezTo>
              <a:cubicBezTo>
                <a:pt x="696905" y="72067"/>
                <a:pt x="672353" y="59922"/>
                <a:pt x="649941" y="44981"/>
              </a:cubicBezTo>
              <a:lnTo>
                <a:pt x="616324" y="22569"/>
              </a:lnTo>
              <a:cubicBezTo>
                <a:pt x="603510" y="14026"/>
                <a:pt x="586766" y="13398"/>
                <a:pt x="571500" y="11363"/>
              </a:cubicBezTo>
              <a:cubicBezTo>
                <a:pt x="530604" y="5910"/>
                <a:pt x="489473" y="1446"/>
                <a:pt x="448235" y="157"/>
              </a:cubicBezTo>
              <a:cubicBezTo>
                <a:pt x="369832" y="-2293"/>
                <a:pt x="296955" y="24437"/>
                <a:pt x="246529" y="33775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15</xdr:col>
      <xdr:colOff>145676</xdr:colOff>
      <xdr:row>24</xdr:row>
      <xdr:rowOff>134471</xdr:rowOff>
    </xdr:from>
    <xdr:to>
      <xdr:col>17</xdr:col>
      <xdr:colOff>403412</xdr:colOff>
      <xdr:row>36</xdr:row>
      <xdr:rowOff>44823</xdr:rowOff>
    </xdr:to>
    <xdr:sp macro="" textlink="">
      <xdr:nvSpPr>
        <xdr:cNvPr id="9" name="Freeform 8"/>
        <xdr:cNvSpPr/>
      </xdr:nvSpPr>
      <xdr:spPr>
        <a:xfrm>
          <a:off x="9222441" y="3899647"/>
          <a:ext cx="1467971" cy="1792941"/>
        </a:xfrm>
        <a:custGeom>
          <a:avLst/>
          <a:gdLst>
            <a:gd name="connsiteX0" fmla="*/ 302559 w 1467971"/>
            <a:gd name="connsiteY0" fmla="*/ 112059 h 1792941"/>
            <a:gd name="connsiteX1" fmla="*/ 156883 w 1467971"/>
            <a:gd name="connsiteY1" fmla="*/ 336177 h 1792941"/>
            <a:gd name="connsiteX2" fmla="*/ 112059 w 1467971"/>
            <a:gd name="connsiteY2" fmla="*/ 414618 h 1792941"/>
            <a:gd name="connsiteX3" fmla="*/ 89647 w 1467971"/>
            <a:gd name="connsiteY3" fmla="*/ 493059 h 1792941"/>
            <a:gd name="connsiteX4" fmla="*/ 67235 w 1467971"/>
            <a:gd name="connsiteY4" fmla="*/ 537882 h 1792941"/>
            <a:gd name="connsiteX5" fmla="*/ 56030 w 1467971"/>
            <a:gd name="connsiteY5" fmla="*/ 661147 h 1792941"/>
            <a:gd name="connsiteX6" fmla="*/ 44824 w 1467971"/>
            <a:gd name="connsiteY6" fmla="*/ 930088 h 1792941"/>
            <a:gd name="connsiteX7" fmla="*/ 22412 w 1467971"/>
            <a:gd name="connsiteY7" fmla="*/ 1064559 h 1792941"/>
            <a:gd name="connsiteX8" fmla="*/ 0 w 1467971"/>
            <a:gd name="connsiteY8" fmla="*/ 1176618 h 1792941"/>
            <a:gd name="connsiteX9" fmla="*/ 22412 w 1467971"/>
            <a:gd name="connsiteY9" fmla="*/ 1501588 h 1792941"/>
            <a:gd name="connsiteX10" fmla="*/ 33618 w 1467971"/>
            <a:gd name="connsiteY10" fmla="*/ 1535206 h 1792941"/>
            <a:gd name="connsiteX11" fmla="*/ 56030 w 1467971"/>
            <a:gd name="connsiteY11" fmla="*/ 1580029 h 1792941"/>
            <a:gd name="connsiteX12" fmla="*/ 89647 w 1467971"/>
            <a:gd name="connsiteY12" fmla="*/ 1602441 h 1792941"/>
            <a:gd name="connsiteX13" fmla="*/ 224118 w 1467971"/>
            <a:gd name="connsiteY13" fmla="*/ 1680882 h 1792941"/>
            <a:gd name="connsiteX14" fmla="*/ 257735 w 1467971"/>
            <a:gd name="connsiteY14" fmla="*/ 1703294 h 1792941"/>
            <a:gd name="connsiteX15" fmla="*/ 347383 w 1467971"/>
            <a:gd name="connsiteY15" fmla="*/ 1725706 h 1792941"/>
            <a:gd name="connsiteX16" fmla="*/ 414618 w 1467971"/>
            <a:gd name="connsiteY16" fmla="*/ 1748118 h 1792941"/>
            <a:gd name="connsiteX17" fmla="*/ 459441 w 1467971"/>
            <a:gd name="connsiteY17" fmla="*/ 1759324 h 1792941"/>
            <a:gd name="connsiteX18" fmla="*/ 493059 w 1467971"/>
            <a:gd name="connsiteY18" fmla="*/ 1770529 h 1792941"/>
            <a:gd name="connsiteX19" fmla="*/ 616324 w 1467971"/>
            <a:gd name="connsiteY19" fmla="*/ 1792941 h 1792941"/>
            <a:gd name="connsiteX20" fmla="*/ 896471 w 1467971"/>
            <a:gd name="connsiteY20" fmla="*/ 1781735 h 1792941"/>
            <a:gd name="connsiteX21" fmla="*/ 930088 w 1467971"/>
            <a:gd name="connsiteY21" fmla="*/ 1759324 h 1792941"/>
            <a:gd name="connsiteX22" fmla="*/ 997324 w 1467971"/>
            <a:gd name="connsiteY22" fmla="*/ 1736912 h 1792941"/>
            <a:gd name="connsiteX23" fmla="*/ 1120588 w 1467971"/>
            <a:gd name="connsiteY23" fmla="*/ 1669677 h 1792941"/>
            <a:gd name="connsiteX24" fmla="*/ 1187824 w 1467971"/>
            <a:gd name="connsiteY24" fmla="*/ 1602441 h 1792941"/>
            <a:gd name="connsiteX25" fmla="*/ 1255059 w 1467971"/>
            <a:gd name="connsiteY25" fmla="*/ 1535206 h 1792941"/>
            <a:gd name="connsiteX26" fmla="*/ 1299883 w 1467971"/>
            <a:gd name="connsiteY26" fmla="*/ 1467971 h 1792941"/>
            <a:gd name="connsiteX27" fmla="*/ 1411941 w 1467971"/>
            <a:gd name="connsiteY27" fmla="*/ 1378324 h 1792941"/>
            <a:gd name="connsiteX28" fmla="*/ 1434353 w 1467971"/>
            <a:gd name="connsiteY28" fmla="*/ 1344706 h 1792941"/>
            <a:gd name="connsiteX29" fmla="*/ 1445559 w 1467971"/>
            <a:gd name="connsiteY29" fmla="*/ 1288677 h 1792941"/>
            <a:gd name="connsiteX30" fmla="*/ 1467971 w 1467971"/>
            <a:gd name="connsiteY30" fmla="*/ 941294 h 1792941"/>
            <a:gd name="connsiteX31" fmla="*/ 1456765 w 1467971"/>
            <a:gd name="connsiteY31" fmla="*/ 470647 h 1792941"/>
            <a:gd name="connsiteX32" fmla="*/ 1434353 w 1467971"/>
            <a:gd name="connsiteY32" fmla="*/ 437029 h 1792941"/>
            <a:gd name="connsiteX33" fmla="*/ 1367118 w 1467971"/>
            <a:gd name="connsiteY33" fmla="*/ 324971 h 1792941"/>
            <a:gd name="connsiteX34" fmla="*/ 1299883 w 1467971"/>
            <a:gd name="connsiteY34" fmla="*/ 257735 h 1792941"/>
            <a:gd name="connsiteX35" fmla="*/ 1232647 w 1467971"/>
            <a:gd name="connsiteY35" fmla="*/ 212912 h 1792941"/>
            <a:gd name="connsiteX36" fmla="*/ 1210235 w 1467971"/>
            <a:gd name="connsiteY36" fmla="*/ 179294 h 1792941"/>
            <a:gd name="connsiteX37" fmla="*/ 1143000 w 1467971"/>
            <a:gd name="connsiteY37" fmla="*/ 145677 h 1792941"/>
            <a:gd name="connsiteX38" fmla="*/ 1098177 w 1467971"/>
            <a:gd name="connsiteY38" fmla="*/ 134471 h 1792941"/>
            <a:gd name="connsiteX39" fmla="*/ 1064559 w 1467971"/>
            <a:gd name="connsiteY39" fmla="*/ 112059 h 1792941"/>
            <a:gd name="connsiteX40" fmla="*/ 885265 w 1467971"/>
            <a:gd name="connsiteY40" fmla="*/ 67235 h 1792941"/>
            <a:gd name="connsiteX41" fmla="*/ 806824 w 1467971"/>
            <a:gd name="connsiteY41" fmla="*/ 44824 h 1792941"/>
            <a:gd name="connsiteX42" fmla="*/ 694765 w 1467971"/>
            <a:gd name="connsiteY42" fmla="*/ 22412 h 1792941"/>
            <a:gd name="connsiteX43" fmla="*/ 593912 w 1467971"/>
            <a:gd name="connsiteY43" fmla="*/ 0 h 1792941"/>
            <a:gd name="connsiteX44" fmla="*/ 336177 w 1467971"/>
            <a:gd name="connsiteY44" fmla="*/ 11206 h 1792941"/>
            <a:gd name="connsiteX45" fmla="*/ 280147 w 1467971"/>
            <a:gd name="connsiteY45" fmla="*/ 89647 h 1792941"/>
            <a:gd name="connsiteX46" fmla="*/ 302559 w 1467971"/>
            <a:gd name="connsiteY46" fmla="*/ 112059 h 17929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1467971" h="1792941">
              <a:moveTo>
                <a:pt x="302559" y="112059"/>
              </a:moveTo>
              <a:cubicBezTo>
                <a:pt x="282015" y="153147"/>
                <a:pt x="278918" y="136481"/>
                <a:pt x="156883" y="336177"/>
              </a:cubicBezTo>
              <a:cubicBezTo>
                <a:pt x="129967" y="380221"/>
                <a:pt x="134586" y="362055"/>
                <a:pt x="112059" y="414618"/>
              </a:cubicBezTo>
              <a:cubicBezTo>
                <a:pt x="84966" y="477835"/>
                <a:pt x="118083" y="417231"/>
                <a:pt x="89647" y="493059"/>
              </a:cubicBezTo>
              <a:cubicBezTo>
                <a:pt x="83782" y="508700"/>
                <a:pt x="74706" y="522941"/>
                <a:pt x="67235" y="537882"/>
              </a:cubicBezTo>
              <a:cubicBezTo>
                <a:pt x="63500" y="578970"/>
                <a:pt x="58384" y="619956"/>
                <a:pt x="56030" y="661147"/>
              </a:cubicBezTo>
              <a:cubicBezTo>
                <a:pt x="50911" y="750726"/>
                <a:pt x="52275" y="840673"/>
                <a:pt x="44824" y="930088"/>
              </a:cubicBezTo>
              <a:cubicBezTo>
                <a:pt x="41050" y="975373"/>
                <a:pt x="29883" y="1019735"/>
                <a:pt x="22412" y="1064559"/>
              </a:cubicBezTo>
              <a:cubicBezTo>
                <a:pt x="8674" y="1146985"/>
                <a:pt x="16716" y="1109752"/>
                <a:pt x="0" y="1176618"/>
              </a:cubicBezTo>
              <a:cubicBezTo>
                <a:pt x="7042" y="1352657"/>
                <a:pt x="-10673" y="1385790"/>
                <a:pt x="22412" y="1501588"/>
              </a:cubicBezTo>
              <a:cubicBezTo>
                <a:pt x="25657" y="1512946"/>
                <a:pt x="28965" y="1524349"/>
                <a:pt x="33618" y="1535206"/>
              </a:cubicBezTo>
              <a:cubicBezTo>
                <a:pt x="40198" y="1550560"/>
                <a:pt x="45336" y="1567196"/>
                <a:pt x="56030" y="1580029"/>
              </a:cubicBezTo>
              <a:cubicBezTo>
                <a:pt x="64652" y="1590375"/>
                <a:pt x="78099" y="1595512"/>
                <a:pt x="89647" y="1602441"/>
              </a:cubicBezTo>
              <a:cubicBezTo>
                <a:pt x="134144" y="1629139"/>
                <a:pt x="179294" y="1654735"/>
                <a:pt x="224118" y="1680882"/>
              </a:cubicBezTo>
              <a:cubicBezTo>
                <a:pt x="235751" y="1687668"/>
                <a:pt x="245689" y="1697271"/>
                <a:pt x="257735" y="1703294"/>
              </a:cubicBezTo>
              <a:cubicBezTo>
                <a:pt x="284936" y="1716895"/>
                <a:pt x="319253" y="1718034"/>
                <a:pt x="347383" y="1725706"/>
              </a:cubicBezTo>
              <a:cubicBezTo>
                <a:pt x="370175" y="1731922"/>
                <a:pt x="392206" y="1740647"/>
                <a:pt x="414618" y="1748118"/>
              </a:cubicBezTo>
              <a:cubicBezTo>
                <a:pt x="429229" y="1752988"/>
                <a:pt x="444633" y="1755093"/>
                <a:pt x="459441" y="1759324"/>
              </a:cubicBezTo>
              <a:cubicBezTo>
                <a:pt x="470799" y="1762569"/>
                <a:pt x="481600" y="1767664"/>
                <a:pt x="493059" y="1770529"/>
              </a:cubicBezTo>
              <a:cubicBezTo>
                <a:pt x="524389" y="1778361"/>
                <a:pt x="586344" y="1787944"/>
                <a:pt x="616324" y="1792941"/>
              </a:cubicBezTo>
              <a:cubicBezTo>
                <a:pt x="709706" y="1789206"/>
                <a:pt x="803546" y="1791691"/>
                <a:pt x="896471" y="1781735"/>
              </a:cubicBezTo>
              <a:cubicBezTo>
                <a:pt x="909862" y="1780300"/>
                <a:pt x="917781" y="1764794"/>
                <a:pt x="930088" y="1759324"/>
              </a:cubicBezTo>
              <a:cubicBezTo>
                <a:pt x="951676" y="1749729"/>
                <a:pt x="976194" y="1747477"/>
                <a:pt x="997324" y="1736912"/>
              </a:cubicBezTo>
              <a:cubicBezTo>
                <a:pt x="1011951" y="1729599"/>
                <a:pt x="1094269" y="1693072"/>
                <a:pt x="1120588" y="1669677"/>
              </a:cubicBezTo>
              <a:cubicBezTo>
                <a:pt x="1144277" y="1648620"/>
                <a:pt x="1165412" y="1624853"/>
                <a:pt x="1187824" y="1602441"/>
              </a:cubicBezTo>
              <a:lnTo>
                <a:pt x="1255059" y="1535206"/>
              </a:lnTo>
              <a:cubicBezTo>
                <a:pt x="1274105" y="1516160"/>
                <a:pt x="1277471" y="1482912"/>
                <a:pt x="1299883" y="1467971"/>
              </a:cubicBezTo>
              <a:cubicBezTo>
                <a:pt x="1357559" y="1429520"/>
                <a:pt x="1369362" y="1428000"/>
                <a:pt x="1411941" y="1378324"/>
              </a:cubicBezTo>
              <a:cubicBezTo>
                <a:pt x="1420706" y="1368098"/>
                <a:pt x="1426882" y="1355912"/>
                <a:pt x="1434353" y="1344706"/>
              </a:cubicBezTo>
              <a:cubicBezTo>
                <a:pt x="1438088" y="1326030"/>
                <a:pt x="1444371" y="1307686"/>
                <a:pt x="1445559" y="1288677"/>
              </a:cubicBezTo>
              <a:cubicBezTo>
                <a:pt x="1468130" y="927548"/>
                <a:pt x="1430640" y="1090616"/>
                <a:pt x="1467971" y="941294"/>
              </a:cubicBezTo>
              <a:cubicBezTo>
                <a:pt x="1464236" y="784412"/>
                <a:pt x="1467204" y="627226"/>
                <a:pt x="1456765" y="470647"/>
              </a:cubicBezTo>
              <a:cubicBezTo>
                <a:pt x="1455869" y="457209"/>
                <a:pt x="1441035" y="448722"/>
                <a:pt x="1434353" y="437029"/>
              </a:cubicBezTo>
              <a:cubicBezTo>
                <a:pt x="1410773" y="395765"/>
                <a:pt x="1403666" y="361520"/>
                <a:pt x="1367118" y="324971"/>
              </a:cubicBezTo>
              <a:lnTo>
                <a:pt x="1299883" y="257735"/>
              </a:lnTo>
              <a:cubicBezTo>
                <a:pt x="1280837" y="238688"/>
                <a:pt x="1232647" y="212912"/>
                <a:pt x="1232647" y="212912"/>
              </a:cubicBezTo>
              <a:cubicBezTo>
                <a:pt x="1225176" y="201706"/>
                <a:pt x="1219758" y="188817"/>
                <a:pt x="1210235" y="179294"/>
              </a:cubicBezTo>
              <a:cubicBezTo>
                <a:pt x="1190588" y="159647"/>
                <a:pt x="1168522" y="152969"/>
                <a:pt x="1143000" y="145677"/>
              </a:cubicBezTo>
              <a:cubicBezTo>
                <a:pt x="1128192" y="141446"/>
                <a:pt x="1113118" y="138206"/>
                <a:pt x="1098177" y="134471"/>
              </a:cubicBezTo>
              <a:cubicBezTo>
                <a:pt x="1086971" y="127000"/>
                <a:pt x="1076991" y="117239"/>
                <a:pt x="1064559" y="112059"/>
              </a:cubicBezTo>
              <a:cubicBezTo>
                <a:pt x="976969" y="75563"/>
                <a:pt x="970224" y="79372"/>
                <a:pt x="885265" y="67235"/>
              </a:cubicBezTo>
              <a:cubicBezTo>
                <a:pt x="849982" y="55474"/>
                <a:pt x="846228" y="53268"/>
                <a:pt x="806824" y="44824"/>
              </a:cubicBezTo>
              <a:cubicBezTo>
                <a:pt x="769577" y="36843"/>
                <a:pt x="731720" y="31651"/>
                <a:pt x="694765" y="22412"/>
              </a:cubicBezTo>
              <a:cubicBezTo>
                <a:pt x="631463" y="6587"/>
                <a:pt x="665043" y="14226"/>
                <a:pt x="593912" y="0"/>
              </a:cubicBezTo>
              <a:cubicBezTo>
                <a:pt x="508000" y="3735"/>
                <a:pt x="421170" y="-1870"/>
                <a:pt x="336177" y="11206"/>
              </a:cubicBezTo>
              <a:cubicBezTo>
                <a:pt x="312665" y="14823"/>
                <a:pt x="286543" y="74723"/>
                <a:pt x="280147" y="89647"/>
              </a:cubicBezTo>
              <a:cubicBezTo>
                <a:pt x="275494" y="100504"/>
                <a:pt x="323103" y="70971"/>
                <a:pt x="302559" y="112059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257735</xdr:colOff>
      <xdr:row>21</xdr:row>
      <xdr:rowOff>78442</xdr:rowOff>
    </xdr:from>
    <xdr:to>
      <xdr:col>14</xdr:col>
      <xdr:colOff>268941</xdr:colOff>
      <xdr:row>36</xdr:row>
      <xdr:rowOff>0</xdr:rowOff>
    </xdr:to>
    <xdr:sp macro="" textlink="">
      <xdr:nvSpPr>
        <xdr:cNvPr id="10" name="Freeform 9"/>
        <xdr:cNvSpPr/>
      </xdr:nvSpPr>
      <xdr:spPr>
        <a:xfrm>
          <a:off x="5703794" y="3372971"/>
          <a:ext cx="3036794" cy="2274794"/>
        </a:xfrm>
        <a:custGeom>
          <a:avLst/>
          <a:gdLst>
            <a:gd name="connsiteX0" fmla="*/ 2902324 w 3036794"/>
            <a:gd name="connsiteY0" fmla="*/ 717176 h 2274794"/>
            <a:gd name="connsiteX1" fmla="*/ 2958353 w 3036794"/>
            <a:gd name="connsiteY1" fmla="*/ 818029 h 2274794"/>
            <a:gd name="connsiteX2" fmla="*/ 2980765 w 3036794"/>
            <a:gd name="connsiteY2" fmla="*/ 885264 h 2274794"/>
            <a:gd name="connsiteX3" fmla="*/ 3003177 w 3036794"/>
            <a:gd name="connsiteY3" fmla="*/ 941294 h 2274794"/>
            <a:gd name="connsiteX4" fmla="*/ 3025588 w 3036794"/>
            <a:gd name="connsiteY4" fmla="*/ 1109382 h 2274794"/>
            <a:gd name="connsiteX5" fmla="*/ 3036794 w 3036794"/>
            <a:gd name="connsiteY5" fmla="*/ 1154205 h 2274794"/>
            <a:gd name="connsiteX6" fmla="*/ 3025588 w 3036794"/>
            <a:gd name="connsiteY6" fmla="*/ 1680882 h 2274794"/>
            <a:gd name="connsiteX7" fmla="*/ 2980765 w 3036794"/>
            <a:gd name="connsiteY7" fmla="*/ 1781735 h 2274794"/>
            <a:gd name="connsiteX8" fmla="*/ 2969559 w 3036794"/>
            <a:gd name="connsiteY8" fmla="*/ 1815353 h 2274794"/>
            <a:gd name="connsiteX9" fmla="*/ 2935941 w 3036794"/>
            <a:gd name="connsiteY9" fmla="*/ 1848970 h 2274794"/>
            <a:gd name="connsiteX10" fmla="*/ 2846294 w 3036794"/>
            <a:gd name="connsiteY10" fmla="*/ 1938617 h 2274794"/>
            <a:gd name="connsiteX11" fmla="*/ 2790265 w 3036794"/>
            <a:gd name="connsiteY11" fmla="*/ 1994647 h 2274794"/>
            <a:gd name="connsiteX12" fmla="*/ 2689412 w 3036794"/>
            <a:gd name="connsiteY12" fmla="*/ 2073088 h 2274794"/>
            <a:gd name="connsiteX13" fmla="*/ 2633382 w 3036794"/>
            <a:gd name="connsiteY13" fmla="*/ 2084294 h 2274794"/>
            <a:gd name="connsiteX14" fmla="*/ 2386853 w 3036794"/>
            <a:gd name="connsiteY14" fmla="*/ 2117911 h 2274794"/>
            <a:gd name="connsiteX15" fmla="*/ 2308412 w 3036794"/>
            <a:gd name="connsiteY15" fmla="*/ 2129117 h 2274794"/>
            <a:gd name="connsiteX16" fmla="*/ 2151530 w 3036794"/>
            <a:gd name="connsiteY16" fmla="*/ 2140323 h 2274794"/>
            <a:gd name="connsiteX17" fmla="*/ 2117912 w 3036794"/>
            <a:gd name="connsiteY17" fmla="*/ 2151529 h 2274794"/>
            <a:gd name="connsiteX18" fmla="*/ 2073088 w 3036794"/>
            <a:gd name="connsiteY18" fmla="*/ 2173941 h 2274794"/>
            <a:gd name="connsiteX19" fmla="*/ 2028265 w 3036794"/>
            <a:gd name="connsiteY19" fmla="*/ 2185147 h 2274794"/>
            <a:gd name="connsiteX20" fmla="*/ 1994647 w 3036794"/>
            <a:gd name="connsiteY20" fmla="*/ 2196353 h 2274794"/>
            <a:gd name="connsiteX21" fmla="*/ 1860177 w 3036794"/>
            <a:gd name="connsiteY21" fmla="*/ 2207558 h 2274794"/>
            <a:gd name="connsiteX22" fmla="*/ 1759324 w 3036794"/>
            <a:gd name="connsiteY22" fmla="*/ 2218764 h 2274794"/>
            <a:gd name="connsiteX23" fmla="*/ 1647265 w 3036794"/>
            <a:gd name="connsiteY23" fmla="*/ 2229970 h 2274794"/>
            <a:gd name="connsiteX24" fmla="*/ 1557618 w 3036794"/>
            <a:gd name="connsiteY24" fmla="*/ 2252382 h 2274794"/>
            <a:gd name="connsiteX25" fmla="*/ 1490382 w 3036794"/>
            <a:gd name="connsiteY25" fmla="*/ 2263588 h 2274794"/>
            <a:gd name="connsiteX26" fmla="*/ 1434353 w 3036794"/>
            <a:gd name="connsiteY26" fmla="*/ 2274794 h 2274794"/>
            <a:gd name="connsiteX27" fmla="*/ 1120588 w 3036794"/>
            <a:gd name="connsiteY27" fmla="*/ 2263588 h 2274794"/>
            <a:gd name="connsiteX28" fmla="*/ 1075765 w 3036794"/>
            <a:gd name="connsiteY28" fmla="*/ 2252382 h 2274794"/>
            <a:gd name="connsiteX29" fmla="*/ 851647 w 3036794"/>
            <a:gd name="connsiteY29" fmla="*/ 2229970 h 2274794"/>
            <a:gd name="connsiteX30" fmla="*/ 493059 w 3036794"/>
            <a:gd name="connsiteY30" fmla="*/ 2084294 h 2274794"/>
            <a:gd name="connsiteX31" fmla="*/ 358588 w 3036794"/>
            <a:gd name="connsiteY31" fmla="*/ 2028264 h 2274794"/>
            <a:gd name="connsiteX32" fmla="*/ 313765 w 3036794"/>
            <a:gd name="connsiteY32" fmla="*/ 1994647 h 2274794"/>
            <a:gd name="connsiteX33" fmla="*/ 280147 w 3036794"/>
            <a:gd name="connsiteY33" fmla="*/ 1983441 h 2274794"/>
            <a:gd name="connsiteX34" fmla="*/ 246530 w 3036794"/>
            <a:gd name="connsiteY34" fmla="*/ 1961029 h 2274794"/>
            <a:gd name="connsiteX35" fmla="*/ 201706 w 3036794"/>
            <a:gd name="connsiteY35" fmla="*/ 1938617 h 2274794"/>
            <a:gd name="connsiteX36" fmla="*/ 134471 w 3036794"/>
            <a:gd name="connsiteY36" fmla="*/ 1893794 h 2274794"/>
            <a:gd name="connsiteX37" fmla="*/ 78441 w 3036794"/>
            <a:gd name="connsiteY37" fmla="*/ 1826558 h 2274794"/>
            <a:gd name="connsiteX38" fmla="*/ 22412 w 3036794"/>
            <a:gd name="connsiteY38" fmla="*/ 1759323 h 2274794"/>
            <a:gd name="connsiteX39" fmla="*/ 0 w 3036794"/>
            <a:gd name="connsiteY39" fmla="*/ 1692088 h 2274794"/>
            <a:gd name="connsiteX40" fmla="*/ 11206 w 3036794"/>
            <a:gd name="connsiteY40" fmla="*/ 930088 h 2274794"/>
            <a:gd name="connsiteX41" fmla="*/ 22412 w 3036794"/>
            <a:gd name="connsiteY41" fmla="*/ 896470 h 2274794"/>
            <a:gd name="connsiteX42" fmla="*/ 33618 w 3036794"/>
            <a:gd name="connsiteY42" fmla="*/ 840441 h 2274794"/>
            <a:gd name="connsiteX43" fmla="*/ 56030 w 3036794"/>
            <a:gd name="connsiteY43" fmla="*/ 762000 h 2274794"/>
            <a:gd name="connsiteX44" fmla="*/ 78441 w 3036794"/>
            <a:gd name="connsiteY44" fmla="*/ 717176 h 2274794"/>
            <a:gd name="connsiteX45" fmla="*/ 89647 w 3036794"/>
            <a:gd name="connsiteY45" fmla="*/ 661147 h 2274794"/>
            <a:gd name="connsiteX46" fmla="*/ 100853 w 3036794"/>
            <a:gd name="connsiteY46" fmla="*/ 627529 h 2274794"/>
            <a:gd name="connsiteX47" fmla="*/ 112059 w 3036794"/>
            <a:gd name="connsiteY47" fmla="*/ 582705 h 2274794"/>
            <a:gd name="connsiteX48" fmla="*/ 134471 w 3036794"/>
            <a:gd name="connsiteY48" fmla="*/ 481853 h 2274794"/>
            <a:gd name="connsiteX49" fmla="*/ 145677 w 3036794"/>
            <a:gd name="connsiteY49" fmla="*/ 392205 h 2274794"/>
            <a:gd name="connsiteX50" fmla="*/ 156882 w 3036794"/>
            <a:gd name="connsiteY50" fmla="*/ 336176 h 2274794"/>
            <a:gd name="connsiteX51" fmla="*/ 190500 w 3036794"/>
            <a:gd name="connsiteY51" fmla="*/ 134470 h 2274794"/>
            <a:gd name="connsiteX52" fmla="*/ 246530 w 3036794"/>
            <a:gd name="connsiteY52" fmla="*/ 67235 h 2274794"/>
            <a:gd name="connsiteX53" fmla="*/ 313765 w 3036794"/>
            <a:gd name="connsiteY53" fmla="*/ 44823 h 2274794"/>
            <a:gd name="connsiteX54" fmla="*/ 347382 w 3036794"/>
            <a:gd name="connsiteY54" fmla="*/ 22411 h 2274794"/>
            <a:gd name="connsiteX55" fmla="*/ 392206 w 3036794"/>
            <a:gd name="connsiteY55" fmla="*/ 11205 h 2274794"/>
            <a:gd name="connsiteX56" fmla="*/ 425824 w 3036794"/>
            <a:gd name="connsiteY56" fmla="*/ 0 h 2274794"/>
            <a:gd name="connsiteX57" fmla="*/ 627530 w 3036794"/>
            <a:gd name="connsiteY57" fmla="*/ 22411 h 2274794"/>
            <a:gd name="connsiteX58" fmla="*/ 683559 w 3036794"/>
            <a:gd name="connsiteY58" fmla="*/ 33617 h 2274794"/>
            <a:gd name="connsiteX59" fmla="*/ 717177 w 3036794"/>
            <a:gd name="connsiteY59" fmla="*/ 44823 h 2274794"/>
            <a:gd name="connsiteX60" fmla="*/ 806824 w 3036794"/>
            <a:gd name="connsiteY60" fmla="*/ 78441 h 2274794"/>
            <a:gd name="connsiteX61" fmla="*/ 874059 w 3036794"/>
            <a:gd name="connsiteY61" fmla="*/ 123264 h 2274794"/>
            <a:gd name="connsiteX62" fmla="*/ 907677 w 3036794"/>
            <a:gd name="connsiteY62" fmla="*/ 145676 h 2274794"/>
            <a:gd name="connsiteX63" fmla="*/ 952500 w 3036794"/>
            <a:gd name="connsiteY63" fmla="*/ 212911 h 2274794"/>
            <a:gd name="connsiteX64" fmla="*/ 974912 w 3036794"/>
            <a:gd name="connsiteY64" fmla="*/ 246529 h 2274794"/>
            <a:gd name="connsiteX65" fmla="*/ 1120588 w 3036794"/>
            <a:gd name="connsiteY65" fmla="*/ 392205 h 2274794"/>
            <a:gd name="connsiteX66" fmla="*/ 1221441 w 3036794"/>
            <a:gd name="connsiteY66" fmla="*/ 425823 h 2274794"/>
            <a:gd name="connsiteX67" fmla="*/ 1378324 w 3036794"/>
            <a:gd name="connsiteY67" fmla="*/ 470647 h 2274794"/>
            <a:gd name="connsiteX68" fmla="*/ 1703294 w 3036794"/>
            <a:gd name="connsiteY68" fmla="*/ 481853 h 2274794"/>
            <a:gd name="connsiteX69" fmla="*/ 1759324 w 3036794"/>
            <a:gd name="connsiteY69" fmla="*/ 493058 h 2274794"/>
            <a:gd name="connsiteX70" fmla="*/ 1882588 w 3036794"/>
            <a:gd name="connsiteY70" fmla="*/ 504264 h 2274794"/>
            <a:gd name="connsiteX71" fmla="*/ 1916206 w 3036794"/>
            <a:gd name="connsiteY71" fmla="*/ 515470 h 2274794"/>
            <a:gd name="connsiteX72" fmla="*/ 1961030 w 3036794"/>
            <a:gd name="connsiteY72" fmla="*/ 526676 h 2274794"/>
            <a:gd name="connsiteX73" fmla="*/ 2084294 w 3036794"/>
            <a:gd name="connsiteY73" fmla="*/ 560294 h 2274794"/>
            <a:gd name="connsiteX74" fmla="*/ 2218765 w 3036794"/>
            <a:gd name="connsiteY74" fmla="*/ 649941 h 2274794"/>
            <a:gd name="connsiteX75" fmla="*/ 2297206 w 3036794"/>
            <a:gd name="connsiteY75" fmla="*/ 705970 h 2274794"/>
            <a:gd name="connsiteX76" fmla="*/ 2342030 w 3036794"/>
            <a:gd name="connsiteY76" fmla="*/ 717176 h 2274794"/>
            <a:gd name="connsiteX77" fmla="*/ 2409265 w 3036794"/>
            <a:gd name="connsiteY77" fmla="*/ 739588 h 2274794"/>
            <a:gd name="connsiteX78" fmla="*/ 2454088 w 3036794"/>
            <a:gd name="connsiteY78" fmla="*/ 750794 h 2274794"/>
            <a:gd name="connsiteX79" fmla="*/ 2487706 w 3036794"/>
            <a:gd name="connsiteY79" fmla="*/ 762000 h 2274794"/>
            <a:gd name="connsiteX80" fmla="*/ 2902324 w 3036794"/>
            <a:gd name="connsiteY80" fmla="*/ 717176 h 2274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</a:cxnLst>
          <a:rect l="l" t="t" r="r" b="b"/>
          <a:pathLst>
            <a:path w="3036794" h="2274794">
              <a:moveTo>
                <a:pt x="2902324" y="717176"/>
              </a:moveTo>
              <a:cubicBezTo>
                <a:pt x="2980765" y="726514"/>
                <a:pt x="2945492" y="785877"/>
                <a:pt x="2958353" y="818029"/>
              </a:cubicBezTo>
              <a:cubicBezTo>
                <a:pt x="2967127" y="839963"/>
                <a:pt x="2973294" y="862852"/>
                <a:pt x="2980765" y="885264"/>
              </a:cubicBezTo>
              <a:cubicBezTo>
                <a:pt x="2987126" y="904347"/>
                <a:pt x="2995706" y="922617"/>
                <a:pt x="3003177" y="941294"/>
              </a:cubicBezTo>
              <a:cubicBezTo>
                <a:pt x="3007081" y="972530"/>
                <a:pt x="3019399" y="1075345"/>
                <a:pt x="3025588" y="1109382"/>
              </a:cubicBezTo>
              <a:cubicBezTo>
                <a:pt x="3028343" y="1124534"/>
                <a:pt x="3033059" y="1139264"/>
                <a:pt x="3036794" y="1154205"/>
              </a:cubicBezTo>
              <a:cubicBezTo>
                <a:pt x="3033059" y="1329764"/>
                <a:pt x="3035511" y="1505564"/>
                <a:pt x="3025588" y="1680882"/>
              </a:cubicBezTo>
              <a:cubicBezTo>
                <a:pt x="3021897" y="1746085"/>
                <a:pt x="3003181" y="1736903"/>
                <a:pt x="2980765" y="1781735"/>
              </a:cubicBezTo>
              <a:cubicBezTo>
                <a:pt x="2975482" y="1792300"/>
                <a:pt x="2976111" y="1805525"/>
                <a:pt x="2969559" y="1815353"/>
              </a:cubicBezTo>
              <a:cubicBezTo>
                <a:pt x="2960768" y="1828539"/>
                <a:pt x="2946377" y="1837044"/>
                <a:pt x="2935941" y="1848970"/>
              </a:cubicBezTo>
              <a:cubicBezTo>
                <a:pt x="2864042" y="1931141"/>
                <a:pt x="2922285" y="1881626"/>
                <a:pt x="2846294" y="1938617"/>
              </a:cubicBezTo>
              <a:cubicBezTo>
                <a:pt x="2800113" y="2007889"/>
                <a:pt x="2851386" y="1940316"/>
                <a:pt x="2790265" y="1994647"/>
              </a:cubicBezTo>
              <a:cubicBezTo>
                <a:pt x="2723822" y="2053708"/>
                <a:pt x="2749690" y="2058018"/>
                <a:pt x="2689412" y="2073088"/>
              </a:cubicBezTo>
              <a:cubicBezTo>
                <a:pt x="2670934" y="2077707"/>
                <a:pt x="2652059" y="2080559"/>
                <a:pt x="2633382" y="2084294"/>
              </a:cubicBezTo>
              <a:cubicBezTo>
                <a:pt x="2525176" y="2138396"/>
                <a:pt x="2617948" y="2099423"/>
                <a:pt x="2386853" y="2117911"/>
              </a:cubicBezTo>
              <a:cubicBezTo>
                <a:pt x="2360525" y="2120017"/>
                <a:pt x="2334705" y="2126613"/>
                <a:pt x="2308412" y="2129117"/>
              </a:cubicBezTo>
              <a:cubicBezTo>
                <a:pt x="2256221" y="2134088"/>
                <a:pt x="2203824" y="2136588"/>
                <a:pt x="2151530" y="2140323"/>
              </a:cubicBezTo>
              <a:cubicBezTo>
                <a:pt x="2140324" y="2144058"/>
                <a:pt x="2128769" y="2146876"/>
                <a:pt x="2117912" y="2151529"/>
              </a:cubicBezTo>
              <a:cubicBezTo>
                <a:pt x="2102558" y="2158109"/>
                <a:pt x="2088729" y="2168075"/>
                <a:pt x="2073088" y="2173941"/>
              </a:cubicBezTo>
              <a:cubicBezTo>
                <a:pt x="2058668" y="2179349"/>
                <a:pt x="2043073" y="2180916"/>
                <a:pt x="2028265" y="2185147"/>
              </a:cubicBezTo>
              <a:cubicBezTo>
                <a:pt x="2016907" y="2188392"/>
                <a:pt x="2006356" y="2194792"/>
                <a:pt x="1994647" y="2196353"/>
              </a:cubicBezTo>
              <a:cubicBezTo>
                <a:pt x="1950063" y="2202297"/>
                <a:pt x="1904953" y="2203294"/>
                <a:pt x="1860177" y="2207558"/>
              </a:cubicBezTo>
              <a:cubicBezTo>
                <a:pt x="1826505" y="2210765"/>
                <a:pt x="1792963" y="2215223"/>
                <a:pt x="1759324" y="2218764"/>
              </a:cubicBezTo>
              <a:cubicBezTo>
                <a:pt x="1721991" y="2222694"/>
                <a:pt x="1684475" y="2225009"/>
                <a:pt x="1647265" y="2229970"/>
              </a:cubicBezTo>
              <a:cubicBezTo>
                <a:pt x="1526175" y="2246115"/>
                <a:pt x="1642468" y="2233526"/>
                <a:pt x="1557618" y="2252382"/>
              </a:cubicBezTo>
              <a:cubicBezTo>
                <a:pt x="1535438" y="2257311"/>
                <a:pt x="1512737" y="2259523"/>
                <a:pt x="1490382" y="2263588"/>
              </a:cubicBezTo>
              <a:cubicBezTo>
                <a:pt x="1471643" y="2266995"/>
                <a:pt x="1453029" y="2271059"/>
                <a:pt x="1434353" y="2274794"/>
              </a:cubicBezTo>
              <a:cubicBezTo>
                <a:pt x="1329765" y="2271059"/>
                <a:pt x="1225039" y="2270116"/>
                <a:pt x="1120588" y="2263588"/>
              </a:cubicBezTo>
              <a:cubicBezTo>
                <a:pt x="1105217" y="2262627"/>
                <a:pt x="1091047" y="2254292"/>
                <a:pt x="1075765" y="2252382"/>
              </a:cubicBezTo>
              <a:cubicBezTo>
                <a:pt x="1001266" y="2243070"/>
                <a:pt x="851647" y="2229970"/>
                <a:pt x="851647" y="2229970"/>
              </a:cubicBezTo>
              <a:cubicBezTo>
                <a:pt x="661921" y="2166729"/>
                <a:pt x="783291" y="2210482"/>
                <a:pt x="493059" y="2084294"/>
              </a:cubicBezTo>
              <a:cubicBezTo>
                <a:pt x="342801" y="2018964"/>
                <a:pt x="479111" y="2052369"/>
                <a:pt x="358588" y="2028264"/>
              </a:cubicBezTo>
              <a:cubicBezTo>
                <a:pt x="343647" y="2017058"/>
                <a:pt x="329981" y="2003913"/>
                <a:pt x="313765" y="1994647"/>
              </a:cubicBezTo>
              <a:cubicBezTo>
                <a:pt x="303509" y="1988787"/>
                <a:pt x="290712" y="1988724"/>
                <a:pt x="280147" y="1983441"/>
              </a:cubicBezTo>
              <a:cubicBezTo>
                <a:pt x="268101" y="1977418"/>
                <a:pt x="258223" y="1967711"/>
                <a:pt x="246530" y="1961029"/>
              </a:cubicBezTo>
              <a:cubicBezTo>
                <a:pt x="232026" y="1952741"/>
                <a:pt x="215299" y="1948326"/>
                <a:pt x="201706" y="1938617"/>
              </a:cubicBezTo>
              <a:cubicBezTo>
                <a:pt x="128258" y="1886155"/>
                <a:pt x="206584" y="1917832"/>
                <a:pt x="134471" y="1893794"/>
              </a:cubicBezTo>
              <a:cubicBezTo>
                <a:pt x="36257" y="1795580"/>
                <a:pt x="156446" y="1920165"/>
                <a:pt x="78441" y="1826558"/>
              </a:cubicBezTo>
              <a:cubicBezTo>
                <a:pt x="53308" y="1796398"/>
                <a:pt x="38311" y="1795095"/>
                <a:pt x="22412" y="1759323"/>
              </a:cubicBezTo>
              <a:cubicBezTo>
                <a:pt x="12817" y="1737735"/>
                <a:pt x="0" y="1692088"/>
                <a:pt x="0" y="1692088"/>
              </a:cubicBezTo>
              <a:cubicBezTo>
                <a:pt x="3735" y="1438088"/>
                <a:pt x="4053" y="1184015"/>
                <a:pt x="11206" y="930088"/>
              </a:cubicBezTo>
              <a:cubicBezTo>
                <a:pt x="11539" y="918281"/>
                <a:pt x="19547" y="907929"/>
                <a:pt x="22412" y="896470"/>
              </a:cubicBezTo>
              <a:cubicBezTo>
                <a:pt x="27031" y="877992"/>
                <a:pt x="29486" y="859034"/>
                <a:pt x="33618" y="840441"/>
              </a:cubicBezTo>
              <a:cubicBezTo>
                <a:pt x="37993" y="820753"/>
                <a:pt x="47390" y="782161"/>
                <a:pt x="56030" y="762000"/>
              </a:cubicBezTo>
              <a:cubicBezTo>
                <a:pt x="62610" y="746646"/>
                <a:pt x="70971" y="732117"/>
                <a:pt x="78441" y="717176"/>
              </a:cubicBezTo>
              <a:cubicBezTo>
                <a:pt x="82176" y="698500"/>
                <a:pt x="85028" y="679625"/>
                <a:pt x="89647" y="661147"/>
              </a:cubicBezTo>
              <a:cubicBezTo>
                <a:pt x="92512" y="649688"/>
                <a:pt x="97608" y="638887"/>
                <a:pt x="100853" y="627529"/>
              </a:cubicBezTo>
              <a:cubicBezTo>
                <a:pt x="105084" y="612720"/>
                <a:pt x="108718" y="597739"/>
                <a:pt x="112059" y="582705"/>
              </a:cubicBezTo>
              <a:cubicBezTo>
                <a:pt x="140509" y="454680"/>
                <a:pt x="107144" y="591158"/>
                <a:pt x="134471" y="481853"/>
              </a:cubicBezTo>
              <a:cubicBezTo>
                <a:pt x="138206" y="451970"/>
                <a:pt x="141098" y="421970"/>
                <a:pt x="145677" y="392205"/>
              </a:cubicBezTo>
              <a:cubicBezTo>
                <a:pt x="148573" y="373380"/>
                <a:pt x="154365" y="355055"/>
                <a:pt x="156882" y="336176"/>
              </a:cubicBezTo>
              <a:cubicBezTo>
                <a:pt x="181344" y="152703"/>
                <a:pt x="150621" y="293984"/>
                <a:pt x="190500" y="134470"/>
              </a:cubicBezTo>
              <a:cubicBezTo>
                <a:pt x="194325" y="119171"/>
                <a:pt x="235605" y="73304"/>
                <a:pt x="246530" y="67235"/>
              </a:cubicBezTo>
              <a:cubicBezTo>
                <a:pt x="267181" y="55762"/>
                <a:pt x="313765" y="44823"/>
                <a:pt x="313765" y="44823"/>
              </a:cubicBezTo>
              <a:cubicBezTo>
                <a:pt x="324971" y="37352"/>
                <a:pt x="335003" y="27716"/>
                <a:pt x="347382" y="22411"/>
              </a:cubicBezTo>
              <a:cubicBezTo>
                <a:pt x="361538" y="16344"/>
                <a:pt x="377397" y="15436"/>
                <a:pt x="392206" y="11205"/>
              </a:cubicBezTo>
              <a:cubicBezTo>
                <a:pt x="403564" y="7960"/>
                <a:pt x="414618" y="3735"/>
                <a:pt x="425824" y="0"/>
              </a:cubicBezTo>
              <a:cubicBezTo>
                <a:pt x="516836" y="8273"/>
                <a:pt x="545733" y="8778"/>
                <a:pt x="627530" y="22411"/>
              </a:cubicBezTo>
              <a:cubicBezTo>
                <a:pt x="646317" y="25542"/>
                <a:pt x="665081" y="28998"/>
                <a:pt x="683559" y="33617"/>
              </a:cubicBezTo>
              <a:cubicBezTo>
                <a:pt x="695018" y="36482"/>
                <a:pt x="705971" y="41088"/>
                <a:pt x="717177" y="44823"/>
              </a:cubicBezTo>
              <a:cubicBezTo>
                <a:pt x="825381" y="116961"/>
                <a:pt x="654515" y="9211"/>
                <a:pt x="806824" y="78441"/>
              </a:cubicBezTo>
              <a:cubicBezTo>
                <a:pt x="831345" y="89587"/>
                <a:pt x="851647" y="108323"/>
                <a:pt x="874059" y="123264"/>
              </a:cubicBezTo>
              <a:lnTo>
                <a:pt x="907677" y="145676"/>
              </a:lnTo>
              <a:lnTo>
                <a:pt x="952500" y="212911"/>
              </a:lnTo>
              <a:cubicBezTo>
                <a:pt x="959971" y="224117"/>
                <a:pt x="965389" y="237006"/>
                <a:pt x="974912" y="246529"/>
              </a:cubicBezTo>
              <a:lnTo>
                <a:pt x="1120588" y="392205"/>
              </a:lnTo>
              <a:cubicBezTo>
                <a:pt x="1145645" y="417262"/>
                <a:pt x="1187823" y="414617"/>
                <a:pt x="1221441" y="425823"/>
              </a:cubicBezTo>
              <a:cubicBezTo>
                <a:pt x="1323293" y="459774"/>
                <a:pt x="1272525" y="464769"/>
                <a:pt x="1378324" y="470647"/>
              </a:cubicBezTo>
              <a:cubicBezTo>
                <a:pt x="1486545" y="476659"/>
                <a:pt x="1594971" y="478118"/>
                <a:pt x="1703294" y="481853"/>
              </a:cubicBezTo>
              <a:cubicBezTo>
                <a:pt x="1721971" y="485588"/>
                <a:pt x="1740425" y="490696"/>
                <a:pt x="1759324" y="493058"/>
              </a:cubicBezTo>
              <a:cubicBezTo>
                <a:pt x="1800263" y="498175"/>
                <a:pt x="1841745" y="498429"/>
                <a:pt x="1882588" y="504264"/>
              </a:cubicBezTo>
              <a:cubicBezTo>
                <a:pt x="1894281" y="505935"/>
                <a:pt x="1904848" y="512225"/>
                <a:pt x="1916206" y="515470"/>
              </a:cubicBezTo>
              <a:cubicBezTo>
                <a:pt x="1931015" y="519701"/>
                <a:pt x="1945996" y="523335"/>
                <a:pt x="1961030" y="526676"/>
              </a:cubicBezTo>
              <a:cubicBezTo>
                <a:pt x="1992605" y="533693"/>
                <a:pt x="2058055" y="542802"/>
                <a:pt x="2084294" y="560294"/>
              </a:cubicBezTo>
              <a:lnTo>
                <a:pt x="2218765" y="649941"/>
              </a:lnTo>
              <a:cubicBezTo>
                <a:pt x="2225653" y="654533"/>
                <a:pt x="2283174" y="699956"/>
                <a:pt x="2297206" y="705970"/>
              </a:cubicBezTo>
              <a:cubicBezTo>
                <a:pt x="2311362" y="712037"/>
                <a:pt x="2327278" y="712750"/>
                <a:pt x="2342030" y="717176"/>
              </a:cubicBezTo>
              <a:cubicBezTo>
                <a:pt x="2364658" y="723964"/>
                <a:pt x="2386853" y="732117"/>
                <a:pt x="2409265" y="739588"/>
              </a:cubicBezTo>
              <a:cubicBezTo>
                <a:pt x="2423876" y="744458"/>
                <a:pt x="2439280" y="746563"/>
                <a:pt x="2454088" y="750794"/>
              </a:cubicBezTo>
              <a:cubicBezTo>
                <a:pt x="2465446" y="754039"/>
                <a:pt x="2476500" y="758265"/>
                <a:pt x="2487706" y="762000"/>
              </a:cubicBezTo>
              <a:cubicBezTo>
                <a:pt x="2907605" y="750651"/>
                <a:pt x="2823883" y="707838"/>
                <a:pt x="2902324" y="717176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421341</xdr:colOff>
      <xdr:row>39</xdr:row>
      <xdr:rowOff>107578</xdr:rowOff>
    </xdr:from>
    <xdr:to>
      <xdr:col>9</xdr:col>
      <xdr:colOff>537882</xdr:colOff>
      <xdr:row>44</xdr:row>
      <xdr:rowOff>33618</xdr:rowOff>
    </xdr:to>
    <xdr:sp macro="" textlink="">
      <xdr:nvSpPr>
        <xdr:cNvPr id="11" name="Freeform 10"/>
        <xdr:cNvSpPr/>
      </xdr:nvSpPr>
      <xdr:spPr>
        <a:xfrm>
          <a:off x="5262282" y="6225990"/>
          <a:ext cx="721659" cy="710452"/>
        </a:xfrm>
        <a:custGeom>
          <a:avLst/>
          <a:gdLst>
            <a:gd name="connsiteX0" fmla="*/ 302559 w 1467971"/>
            <a:gd name="connsiteY0" fmla="*/ 112059 h 1792941"/>
            <a:gd name="connsiteX1" fmla="*/ 156883 w 1467971"/>
            <a:gd name="connsiteY1" fmla="*/ 336177 h 1792941"/>
            <a:gd name="connsiteX2" fmla="*/ 112059 w 1467971"/>
            <a:gd name="connsiteY2" fmla="*/ 414618 h 1792941"/>
            <a:gd name="connsiteX3" fmla="*/ 89647 w 1467971"/>
            <a:gd name="connsiteY3" fmla="*/ 493059 h 1792941"/>
            <a:gd name="connsiteX4" fmla="*/ 67235 w 1467971"/>
            <a:gd name="connsiteY4" fmla="*/ 537882 h 1792941"/>
            <a:gd name="connsiteX5" fmla="*/ 56030 w 1467971"/>
            <a:gd name="connsiteY5" fmla="*/ 661147 h 1792941"/>
            <a:gd name="connsiteX6" fmla="*/ 44824 w 1467971"/>
            <a:gd name="connsiteY6" fmla="*/ 930088 h 1792941"/>
            <a:gd name="connsiteX7" fmla="*/ 22412 w 1467971"/>
            <a:gd name="connsiteY7" fmla="*/ 1064559 h 1792941"/>
            <a:gd name="connsiteX8" fmla="*/ 0 w 1467971"/>
            <a:gd name="connsiteY8" fmla="*/ 1176618 h 1792941"/>
            <a:gd name="connsiteX9" fmla="*/ 22412 w 1467971"/>
            <a:gd name="connsiteY9" fmla="*/ 1501588 h 1792941"/>
            <a:gd name="connsiteX10" fmla="*/ 33618 w 1467971"/>
            <a:gd name="connsiteY10" fmla="*/ 1535206 h 1792941"/>
            <a:gd name="connsiteX11" fmla="*/ 56030 w 1467971"/>
            <a:gd name="connsiteY11" fmla="*/ 1580029 h 1792941"/>
            <a:gd name="connsiteX12" fmla="*/ 89647 w 1467971"/>
            <a:gd name="connsiteY12" fmla="*/ 1602441 h 1792941"/>
            <a:gd name="connsiteX13" fmla="*/ 224118 w 1467971"/>
            <a:gd name="connsiteY13" fmla="*/ 1680882 h 1792941"/>
            <a:gd name="connsiteX14" fmla="*/ 257735 w 1467971"/>
            <a:gd name="connsiteY14" fmla="*/ 1703294 h 1792941"/>
            <a:gd name="connsiteX15" fmla="*/ 347383 w 1467971"/>
            <a:gd name="connsiteY15" fmla="*/ 1725706 h 1792941"/>
            <a:gd name="connsiteX16" fmla="*/ 414618 w 1467971"/>
            <a:gd name="connsiteY16" fmla="*/ 1748118 h 1792941"/>
            <a:gd name="connsiteX17" fmla="*/ 459441 w 1467971"/>
            <a:gd name="connsiteY17" fmla="*/ 1759324 h 1792941"/>
            <a:gd name="connsiteX18" fmla="*/ 493059 w 1467971"/>
            <a:gd name="connsiteY18" fmla="*/ 1770529 h 1792941"/>
            <a:gd name="connsiteX19" fmla="*/ 616324 w 1467971"/>
            <a:gd name="connsiteY19" fmla="*/ 1792941 h 1792941"/>
            <a:gd name="connsiteX20" fmla="*/ 896471 w 1467971"/>
            <a:gd name="connsiteY20" fmla="*/ 1781735 h 1792941"/>
            <a:gd name="connsiteX21" fmla="*/ 930088 w 1467971"/>
            <a:gd name="connsiteY21" fmla="*/ 1759324 h 1792941"/>
            <a:gd name="connsiteX22" fmla="*/ 997324 w 1467971"/>
            <a:gd name="connsiteY22" fmla="*/ 1736912 h 1792941"/>
            <a:gd name="connsiteX23" fmla="*/ 1120588 w 1467971"/>
            <a:gd name="connsiteY23" fmla="*/ 1669677 h 1792941"/>
            <a:gd name="connsiteX24" fmla="*/ 1187824 w 1467971"/>
            <a:gd name="connsiteY24" fmla="*/ 1602441 h 1792941"/>
            <a:gd name="connsiteX25" fmla="*/ 1255059 w 1467971"/>
            <a:gd name="connsiteY25" fmla="*/ 1535206 h 1792941"/>
            <a:gd name="connsiteX26" fmla="*/ 1299883 w 1467971"/>
            <a:gd name="connsiteY26" fmla="*/ 1467971 h 1792941"/>
            <a:gd name="connsiteX27" fmla="*/ 1411941 w 1467971"/>
            <a:gd name="connsiteY27" fmla="*/ 1378324 h 1792941"/>
            <a:gd name="connsiteX28" fmla="*/ 1434353 w 1467971"/>
            <a:gd name="connsiteY28" fmla="*/ 1344706 h 1792941"/>
            <a:gd name="connsiteX29" fmla="*/ 1445559 w 1467971"/>
            <a:gd name="connsiteY29" fmla="*/ 1288677 h 1792941"/>
            <a:gd name="connsiteX30" fmla="*/ 1467971 w 1467971"/>
            <a:gd name="connsiteY30" fmla="*/ 941294 h 1792941"/>
            <a:gd name="connsiteX31" fmla="*/ 1456765 w 1467971"/>
            <a:gd name="connsiteY31" fmla="*/ 470647 h 1792941"/>
            <a:gd name="connsiteX32" fmla="*/ 1434353 w 1467971"/>
            <a:gd name="connsiteY32" fmla="*/ 437029 h 1792941"/>
            <a:gd name="connsiteX33" fmla="*/ 1367118 w 1467971"/>
            <a:gd name="connsiteY33" fmla="*/ 324971 h 1792941"/>
            <a:gd name="connsiteX34" fmla="*/ 1299883 w 1467971"/>
            <a:gd name="connsiteY34" fmla="*/ 257735 h 1792941"/>
            <a:gd name="connsiteX35" fmla="*/ 1232647 w 1467971"/>
            <a:gd name="connsiteY35" fmla="*/ 212912 h 1792941"/>
            <a:gd name="connsiteX36" fmla="*/ 1210235 w 1467971"/>
            <a:gd name="connsiteY36" fmla="*/ 179294 h 1792941"/>
            <a:gd name="connsiteX37" fmla="*/ 1143000 w 1467971"/>
            <a:gd name="connsiteY37" fmla="*/ 145677 h 1792941"/>
            <a:gd name="connsiteX38" fmla="*/ 1098177 w 1467971"/>
            <a:gd name="connsiteY38" fmla="*/ 134471 h 1792941"/>
            <a:gd name="connsiteX39" fmla="*/ 1064559 w 1467971"/>
            <a:gd name="connsiteY39" fmla="*/ 112059 h 1792941"/>
            <a:gd name="connsiteX40" fmla="*/ 885265 w 1467971"/>
            <a:gd name="connsiteY40" fmla="*/ 67235 h 1792941"/>
            <a:gd name="connsiteX41" fmla="*/ 806824 w 1467971"/>
            <a:gd name="connsiteY41" fmla="*/ 44824 h 1792941"/>
            <a:gd name="connsiteX42" fmla="*/ 694765 w 1467971"/>
            <a:gd name="connsiteY42" fmla="*/ 22412 h 1792941"/>
            <a:gd name="connsiteX43" fmla="*/ 593912 w 1467971"/>
            <a:gd name="connsiteY43" fmla="*/ 0 h 1792941"/>
            <a:gd name="connsiteX44" fmla="*/ 336177 w 1467971"/>
            <a:gd name="connsiteY44" fmla="*/ 11206 h 1792941"/>
            <a:gd name="connsiteX45" fmla="*/ 280147 w 1467971"/>
            <a:gd name="connsiteY45" fmla="*/ 89647 h 1792941"/>
            <a:gd name="connsiteX46" fmla="*/ 302559 w 1467971"/>
            <a:gd name="connsiteY46" fmla="*/ 112059 h 17929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</a:cxnLst>
          <a:rect l="l" t="t" r="r" b="b"/>
          <a:pathLst>
            <a:path w="1467971" h="1792941">
              <a:moveTo>
                <a:pt x="302559" y="112059"/>
              </a:moveTo>
              <a:cubicBezTo>
                <a:pt x="282015" y="153147"/>
                <a:pt x="278918" y="136481"/>
                <a:pt x="156883" y="336177"/>
              </a:cubicBezTo>
              <a:cubicBezTo>
                <a:pt x="129967" y="380221"/>
                <a:pt x="134586" y="362055"/>
                <a:pt x="112059" y="414618"/>
              </a:cubicBezTo>
              <a:cubicBezTo>
                <a:pt x="84966" y="477835"/>
                <a:pt x="118083" y="417231"/>
                <a:pt x="89647" y="493059"/>
              </a:cubicBezTo>
              <a:cubicBezTo>
                <a:pt x="83782" y="508700"/>
                <a:pt x="74706" y="522941"/>
                <a:pt x="67235" y="537882"/>
              </a:cubicBezTo>
              <a:cubicBezTo>
                <a:pt x="63500" y="578970"/>
                <a:pt x="58384" y="619956"/>
                <a:pt x="56030" y="661147"/>
              </a:cubicBezTo>
              <a:cubicBezTo>
                <a:pt x="50911" y="750726"/>
                <a:pt x="52275" y="840673"/>
                <a:pt x="44824" y="930088"/>
              </a:cubicBezTo>
              <a:cubicBezTo>
                <a:pt x="41050" y="975373"/>
                <a:pt x="29883" y="1019735"/>
                <a:pt x="22412" y="1064559"/>
              </a:cubicBezTo>
              <a:cubicBezTo>
                <a:pt x="8674" y="1146985"/>
                <a:pt x="16716" y="1109752"/>
                <a:pt x="0" y="1176618"/>
              </a:cubicBezTo>
              <a:cubicBezTo>
                <a:pt x="7042" y="1352657"/>
                <a:pt x="-10673" y="1385790"/>
                <a:pt x="22412" y="1501588"/>
              </a:cubicBezTo>
              <a:cubicBezTo>
                <a:pt x="25657" y="1512946"/>
                <a:pt x="28965" y="1524349"/>
                <a:pt x="33618" y="1535206"/>
              </a:cubicBezTo>
              <a:cubicBezTo>
                <a:pt x="40198" y="1550560"/>
                <a:pt x="45336" y="1567196"/>
                <a:pt x="56030" y="1580029"/>
              </a:cubicBezTo>
              <a:cubicBezTo>
                <a:pt x="64652" y="1590375"/>
                <a:pt x="78099" y="1595512"/>
                <a:pt x="89647" y="1602441"/>
              </a:cubicBezTo>
              <a:cubicBezTo>
                <a:pt x="134144" y="1629139"/>
                <a:pt x="179294" y="1654735"/>
                <a:pt x="224118" y="1680882"/>
              </a:cubicBezTo>
              <a:cubicBezTo>
                <a:pt x="235751" y="1687668"/>
                <a:pt x="245689" y="1697271"/>
                <a:pt x="257735" y="1703294"/>
              </a:cubicBezTo>
              <a:cubicBezTo>
                <a:pt x="284936" y="1716895"/>
                <a:pt x="319253" y="1718034"/>
                <a:pt x="347383" y="1725706"/>
              </a:cubicBezTo>
              <a:cubicBezTo>
                <a:pt x="370175" y="1731922"/>
                <a:pt x="392206" y="1740647"/>
                <a:pt x="414618" y="1748118"/>
              </a:cubicBezTo>
              <a:cubicBezTo>
                <a:pt x="429229" y="1752988"/>
                <a:pt x="444633" y="1755093"/>
                <a:pt x="459441" y="1759324"/>
              </a:cubicBezTo>
              <a:cubicBezTo>
                <a:pt x="470799" y="1762569"/>
                <a:pt x="481600" y="1767664"/>
                <a:pt x="493059" y="1770529"/>
              </a:cubicBezTo>
              <a:cubicBezTo>
                <a:pt x="524389" y="1778361"/>
                <a:pt x="586344" y="1787944"/>
                <a:pt x="616324" y="1792941"/>
              </a:cubicBezTo>
              <a:cubicBezTo>
                <a:pt x="709706" y="1789206"/>
                <a:pt x="803546" y="1791691"/>
                <a:pt x="896471" y="1781735"/>
              </a:cubicBezTo>
              <a:cubicBezTo>
                <a:pt x="909862" y="1780300"/>
                <a:pt x="917781" y="1764794"/>
                <a:pt x="930088" y="1759324"/>
              </a:cubicBezTo>
              <a:cubicBezTo>
                <a:pt x="951676" y="1749729"/>
                <a:pt x="976194" y="1747477"/>
                <a:pt x="997324" y="1736912"/>
              </a:cubicBezTo>
              <a:cubicBezTo>
                <a:pt x="1011951" y="1729599"/>
                <a:pt x="1094269" y="1693072"/>
                <a:pt x="1120588" y="1669677"/>
              </a:cubicBezTo>
              <a:cubicBezTo>
                <a:pt x="1144277" y="1648620"/>
                <a:pt x="1165412" y="1624853"/>
                <a:pt x="1187824" y="1602441"/>
              </a:cubicBezTo>
              <a:lnTo>
                <a:pt x="1255059" y="1535206"/>
              </a:lnTo>
              <a:cubicBezTo>
                <a:pt x="1274105" y="1516160"/>
                <a:pt x="1277471" y="1482912"/>
                <a:pt x="1299883" y="1467971"/>
              </a:cubicBezTo>
              <a:cubicBezTo>
                <a:pt x="1357559" y="1429520"/>
                <a:pt x="1369362" y="1428000"/>
                <a:pt x="1411941" y="1378324"/>
              </a:cubicBezTo>
              <a:cubicBezTo>
                <a:pt x="1420706" y="1368098"/>
                <a:pt x="1426882" y="1355912"/>
                <a:pt x="1434353" y="1344706"/>
              </a:cubicBezTo>
              <a:cubicBezTo>
                <a:pt x="1438088" y="1326030"/>
                <a:pt x="1444371" y="1307686"/>
                <a:pt x="1445559" y="1288677"/>
              </a:cubicBezTo>
              <a:cubicBezTo>
                <a:pt x="1468130" y="927548"/>
                <a:pt x="1430640" y="1090616"/>
                <a:pt x="1467971" y="941294"/>
              </a:cubicBezTo>
              <a:cubicBezTo>
                <a:pt x="1464236" y="784412"/>
                <a:pt x="1467204" y="627226"/>
                <a:pt x="1456765" y="470647"/>
              </a:cubicBezTo>
              <a:cubicBezTo>
                <a:pt x="1455869" y="457209"/>
                <a:pt x="1441035" y="448722"/>
                <a:pt x="1434353" y="437029"/>
              </a:cubicBezTo>
              <a:cubicBezTo>
                <a:pt x="1410773" y="395765"/>
                <a:pt x="1403666" y="361520"/>
                <a:pt x="1367118" y="324971"/>
              </a:cubicBezTo>
              <a:lnTo>
                <a:pt x="1299883" y="257735"/>
              </a:lnTo>
              <a:cubicBezTo>
                <a:pt x="1280837" y="238688"/>
                <a:pt x="1232647" y="212912"/>
                <a:pt x="1232647" y="212912"/>
              </a:cubicBezTo>
              <a:cubicBezTo>
                <a:pt x="1225176" y="201706"/>
                <a:pt x="1219758" y="188817"/>
                <a:pt x="1210235" y="179294"/>
              </a:cubicBezTo>
              <a:cubicBezTo>
                <a:pt x="1190588" y="159647"/>
                <a:pt x="1168522" y="152969"/>
                <a:pt x="1143000" y="145677"/>
              </a:cubicBezTo>
              <a:cubicBezTo>
                <a:pt x="1128192" y="141446"/>
                <a:pt x="1113118" y="138206"/>
                <a:pt x="1098177" y="134471"/>
              </a:cubicBezTo>
              <a:cubicBezTo>
                <a:pt x="1086971" y="127000"/>
                <a:pt x="1076991" y="117239"/>
                <a:pt x="1064559" y="112059"/>
              </a:cubicBezTo>
              <a:cubicBezTo>
                <a:pt x="976969" y="75563"/>
                <a:pt x="970224" y="79372"/>
                <a:pt x="885265" y="67235"/>
              </a:cubicBezTo>
              <a:cubicBezTo>
                <a:pt x="849982" y="55474"/>
                <a:pt x="846228" y="53268"/>
                <a:pt x="806824" y="44824"/>
              </a:cubicBezTo>
              <a:cubicBezTo>
                <a:pt x="769577" y="36843"/>
                <a:pt x="731720" y="31651"/>
                <a:pt x="694765" y="22412"/>
              </a:cubicBezTo>
              <a:cubicBezTo>
                <a:pt x="631463" y="6587"/>
                <a:pt x="665043" y="14226"/>
                <a:pt x="593912" y="0"/>
              </a:cubicBezTo>
              <a:cubicBezTo>
                <a:pt x="508000" y="3735"/>
                <a:pt x="421170" y="-1870"/>
                <a:pt x="336177" y="11206"/>
              </a:cubicBezTo>
              <a:cubicBezTo>
                <a:pt x="312665" y="14823"/>
                <a:pt x="286543" y="74723"/>
                <a:pt x="280147" y="89647"/>
              </a:cubicBezTo>
              <a:cubicBezTo>
                <a:pt x="275494" y="100504"/>
                <a:pt x="323103" y="70971"/>
                <a:pt x="302559" y="112059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9</xdr:col>
      <xdr:colOff>336176</xdr:colOff>
      <xdr:row>41</xdr:row>
      <xdr:rowOff>134471</xdr:rowOff>
    </xdr:from>
    <xdr:to>
      <xdr:col>11</xdr:col>
      <xdr:colOff>11206</xdr:colOff>
      <xdr:row>42</xdr:row>
      <xdr:rowOff>123265</xdr:rowOff>
    </xdr:to>
    <xdr:sp macro="" textlink="">
      <xdr:nvSpPr>
        <xdr:cNvPr id="12" name="Right Arrow 11"/>
        <xdr:cNvSpPr/>
      </xdr:nvSpPr>
      <xdr:spPr>
        <a:xfrm>
          <a:off x="5782235" y="6566647"/>
          <a:ext cx="885265" cy="14567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11</xdr:col>
      <xdr:colOff>44823</xdr:colOff>
      <xdr:row>41</xdr:row>
      <xdr:rowOff>78441</xdr:rowOff>
    </xdr:from>
    <xdr:ext cx="6287042" cy="436786"/>
    <xdr:sp macro="" textlink="">
      <xdr:nvSpPr>
        <xdr:cNvPr id="13" name="TextBox 12"/>
        <xdr:cNvSpPr txBox="1"/>
      </xdr:nvSpPr>
      <xdr:spPr>
        <a:xfrm>
          <a:off x="6701117" y="6510617"/>
          <a:ext cx="628704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Suggested  seperate Power Supply. Rationale is that the re could be leakage  back through common supply</a:t>
          </a:r>
        </a:p>
        <a:p>
          <a:r>
            <a:rPr lang="en-US" sz="1100"/>
            <a:t>that causes</a:t>
          </a:r>
          <a:r>
            <a:rPr lang="en-US" sz="1100" baseline="0"/>
            <a:t> a loop oscillation. Especially with  LNAs where there is a lot of gain.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2</xdr:row>
      <xdr:rowOff>152400</xdr:rowOff>
    </xdr:from>
    <xdr:to>
      <xdr:col>12</xdr:col>
      <xdr:colOff>476250</xdr:colOff>
      <xdr:row>23</xdr:row>
      <xdr:rowOff>57150</xdr:rowOff>
    </xdr:to>
    <xdr:pic>
      <xdr:nvPicPr>
        <xdr:cNvPr id="5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33625" y="476250"/>
          <a:ext cx="5457825" cy="3305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152400</xdr:colOff>
      <xdr:row>12</xdr:row>
      <xdr:rowOff>0</xdr:rowOff>
    </xdr:from>
    <xdr:to>
      <xdr:col>29</xdr:col>
      <xdr:colOff>28575</xdr:colOff>
      <xdr:row>27</xdr:row>
      <xdr:rowOff>76200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53725" y="2266950"/>
          <a:ext cx="8410575" cy="2667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31</xdr:row>
      <xdr:rowOff>38100</xdr:rowOff>
    </xdr:from>
    <xdr:to>
      <xdr:col>21</xdr:col>
      <xdr:colOff>600075</xdr:colOff>
      <xdr:row>49</xdr:row>
      <xdr:rowOff>114300</xdr:rowOff>
    </xdr:to>
    <xdr:pic>
      <xdr:nvPicPr>
        <xdr:cNvPr id="7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43600" y="5381625"/>
          <a:ext cx="8677275" cy="2990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7</xdr:row>
      <xdr:rowOff>133350</xdr:rowOff>
    </xdr:from>
    <xdr:to>
      <xdr:col>18</xdr:col>
      <xdr:colOff>361950</xdr:colOff>
      <xdr:row>23</xdr:row>
      <xdr:rowOff>47625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53350" y="1914525"/>
          <a:ext cx="4429125" cy="3152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igalink-mce.net/RF_Products_ULL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mcc111.com/SP16T.htm" TargetMode="External"/><Relationship Id="rId13" Type="http://schemas.openxmlformats.org/officeDocument/2006/relationships/hyperlink" Target="http://www.rflambda.com/pdf/isolator/Coaxial_X_Isolator.pdf" TargetMode="External"/><Relationship Id="rId18" Type="http://schemas.openxmlformats.org/officeDocument/2006/relationships/hyperlink" Target="http://www.fairviewmicrowave.com/images/productPDF/SA18H-08.pdf" TargetMode="External"/><Relationship Id="rId3" Type="http://schemas.openxmlformats.org/officeDocument/2006/relationships/hyperlink" Target="http://www.advancedreceiver.com/page34.html" TargetMode="External"/><Relationship Id="rId7" Type="http://schemas.openxmlformats.org/officeDocument/2006/relationships/hyperlink" Target="http://www.rflambda.com/pdf/switchers/RFSP4TA0812G.pdf" TargetMode="External"/><Relationship Id="rId12" Type="http://schemas.openxmlformats.org/officeDocument/2006/relationships/hyperlink" Target="http://www.markimicrowave.com/Assets/datasheets/FB-1050.pdf" TargetMode="External"/><Relationship Id="rId17" Type="http://schemas.openxmlformats.org/officeDocument/2006/relationships/hyperlink" Target="http://www.fairviewmicrowave.com/images/productPDF/SA18H-08.pdf" TargetMode="External"/><Relationship Id="rId2" Type="http://schemas.openxmlformats.org/officeDocument/2006/relationships/hyperlink" Target="http://www.fairviewmicrowave.com/images/productPDF/SPA-110-30-01-SMA.pdf" TargetMode="External"/><Relationship Id="rId16" Type="http://schemas.openxmlformats.org/officeDocument/2006/relationships/hyperlink" Target="http://www.fairviewmicrowave.com/images/productPDF/SA6H-10.pdf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www.hittite.com/content/documents/data_sheet/hmc820lp6c.pdf" TargetMode="External"/><Relationship Id="rId6" Type="http://schemas.openxmlformats.org/officeDocument/2006/relationships/hyperlink" Target="http://www.hittite.com/content/documents/data_sheet/hmc-c058.pdf" TargetMode="External"/><Relationship Id="rId11" Type="http://schemas.openxmlformats.org/officeDocument/2006/relationships/hyperlink" Target="http://www.digilentinc.com/Products/Detail.cfm?Prod=PMOD-AD1" TargetMode="External"/><Relationship Id="rId5" Type="http://schemas.openxmlformats.org/officeDocument/2006/relationships/hyperlink" Target="https://www.hittite.com/content/documents/data_sheet/hmc-c056.pdf" TargetMode="External"/><Relationship Id="rId15" Type="http://schemas.openxmlformats.org/officeDocument/2006/relationships/hyperlink" Target="http://www.fairviewmicrowave.com/40db-continuous-attenuator-sma-female-sma-female-5-watts-sa4077-p.aspx" TargetMode="External"/><Relationship Id="rId10" Type="http://schemas.openxmlformats.org/officeDocument/2006/relationships/hyperlink" Target="http://www.analog.com/en/analog-to-digital-converters/ad-converters/ad7476/products/product.html" TargetMode="External"/><Relationship Id="rId19" Type="http://schemas.openxmlformats.org/officeDocument/2006/relationships/hyperlink" Target="http://www.fairviewmicrowave.com/images/productPDF/SA18H-08.pdf" TargetMode="External"/><Relationship Id="rId4" Type="http://schemas.openxmlformats.org/officeDocument/2006/relationships/hyperlink" Target="http://www.fairviewmicrowave.com/2.2db-nf-low-noise-amplifier-38db-slna-120-38-22-sma-p.aspx" TargetMode="External"/><Relationship Id="rId9" Type="http://schemas.openxmlformats.org/officeDocument/2006/relationships/hyperlink" Target="http://www.polyphasemicrowave.com/datasheets/AD60100B.pdf" TargetMode="External"/><Relationship Id="rId14" Type="http://schemas.openxmlformats.org/officeDocument/2006/relationships/hyperlink" Target="http://www.minicircuits.com/MCLStore/ModelInfoDisplay?14153867329510.849115263614929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apidtables.com/electric/dBW.ht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daycounter.com/Circuits/OpAmp-Level-Shifter/OpAmp-Level-Shifter.p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K62"/>
  <sheetViews>
    <sheetView zoomScale="80" zoomScaleNormal="80" workbookViewId="0">
      <selection activeCell="H28" sqref="H28"/>
    </sheetView>
  </sheetViews>
  <sheetFormatPr defaultRowHeight="12.75"/>
  <cols>
    <col min="2" max="2" width="20.7109375" customWidth="1"/>
    <col min="3" max="3" width="13.7109375" customWidth="1"/>
    <col min="4" max="4" width="14.85546875" bestFit="1" customWidth="1"/>
    <col min="5" max="5" width="15.5703125" customWidth="1"/>
    <col min="6" max="6" width="17.42578125" customWidth="1"/>
    <col min="8" max="8" width="13.28515625" bestFit="1" customWidth="1"/>
  </cols>
  <sheetData>
    <row r="2" spans="2:11">
      <c r="B2" t="s">
        <v>13</v>
      </c>
      <c r="C2" t="s">
        <v>14</v>
      </c>
      <c r="D2" s="4">
        <v>15</v>
      </c>
    </row>
    <row r="3" spans="2:11" ht="15.75" customHeight="1">
      <c r="B3" t="s">
        <v>21</v>
      </c>
      <c r="C3" t="s">
        <v>0</v>
      </c>
      <c r="D3">
        <f>10^((D4)/10)/1000</f>
        <v>0.25118864315095807</v>
      </c>
      <c r="F3" t="s">
        <v>15</v>
      </c>
      <c r="G3" t="s">
        <v>0</v>
      </c>
      <c r="H3">
        <f>D3*D6*D2/100</f>
        <v>1.8883881176912518</v>
      </c>
    </row>
    <row r="4" spans="2:11">
      <c r="C4" t="s">
        <v>11</v>
      </c>
      <c r="D4" s="77">
        <v>24</v>
      </c>
      <c r="G4" t="s">
        <v>11</v>
      </c>
      <c r="H4">
        <f>10*LOG(H3*1000)</f>
        <v>32.760912590556813</v>
      </c>
      <c r="I4" t="s">
        <v>23</v>
      </c>
    </row>
    <row r="5" spans="2:11">
      <c r="B5" t="s">
        <v>1</v>
      </c>
      <c r="C5" t="s">
        <v>2</v>
      </c>
      <c r="D5" s="4">
        <v>17</v>
      </c>
      <c r="H5" s="10">
        <f>H4+10*LOG(1/H12)</f>
        <v>15.771212547196626</v>
      </c>
      <c r="I5" t="s">
        <v>18</v>
      </c>
      <c r="K5" t="s">
        <v>25</v>
      </c>
    </row>
    <row r="6" spans="2:11">
      <c r="D6">
        <f>10^(D5/10)</f>
        <v>50.118723362727238</v>
      </c>
    </row>
    <row r="7" spans="2:11">
      <c r="B7" t="s">
        <v>39</v>
      </c>
      <c r="C7" t="s">
        <v>9</v>
      </c>
      <c r="D7" s="4">
        <v>6</v>
      </c>
      <c r="F7" t="s">
        <v>22</v>
      </c>
      <c r="G7" t="s">
        <v>11</v>
      </c>
      <c r="H7" s="3">
        <f>D4+D5+10*LOG(50/H12)</f>
        <v>41</v>
      </c>
      <c r="I7" t="s">
        <v>23</v>
      </c>
      <c r="K7" t="s">
        <v>24</v>
      </c>
    </row>
    <row r="9" spans="2:11">
      <c r="B9" t="s">
        <v>3</v>
      </c>
      <c r="C9" t="s">
        <v>2</v>
      </c>
      <c r="D9" s="8">
        <f>D57</f>
        <v>17.538446518447437</v>
      </c>
    </row>
    <row r="10" spans="2:11">
      <c r="D10">
        <f>10^(D9/10)</f>
        <v>56.734162967605165</v>
      </c>
      <c r="F10" s="12" t="s">
        <v>56</v>
      </c>
      <c r="G10" t="s">
        <v>16</v>
      </c>
      <c r="H10" s="4">
        <v>20</v>
      </c>
    </row>
    <row r="11" spans="2:11">
      <c r="H11" s="5"/>
    </row>
    <row r="12" spans="2:11">
      <c r="B12" t="s">
        <v>4</v>
      </c>
      <c r="C12" t="s">
        <v>6</v>
      </c>
      <c r="D12" s="4">
        <v>10</v>
      </c>
      <c r="F12" s="12" t="s">
        <v>57</v>
      </c>
      <c r="G12" t="s">
        <v>17</v>
      </c>
      <c r="H12">
        <f>1000*1/H10</f>
        <v>50</v>
      </c>
    </row>
    <row r="13" spans="2:11">
      <c r="B13" t="s">
        <v>5</v>
      </c>
      <c r="C13" t="s">
        <v>7</v>
      </c>
      <c r="D13" s="7">
        <f>30/D12/2.54</f>
        <v>1.1811023622047243</v>
      </c>
      <c r="G13" s="12" t="s">
        <v>156</v>
      </c>
      <c r="H13">
        <f>H12*10^6</f>
        <v>50000000</v>
      </c>
    </row>
    <row r="14" spans="2:11" ht="25.5">
      <c r="B14" t="s">
        <v>5</v>
      </c>
      <c r="C14" t="s">
        <v>8</v>
      </c>
      <c r="D14">
        <f>30/D12</f>
        <v>3</v>
      </c>
      <c r="F14" s="16" t="s">
        <v>55</v>
      </c>
      <c r="G14" s="12" t="s">
        <v>17</v>
      </c>
      <c r="H14" s="15">
        <v>0.5</v>
      </c>
    </row>
    <row r="15" spans="2:11">
      <c r="B15" t="s">
        <v>5</v>
      </c>
      <c r="C15" t="s">
        <v>9</v>
      </c>
      <c r="D15">
        <f>D14/100</f>
        <v>0.03</v>
      </c>
    </row>
    <row r="16" spans="2:11">
      <c r="B16" t="s">
        <v>5</v>
      </c>
      <c r="C16" t="s">
        <v>2</v>
      </c>
    </row>
    <row r="18" spans="2:8">
      <c r="B18" t="s">
        <v>38</v>
      </c>
      <c r="C18" t="s">
        <v>7</v>
      </c>
      <c r="D18" s="4">
        <v>2</v>
      </c>
    </row>
    <row r="19" spans="2:8">
      <c r="C19" t="s">
        <v>9</v>
      </c>
      <c r="D19">
        <f>D18*2.54/100</f>
        <v>5.0799999999999998E-2</v>
      </c>
    </row>
    <row r="20" spans="2:8">
      <c r="B20" t="s">
        <v>37</v>
      </c>
      <c r="C20" t="s">
        <v>12</v>
      </c>
      <c r="D20" s="6">
        <f>10*LOG((12*PI()*D19^4)/D15^2)</f>
        <v>-5.5445654156188917</v>
      </c>
    </row>
    <row r="22" spans="2:8">
      <c r="E22" s="51" t="s">
        <v>165</v>
      </c>
    </row>
    <row r="23" spans="2:8">
      <c r="B23" t="s">
        <v>10</v>
      </c>
      <c r="C23" t="s">
        <v>0</v>
      </c>
      <c r="D23">
        <f>(10^(D20/10))*(D2/100)*(D3*D6*D10*D15^2)/(((4*PI())^3)*D7^4)</f>
        <v>1.0458930694433745E-8</v>
      </c>
      <c r="E23">
        <f>(D3*D6*D10*D2/100*10^(D20/10)*D15^2)/((4*PI())^3*D7^4)</f>
        <v>1.0458930694433743E-8</v>
      </c>
      <c r="F23" t="s">
        <v>26</v>
      </c>
    </row>
    <row r="24" spans="2:8" ht="25.5">
      <c r="C24" t="s">
        <v>11</v>
      </c>
      <c r="D24" s="78">
        <f>10*LOG(D23)+30</f>
        <v>-49.805127148230028</v>
      </c>
      <c r="E24">
        <f>10*LOG(E23,10)+30</f>
        <v>-49.805127148230014</v>
      </c>
    </row>
    <row r="25" spans="2:8">
      <c r="C25" t="s">
        <v>47</v>
      </c>
      <c r="D25" s="1">
        <f>(D23*50)^0.5</f>
        <v>7.2315042330187932E-4</v>
      </c>
    </row>
    <row r="26" spans="2:8">
      <c r="C26" t="s">
        <v>46</v>
      </c>
      <c r="D26" s="11">
        <f>D25*1.414*2</f>
        <v>2.0450693970977146E-3</v>
      </c>
    </row>
    <row r="27" spans="2:8">
      <c r="B27" t="s">
        <v>41</v>
      </c>
      <c r="C27" t="s">
        <v>42</v>
      </c>
      <c r="D27" s="14">
        <v>12</v>
      </c>
    </row>
    <row r="28" spans="2:8">
      <c r="C28" t="s">
        <v>43</v>
      </c>
      <c r="D28" s="11">
        <f>2^D27</f>
        <v>4096</v>
      </c>
    </row>
    <row r="29" spans="2:8">
      <c r="B29" t="s">
        <v>45</v>
      </c>
      <c r="C29" t="s">
        <v>44</v>
      </c>
      <c r="D29" s="13">
        <v>3.3</v>
      </c>
    </row>
    <row r="30" spans="2:8">
      <c r="B30" s="16" t="s">
        <v>59</v>
      </c>
      <c r="C30" s="12" t="s">
        <v>44</v>
      </c>
      <c r="D30" s="11">
        <f>D29/D28</f>
        <v>8.0566406249999996E-4</v>
      </c>
    </row>
    <row r="31" spans="2:8" ht="25.5">
      <c r="B31" s="12" t="s">
        <v>48</v>
      </c>
      <c r="C31" s="12" t="s">
        <v>2</v>
      </c>
      <c r="D31" s="14">
        <v>70</v>
      </c>
      <c r="F31" s="16" t="s">
        <v>54</v>
      </c>
      <c r="G31">
        <f>(D38*50)^0.5</f>
        <v>3.6490521927361411E-3</v>
      </c>
      <c r="H31" t="s">
        <v>26</v>
      </c>
    </row>
    <row r="32" spans="2:8" ht="25.5">
      <c r="B32" s="16" t="s">
        <v>53</v>
      </c>
      <c r="C32" s="12" t="s">
        <v>44</v>
      </c>
      <c r="D32" s="11">
        <f>D26*10^(D31/20)</f>
        <v>6.467077267936121</v>
      </c>
      <c r="F32" s="12" t="s">
        <v>51</v>
      </c>
      <c r="G32">
        <f>G31/D30</f>
        <v>4.5292478125597677</v>
      </c>
    </row>
    <row r="33" spans="2:7">
      <c r="B33" s="12" t="s">
        <v>58</v>
      </c>
      <c r="D33">
        <f>D32/D30</f>
        <v>8027.0146937776826</v>
      </c>
      <c r="F33" s="12"/>
    </row>
    <row r="35" spans="2:7">
      <c r="B35" t="s">
        <v>19</v>
      </c>
      <c r="C35" t="s">
        <v>2</v>
      </c>
      <c r="D35" s="20">
        <f ca="1">'Signal Chains'!L26</f>
        <v>11.264201416556133</v>
      </c>
      <c r="F35" s="12" t="s">
        <v>71</v>
      </c>
      <c r="G35">
        <f>1.38*10^-23</f>
        <v>1.3800000000000001E-23</v>
      </c>
    </row>
    <row r="36" spans="2:7" ht="18">
      <c r="B36" t="s">
        <v>20</v>
      </c>
      <c r="C36" t="s">
        <v>11</v>
      </c>
      <c r="D36" s="76">
        <f>-174+D35+10*LOG(H14*1000000)</f>
        <v>-105.74609854008366</v>
      </c>
    </row>
    <row r="37" spans="2:7">
      <c r="B37" s="12" t="s">
        <v>49</v>
      </c>
      <c r="C37" s="12" t="s">
        <v>50</v>
      </c>
      <c r="D37">
        <f>(10^(D36/10))/1000</f>
        <v>2.6631163810624882E-14</v>
      </c>
    </row>
    <row r="38" spans="2:7">
      <c r="B38" s="12" t="s">
        <v>52</v>
      </c>
      <c r="C38" s="12" t="s">
        <v>50</v>
      </c>
      <c r="D38">
        <f>D37*10^(D31/10)</f>
        <v>2.6631163810624881E-7</v>
      </c>
    </row>
    <row r="39" spans="2:7">
      <c r="C39" t="s">
        <v>40</v>
      </c>
      <c r="D39" s="9">
        <f>D24-D36</f>
        <v>55.940971391853637</v>
      </c>
    </row>
    <row r="41" spans="2:7">
      <c r="B41" t="s">
        <v>27</v>
      </c>
      <c r="C41" t="s">
        <v>7</v>
      </c>
      <c r="D41" s="4">
        <v>0.81</v>
      </c>
      <c r="F41" s="12" t="s">
        <v>75</v>
      </c>
    </row>
    <row r="42" spans="2:7">
      <c r="C42" t="s">
        <v>9</v>
      </c>
      <c r="D42">
        <f>D41*2.54/100</f>
        <v>2.0574000000000002E-2</v>
      </c>
    </row>
    <row r="43" spans="2:7">
      <c r="B43" t="s">
        <v>29</v>
      </c>
      <c r="C43" t="s">
        <v>9</v>
      </c>
      <c r="D43">
        <f>D42/2</f>
        <v>1.0287000000000001E-2</v>
      </c>
      <c r="F43" s="12" t="s">
        <v>76</v>
      </c>
      <c r="G43" s="12"/>
    </row>
    <row r="47" spans="2:7">
      <c r="B47" t="s">
        <v>28</v>
      </c>
      <c r="C47" t="s">
        <v>30</v>
      </c>
      <c r="D47" s="2">
        <f>0.000000001*(300000000*1.8412/D43)/(2*PI())</f>
        <v>8.5458174750888798</v>
      </c>
    </row>
    <row r="49" spans="2:5">
      <c r="B49" t="s">
        <v>36</v>
      </c>
      <c r="C49" t="s">
        <v>30</v>
      </c>
      <c r="D49" s="2">
        <f>0.000000001*(300000000*2.4048/D43)/(2*PI())</f>
        <v>11.161732491904051</v>
      </c>
    </row>
    <row r="51" spans="2:5">
      <c r="B51" t="s">
        <v>32</v>
      </c>
      <c r="C51" t="s">
        <v>7</v>
      </c>
      <c r="D51" s="4">
        <v>4</v>
      </c>
    </row>
    <row r="52" spans="2:5">
      <c r="B52" t="s">
        <v>33</v>
      </c>
      <c r="C52" t="s">
        <v>34</v>
      </c>
      <c r="D52" s="1">
        <f>PI()*(D51/2)^2</f>
        <v>12.566370614359172</v>
      </c>
    </row>
    <row r="53" spans="2:5">
      <c r="B53" s="12" t="s">
        <v>77</v>
      </c>
      <c r="C53" s="12" t="s">
        <v>61</v>
      </c>
      <c r="D53" s="1"/>
    </row>
    <row r="54" spans="2:5">
      <c r="C54" s="12" t="s">
        <v>153</v>
      </c>
      <c r="D54" t="e">
        <f>10*LOG(D53,10)</f>
        <v>#NUM!</v>
      </c>
    </row>
    <row r="56" spans="2:5">
      <c r="B56" s="23" t="s">
        <v>31</v>
      </c>
      <c r="D56" s="68">
        <f>10*LOG(4*PI()*D52/D13^2)</f>
        <v>20.538446518447437</v>
      </c>
      <c r="E56" s="2">
        <f>10*LOG((D13^2)/(4*PI()*D52))</f>
        <v>-20.538446518447437</v>
      </c>
    </row>
    <row r="57" spans="2:5">
      <c r="B57" t="s">
        <v>35</v>
      </c>
      <c r="D57" s="2">
        <f>D56-3</f>
        <v>17.538446518447437</v>
      </c>
    </row>
    <row r="59" spans="2:5" ht="25.5">
      <c r="B59" s="17" t="s">
        <v>60</v>
      </c>
      <c r="C59" t="s">
        <v>61</v>
      </c>
      <c r="D59" s="18">
        <f>(4*PI()*D61^2*D62^2)/(D15^2)</f>
        <v>2.2340214425527419E-3</v>
      </c>
    </row>
    <row r="60" spans="2:5">
      <c r="C60" s="16" t="s">
        <v>2</v>
      </c>
      <c r="D60" s="1">
        <f>10*LOG(D59,10)</f>
        <v>-26.509126627613036</v>
      </c>
    </row>
    <row r="61" spans="2:5">
      <c r="B61" t="s">
        <v>62</v>
      </c>
      <c r="C61" t="s">
        <v>9</v>
      </c>
      <c r="D61">
        <v>0.02</v>
      </c>
    </row>
    <row r="62" spans="2:5">
      <c r="B62" t="s">
        <v>63</v>
      </c>
      <c r="C62" t="s">
        <v>9</v>
      </c>
      <c r="D62">
        <v>0.02</v>
      </c>
    </row>
  </sheetData>
  <phoneticPr fontId="1" type="noConversion"/>
  <printOptions gridLines="1"/>
  <pageMargins left="0.75" right="0.75" top="1" bottom="1" header="0.5" footer="0.5"/>
  <pageSetup scale="73" orientation="landscape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4"/>
  <sheetViews>
    <sheetView zoomScale="90" zoomScaleNormal="90" workbookViewId="0">
      <selection activeCell="I3" sqref="I3:N20"/>
    </sheetView>
  </sheetViews>
  <sheetFormatPr defaultRowHeight="12.75"/>
  <cols>
    <col min="1" max="1" width="12.7109375" customWidth="1"/>
    <col min="2" max="3" width="12.5703125" customWidth="1"/>
    <col min="4" max="4" width="11.42578125" customWidth="1"/>
  </cols>
  <sheetData>
    <row r="1" spans="1:18" ht="51">
      <c r="A1" s="72" t="s">
        <v>175</v>
      </c>
      <c r="B1" s="72" t="s">
        <v>176</v>
      </c>
      <c r="C1" s="72" t="s">
        <v>185</v>
      </c>
      <c r="D1" s="72" t="s">
        <v>111</v>
      </c>
      <c r="E1" s="72" t="s">
        <v>179</v>
      </c>
      <c r="F1" s="72" t="s">
        <v>187</v>
      </c>
      <c r="G1" s="72" t="s">
        <v>177</v>
      </c>
      <c r="H1" s="73"/>
      <c r="I1" s="72"/>
      <c r="J1" s="73"/>
      <c r="K1" s="72"/>
    </row>
    <row r="2" spans="1:18">
      <c r="A2" s="69" t="s">
        <v>64</v>
      </c>
      <c r="B2" s="75">
        <v>0</v>
      </c>
      <c r="C2" s="75">
        <f>10^(B2/10)</f>
        <v>1</v>
      </c>
      <c r="D2" s="75">
        <v>0</v>
      </c>
      <c r="E2" s="75">
        <v>-4</v>
      </c>
      <c r="F2" s="75">
        <f>10^(E2/10)</f>
        <v>0.3981071705534972</v>
      </c>
      <c r="G2" s="75" t="s">
        <v>189</v>
      </c>
      <c r="H2" s="17"/>
      <c r="M2" s="75"/>
      <c r="N2" s="75"/>
      <c r="O2" s="75"/>
      <c r="P2" s="75"/>
      <c r="Q2" s="75"/>
      <c r="R2" s="75"/>
    </row>
    <row r="3" spans="1:18">
      <c r="A3" s="69" t="s">
        <v>180</v>
      </c>
      <c r="B3" s="75">
        <v>-4</v>
      </c>
      <c r="C3" s="75">
        <f t="shared" ref="C3:C14" si="0">10^(B3/10)</f>
        <v>0.3981071705534972</v>
      </c>
      <c r="D3" s="75">
        <v>-0.2</v>
      </c>
      <c r="E3" s="75">
        <f>B3+D3</f>
        <v>-4.2</v>
      </c>
      <c r="F3" s="75">
        <f>10^(E3/10)</f>
        <v>0.38018939632056109</v>
      </c>
      <c r="G3" s="75" t="s">
        <v>189</v>
      </c>
      <c r="H3" s="17"/>
      <c r="M3" s="75"/>
      <c r="N3" s="75"/>
      <c r="O3" s="75"/>
      <c r="P3" s="75"/>
      <c r="Q3" s="75"/>
      <c r="R3" s="75"/>
    </row>
    <row r="4" spans="1:18" ht="25.5">
      <c r="A4" s="69" t="s">
        <v>143</v>
      </c>
      <c r="B4" s="75">
        <f t="shared" ref="B4:B9" si="1">E3</f>
        <v>-4.2</v>
      </c>
      <c r="C4" s="75">
        <f t="shared" si="0"/>
        <v>0.38018939632056109</v>
      </c>
      <c r="D4" s="75">
        <v>26</v>
      </c>
      <c r="E4" s="75">
        <f t="shared" ref="E4:E9" si="2">B4+D4</f>
        <v>21.8</v>
      </c>
      <c r="F4" s="75">
        <f t="shared" ref="F4:F13" si="3">10^(E4/10)</f>
        <v>151.3561248436209</v>
      </c>
      <c r="G4" s="75">
        <v>24</v>
      </c>
      <c r="K4" s="2"/>
      <c r="M4" s="75"/>
      <c r="N4" s="75"/>
      <c r="O4" s="75"/>
      <c r="P4" s="75"/>
      <c r="Q4" s="75"/>
      <c r="R4" s="75"/>
    </row>
    <row r="5" spans="1:18">
      <c r="A5" s="69" t="s">
        <v>180</v>
      </c>
      <c r="B5" s="75">
        <f t="shared" si="1"/>
        <v>21.8</v>
      </c>
      <c r="C5" s="75">
        <f t="shared" si="0"/>
        <v>151.3561248436209</v>
      </c>
      <c r="D5" s="75">
        <v>-0.2</v>
      </c>
      <c r="E5" s="75">
        <f t="shared" si="2"/>
        <v>21.6</v>
      </c>
      <c r="F5" s="75">
        <f t="shared" si="3"/>
        <v>144.54397707459285</v>
      </c>
      <c r="G5" s="75" t="s">
        <v>189</v>
      </c>
      <c r="I5" s="2"/>
      <c r="J5" s="2"/>
      <c r="K5" s="2"/>
      <c r="M5" s="75"/>
      <c r="N5" s="75"/>
      <c r="O5" s="75"/>
      <c r="P5" s="75"/>
      <c r="Q5" s="75"/>
      <c r="R5" s="75"/>
    </row>
    <row r="6" spans="1:18">
      <c r="A6" s="69" t="s">
        <v>109</v>
      </c>
      <c r="B6" s="75">
        <f t="shared" si="1"/>
        <v>21.6</v>
      </c>
      <c r="C6" s="75">
        <f t="shared" si="0"/>
        <v>144.54397707459285</v>
      </c>
      <c r="D6" s="75">
        <v>-2</v>
      </c>
      <c r="E6" s="75">
        <f t="shared" si="2"/>
        <v>19.600000000000001</v>
      </c>
      <c r="F6" s="75">
        <f t="shared" si="3"/>
        <v>91.201083935591043</v>
      </c>
      <c r="G6" s="75">
        <v>27</v>
      </c>
      <c r="I6" s="2"/>
      <c r="J6" s="2"/>
      <c r="K6" s="2"/>
      <c r="M6" s="75"/>
      <c r="N6" s="75"/>
      <c r="O6" s="75"/>
      <c r="P6" s="75"/>
      <c r="Q6" s="75"/>
      <c r="R6" s="75"/>
    </row>
    <row r="7" spans="1:18">
      <c r="A7" s="69" t="s">
        <v>180</v>
      </c>
      <c r="B7" s="75">
        <f t="shared" si="1"/>
        <v>19.600000000000001</v>
      </c>
      <c r="C7" s="75">
        <f t="shared" si="0"/>
        <v>91.201083935591043</v>
      </c>
      <c r="D7" s="75">
        <v>-0.2</v>
      </c>
      <c r="E7" s="75">
        <f t="shared" si="2"/>
        <v>19.400000000000002</v>
      </c>
      <c r="F7" s="75">
        <f t="shared" si="3"/>
        <v>87.096358995608156</v>
      </c>
      <c r="G7" s="75" t="s">
        <v>189</v>
      </c>
      <c r="I7" s="2"/>
      <c r="J7" s="2"/>
      <c r="K7" s="2"/>
      <c r="M7" s="75"/>
      <c r="N7" s="75"/>
      <c r="O7" s="75"/>
      <c r="P7" s="75"/>
      <c r="Q7" s="75"/>
      <c r="R7" s="75"/>
    </row>
    <row r="8" spans="1:18" ht="25.5">
      <c r="A8" s="69" t="s">
        <v>138</v>
      </c>
      <c r="B8" s="75">
        <f t="shared" si="1"/>
        <v>19.400000000000002</v>
      </c>
      <c r="C8" s="75">
        <f t="shared" si="0"/>
        <v>87.096358995608156</v>
      </c>
      <c r="D8" s="75">
        <v>-10</v>
      </c>
      <c r="E8" s="75">
        <f t="shared" si="2"/>
        <v>9.4000000000000021</v>
      </c>
      <c r="F8" s="75">
        <f t="shared" si="3"/>
        <v>8.7096358995608139</v>
      </c>
      <c r="G8" s="75" t="s">
        <v>189</v>
      </c>
      <c r="I8" s="2"/>
      <c r="J8" s="2"/>
      <c r="K8" s="2"/>
      <c r="M8" s="75"/>
      <c r="N8" s="75"/>
      <c r="O8" s="75"/>
      <c r="P8" s="75"/>
      <c r="Q8" s="75"/>
      <c r="R8" s="75"/>
    </row>
    <row r="9" spans="1:18">
      <c r="A9" s="69" t="s">
        <v>180</v>
      </c>
      <c r="B9" s="75">
        <f t="shared" si="1"/>
        <v>9.4000000000000021</v>
      </c>
      <c r="C9" s="75">
        <f t="shared" si="0"/>
        <v>8.7096358995608139</v>
      </c>
      <c r="D9" s="75">
        <v>-0.2</v>
      </c>
      <c r="E9" s="75">
        <f t="shared" si="2"/>
        <v>9.2000000000000028</v>
      </c>
      <c r="F9" s="75">
        <f t="shared" si="3"/>
        <v>8.3176377110267179</v>
      </c>
      <c r="G9" s="75" t="s">
        <v>189</v>
      </c>
      <c r="I9" s="2"/>
      <c r="J9" s="2"/>
      <c r="K9" s="2"/>
      <c r="M9" s="75"/>
      <c r="N9" s="75"/>
      <c r="O9" s="75"/>
      <c r="P9" s="75"/>
      <c r="Q9" s="75"/>
      <c r="R9" s="75"/>
    </row>
    <row r="10" spans="1:18" ht="25.5">
      <c r="A10" s="69" t="s">
        <v>181</v>
      </c>
      <c r="B10" s="75">
        <v>6</v>
      </c>
      <c r="C10" s="75">
        <f t="shared" si="0"/>
        <v>3.9810717055349727</v>
      </c>
      <c r="D10" s="75">
        <v>0</v>
      </c>
      <c r="E10" s="75">
        <v>14</v>
      </c>
      <c r="F10" s="75">
        <f t="shared" si="3"/>
        <v>25.118864315095799</v>
      </c>
      <c r="G10" s="75" t="s">
        <v>189</v>
      </c>
      <c r="I10" s="2"/>
      <c r="J10" s="2"/>
      <c r="K10" s="2"/>
      <c r="M10" s="75"/>
      <c r="N10" s="75"/>
      <c r="O10" s="75"/>
      <c r="P10" s="75"/>
      <c r="Q10" s="75"/>
      <c r="R10" s="75"/>
    </row>
    <row r="11" spans="1:18">
      <c r="A11" s="69" t="s">
        <v>180</v>
      </c>
      <c r="B11" s="75">
        <f>E10</f>
        <v>14</v>
      </c>
      <c r="C11" s="75">
        <f t="shared" si="0"/>
        <v>25.118864315095799</v>
      </c>
      <c r="D11" s="75">
        <v>-0.2</v>
      </c>
      <c r="E11" s="75">
        <f>B11+D11</f>
        <v>13.8</v>
      </c>
      <c r="F11" s="75">
        <f t="shared" si="3"/>
        <v>23.988329190194918</v>
      </c>
      <c r="G11" s="75" t="s">
        <v>189</v>
      </c>
      <c r="I11" s="2"/>
      <c r="J11" s="2"/>
      <c r="K11" s="2"/>
      <c r="M11" s="75"/>
      <c r="N11" s="75"/>
      <c r="O11" s="75"/>
      <c r="P11" s="75"/>
      <c r="Q11" s="75"/>
      <c r="R11" s="75"/>
    </row>
    <row r="12" spans="1:18" ht="25.5">
      <c r="A12" s="69" t="s">
        <v>182</v>
      </c>
      <c r="B12" s="75">
        <f>E11</f>
        <v>13.8</v>
      </c>
      <c r="C12" s="75">
        <f t="shared" si="0"/>
        <v>23.988329190194918</v>
      </c>
      <c r="D12" s="75">
        <v>-7</v>
      </c>
      <c r="E12" s="75">
        <f>B12+D12</f>
        <v>6.8000000000000007</v>
      </c>
      <c r="F12" s="75">
        <f t="shared" si="3"/>
        <v>4.786300923226384</v>
      </c>
      <c r="G12" s="75">
        <v>37</v>
      </c>
      <c r="I12" s="2"/>
      <c r="J12" s="2"/>
      <c r="K12" s="2"/>
      <c r="M12" s="75"/>
      <c r="N12" s="75"/>
      <c r="O12" s="75"/>
      <c r="P12" s="75"/>
      <c r="Q12" s="75"/>
      <c r="R12" s="75"/>
    </row>
    <row r="13" spans="1:18">
      <c r="A13" s="69" t="s">
        <v>180</v>
      </c>
      <c r="B13" s="75">
        <f>E12</f>
        <v>6.8000000000000007</v>
      </c>
      <c r="C13" s="75">
        <f t="shared" si="0"/>
        <v>4.786300923226384</v>
      </c>
      <c r="D13" s="75">
        <v>-0.2</v>
      </c>
      <c r="E13" s="75">
        <f>B13+D13</f>
        <v>6.6000000000000005</v>
      </c>
      <c r="F13" s="75">
        <f t="shared" si="3"/>
        <v>4.5708818961487507</v>
      </c>
      <c r="G13" s="75" t="s">
        <v>189</v>
      </c>
      <c r="I13" s="2"/>
      <c r="J13" s="2"/>
      <c r="K13" s="2"/>
      <c r="M13" s="75"/>
      <c r="N13" s="75"/>
      <c r="O13" s="75"/>
      <c r="P13" s="75"/>
      <c r="Q13" s="75"/>
      <c r="R13" s="75"/>
    </row>
    <row r="14" spans="1:18" ht="25.5">
      <c r="A14" s="70" t="s">
        <v>183</v>
      </c>
      <c r="B14" s="75">
        <f>E13</f>
        <v>6.6000000000000005</v>
      </c>
      <c r="C14" s="75">
        <f t="shared" si="0"/>
        <v>4.5708818961487507</v>
      </c>
      <c r="D14" s="75" t="s">
        <v>189</v>
      </c>
      <c r="E14" s="75" t="s">
        <v>189</v>
      </c>
      <c r="F14" s="75" t="s">
        <v>189</v>
      </c>
      <c r="G14" s="75" t="s">
        <v>189</v>
      </c>
      <c r="I14" s="2"/>
      <c r="J14" s="2"/>
      <c r="K14" s="74"/>
      <c r="M14" s="75"/>
      <c r="N14" s="75"/>
      <c r="O14" s="75"/>
      <c r="P14" s="75"/>
      <c r="Q14" s="75"/>
      <c r="R14" s="75"/>
    </row>
  </sheetData>
  <phoneticPr fontId="13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2"/>
  <sheetViews>
    <sheetView tabSelected="1" zoomScale="70" zoomScaleNormal="70" workbookViewId="0">
      <selection activeCell="G7" sqref="G7"/>
    </sheetView>
  </sheetViews>
  <sheetFormatPr defaultRowHeight="12.75"/>
  <cols>
    <col min="1" max="1" width="14.140625" customWidth="1"/>
    <col min="2" max="6" width="10" customWidth="1"/>
    <col min="7" max="7" width="24.7109375" customWidth="1"/>
    <col min="8" max="8" width="10.42578125" customWidth="1"/>
    <col min="9" max="9" width="11" customWidth="1"/>
    <col min="10" max="10" width="19.140625" customWidth="1"/>
    <col min="11" max="11" width="14.42578125" customWidth="1"/>
    <col min="12" max="12" width="13.85546875" customWidth="1"/>
    <col min="13" max="13" width="12.5703125" bestFit="1" customWidth="1"/>
    <col min="14" max="14" width="10" customWidth="1"/>
    <col min="16" max="16" width="13.85546875" customWidth="1"/>
  </cols>
  <sheetData>
    <row r="1" spans="1:22">
      <c r="B1" s="83" t="s">
        <v>131</v>
      </c>
      <c r="C1" s="83"/>
      <c r="D1" s="83"/>
      <c r="E1" s="83"/>
      <c r="F1" s="83"/>
      <c r="G1" s="80" t="s">
        <v>132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48"/>
      <c r="U1" s="48"/>
      <c r="V1" s="48"/>
    </row>
    <row r="2" spans="1:22" s="28" customFormat="1" ht="38.25">
      <c r="A2" s="39"/>
      <c r="B2" s="42" t="s">
        <v>64</v>
      </c>
      <c r="C2" s="42" t="s">
        <v>108</v>
      </c>
      <c r="D2" s="42" t="s">
        <v>144</v>
      </c>
      <c r="E2" s="42" t="s">
        <v>108</v>
      </c>
      <c r="F2" s="42" t="s">
        <v>109</v>
      </c>
      <c r="G2" s="35" t="s">
        <v>108</v>
      </c>
      <c r="H2" s="35" t="s">
        <v>137</v>
      </c>
      <c r="I2" s="35" t="s">
        <v>108</v>
      </c>
      <c r="J2" s="35" t="s">
        <v>97</v>
      </c>
      <c r="K2" s="35" t="s">
        <v>108</v>
      </c>
      <c r="L2" s="35" t="s">
        <v>124</v>
      </c>
      <c r="M2" s="35" t="s">
        <v>108</v>
      </c>
      <c r="N2" s="35" t="s">
        <v>119</v>
      </c>
      <c r="O2" s="35" t="s">
        <v>108</v>
      </c>
      <c r="P2" s="35" t="s">
        <v>148</v>
      </c>
      <c r="Q2" s="35" t="s">
        <v>202</v>
      </c>
      <c r="R2" s="35" t="s">
        <v>67</v>
      </c>
      <c r="S2" s="35" t="s">
        <v>108</v>
      </c>
      <c r="T2" s="39"/>
    </row>
    <row r="3" spans="1:22" s="5" customFormat="1">
      <c r="A3" s="40" t="s">
        <v>110</v>
      </c>
      <c r="C3" s="5">
        <f>B6</f>
        <v>-9</v>
      </c>
      <c r="D3" s="5">
        <f>C6</f>
        <v>-9.1999999999999993</v>
      </c>
      <c r="E3" s="5">
        <f>D6</f>
        <v>16.8</v>
      </c>
      <c r="F3" s="5">
        <f>E6</f>
        <v>16.600000000000001</v>
      </c>
      <c r="G3" s="5">
        <f>F6</f>
        <v>14.600000000000001</v>
      </c>
      <c r="H3" s="5">
        <f t="shared" ref="H3:S3" si="0">G6</f>
        <v>14.400000000000002</v>
      </c>
      <c r="I3" s="5">
        <f t="shared" si="0"/>
        <v>2.4000000000000021</v>
      </c>
      <c r="J3" s="5">
        <f t="shared" si="0"/>
        <v>2.200000000000002</v>
      </c>
      <c r="K3" s="5">
        <f t="shared" si="0"/>
        <v>14</v>
      </c>
      <c r="L3" s="5">
        <f t="shared" si="0"/>
        <v>13.8</v>
      </c>
      <c r="M3" s="5">
        <f t="shared" si="0"/>
        <v>-1.6999999999999993</v>
      </c>
      <c r="N3" s="5">
        <f t="shared" si="0"/>
        <v>-1.8999999999999992</v>
      </c>
      <c r="O3" s="5">
        <f t="shared" si="0"/>
        <v>-4.8999999999999995</v>
      </c>
      <c r="P3" s="5">
        <f t="shared" si="0"/>
        <v>-5.0999999999999996</v>
      </c>
      <c r="Q3" s="5">
        <f t="shared" si="0"/>
        <v>26.9</v>
      </c>
      <c r="R3" s="5">
        <f t="shared" si="0"/>
        <v>26.7</v>
      </c>
      <c r="S3" s="5">
        <f t="shared" si="0"/>
        <v>24.7</v>
      </c>
    </row>
    <row r="4" spans="1:22">
      <c r="A4" s="12" t="s">
        <v>111</v>
      </c>
      <c r="B4" s="25"/>
      <c r="C4">
        <v>0</v>
      </c>
      <c r="D4">
        <v>26</v>
      </c>
      <c r="E4">
        <v>0</v>
      </c>
      <c r="F4">
        <v>0</v>
      </c>
      <c r="G4">
        <v>0</v>
      </c>
      <c r="H4">
        <v>0</v>
      </c>
      <c r="I4">
        <v>0</v>
      </c>
      <c r="J4" s="25"/>
      <c r="K4">
        <v>0</v>
      </c>
      <c r="L4">
        <v>0</v>
      </c>
      <c r="M4">
        <v>0</v>
      </c>
      <c r="N4">
        <v>0</v>
      </c>
      <c r="O4">
        <v>0</v>
      </c>
      <c r="P4">
        <v>32</v>
      </c>
      <c r="Q4">
        <v>0</v>
      </c>
      <c r="R4">
        <v>0</v>
      </c>
      <c r="S4">
        <v>0</v>
      </c>
      <c r="T4" s="5"/>
    </row>
    <row r="5" spans="1:22" s="5" customFormat="1">
      <c r="A5" s="40" t="s">
        <v>151</v>
      </c>
      <c r="B5" s="25"/>
      <c r="C5" s="5">
        <v>0.2</v>
      </c>
      <c r="D5" s="5">
        <v>0</v>
      </c>
      <c r="E5" s="5">
        <v>0.2</v>
      </c>
      <c r="F5" s="5">
        <v>2</v>
      </c>
      <c r="G5" s="5">
        <v>0.2</v>
      </c>
      <c r="H5" s="5">
        <v>12</v>
      </c>
      <c r="I5" s="5">
        <v>0.2</v>
      </c>
      <c r="J5" s="25"/>
      <c r="K5" s="5">
        <v>0.2</v>
      </c>
      <c r="L5" s="5">
        <v>15.5</v>
      </c>
      <c r="M5" s="5">
        <v>0.2</v>
      </c>
      <c r="N5" s="5">
        <v>3</v>
      </c>
      <c r="O5" s="5">
        <v>0.2</v>
      </c>
      <c r="P5" s="5">
        <v>0</v>
      </c>
      <c r="Q5" s="5">
        <v>0.2</v>
      </c>
      <c r="R5" s="5">
        <v>2</v>
      </c>
      <c r="S5" s="5">
        <v>0.2</v>
      </c>
    </row>
    <row r="6" spans="1:22">
      <c r="A6" s="12" t="s">
        <v>112</v>
      </c>
      <c r="B6">
        <v>-9</v>
      </c>
      <c r="C6">
        <f>C3+C4-C5</f>
        <v>-9.1999999999999993</v>
      </c>
      <c r="D6" s="20">
        <f t="shared" ref="D6:S6" si="1">D3+D4-D5</f>
        <v>16.8</v>
      </c>
      <c r="E6">
        <f t="shared" si="1"/>
        <v>16.600000000000001</v>
      </c>
      <c r="F6" s="19">
        <f t="shared" si="1"/>
        <v>14.600000000000001</v>
      </c>
      <c r="G6">
        <f t="shared" si="1"/>
        <v>14.400000000000002</v>
      </c>
      <c r="H6">
        <f t="shared" si="1"/>
        <v>2.4000000000000021</v>
      </c>
      <c r="I6">
        <f t="shared" si="1"/>
        <v>2.200000000000002</v>
      </c>
      <c r="J6">
        <f>IF(J3&gt;0,14,0)</f>
        <v>14</v>
      </c>
      <c r="K6">
        <f t="shared" si="1"/>
        <v>13.8</v>
      </c>
      <c r="L6" s="23">
        <f t="shared" si="1"/>
        <v>-1.6999999999999993</v>
      </c>
      <c r="M6">
        <f t="shared" si="1"/>
        <v>-1.8999999999999992</v>
      </c>
      <c r="N6">
        <f t="shared" si="1"/>
        <v>-4.8999999999999995</v>
      </c>
      <c r="O6">
        <f t="shared" si="1"/>
        <v>-5.0999999999999996</v>
      </c>
      <c r="P6" s="20">
        <f t="shared" si="1"/>
        <v>26.9</v>
      </c>
      <c r="Q6">
        <f t="shared" si="1"/>
        <v>26.7</v>
      </c>
      <c r="R6" s="19">
        <f t="shared" si="1"/>
        <v>24.7</v>
      </c>
      <c r="S6" s="31">
        <f t="shared" si="1"/>
        <v>24.5</v>
      </c>
      <c r="T6" s="5" t="s">
        <v>203</v>
      </c>
    </row>
    <row r="7" spans="1:22" ht="51">
      <c r="A7" s="12"/>
      <c r="D7" s="38" t="s">
        <v>122</v>
      </c>
      <c r="E7" s="5"/>
      <c r="F7" s="27" t="s">
        <v>121</v>
      </c>
      <c r="G7" s="5" t="s">
        <v>26</v>
      </c>
      <c r="H7" s="28"/>
      <c r="I7" s="5"/>
      <c r="J7" s="22" t="s">
        <v>125</v>
      </c>
      <c r="K7" s="5"/>
      <c r="L7" s="43" t="s">
        <v>126</v>
      </c>
      <c r="M7" s="5"/>
      <c r="P7" s="26" t="s">
        <v>146</v>
      </c>
      <c r="Q7" s="29" t="s">
        <v>201</v>
      </c>
      <c r="R7" s="27" t="s">
        <v>122</v>
      </c>
      <c r="S7" s="30" t="s">
        <v>127</v>
      </c>
      <c r="T7" s="5"/>
    </row>
    <row r="8" spans="1:22">
      <c r="A8" s="12"/>
      <c r="B8" s="83" t="s">
        <v>130</v>
      </c>
      <c r="C8" s="83"/>
      <c r="D8" s="83"/>
      <c r="E8" s="83"/>
      <c r="F8" s="83"/>
      <c r="G8" s="79" t="s">
        <v>133</v>
      </c>
      <c r="H8" s="79"/>
      <c r="I8" s="79"/>
      <c r="J8" s="79"/>
      <c r="K8" s="79"/>
      <c r="L8" s="79"/>
      <c r="M8" s="79"/>
      <c r="N8" s="79"/>
      <c r="O8" s="44"/>
      <c r="P8" s="44"/>
      <c r="Q8" s="44"/>
      <c r="R8" s="44"/>
      <c r="S8" s="5"/>
      <c r="T8" s="28"/>
      <c r="U8" s="5"/>
      <c r="V8" s="39"/>
    </row>
    <row r="9" spans="1:22" s="28" customFormat="1" ht="50.25" customHeight="1">
      <c r="A9" s="39"/>
      <c r="B9" s="37" t="s">
        <v>64</v>
      </c>
      <c r="C9" s="42" t="s">
        <v>108</v>
      </c>
      <c r="D9" s="42" t="s">
        <v>144</v>
      </c>
      <c r="E9" s="42" t="s">
        <v>108</v>
      </c>
      <c r="F9" s="42" t="s">
        <v>109</v>
      </c>
      <c r="G9" s="33" t="s">
        <v>108</v>
      </c>
      <c r="H9" s="33" t="s">
        <v>137</v>
      </c>
      <c r="I9" s="33" t="s">
        <v>108</v>
      </c>
      <c r="J9" s="33" t="s">
        <v>97</v>
      </c>
      <c r="K9" s="33" t="s">
        <v>108</v>
      </c>
      <c r="L9" s="33" t="s">
        <v>137</v>
      </c>
      <c r="M9" s="33" t="s">
        <v>108</v>
      </c>
      <c r="N9" s="34" t="s">
        <v>120</v>
      </c>
    </row>
    <row r="10" spans="1:22">
      <c r="A10" s="12" t="s">
        <v>110</v>
      </c>
      <c r="B10" s="25"/>
      <c r="C10">
        <f t="shared" ref="C10:N10" si="2">B13</f>
        <v>-9</v>
      </c>
      <c r="D10">
        <f t="shared" si="2"/>
        <v>-9.1999999999999993</v>
      </c>
      <c r="E10">
        <f t="shared" si="2"/>
        <v>16.8</v>
      </c>
      <c r="F10">
        <f t="shared" si="2"/>
        <v>16.600000000000001</v>
      </c>
      <c r="G10">
        <f t="shared" si="2"/>
        <v>14.600000000000001</v>
      </c>
      <c r="H10">
        <f t="shared" si="2"/>
        <v>14.400000000000002</v>
      </c>
      <c r="I10">
        <f t="shared" si="2"/>
        <v>4.4000000000000021</v>
      </c>
      <c r="J10" s="21">
        <f t="shared" si="2"/>
        <v>4.200000000000002</v>
      </c>
      <c r="K10">
        <f t="shared" si="2"/>
        <v>14</v>
      </c>
      <c r="L10">
        <f t="shared" si="2"/>
        <v>13.8</v>
      </c>
      <c r="M10">
        <f t="shared" si="2"/>
        <v>6.8000000000000007</v>
      </c>
      <c r="N10" s="15">
        <f t="shared" si="2"/>
        <v>6.6000000000000005</v>
      </c>
    </row>
    <row r="11" spans="1:22">
      <c r="A11" s="12" t="s">
        <v>111</v>
      </c>
      <c r="B11" s="25"/>
      <c r="C11">
        <v>0</v>
      </c>
      <c r="D11">
        <v>26</v>
      </c>
      <c r="E11">
        <v>0</v>
      </c>
      <c r="F11">
        <v>0</v>
      </c>
      <c r="G11">
        <v>0</v>
      </c>
      <c r="H11">
        <v>0</v>
      </c>
      <c r="I11">
        <v>0</v>
      </c>
      <c r="J11" s="25">
        <v>-10</v>
      </c>
      <c r="K11">
        <v>0</v>
      </c>
      <c r="L11">
        <v>0</v>
      </c>
      <c r="M11">
        <v>0</v>
      </c>
      <c r="N11" s="25"/>
    </row>
    <row r="12" spans="1:22">
      <c r="A12" s="40" t="s">
        <v>151</v>
      </c>
      <c r="B12" s="25"/>
      <c r="C12">
        <v>0.2</v>
      </c>
      <c r="D12">
        <v>0</v>
      </c>
      <c r="E12">
        <v>0.2</v>
      </c>
      <c r="F12">
        <v>2</v>
      </c>
      <c r="G12">
        <v>0.2</v>
      </c>
      <c r="H12">
        <v>10</v>
      </c>
      <c r="I12">
        <v>0.2</v>
      </c>
      <c r="J12" s="25"/>
      <c r="K12">
        <v>0.2</v>
      </c>
      <c r="L12">
        <v>7</v>
      </c>
      <c r="M12">
        <v>0.2</v>
      </c>
      <c r="N12" s="25"/>
    </row>
    <row r="13" spans="1:22">
      <c r="A13" s="12" t="s">
        <v>112</v>
      </c>
      <c r="B13">
        <f>B6</f>
        <v>-9</v>
      </c>
      <c r="C13">
        <f>C10+C11-C12</f>
        <v>-9.1999999999999993</v>
      </c>
      <c r="D13" s="20">
        <f t="shared" ref="D13:M13" si="3">D10+D11-D12</f>
        <v>16.8</v>
      </c>
      <c r="E13">
        <f t="shared" si="3"/>
        <v>16.600000000000001</v>
      </c>
      <c r="F13" s="19">
        <f t="shared" si="3"/>
        <v>14.600000000000001</v>
      </c>
      <c r="G13">
        <f t="shared" si="3"/>
        <v>14.400000000000002</v>
      </c>
      <c r="H13">
        <f t="shared" si="3"/>
        <v>4.4000000000000021</v>
      </c>
      <c r="I13">
        <f t="shared" si="3"/>
        <v>4.200000000000002</v>
      </c>
      <c r="J13">
        <f>IF(J10&gt;3,14,0)</f>
        <v>14</v>
      </c>
      <c r="K13">
        <f t="shared" si="3"/>
        <v>13.8</v>
      </c>
      <c r="L13">
        <f t="shared" si="3"/>
        <v>6.8000000000000007</v>
      </c>
      <c r="M13">
        <f t="shared" si="3"/>
        <v>6.6000000000000005</v>
      </c>
      <c r="N13" s="5">
        <f>SUM(N10:N12)</f>
        <v>6.6000000000000005</v>
      </c>
    </row>
    <row r="14" spans="1:22" ht="63" customHeight="1">
      <c r="A14" s="12"/>
      <c r="D14" s="38" t="s">
        <v>122</v>
      </c>
      <c r="E14" s="5"/>
      <c r="F14" s="27" t="s">
        <v>121</v>
      </c>
      <c r="G14" s="5"/>
      <c r="H14" s="28"/>
      <c r="I14" s="5"/>
      <c r="J14" s="22" t="s">
        <v>125</v>
      </c>
      <c r="K14" s="5"/>
      <c r="L14" s="28"/>
      <c r="M14" s="5"/>
      <c r="N14" s="29" t="s">
        <v>129</v>
      </c>
    </row>
    <row r="15" spans="1:22" s="5" customFormat="1" ht="12" customHeight="1">
      <c r="A15" s="40"/>
      <c r="B15" s="84" t="s">
        <v>134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67"/>
      <c r="N15" s="28"/>
      <c r="P15" s="28"/>
      <c r="R15" s="28"/>
    </row>
    <row r="16" spans="1:22" s="5" customFormat="1" ht="38.25">
      <c r="A16" s="39"/>
      <c r="B16" s="41" t="s">
        <v>154</v>
      </c>
      <c r="C16" s="36" t="s">
        <v>98</v>
      </c>
      <c r="D16" s="36" t="s">
        <v>108</v>
      </c>
      <c r="E16" s="41" t="s">
        <v>119</v>
      </c>
      <c r="F16" s="36" t="s">
        <v>108</v>
      </c>
      <c r="G16" s="36" t="s">
        <v>99</v>
      </c>
      <c r="H16" s="36" t="s">
        <v>108</v>
      </c>
      <c r="I16" s="41" t="s">
        <v>124</v>
      </c>
      <c r="J16" s="36" t="s">
        <v>99</v>
      </c>
      <c r="K16" s="36" t="s">
        <v>108</v>
      </c>
      <c r="L16" s="45" t="s">
        <v>145</v>
      </c>
      <c r="M16" s="47"/>
    </row>
    <row r="17" spans="1:16">
      <c r="A17" s="12" t="s">
        <v>110</v>
      </c>
      <c r="B17" s="49">
        <f ca="1">Range!E24</f>
        <v>-49.805127148230014</v>
      </c>
      <c r="C17">
        <f>B21</f>
        <v>-50.005127148230017</v>
      </c>
      <c r="D17">
        <f t="shared" ref="D17:I17" si="4">C21</f>
        <v>-54.705127148230019</v>
      </c>
      <c r="E17">
        <f>D21</f>
        <v>-54.905127148230022</v>
      </c>
      <c r="F17">
        <f t="shared" si="4"/>
        <v>-57.905127148230022</v>
      </c>
      <c r="G17">
        <f t="shared" si="4"/>
        <v>-58.105127148230025</v>
      </c>
      <c r="H17">
        <f t="shared" si="4"/>
        <v>-20.105127148230025</v>
      </c>
      <c r="I17">
        <f t="shared" si="4"/>
        <v>-20.305127148230024</v>
      </c>
      <c r="J17">
        <f>I21</f>
        <v>-29.305127148230024</v>
      </c>
      <c r="K17">
        <f>J21</f>
        <v>8.6948728517699756</v>
      </c>
      <c r="L17" s="15">
        <f>K21</f>
        <v>8.4948728517699763</v>
      </c>
      <c r="M17" s="5">
        <v>12.000500000000001</v>
      </c>
    </row>
    <row r="18" spans="1:16">
      <c r="A18" s="12" t="s">
        <v>111</v>
      </c>
      <c r="B18" s="12">
        <v>0</v>
      </c>
      <c r="C18">
        <v>0</v>
      </c>
      <c r="D18">
        <v>0</v>
      </c>
      <c r="E18" s="5">
        <v>0</v>
      </c>
      <c r="F18" s="5">
        <v>0</v>
      </c>
      <c r="G18" s="5">
        <v>38</v>
      </c>
      <c r="H18" s="5">
        <v>0</v>
      </c>
      <c r="I18">
        <v>0</v>
      </c>
      <c r="J18" s="5">
        <v>38</v>
      </c>
      <c r="K18">
        <v>0</v>
      </c>
      <c r="L18">
        <v>0</v>
      </c>
      <c r="M18" s="5">
        <f>SUM(B18:L18)</f>
        <v>76</v>
      </c>
    </row>
    <row r="19" spans="1:16">
      <c r="A19" s="40" t="s">
        <v>151</v>
      </c>
      <c r="B19" s="40">
        <v>0.2</v>
      </c>
      <c r="C19">
        <v>4.7</v>
      </c>
      <c r="D19">
        <v>0.2</v>
      </c>
      <c r="E19" s="5">
        <v>3</v>
      </c>
      <c r="F19" s="5">
        <v>0.2</v>
      </c>
      <c r="G19" s="5">
        <v>0</v>
      </c>
      <c r="H19" s="5">
        <v>0.2</v>
      </c>
      <c r="I19" s="5">
        <v>9</v>
      </c>
      <c r="J19" s="5"/>
      <c r="K19" s="5">
        <v>0.2</v>
      </c>
      <c r="L19" s="5">
        <v>7</v>
      </c>
      <c r="M19" s="5">
        <f>SUM(B19:L19)</f>
        <v>24.7</v>
      </c>
    </row>
    <row r="20" spans="1:16" ht="25.5">
      <c r="A20" s="39" t="s">
        <v>170</v>
      </c>
      <c r="B20" s="61">
        <f>IF(B18=0,(10^-(B19/10)),(10^(B18/10)))</f>
        <v>0.95499258602143589</v>
      </c>
      <c r="C20" s="61">
        <f>IF(C18=0,(10^-(C19/10)),(10^(C18/10)))</f>
        <v>0.33884415613920249</v>
      </c>
      <c r="D20" s="61">
        <f>IF(D18=0,(10^-(D19/10)),(10^(D18/10)))</f>
        <v>0.95499258602143589</v>
      </c>
      <c r="E20" s="61">
        <f t="shared" ref="E20:L20" si="5">IF(E18=0,(10^-(E19/10)),(10^(E18/10)))</f>
        <v>0.50118723362727224</v>
      </c>
      <c r="F20" s="61">
        <f t="shared" si="5"/>
        <v>0.95499258602143589</v>
      </c>
      <c r="G20" s="61">
        <f>IF(G18=0,(10^-(G19/10)),(10^(G18/10)))</f>
        <v>6309.5734448019384</v>
      </c>
      <c r="H20" s="61">
        <f t="shared" si="5"/>
        <v>0.95499258602143589</v>
      </c>
      <c r="I20" s="61">
        <f t="shared" si="5"/>
        <v>0.12589254117941667</v>
      </c>
      <c r="J20" s="61">
        <f>IF(J18=0,(10^-(J19/10)),(10^(J18/10)))</f>
        <v>6309.5734448019384</v>
      </c>
      <c r="K20" s="61">
        <f t="shared" si="5"/>
        <v>0.95499258602143589</v>
      </c>
      <c r="L20" s="61">
        <f t="shared" si="5"/>
        <v>0.19952623149688795</v>
      </c>
      <c r="M20" s="66">
        <f>M18-M19</f>
        <v>51.3</v>
      </c>
    </row>
    <row r="21" spans="1:16">
      <c r="A21" s="12" t="s">
        <v>112</v>
      </c>
      <c r="B21" s="62">
        <f t="shared" ref="B21:L21" si="6">B17+B18-B19</f>
        <v>-50.005127148230017</v>
      </c>
      <c r="C21" s="63">
        <f t="shared" si="6"/>
        <v>-54.705127148230019</v>
      </c>
      <c r="D21" s="62">
        <f t="shared" si="6"/>
        <v>-54.905127148230022</v>
      </c>
      <c r="E21" s="62">
        <f t="shared" si="6"/>
        <v>-57.905127148230022</v>
      </c>
      <c r="F21" s="62">
        <f t="shared" si="6"/>
        <v>-58.105127148230025</v>
      </c>
      <c r="G21" s="64">
        <f t="shared" si="6"/>
        <v>-20.105127148230025</v>
      </c>
      <c r="H21" s="62">
        <f t="shared" si="6"/>
        <v>-20.305127148230024</v>
      </c>
      <c r="I21" s="65">
        <f t="shared" si="6"/>
        <v>-29.305127148230024</v>
      </c>
      <c r="J21" s="64">
        <f>J17+J18-J19</f>
        <v>8.6948728517699756</v>
      </c>
      <c r="K21" s="61">
        <f t="shared" si="6"/>
        <v>8.4948728517699763</v>
      </c>
      <c r="L21" s="61">
        <f t="shared" si="6"/>
        <v>1.4948728517699763</v>
      </c>
      <c r="M21" s="5"/>
    </row>
    <row r="22" spans="1:16" s="5" customFormat="1">
      <c r="A22" s="40" t="s">
        <v>158</v>
      </c>
      <c r="B22" s="40">
        <f>10^((B21)/10)</f>
        <v>9.9882012708962643E-6</v>
      </c>
      <c r="C22" s="40">
        <f t="shared" ref="C22:L22" si="7">10^((C21)/10)</f>
        <v>3.384443630985352E-6</v>
      </c>
      <c r="D22" s="40">
        <f t="shared" si="7"/>
        <v>3.2321185753984749E-6</v>
      </c>
      <c r="E22" s="40">
        <f t="shared" si="7"/>
        <v>1.6198965675592837E-6</v>
      </c>
      <c r="F22" s="40">
        <f t="shared" si="7"/>
        <v>1.5469892121406856E-6</v>
      </c>
      <c r="G22" s="40">
        <f t="shared" si="7"/>
        <v>9.7608420523179439E-3</v>
      </c>
      <c r="H22" s="40">
        <f t="shared" si="7"/>
        <v>9.3215317932898948E-3</v>
      </c>
      <c r="I22" s="40">
        <f t="shared" si="7"/>
        <v>1.1735113251419898E-3</v>
      </c>
      <c r="J22" s="40">
        <f>10^((J21)/10)</f>
        <v>7.4043558942902328</v>
      </c>
      <c r="K22" s="40">
        <f t="shared" si="7"/>
        <v>7.0711049833112929</v>
      </c>
      <c r="L22" s="40">
        <f t="shared" si="7"/>
        <v>1.4108709298389668</v>
      </c>
      <c r="M22" s="40">
        <f>SQRT(L22*50)</f>
        <v>8.3990205674202478</v>
      </c>
    </row>
    <row r="23" spans="1:16">
      <c r="A23" s="12" t="s">
        <v>155</v>
      </c>
      <c r="B23" s="12">
        <f t="shared" ref="B23:L23" si="8">10^((B21-30)/10)</f>
        <v>9.9882012708962667E-9</v>
      </c>
      <c r="C23" s="12">
        <f t="shared" si="8"/>
        <v>3.3844436309853473E-9</v>
      </c>
      <c r="D23" s="12">
        <f t="shared" si="8"/>
        <v>3.2321185753984754E-9</v>
      </c>
      <c r="E23" s="12">
        <f t="shared" si="8"/>
        <v>1.619896567559281E-9</v>
      </c>
      <c r="F23" s="12">
        <f t="shared" si="8"/>
        <v>1.546989212140686E-9</v>
      </c>
      <c r="G23" s="12">
        <f t="shared" si="8"/>
        <v>9.7608420523179282E-6</v>
      </c>
      <c r="H23" s="12">
        <f t="shared" si="8"/>
        <v>9.3215317932898962E-6</v>
      </c>
      <c r="I23" s="12">
        <f t="shared" si="8"/>
        <v>1.1735113251419881E-6</v>
      </c>
      <c r="J23" s="12">
        <f>10^((J21-30)/10)</f>
        <v>7.4043558942902283E-3</v>
      </c>
      <c r="K23" s="12">
        <f t="shared" si="8"/>
        <v>7.0711049833112813E-3</v>
      </c>
      <c r="L23" s="12">
        <f t="shared" si="8"/>
        <v>1.4108709298389656E-3</v>
      </c>
      <c r="M23" s="40">
        <f>SQRT(L23*50)</f>
        <v>0.26560035107647784</v>
      </c>
      <c r="N23" s="5"/>
    </row>
    <row r="24" spans="1:16">
      <c r="A24" s="12" t="s">
        <v>70</v>
      </c>
      <c r="B24" s="40">
        <f>IF(B18=0,B19,B18)</f>
        <v>0.2</v>
      </c>
      <c r="C24" s="40">
        <f>IF(C18=0,C19,C18)</f>
        <v>4.7</v>
      </c>
      <c r="D24" s="40">
        <f>IF(D18=0,D19,D18)</f>
        <v>0.2</v>
      </c>
      <c r="E24" s="40">
        <f>IF(E18=0,E19,E18)</f>
        <v>3</v>
      </c>
      <c r="F24" s="40">
        <f>IF(F18=0,F19,F18)</f>
        <v>0.2</v>
      </c>
      <c r="G24" s="40">
        <v>2.2000000000000002</v>
      </c>
      <c r="H24" s="40">
        <f>IF(H18=0,H19,H18)</f>
        <v>0.2</v>
      </c>
      <c r="I24" s="40">
        <f>IF(I18=0,I19,I18)</f>
        <v>9</v>
      </c>
      <c r="J24" s="40">
        <v>2.2000000000000002</v>
      </c>
      <c r="K24" s="40">
        <f>IF(K18=0,K19,K18)</f>
        <v>0.2</v>
      </c>
      <c r="L24">
        <v>7</v>
      </c>
      <c r="M24">
        <f>M23*10^3</f>
        <v>265.60035107647786</v>
      </c>
      <c r="N24" s="5"/>
    </row>
    <row r="25" spans="1:16">
      <c r="A25" s="12" t="s">
        <v>168</v>
      </c>
      <c r="B25" s="61">
        <f>10^(B24/10)</f>
        <v>1.0471285480508996</v>
      </c>
      <c r="C25" s="61">
        <f t="shared" ref="C25:L25" si="9">10^(C24/10)</f>
        <v>2.9512092266663861</v>
      </c>
      <c r="D25" s="61">
        <f t="shared" si="9"/>
        <v>1.0471285480508996</v>
      </c>
      <c r="E25" s="61">
        <f t="shared" si="9"/>
        <v>1.9952623149688797</v>
      </c>
      <c r="F25" s="61">
        <f t="shared" si="9"/>
        <v>1.0471285480508996</v>
      </c>
      <c r="G25" s="61">
        <f t="shared" si="9"/>
        <v>1.6595869074375609</v>
      </c>
      <c r="H25" s="61">
        <f t="shared" si="9"/>
        <v>1.0471285480508996</v>
      </c>
      <c r="I25" s="61">
        <f t="shared" si="9"/>
        <v>7.9432823472428176</v>
      </c>
      <c r="J25" s="61">
        <f>10^(J24/10)</f>
        <v>1.6595869074375609</v>
      </c>
      <c r="K25" s="61">
        <f t="shared" si="9"/>
        <v>1.0471285480508996</v>
      </c>
      <c r="L25" s="61">
        <f t="shared" si="9"/>
        <v>5.0118723362727229</v>
      </c>
      <c r="N25" s="5"/>
    </row>
    <row r="26" spans="1:16">
      <c r="A26" s="12" t="s">
        <v>169</v>
      </c>
      <c r="B26" s="61">
        <f>B25</f>
        <v>1.0471285480508996</v>
      </c>
      <c r="C26" s="61">
        <f>B26+((C25-1)/(B20))</f>
        <v>3.090295432513591</v>
      </c>
      <c r="D26" s="61">
        <f>C26+((D25-1)/(B20*C20))</f>
        <v>3.2359365692962831</v>
      </c>
      <c r="E26" s="61">
        <f>D26+((E25-1)/(B20*C20*D20))</f>
        <v>6.4565422903465572</v>
      </c>
      <c r="F26" s="61">
        <f>E26+((F25-1)/(B20*C20*D20*E20))</f>
        <v>6.7608297539198201</v>
      </c>
      <c r="G26" s="61">
        <f>F26+((G25-1)/(B20*C20*D20*E20*F20))</f>
        <v>11.220184543019641</v>
      </c>
      <c r="H26" s="61">
        <f>G26+((H25-1)/(B20*C20*D20*E20*F20*G20))</f>
        <v>11.220235042168706</v>
      </c>
      <c r="I26" s="61">
        <f>H26+((I25-1)/(B20*C20*D20*E20*F20*G20*H20))</f>
        <v>11.228025533095742</v>
      </c>
      <c r="J26" s="61">
        <f>I26+((J25-1)/(E20*F20*G20*H20*I20))</f>
        <v>11.229842186288552</v>
      </c>
      <c r="K26" s="61">
        <f>I26+((K25-1)/(B20*C20*D20*E20*F20*G20*H20*I20))</f>
        <v>11.228445566722375</v>
      </c>
      <c r="L26" s="61">
        <f>K26+((L25-1)/(C20*D20*E20*F20*G20*H20*I20*K20))</f>
        <v>11.264201416556133</v>
      </c>
    </row>
    <row r="27" spans="1:16" ht="27" customHeight="1">
      <c r="A27" s="16" t="s">
        <v>74</v>
      </c>
      <c r="B27" s="5">
        <f>290*(10^(B24/10)-1)</f>
        <v>13.667278934760887</v>
      </c>
      <c r="C27" s="5">
        <f t="shared" ref="C27:L27" si="10">290*(10^(C24/10)-1)</f>
        <v>565.85067573325193</v>
      </c>
      <c r="D27" s="5">
        <f t="shared" si="10"/>
        <v>13.667278934760887</v>
      </c>
      <c r="E27" s="5">
        <f t="shared" si="10"/>
        <v>288.6260713409751</v>
      </c>
      <c r="F27" s="5">
        <f t="shared" si="10"/>
        <v>13.667278934760887</v>
      </c>
      <c r="G27" s="5">
        <f t="shared" si="10"/>
        <v>191.28020315689267</v>
      </c>
      <c r="H27" s="5">
        <f t="shared" si="10"/>
        <v>13.667278934760887</v>
      </c>
      <c r="I27" s="5">
        <f t="shared" si="10"/>
        <v>2013.5518807004171</v>
      </c>
      <c r="J27" s="5">
        <f>290*(10^(J24/10)-1)</f>
        <v>191.28020315689267</v>
      </c>
      <c r="K27" s="5">
        <f t="shared" si="10"/>
        <v>13.667278934760887</v>
      </c>
      <c r="L27" s="5">
        <f t="shared" si="10"/>
        <v>1163.4429775190897</v>
      </c>
    </row>
    <row r="28" spans="1:16" ht="24.75" customHeight="1">
      <c r="A28" s="16" t="s">
        <v>172</v>
      </c>
      <c r="B28" s="5">
        <f>290*(10^(B26/10)-1)</f>
        <v>79.071791305209345</v>
      </c>
      <c r="C28" s="5">
        <f t="shared" ref="C28:L28" si="11">290*(10^(C26/10)-1)</f>
        <v>300.78238964208748</v>
      </c>
      <c r="D28" s="5">
        <f t="shared" si="11"/>
        <v>320.93028548185993</v>
      </c>
      <c r="E28" s="5">
        <f t="shared" si="11"/>
        <v>992.48480110478692</v>
      </c>
      <c r="F28" s="5">
        <f t="shared" si="11"/>
        <v>1085.5645446242313</v>
      </c>
      <c r="G28" s="5">
        <f t="shared" si="11"/>
        <v>3550.7536522080686</v>
      </c>
      <c r="H28" s="5">
        <f t="shared" si="11"/>
        <v>3550.7983122088112</v>
      </c>
      <c r="I28" s="5">
        <f t="shared" si="11"/>
        <v>3557.6942224457812</v>
      </c>
      <c r="J28" s="5">
        <f>290*(10^(J26/10)-1)</f>
        <v>3559.3040490569565</v>
      </c>
      <c r="K28" s="5">
        <f t="shared" si="11"/>
        <v>3558.0663752551895</v>
      </c>
      <c r="L28" s="5">
        <f t="shared" si="11"/>
        <v>3589.8786238106281</v>
      </c>
    </row>
    <row r="29" spans="1:16" ht="53.25" customHeight="1">
      <c r="B29" s="50" t="s">
        <v>152</v>
      </c>
      <c r="C29" s="53" t="s">
        <v>122</v>
      </c>
      <c r="G29" s="38" t="s">
        <v>122</v>
      </c>
      <c r="I29" s="52" t="s">
        <v>126</v>
      </c>
      <c r="J29" s="38" t="s">
        <v>122</v>
      </c>
      <c r="L29" s="46" t="s">
        <v>157</v>
      </c>
    </row>
    <row r="31" spans="1:16">
      <c r="A31" s="12"/>
      <c r="O31" s="5"/>
      <c r="P31" s="5"/>
    </row>
    <row r="32" spans="1:16">
      <c r="A32" s="12"/>
      <c r="B32" s="12"/>
      <c r="C32" s="12"/>
      <c r="D32" s="40"/>
      <c r="E32" s="40"/>
      <c r="F32" s="40"/>
      <c r="G32" s="40"/>
      <c r="H32" s="5"/>
      <c r="I32" s="5"/>
      <c r="J32" s="5"/>
      <c r="K32" s="5"/>
      <c r="L32" s="5"/>
      <c r="M32" s="5"/>
      <c r="N32" s="5"/>
      <c r="O32" s="5"/>
      <c r="P32" s="5"/>
    </row>
    <row r="33" spans="1:16" ht="25.5">
      <c r="A33" s="16" t="s">
        <v>171</v>
      </c>
      <c r="C33" s="81">
        <f>L26</f>
        <v>11.264201416556133</v>
      </c>
      <c r="D33" s="81"/>
      <c r="F33" s="5"/>
      <c r="G33" s="5"/>
      <c r="H33" s="5"/>
      <c r="I33" s="5"/>
      <c r="J33" s="5"/>
      <c r="K33" s="5"/>
      <c r="L33" s="5">
        <f>(L23*50)^0.5</f>
        <v>0.26560035107647784</v>
      </c>
      <c r="M33" s="5" t="s">
        <v>199</v>
      </c>
      <c r="N33" s="5"/>
      <c r="O33" s="5"/>
      <c r="P33" s="5"/>
    </row>
    <row r="34" spans="1:16" ht="25.5">
      <c r="A34" s="16" t="s">
        <v>162</v>
      </c>
      <c r="C34" s="82">
        <f>10*LOG(C33,10)</f>
        <v>10.51700407539942</v>
      </c>
      <c r="D34" s="82"/>
      <c r="E34" s="5">
        <f>SUM(B24:G24)</f>
        <v>10.5</v>
      </c>
      <c r="F34" s="5"/>
      <c r="G34" s="5"/>
      <c r="H34" s="5"/>
      <c r="I34" s="5"/>
      <c r="J34" s="5"/>
      <c r="K34" s="5"/>
      <c r="L34">
        <f>2*L33*2^0.5</f>
        <v>0.75123123732682096</v>
      </c>
      <c r="M34" t="s">
        <v>200</v>
      </c>
      <c r="N34" s="5"/>
      <c r="O34" s="5"/>
      <c r="P34" s="5"/>
    </row>
    <row r="35" spans="1:16" ht="25.5">
      <c r="A35" s="16" t="s">
        <v>163</v>
      </c>
      <c r="C35" s="82">
        <f>L28</f>
        <v>3589.8786238106281</v>
      </c>
      <c r="D35" s="82"/>
      <c r="E35" s="5"/>
      <c r="F35" s="5"/>
      <c r="G35" s="5"/>
      <c r="H35" s="5"/>
      <c r="I35" s="5"/>
      <c r="J35" s="5"/>
      <c r="K35" s="5"/>
      <c r="L35" s="66">
        <f>-174-SUM(G19:L19)+L26+G18+J18</f>
        <v>-103.13579858344389</v>
      </c>
      <c r="M35" s="5" t="s">
        <v>194</v>
      </c>
      <c r="N35" s="5"/>
      <c r="O35" s="5"/>
      <c r="P35" s="5"/>
    </row>
    <row r="36" spans="1:16">
      <c r="D36" s="5"/>
      <c r="E36" s="5"/>
      <c r="F36" s="5"/>
      <c r="G36" s="5"/>
      <c r="H36" s="5"/>
      <c r="I36" s="5"/>
      <c r="J36" s="5"/>
      <c r="K36" s="5"/>
      <c r="L36" s="5">
        <f>L35+10*LOG(500000)</f>
        <v>-46.146098540083699</v>
      </c>
      <c r="M36" s="5" t="s">
        <v>195</v>
      </c>
      <c r="N36" s="5"/>
      <c r="O36" s="5"/>
      <c r="P36" s="5"/>
    </row>
    <row r="37" spans="1:16">
      <c r="D37" s="5"/>
      <c r="E37" s="5"/>
      <c r="F37" s="5"/>
      <c r="G37" s="5"/>
      <c r="H37" s="5"/>
      <c r="I37" s="5"/>
      <c r="J37" s="5"/>
      <c r="K37" s="5"/>
      <c r="L37" s="66">
        <f>L21</f>
        <v>1.4948728517699763</v>
      </c>
      <c r="M37" s="5" t="s">
        <v>196</v>
      </c>
      <c r="N37" s="5"/>
      <c r="O37" s="5"/>
      <c r="P37" s="5"/>
    </row>
    <row r="38" spans="1:16">
      <c r="D38" s="5"/>
      <c r="E38" s="5"/>
      <c r="F38" s="5"/>
      <c r="G38" s="40"/>
      <c r="H38" s="5"/>
      <c r="I38" s="5"/>
      <c r="J38" s="5"/>
      <c r="K38" s="5"/>
      <c r="L38" s="5">
        <v>5</v>
      </c>
      <c r="M38" s="5" t="s">
        <v>198</v>
      </c>
      <c r="N38" s="5"/>
      <c r="O38" s="5"/>
      <c r="P38" s="5"/>
    </row>
    <row r="39" spans="1:16">
      <c r="D39" s="5"/>
      <c r="E39" s="5"/>
      <c r="F39" s="5"/>
      <c r="G39" s="40"/>
      <c r="H39" s="59"/>
      <c r="I39" s="59"/>
      <c r="J39" s="59"/>
      <c r="K39" s="59"/>
      <c r="L39" s="59"/>
      <c r="M39" s="59"/>
      <c r="N39" s="59"/>
      <c r="O39" s="5"/>
      <c r="P39" s="5"/>
    </row>
    <row r="40" spans="1:16">
      <c r="D40" s="5"/>
      <c r="E40" s="5"/>
      <c r="F40" s="5"/>
      <c r="G40" s="40"/>
      <c r="H40" s="5"/>
      <c r="I40" s="5"/>
      <c r="J40" s="5"/>
      <c r="K40" s="5"/>
      <c r="L40" s="66">
        <f>L37-L38-L36</f>
        <v>42.640971391853675</v>
      </c>
      <c r="M40" s="5" t="s">
        <v>197</v>
      </c>
      <c r="N40" s="5"/>
      <c r="O40" s="5"/>
      <c r="P40" s="5"/>
    </row>
    <row r="41" spans="1:16">
      <c r="D41" s="5"/>
      <c r="E41" s="5"/>
      <c r="F41" s="5"/>
      <c r="G41" s="59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</sheetData>
  <mergeCells count="8">
    <mergeCell ref="G8:N8"/>
    <mergeCell ref="G1:S1"/>
    <mergeCell ref="C33:D33"/>
    <mergeCell ref="C35:D35"/>
    <mergeCell ref="C34:D34"/>
    <mergeCell ref="B8:F8"/>
    <mergeCell ref="B1:F1"/>
    <mergeCell ref="B15:L15"/>
  </mergeCells>
  <phoneticPr fontId="13" type="noConversion"/>
  <pageMargins left="0.7" right="0.7" top="0.75" bottom="0.75" header="0.3" footer="0.3"/>
  <pageSetup orientation="portrait" horizontalDpi="4294967293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G1"/>
  <sheetViews>
    <sheetView topLeftCell="E1" zoomScale="85" zoomScaleNormal="85" workbookViewId="0">
      <selection activeCell="W57" sqref="W57"/>
    </sheetView>
  </sheetViews>
  <sheetFormatPr defaultRowHeight="12.75"/>
  <sheetData>
    <row r="1" spans="7:7">
      <c r="G1" s="24" t="s">
        <v>193</v>
      </c>
    </row>
  </sheetData>
  <phoneticPr fontId="13" type="noConversion"/>
  <hyperlinks>
    <hyperlink ref="G1" r:id="rId1" display="http://www.gigalink-mce.net/RF_Products_ULL.html"/>
  </hyperlinks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zoomScaleNormal="100" workbookViewId="0">
      <selection activeCell="A12" sqref="A12:F14"/>
    </sheetView>
  </sheetViews>
  <sheetFormatPr defaultRowHeight="12.75"/>
  <cols>
    <col min="1" max="1" width="26.7109375" style="12" customWidth="1"/>
    <col min="2" max="2" width="29.5703125" style="12" customWidth="1"/>
    <col min="3" max="3" width="26.85546875" style="12" customWidth="1"/>
    <col min="4" max="5" width="9.140625" style="12"/>
    <col min="6" max="6" width="13.140625" style="12" customWidth="1"/>
    <col min="7" max="16384" width="9.140625" style="12"/>
  </cols>
  <sheetData>
    <row r="1" spans="1:6" ht="25.5">
      <c r="A1" s="32" t="s">
        <v>78</v>
      </c>
      <c r="B1" s="32" t="s">
        <v>79</v>
      </c>
      <c r="C1" s="32" t="s">
        <v>80</v>
      </c>
      <c r="D1" s="32" t="s">
        <v>164</v>
      </c>
      <c r="E1" s="54" t="s">
        <v>68</v>
      </c>
      <c r="F1" s="54" t="s">
        <v>160</v>
      </c>
    </row>
    <row r="2" spans="1:6" ht="13.5" customHeight="1">
      <c r="A2" s="32" t="s">
        <v>64</v>
      </c>
      <c r="B2" s="32" t="s">
        <v>128</v>
      </c>
      <c r="C2" s="55" t="s">
        <v>81</v>
      </c>
      <c r="D2" s="32"/>
      <c r="E2" s="32">
        <v>1</v>
      </c>
      <c r="F2" s="32"/>
    </row>
    <row r="3" spans="1:6">
      <c r="A3" s="32" t="s">
        <v>66</v>
      </c>
      <c r="B3" s="32" t="s">
        <v>147</v>
      </c>
      <c r="C3" s="55" t="s">
        <v>82</v>
      </c>
      <c r="D3" s="32"/>
      <c r="E3" s="32">
        <v>1</v>
      </c>
      <c r="F3" s="32"/>
    </row>
    <row r="4" spans="1:6">
      <c r="A4" s="54" t="s">
        <v>143</v>
      </c>
      <c r="B4" s="54" t="s">
        <v>174</v>
      </c>
      <c r="C4" s="55" t="s">
        <v>135</v>
      </c>
      <c r="D4" s="32"/>
      <c r="E4" s="54">
        <v>1</v>
      </c>
      <c r="F4" s="32"/>
    </row>
    <row r="5" spans="1:6">
      <c r="A5" s="32" t="s">
        <v>83</v>
      </c>
      <c r="B5" s="32" t="s">
        <v>84</v>
      </c>
      <c r="C5" s="56" t="s">
        <v>85</v>
      </c>
      <c r="D5" s="32"/>
      <c r="E5" s="32">
        <v>20</v>
      </c>
      <c r="F5" s="32"/>
    </row>
    <row r="6" spans="1:6">
      <c r="A6" s="32" t="s">
        <v>72</v>
      </c>
      <c r="B6" s="32" t="s">
        <v>86</v>
      </c>
      <c r="C6" s="56" t="s">
        <v>82</v>
      </c>
      <c r="D6" s="32"/>
      <c r="E6" s="32">
        <v>1</v>
      </c>
      <c r="F6" s="32"/>
    </row>
    <row r="7" spans="1:6">
      <c r="A7" s="32" t="s">
        <v>87</v>
      </c>
      <c r="B7" s="32" t="s">
        <v>103</v>
      </c>
      <c r="C7" s="56" t="s">
        <v>81</v>
      </c>
      <c r="D7" s="32"/>
      <c r="E7" s="32">
        <v>2</v>
      </c>
      <c r="F7" s="32"/>
    </row>
    <row r="8" spans="1:6">
      <c r="A8" s="32" t="s">
        <v>88</v>
      </c>
      <c r="B8" s="32" t="s">
        <v>89</v>
      </c>
      <c r="C8" s="56" t="s">
        <v>81</v>
      </c>
      <c r="D8" s="32"/>
      <c r="E8" s="32">
        <v>1</v>
      </c>
      <c r="F8" s="32"/>
    </row>
    <row r="9" spans="1:6" ht="38.25">
      <c r="A9" s="32" t="s">
        <v>90</v>
      </c>
      <c r="B9" s="32" t="s">
        <v>159</v>
      </c>
      <c r="C9" s="55" t="s">
        <v>149</v>
      </c>
      <c r="D9" s="32">
        <v>1500</v>
      </c>
      <c r="E9" s="32">
        <v>1</v>
      </c>
      <c r="F9" s="32" t="s">
        <v>161</v>
      </c>
    </row>
    <row r="10" spans="1:6">
      <c r="A10" s="32" t="s">
        <v>69</v>
      </c>
      <c r="B10" s="32" t="s">
        <v>91</v>
      </c>
      <c r="C10" s="55" t="s">
        <v>92</v>
      </c>
      <c r="D10" s="32"/>
      <c r="E10" s="32">
        <v>1</v>
      </c>
      <c r="F10" s="32"/>
    </row>
    <row r="11" spans="1:6">
      <c r="A11" s="32" t="s">
        <v>93</v>
      </c>
      <c r="B11" s="57" t="s">
        <v>123</v>
      </c>
      <c r="C11" s="56" t="s">
        <v>82</v>
      </c>
      <c r="D11" s="32"/>
      <c r="E11" s="32">
        <v>3</v>
      </c>
      <c r="F11" s="32"/>
    </row>
    <row r="12" spans="1:6">
      <c r="A12" s="54" t="s">
        <v>138</v>
      </c>
      <c r="B12" s="54" t="s">
        <v>191</v>
      </c>
      <c r="C12" s="55" t="s">
        <v>82</v>
      </c>
      <c r="D12" s="32"/>
      <c r="E12" s="32">
        <v>3</v>
      </c>
      <c r="F12" s="32"/>
    </row>
    <row r="13" spans="1:6">
      <c r="A13" s="54" t="s">
        <v>138</v>
      </c>
      <c r="B13" s="54" t="s">
        <v>192</v>
      </c>
      <c r="C13" s="55" t="s">
        <v>82</v>
      </c>
      <c r="D13" s="32"/>
      <c r="E13" s="32">
        <v>3</v>
      </c>
      <c r="F13" s="32"/>
    </row>
    <row r="14" spans="1:6">
      <c r="A14" s="54" t="s">
        <v>138</v>
      </c>
      <c r="B14" s="54" t="s">
        <v>190</v>
      </c>
      <c r="C14" s="55" t="s">
        <v>82</v>
      </c>
      <c r="D14" s="32"/>
      <c r="E14" s="32">
        <v>3</v>
      </c>
      <c r="F14" s="32"/>
    </row>
    <row r="15" spans="1:6">
      <c r="A15" s="54" t="s">
        <v>138</v>
      </c>
      <c r="B15" s="54" t="s">
        <v>139</v>
      </c>
      <c r="C15" s="55" t="s">
        <v>82</v>
      </c>
      <c r="D15" s="32"/>
      <c r="E15" s="32">
        <v>3</v>
      </c>
      <c r="F15" s="32"/>
    </row>
    <row r="16" spans="1:6">
      <c r="A16" s="54" t="s">
        <v>138</v>
      </c>
      <c r="B16" s="54" t="s">
        <v>140</v>
      </c>
      <c r="C16" s="55" t="s">
        <v>82</v>
      </c>
      <c r="D16" s="32"/>
      <c r="E16" s="32">
        <v>3</v>
      </c>
      <c r="F16" s="32"/>
    </row>
    <row r="17" spans="1:6">
      <c r="A17" s="54" t="s">
        <v>138</v>
      </c>
      <c r="B17" s="54" t="s">
        <v>141</v>
      </c>
      <c r="C17" s="55" t="s">
        <v>82</v>
      </c>
      <c r="D17" s="32"/>
      <c r="E17" s="32">
        <v>3</v>
      </c>
      <c r="F17" s="32"/>
    </row>
    <row r="18" spans="1:6">
      <c r="A18" s="54" t="s">
        <v>138</v>
      </c>
      <c r="B18" s="54" t="s">
        <v>142</v>
      </c>
      <c r="C18" s="55" t="s">
        <v>82</v>
      </c>
      <c r="D18" s="32"/>
      <c r="E18" s="32">
        <v>3</v>
      </c>
      <c r="F18" s="32"/>
    </row>
    <row r="19" spans="1:6">
      <c r="A19" s="32" t="s">
        <v>94</v>
      </c>
      <c r="B19" s="32" t="s">
        <v>95</v>
      </c>
      <c r="C19" s="56" t="s">
        <v>96</v>
      </c>
      <c r="D19" s="32"/>
      <c r="E19" s="32">
        <v>1</v>
      </c>
      <c r="F19" s="32"/>
    </row>
    <row r="20" spans="1:6">
      <c r="A20" s="54" t="s">
        <v>73</v>
      </c>
      <c r="B20" s="32" t="s">
        <v>102</v>
      </c>
      <c r="C20" s="56" t="s">
        <v>100</v>
      </c>
      <c r="D20" s="56" t="s">
        <v>101</v>
      </c>
      <c r="E20" s="54">
        <v>2</v>
      </c>
      <c r="F20" s="32"/>
    </row>
    <row r="21" spans="1:6">
      <c r="A21" s="54" t="s">
        <v>65</v>
      </c>
      <c r="B21" s="32" t="s">
        <v>106</v>
      </c>
      <c r="C21" s="56" t="s">
        <v>105</v>
      </c>
      <c r="D21" s="32"/>
      <c r="E21" s="54">
        <v>2</v>
      </c>
      <c r="F21" s="32"/>
    </row>
    <row r="22" spans="1:6">
      <c r="A22" s="54" t="s">
        <v>107</v>
      </c>
      <c r="B22" s="58" t="s">
        <v>150</v>
      </c>
      <c r="C22" s="55" t="s">
        <v>149</v>
      </c>
      <c r="D22" s="32"/>
      <c r="E22" s="32">
        <v>1</v>
      </c>
      <c r="F22" s="32"/>
    </row>
  </sheetData>
  <phoneticPr fontId="13" type="noConversion"/>
  <hyperlinks>
    <hyperlink ref="C2" r:id="rId1"/>
    <hyperlink ref="C3" r:id="rId2"/>
    <hyperlink ref="C5" r:id="rId3"/>
    <hyperlink ref="C6" r:id="rId4"/>
    <hyperlink ref="C7" r:id="rId5"/>
    <hyperlink ref="C8" r:id="rId6"/>
    <hyperlink ref="C9" r:id="rId7" display="Hittite"/>
    <hyperlink ref="C10" r:id="rId8"/>
    <hyperlink ref="C19" r:id="rId9"/>
    <hyperlink ref="C20" r:id="rId10"/>
    <hyperlink ref="D20" r:id="rId11"/>
    <hyperlink ref="C21" r:id="rId12"/>
    <hyperlink ref="C22" r:id="rId13" display="Hittite"/>
    <hyperlink ref="C4" r:id="rId14"/>
    <hyperlink ref="C11" r:id="rId15"/>
    <hyperlink ref="C15:C17" r:id="rId16" display="Fairview Microwave"/>
    <hyperlink ref="C15" r:id="rId17"/>
    <hyperlink ref="C16:C18" r:id="rId18" display="Fairview Microwave"/>
    <hyperlink ref="C12:C14" r:id="rId19" display="Fairview Microwave"/>
  </hyperlinks>
  <pageMargins left="0.7" right="0.7" top="0.75" bottom="0.75" header="0.3" footer="0.3"/>
  <pageSetup orientation="portrait" horizontalDpi="4294967293" verticalDpi="0" r:id="rId2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5" sqref="C5"/>
    </sheetView>
  </sheetViews>
  <sheetFormatPr defaultRowHeight="12.75"/>
  <cols>
    <col min="1" max="1" width="22.28515625" customWidth="1"/>
    <col min="2" max="2" width="22.140625" customWidth="1"/>
    <col min="3" max="3" width="9.7109375" customWidth="1"/>
    <col min="4" max="4" width="8" customWidth="1"/>
  </cols>
  <sheetData>
    <row r="1" spans="1:4" ht="25.5">
      <c r="A1" s="32" t="s">
        <v>78</v>
      </c>
      <c r="B1" s="32" t="s">
        <v>79</v>
      </c>
      <c r="C1" s="17" t="s">
        <v>166</v>
      </c>
      <c r="D1" s="60" t="s">
        <v>167</v>
      </c>
    </row>
    <row r="2" spans="1:4">
      <c r="A2" s="32" t="s">
        <v>64</v>
      </c>
      <c r="B2" s="32" t="s">
        <v>128</v>
      </c>
      <c r="C2" s="17"/>
    </row>
    <row r="3" spans="1:4">
      <c r="A3" s="32" t="s">
        <v>66</v>
      </c>
      <c r="B3" s="32" t="s">
        <v>147</v>
      </c>
      <c r="C3" s="17">
        <v>15</v>
      </c>
      <c r="D3">
        <v>900</v>
      </c>
    </row>
    <row r="4" spans="1:4">
      <c r="A4" s="54" t="s">
        <v>143</v>
      </c>
      <c r="B4" s="54" t="s">
        <v>136</v>
      </c>
      <c r="C4" s="17">
        <v>12</v>
      </c>
      <c r="D4">
        <v>400</v>
      </c>
    </row>
    <row r="5" spans="1:4">
      <c r="A5" s="32" t="s">
        <v>83</v>
      </c>
      <c r="B5" s="32" t="s">
        <v>84</v>
      </c>
      <c r="C5" s="17"/>
    </row>
    <row r="6" spans="1:4">
      <c r="A6" s="32" t="s">
        <v>72</v>
      </c>
      <c r="B6" s="32" t="s">
        <v>86</v>
      </c>
      <c r="C6" s="17"/>
    </row>
    <row r="7" spans="1:4">
      <c r="A7" s="32" t="s">
        <v>87</v>
      </c>
      <c r="B7" s="32" t="s">
        <v>103</v>
      </c>
      <c r="C7" s="17"/>
    </row>
    <row r="8" spans="1:4">
      <c r="A8" s="32" t="s">
        <v>88</v>
      </c>
      <c r="B8" s="32" t="s">
        <v>89</v>
      </c>
      <c r="C8" s="17"/>
    </row>
    <row r="9" spans="1:4">
      <c r="A9" s="32" t="s">
        <v>90</v>
      </c>
      <c r="B9" s="32" t="s">
        <v>159</v>
      </c>
      <c r="C9" s="17"/>
    </row>
    <row r="10" spans="1:4">
      <c r="A10" s="32" t="s">
        <v>69</v>
      </c>
      <c r="B10" s="32" t="s">
        <v>91</v>
      </c>
      <c r="C10" s="17"/>
    </row>
    <row r="11" spans="1:4">
      <c r="A11" s="32" t="s">
        <v>93</v>
      </c>
      <c r="B11" s="57" t="s">
        <v>123</v>
      </c>
      <c r="C11" s="17"/>
    </row>
    <row r="12" spans="1:4">
      <c r="A12" s="54" t="s">
        <v>138</v>
      </c>
      <c r="B12" s="54" t="s">
        <v>139</v>
      </c>
      <c r="C12" s="17"/>
    </row>
    <row r="13" spans="1:4">
      <c r="A13" s="54" t="s">
        <v>138</v>
      </c>
      <c r="B13" s="54" t="s">
        <v>140</v>
      </c>
      <c r="C13" s="17"/>
    </row>
    <row r="14" spans="1:4">
      <c r="A14" s="54" t="s">
        <v>138</v>
      </c>
      <c r="B14" s="54" t="s">
        <v>141</v>
      </c>
      <c r="C14" s="17"/>
    </row>
    <row r="15" spans="1:4">
      <c r="A15" s="54" t="s">
        <v>138</v>
      </c>
      <c r="B15" s="54" t="s">
        <v>142</v>
      </c>
      <c r="C15" s="17"/>
    </row>
    <row r="16" spans="1:4">
      <c r="A16" s="32" t="s">
        <v>94</v>
      </c>
      <c r="B16" s="32" t="s">
        <v>95</v>
      </c>
      <c r="C16" s="17"/>
    </row>
    <row r="17" spans="1:3">
      <c r="A17" s="54" t="s">
        <v>73</v>
      </c>
      <c r="B17" s="32" t="s">
        <v>102</v>
      </c>
      <c r="C17" s="17"/>
    </row>
    <row r="18" spans="1:3">
      <c r="A18" s="54" t="s">
        <v>65</v>
      </c>
      <c r="B18" s="32" t="s">
        <v>106</v>
      </c>
      <c r="C18" s="17"/>
    </row>
    <row r="19" spans="1:3">
      <c r="A19" s="54" t="s">
        <v>107</v>
      </c>
      <c r="B19" s="58" t="s">
        <v>150</v>
      </c>
      <c r="C19" s="17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14" sqref="B14"/>
    </sheetView>
  </sheetViews>
  <sheetFormatPr defaultRowHeight="12.75"/>
  <sheetData>
    <row r="1" spans="1:6">
      <c r="B1" s="12" t="s">
        <v>113</v>
      </c>
      <c r="C1" s="12" t="s">
        <v>117</v>
      </c>
      <c r="D1" s="12" t="s">
        <v>117</v>
      </c>
      <c r="E1" s="12" t="s">
        <v>117</v>
      </c>
      <c r="F1" s="12" t="s">
        <v>117</v>
      </c>
    </row>
    <row r="2" spans="1:6">
      <c r="B2" s="12"/>
      <c r="C2" s="12" t="s">
        <v>114</v>
      </c>
      <c r="D2" s="12" t="s">
        <v>115</v>
      </c>
      <c r="E2" s="12" t="s">
        <v>104</v>
      </c>
      <c r="F2" s="12" t="s">
        <v>116</v>
      </c>
    </row>
    <row r="3" spans="1:6">
      <c r="A3" s="12" t="s">
        <v>114</v>
      </c>
      <c r="C3" s="25"/>
      <c r="D3">
        <f>B3*10^3</f>
        <v>0</v>
      </c>
    </row>
    <row r="4" spans="1:6">
      <c r="A4" s="12" t="s">
        <v>115</v>
      </c>
      <c r="D4" s="25"/>
      <c r="E4" t="e">
        <f>10*LOG((B4/1),10)</f>
        <v>#NUM!</v>
      </c>
      <c r="F4" t="e">
        <f>10*LOG((B4/1),10)</f>
        <v>#NUM!</v>
      </c>
    </row>
    <row r="5" spans="1:6">
      <c r="A5" s="12" t="s">
        <v>104</v>
      </c>
      <c r="E5" s="25"/>
    </row>
    <row r="6" spans="1:6">
      <c r="A6" s="12" t="s">
        <v>116</v>
      </c>
      <c r="F6" s="25"/>
    </row>
    <row r="14" spans="1:6">
      <c r="B14" s="24" t="s">
        <v>118</v>
      </c>
    </row>
  </sheetData>
  <phoneticPr fontId="13" type="noConversion"/>
  <hyperlinks>
    <hyperlink ref="B1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"/>
  <sheetViews>
    <sheetView zoomScale="80" zoomScaleNormal="80" workbookViewId="0">
      <selection activeCell="B2" sqref="B2"/>
    </sheetView>
  </sheetViews>
  <sheetFormatPr defaultRowHeight="12.75"/>
  <sheetData>
    <row r="2" spans="2:2">
      <c r="B2" s="24" t="s">
        <v>173</v>
      </c>
    </row>
  </sheetData>
  <phoneticPr fontId="13" type="noConversion"/>
  <hyperlinks>
    <hyperlink ref="B2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0"/>
  <sheetViews>
    <sheetView zoomScale="90" zoomScaleNormal="90" workbookViewId="0">
      <selection activeCell="C26" sqref="C26"/>
    </sheetView>
  </sheetViews>
  <sheetFormatPr defaultRowHeight="12.75"/>
  <cols>
    <col min="1" max="1" width="17.28515625" style="17" customWidth="1"/>
    <col min="2" max="3" width="11.140625" customWidth="1"/>
    <col min="4" max="4" width="10.140625" customWidth="1"/>
    <col min="5" max="5" width="12.28515625" customWidth="1"/>
    <col min="6" max="6" width="10" customWidth="1"/>
    <col min="7" max="7" width="13.85546875" customWidth="1"/>
  </cols>
  <sheetData>
    <row r="2" spans="1:14" ht="38.25">
      <c r="A2" s="17" t="s">
        <v>175</v>
      </c>
      <c r="B2" s="17" t="s">
        <v>176</v>
      </c>
      <c r="C2" s="17" t="s">
        <v>185</v>
      </c>
      <c r="D2" s="17" t="s">
        <v>111</v>
      </c>
      <c r="E2" s="17" t="s">
        <v>186</v>
      </c>
      <c r="F2" s="17" t="s">
        <v>187</v>
      </c>
      <c r="G2" s="17" t="s">
        <v>177</v>
      </c>
    </row>
    <row r="3" spans="1:14">
      <c r="A3" s="17" t="str">
        <f ca="1">'Signal Chains'!B2</f>
        <v>VCO</v>
      </c>
      <c r="B3" s="75">
        <v>0</v>
      </c>
      <c r="C3" s="75">
        <f>10^(B3/10)</f>
        <v>1</v>
      </c>
      <c r="D3" s="75">
        <v>0</v>
      </c>
      <c r="E3" s="75">
        <v>-4</v>
      </c>
      <c r="F3" s="75">
        <f>10^(E3/10)</f>
        <v>0.3981071705534972</v>
      </c>
      <c r="G3" s="75" t="s">
        <v>189</v>
      </c>
      <c r="I3" s="75"/>
      <c r="J3" s="75"/>
      <c r="K3" s="75"/>
      <c r="L3" s="75"/>
      <c r="M3" s="75"/>
      <c r="N3" s="75"/>
    </row>
    <row r="4" spans="1:14">
      <c r="A4" s="17" t="str">
        <f ca="1">'Signal Chains'!C2</f>
        <v>cable</v>
      </c>
      <c r="B4" s="75">
        <f>E3</f>
        <v>-4</v>
      </c>
      <c r="C4" s="75">
        <f t="shared" ref="C4:C20" si="0">10^(B4/10)</f>
        <v>0.3981071705534972</v>
      </c>
      <c r="D4" s="75">
        <v>-0.2</v>
      </c>
      <c r="E4" s="75">
        <f>B4+D4</f>
        <v>-4.2</v>
      </c>
      <c r="F4" s="75">
        <f t="shared" ref="F4:F20" si="1">10^(E4/10)</f>
        <v>0.38018939632056109</v>
      </c>
      <c r="G4" s="75" t="s">
        <v>189</v>
      </c>
      <c r="I4" s="75"/>
      <c r="J4" s="75"/>
      <c r="K4" s="75"/>
      <c r="L4" s="75"/>
      <c r="M4" s="75"/>
      <c r="N4" s="75"/>
    </row>
    <row r="5" spans="1:14">
      <c r="A5" s="17" t="str">
        <f ca="1">'Signal Chains'!D2</f>
        <v>Wideband Amp</v>
      </c>
      <c r="B5" s="75">
        <f t="shared" ref="B5:B10" si="2">E4</f>
        <v>-4.2</v>
      </c>
      <c r="C5" s="75">
        <f t="shared" si="0"/>
        <v>0.38018939632056109</v>
      </c>
      <c r="D5" s="75">
        <v>26</v>
      </c>
      <c r="E5" s="75">
        <f t="shared" ref="E5:E10" si="3">B5+D5</f>
        <v>21.8</v>
      </c>
      <c r="F5" s="75">
        <f t="shared" si="1"/>
        <v>151.3561248436209</v>
      </c>
      <c r="G5" s="75">
        <v>24</v>
      </c>
      <c r="I5" s="75"/>
      <c r="J5" s="75"/>
      <c r="K5" s="75"/>
      <c r="L5" s="75"/>
      <c r="M5" s="75"/>
      <c r="N5" s="75"/>
    </row>
    <row r="6" spans="1:14">
      <c r="A6" s="17" t="str">
        <f ca="1">'Signal Chains'!E2</f>
        <v>cable</v>
      </c>
      <c r="B6" s="75">
        <f t="shared" si="2"/>
        <v>21.8</v>
      </c>
      <c r="C6" s="75">
        <f t="shared" si="0"/>
        <v>151.3561248436209</v>
      </c>
      <c r="D6" s="75">
        <v>-0.2</v>
      </c>
      <c r="E6" s="75">
        <f t="shared" si="3"/>
        <v>21.6</v>
      </c>
      <c r="F6" s="75">
        <f t="shared" si="1"/>
        <v>144.54397707459285</v>
      </c>
      <c r="G6" s="75" t="s">
        <v>189</v>
      </c>
      <c r="I6" s="75"/>
      <c r="J6" s="75"/>
      <c r="K6" s="75"/>
      <c r="L6" s="75"/>
      <c r="M6" s="75"/>
      <c r="N6" s="75"/>
    </row>
    <row r="7" spans="1:14">
      <c r="A7" s="17" t="str">
        <f ca="1">'Signal Chains'!F2</f>
        <v>SPDT</v>
      </c>
      <c r="B7" s="75">
        <f t="shared" si="2"/>
        <v>21.6</v>
      </c>
      <c r="C7" s="75">
        <f t="shared" si="0"/>
        <v>144.54397707459285</v>
      </c>
      <c r="D7" s="75">
        <v>-2</v>
      </c>
      <c r="E7" s="75">
        <f t="shared" si="3"/>
        <v>19.600000000000001</v>
      </c>
      <c r="F7" s="75">
        <f t="shared" si="1"/>
        <v>91.201083935591043</v>
      </c>
      <c r="G7" s="75">
        <v>27</v>
      </c>
      <c r="I7" s="75"/>
      <c r="J7" s="75"/>
      <c r="K7" s="75"/>
      <c r="L7" s="75"/>
      <c r="M7" s="75"/>
      <c r="N7" s="75"/>
    </row>
    <row r="8" spans="1:14">
      <c r="A8" s="17" t="str">
        <f ca="1">'Signal Chains'!G2</f>
        <v>cable</v>
      </c>
      <c r="B8" s="75">
        <f t="shared" si="2"/>
        <v>19.600000000000001</v>
      </c>
      <c r="C8" s="75">
        <f t="shared" si="0"/>
        <v>91.201083935591043</v>
      </c>
      <c r="D8" s="75">
        <v>-0.2</v>
      </c>
      <c r="E8" s="75">
        <f t="shared" si="3"/>
        <v>19.400000000000002</v>
      </c>
      <c r="F8" s="75">
        <f t="shared" si="1"/>
        <v>87.096358995608156</v>
      </c>
      <c r="G8" s="75" t="s">
        <v>189</v>
      </c>
      <c r="I8" s="75"/>
      <c r="J8" s="75"/>
      <c r="K8" s="75"/>
      <c r="L8" s="75"/>
      <c r="M8" s="75"/>
      <c r="N8" s="75"/>
    </row>
    <row r="9" spans="1:14">
      <c r="A9" s="17" t="str">
        <f ca="1">'Signal Chains'!H2</f>
        <v>Fix_Atten</v>
      </c>
      <c r="B9" s="75">
        <f t="shared" si="2"/>
        <v>19.400000000000002</v>
      </c>
      <c r="C9" s="75">
        <f t="shared" si="0"/>
        <v>87.096358995608156</v>
      </c>
      <c r="D9" s="75">
        <v>-10</v>
      </c>
      <c r="E9" s="75">
        <f t="shared" si="3"/>
        <v>9.4000000000000021</v>
      </c>
      <c r="F9" s="75">
        <f t="shared" si="1"/>
        <v>8.7096358995608139</v>
      </c>
      <c r="G9" s="75" t="s">
        <v>189</v>
      </c>
      <c r="I9" s="75"/>
      <c r="J9" s="75"/>
      <c r="K9" s="75"/>
      <c r="L9" s="75"/>
      <c r="M9" s="75"/>
      <c r="N9" s="75"/>
    </row>
    <row r="10" spans="1:14">
      <c r="A10" s="17" t="str">
        <f ca="1">'Signal Chains'!I2</f>
        <v>cable</v>
      </c>
      <c r="B10" s="75">
        <f t="shared" si="2"/>
        <v>9.4000000000000021</v>
      </c>
      <c r="C10" s="75">
        <f t="shared" si="0"/>
        <v>8.7096358995608139</v>
      </c>
      <c r="D10" s="75">
        <v>-0.2</v>
      </c>
      <c r="E10" s="75">
        <f t="shared" si="3"/>
        <v>9.2000000000000028</v>
      </c>
      <c r="F10" s="75">
        <f t="shared" si="1"/>
        <v>8.3176377110267179</v>
      </c>
      <c r="G10" s="75" t="s">
        <v>189</v>
      </c>
      <c r="I10" s="75"/>
      <c r="J10" s="75"/>
      <c r="K10" s="75"/>
      <c r="L10" s="75"/>
      <c r="M10" s="75"/>
      <c r="N10" s="75"/>
    </row>
    <row r="11" spans="1:14">
      <c r="A11" s="17" t="s">
        <v>178</v>
      </c>
      <c r="B11" s="75">
        <f>E10</f>
        <v>9.2000000000000028</v>
      </c>
      <c r="C11" s="75">
        <f t="shared" si="0"/>
        <v>8.3176377110267179</v>
      </c>
      <c r="D11" s="75">
        <v>0</v>
      </c>
      <c r="E11" s="75">
        <v>14</v>
      </c>
      <c r="F11" s="75">
        <f t="shared" si="1"/>
        <v>25.118864315095799</v>
      </c>
      <c r="G11" s="75" t="s">
        <v>189</v>
      </c>
      <c r="I11" s="75"/>
      <c r="J11" s="75"/>
      <c r="K11" s="75"/>
      <c r="L11" s="75"/>
      <c r="M11" s="75"/>
      <c r="N11" s="75"/>
    </row>
    <row r="12" spans="1:14">
      <c r="A12" s="17" t="s">
        <v>108</v>
      </c>
      <c r="B12" s="75">
        <f>E11</f>
        <v>14</v>
      </c>
      <c r="C12" s="75">
        <f t="shared" si="0"/>
        <v>25.118864315095799</v>
      </c>
      <c r="D12" s="75">
        <v>-0.2</v>
      </c>
      <c r="E12" s="75">
        <f>B12+D12</f>
        <v>13.8</v>
      </c>
      <c r="F12" s="75">
        <f t="shared" si="1"/>
        <v>23.988329190194918</v>
      </c>
      <c r="G12" s="75" t="s">
        <v>189</v>
      </c>
      <c r="I12" s="75"/>
      <c r="J12" s="75"/>
      <c r="K12" s="75"/>
      <c r="L12" s="75"/>
      <c r="M12" s="75"/>
      <c r="N12" s="75"/>
    </row>
    <row r="13" spans="1:14">
      <c r="A13" s="17" t="str">
        <f ca="1">'Signal Chains'!L2</f>
        <v>Var_Atten: SA4077</v>
      </c>
      <c r="B13" s="75">
        <f t="shared" ref="B13:B20" si="4">E12</f>
        <v>13.8</v>
      </c>
      <c r="C13" s="75">
        <f t="shared" si="0"/>
        <v>23.988329190194918</v>
      </c>
      <c r="D13" s="75">
        <v>-15.5</v>
      </c>
      <c r="E13" s="75">
        <f t="shared" ref="E13:E20" si="5">B13+D13</f>
        <v>-1.6999999999999993</v>
      </c>
      <c r="F13" s="75">
        <f t="shared" si="1"/>
        <v>0.67608297539198181</v>
      </c>
      <c r="G13" s="75">
        <v>37</v>
      </c>
      <c r="I13" s="75"/>
      <c r="J13" s="75"/>
      <c r="K13" s="75"/>
      <c r="L13" s="75"/>
      <c r="M13" s="75"/>
      <c r="N13" s="75"/>
    </row>
    <row r="14" spans="1:14">
      <c r="A14" s="17" t="str">
        <f ca="1">'Signal Chains'!M2</f>
        <v>cable</v>
      </c>
      <c r="B14" s="75">
        <f t="shared" si="4"/>
        <v>-1.6999999999999993</v>
      </c>
      <c r="C14" s="75">
        <f t="shared" si="0"/>
        <v>0.67608297539198181</v>
      </c>
      <c r="D14" s="75">
        <v>-0.2</v>
      </c>
      <c r="E14" s="75">
        <f t="shared" si="5"/>
        <v>-1.8999999999999992</v>
      </c>
      <c r="F14" s="75">
        <f t="shared" si="1"/>
        <v>0.64565422903465564</v>
      </c>
      <c r="G14" s="75" t="s">
        <v>189</v>
      </c>
      <c r="I14" s="75"/>
      <c r="J14" s="75"/>
      <c r="K14" s="75"/>
      <c r="L14" s="75"/>
      <c r="M14" s="75"/>
      <c r="N14" s="75"/>
    </row>
    <row r="15" spans="1:14">
      <c r="A15" s="17" t="str">
        <f ca="1">'Signal Chains'!N2</f>
        <v>band pass filter</v>
      </c>
      <c r="B15" s="75">
        <f t="shared" si="4"/>
        <v>-1.8999999999999992</v>
      </c>
      <c r="C15" s="75">
        <f t="shared" si="0"/>
        <v>0.64565422903465564</v>
      </c>
      <c r="D15" s="75">
        <v>-3</v>
      </c>
      <c r="E15" s="75">
        <f t="shared" si="5"/>
        <v>-4.8999999999999995</v>
      </c>
      <c r="F15" s="75">
        <f t="shared" si="1"/>
        <v>0.32359365692962827</v>
      </c>
      <c r="G15" s="75" t="s">
        <v>189</v>
      </c>
      <c r="I15" s="75"/>
      <c r="J15" s="75"/>
      <c r="K15" s="75"/>
      <c r="L15" s="75"/>
      <c r="M15" s="75"/>
      <c r="N15" s="75"/>
    </row>
    <row r="16" spans="1:14">
      <c r="A16" s="17" t="str">
        <f ca="1">'Signal Chains'!O2</f>
        <v>cable</v>
      </c>
      <c r="B16" s="75">
        <f t="shared" si="4"/>
        <v>-4.8999999999999995</v>
      </c>
      <c r="C16" s="75">
        <f t="shared" si="0"/>
        <v>0.32359365692962827</v>
      </c>
      <c r="D16" s="75">
        <v>-0.2</v>
      </c>
      <c r="E16" s="75">
        <f t="shared" si="5"/>
        <v>-5.0999999999999996</v>
      </c>
      <c r="F16" s="75">
        <f t="shared" si="1"/>
        <v>0.30902954325135895</v>
      </c>
      <c r="G16" s="75" t="s">
        <v>189</v>
      </c>
      <c r="I16" s="75"/>
      <c r="J16" s="75"/>
      <c r="K16" s="75"/>
      <c r="L16" s="75"/>
      <c r="M16" s="75"/>
      <c r="N16" s="75"/>
    </row>
    <row r="17" spans="1:14" ht="25.5">
      <c r="A17" s="17" t="str">
        <f ca="1">'Signal Chains'!P2</f>
        <v>Power Amp:SPA-110-30-01-SMA</v>
      </c>
      <c r="B17" s="75">
        <f t="shared" si="4"/>
        <v>-5.0999999999999996</v>
      </c>
      <c r="C17" s="75">
        <f t="shared" si="0"/>
        <v>0.30902954325135895</v>
      </c>
      <c r="D17" s="75">
        <v>32</v>
      </c>
      <c r="E17" s="75">
        <f t="shared" si="5"/>
        <v>26.9</v>
      </c>
      <c r="F17" s="75">
        <f t="shared" si="1"/>
        <v>489.77881936844625</v>
      </c>
      <c r="G17" s="75">
        <v>30</v>
      </c>
      <c r="I17" s="75"/>
      <c r="J17" s="75"/>
      <c r="K17" s="75"/>
      <c r="L17" s="75"/>
      <c r="M17" s="75"/>
      <c r="N17" s="75"/>
    </row>
    <row r="18" spans="1:14">
      <c r="A18" s="17" t="str">
        <f ca="1">'Signal Chains'!Q2</f>
        <v>3 dB pad</v>
      </c>
      <c r="B18" s="75">
        <f t="shared" si="4"/>
        <v>26.9</v>
      </c>
      <c r="C18" s="75">
        <f t="shared" si="0"/>
        <v>489.77881936844625</v>
      </c>
      <c r="D18" s="75">
        <v>-0.2</v>
      </c>
      <c r="E18" s="75">
        <f t="shared" si="5"/>
        <v>26.7</v>
      </c>
      <c r="F18" s="75">
        <f t="shared" si="1"/>
        <v>467.7351412871983</v>
      </c>
      <c r="G18" s="75" t="s">
        <v>189</v>
      </c>
      <c r="I18" s="75"/>
      <c r="J18" s="75"/>
      <c r="K18" s="75"/>
      <c r="L18" s="75"/>
      <c r="M18" s="75"/>
      <c r="N18" s="75"/>
    </row>
    <row r="19" spans="1:14">
      <c r="A19" s="17" t="str">
        <f ca="1">'Signal Chains'!R2</f>
        <v>SP4T</v>
      </c>
      <c r="B19" s="75">
        <f t="shared" si="4"/>
        <v>26.7</v>
      </c>
      <c r="C19" s="75">
        <f t="shared" si="0"/>
        <v>467.7351412871983</v>
      </c>
      <c r="D19" s="75">
        <v>-2</v>
      </c>
      <c r="E19" s="75">
        <f t="shared" si="5"/>
        <v>24.7</v>
      </c>
      <c r="F19" s="75">
        <f t="shared" si="1"/>
        <v>295.12092266663871</v>
      </c>
      <c r="G19" s="75">
        <v>37</v>
      </c>
      <c r="I19" s="75"/>
      <c r="J19" s="75"/>
      <c r="K19" s="75"/>
      <c r="L19" s="75"/>
      <c r="M19" s="75"/>
      <c r="N19" s="75"/>
    </row>
    <row r="20" spans="1:14">
      <c r="A20" s="17" t="str">
        <f ca="1">'Signal Chains'!S2</f>
        <v>cable</v>
      </c>
      <c r="B20" s="75">
        <f t="shared" si="4"/>
        <v>24.7</v>
      </c>
      <c r="C20" s="75">
        <f t="shared" si="0"/>
        <v>295.12092266663871</v>
      </c>
      <c r="D20" s="75">
        <v>-0.2</v>
      </c>
      <c r="E20" s="75">
        <f t="shared" si="5"/>
        <v>24.5</v>
      </c>
      <c r="F20" s="75">
        <f t="shared" si="1"/>
        <v>281.83829312644554</v>
      </c>
      <c r="G20" s="75" t="s">
        <v>189</v>
      </c>
      <c r="I20" s="75"/>
      <c r="J20" s="75"/>
      <c r="K20" s="75"/>
      <c r="L20" s="75"/>
      <c r="M20" s="75"/>
      <c r="N20" s="75"/>
    </row>
    <row r="22" spans="1:14">
      <c r="C22" s="2"/>
      <c r="D22" s="2"/>
      <c r="E22" s="2"/>
      <c r="F22" s="2"/>
    </row>
    <row r="23" spans="1:14">
      <c r="C23" s="2"/>
      <c r="D23" s="2"/>
      <c r="E23" s="2"/>
      <c r="F23" s="2"/>
    </row>
    <row r="24" spans="1:14">
      <c r="C24" s="2"/>
      <c r="D24" s="2"/>
      <c r="E24" s="2"/>
      <c r="F24" s="2"/>
    </row>
    <row r="25" spans="1:14">
      <c r="C25" s="2"/>
      <c r="D25" s="2"/>
      <c r="E25" s="2"/>
      <c r="F25" s="2"/>
    </row>
    <row r="26" spans="1:14">
      <c r="C26" s="2"/>
      <c r="D26" s="2"/>
      <c r="E26" s="2"/>
      <c r="F26" s="2"/>
    </row>
    <row r="27" spans="1:14">
      <c r="C27" s="2"/>
      <c r="D27" s="2"/>
      <c r="E27" s="2"/>
      <c r="F27" s="2"/>
    </row>
    <row r="28" spans="1:14">
      <c r="C28" s="2"/>
      <c r="D28" s="2"/>
      <c r="E28" s="2"/>
      <c r="F28" s="2"/>
    </row>
    <row r="29" spans="1:14">
      <c r="C29" s="2"/>
      <c r="D29" s="2"/>
      <c r="E29" s="2"/>
      <c r="F29" s="2"/>
    </row>
    <row r="30" spans="1:14">
      <c r="C30" s="2"/>
      <c r="D30" s="2"/>
      <c r="E30" s="2"/>
      <c r="F30" s="2"/>
    </row>
    <row r="31" spans="1:14">
      <c r="C31" s="2"/>
      <c r="D31" s="2"/>
      <c r="E31" s="2"/>
      <c r="F31" s="2"/>
    </row>
    <row r="32" spans="1:14">
      <c r="C32" s="2"/>
      <c r="D32" s="2"/>
      <c r="E32" s="2"/>
      <c r="F32" s="2"/>
    </row>
    <row r="33" spans="3:6">
      <c r="C33" s="2"/>
      <c r="D33" s="2"/>
      <c r="E33" s="2"/>
      <c r="F33" s="2"/>
    </row>
    <row r="34" spans="3:6">
      <c r="C34" s="2"/>
      <c r="D34" s="2"/>
      <c r="E34" s="2"/>
      <c r="F34" s="2"/>
    </row>
    <row r="35" spans="3:6">
      <c r="C35" s="2"/>
      <c r="D35" s="2"/>
      <c r="E35" s="2"/>
      <c r="F35" s="2"/>
    </row>
    <row r="36" spans="3:6">
      <c r="C36" s="2"/>
      <c r="D36" s="2"/>
      <c r="E36" s="2"/>
      <c r="F36" s="2"/>
    </row>
    <row r="37" spans="3:6">
      <c r="C37" s="2"/>
      <c r="D37" s="2"/>
      <c r="E37" s="2"/>
      <c r="F37" s="2"/>
    </row>
    <row r="38" spans="3:6">
      <c r="C38" s="2"/>
      <c r="D38" s="2"/>
      <c r="E38" s="2"/>
      <c r="F38" s="2"/>
    </row>
    <row r="39" spans="3:6">
      <c r="C39" s="2"/>
      <c r="D39" s="2"/>
      <c r="E39" s="2"/>
      <c r="F39" s="2"/>
    </row>
    <row r="40" spans="3:6">
      <c r="C40" s="2"/>
    </row>
  </sheetData>
  <phoneticPr fontId="13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L29"/>
  <sheetViews>
    <sheetView topLeftCell="A4" zoomScale="80" zoomScaleNormal="80" workbookViewId="0">
      <selection activeCell="N18" sqref="N18:AC30"/>
    </sheetView>
  </sheetViews>
  <sheetFormatPr defaultRowHeight="12.75"/>
  <cols>
    <col min="1" max="1" width="14.85546875" customWidth="1"/>
    <col min="2" max="3" width="10" bestFit="1" customWidth="1"/>
    <col min="4" max="4" width="10.42578125" customWidth="1"/>
    <col min="5" max="9" width="10" bestFit="1" customWidth="1"/>
    <col min="10" max="10" width="11.28515625" customWidth="1"/>
    <col min="11" max="11" width="10.28515625" bestFit="1" customWidth="1"/>
    <col min="12" max="12" width="11.140625" customWidth="1"/>
  </cols>
  <sheetData>
    <row r="3" spans="1:12" ht="25.5">
      <c r="B3" s="17" t="s">
        <v>110</v>
      </c>
      <c r="C3" s="17" t="s">
        <v>111</v>
      </c>
      <c r="D3" s="16" t="s">
        <v>184</v>
      </c>
      <c r="E3" s="17" t="s">
        <v>112</v>
      </c>
      <c r="F3" s="17" t="s">
        <v>158</v>
      </c>
      <c r="G3" s="17" t="s">
        <v>155</v>
      </c>
      <c r="H3" s="17" t="s">
        <v>70</v>
      </c>
      <c r="I3" s="17" t="s">
        <v>168</v>
      </c>
      <c r="J3" s="17" t="s">
        <v>169</v>
      </c>
      <c r="K3" s="17" t="s">
        <v>74</v>
      </c>
      <c r="L3" s="17" t="s">
        <v>172</v>
      </c>
    </row>
    <row r="4" spans="1:12">
      <c r="A4" t="s">
        <v>154</v>
      </c>
      <c r="B4" s="1">
        <v>-46.294800000000002</v>
      </c>
      <c r="C4">
        <v>-1</v>
      </c>
      <c r="D4" s="1">
        <v>0.79400000000000004</v>
      </c>
      <c r="E4" s="1">
        <v>-47.295000000000002</v>
      </c>
      <c r="F4" s="71">
        <v>1.8600000000000001E-5</v>
      </c>
      <c r="G4" s="71">
        <v>1.8600000000000001E-8</v>
      </c>
      <c r="H4">
        <v>1</v>
      </c>
      <c r="I4" s="1">
        <v>1.2589999999999999</v>
      </c>
      <c r="J4" s="1">
        <v>1.2589999999999999</v>
      </c>
      <c r="K4">
        <v>75.088369999999998</v>
      </c>
      <c r="L4">
        <v>97.516800000000003</v>
      </c>
    </row>
    <row r="5" spans="1:12">
      <c r="A5" t="s">
        <v>98</v>
      </c>
      <c r="B5" s="1">
        <v>-47.294800000000002</v>
      </c>
      <c r="C5">
        <v>-4.7</v>
      </c>
      <c r="D5" s="1">
        <v>0.33900000000000002</v>
      </c>
      <c r="E5" s="1">
        <v>-51.994999999999997</v>
      </c>
      <c r="F5" s="71">
        <v>6.3199999999999996E-6</v>
      </c>
      <c r="G5" s="71">
        <v>6.3199999999999997E-9</v>
      </c>
      <c r="H5">
        <v>4.7</v>
      </c>
      <c r="I5" s="1">
        <v>2.9510000000000001</v>
      </c>
      <c r="J5" s="1">
        <v>3.7149999999999999</v>
      </c>
      <c r="K5">
        <v>565.85069999999996</v>
      </c>
      <c r="L5">
        <v>392.23379999999997</v>
      </c>
    </row>
    <row r="6" spans="1:12">
      <c r="A6" t="s">
        <v>108</v>
      </c>
      <c r="B6" s="1">
        <v>-51.994799999999998</v>
      </c>
      <c r="C6">
        <v>-1</v>
      </c>
      <c r="D6" s="1">
        <v>0.79400000000000004</v>
      </c>
      <c r="E6" s="1">
        <v>-52.994999999999997</v>
      </c>
      <c r="F6" s="71">
        <v>5.0200000000000002E-6</v>
      </c>
      <c r="G6" s="71">
        <v>5.0199999999999996E-9</v>
      </c>
      <c r="H6">
        <v>1</v>
      </c>
      <c r="I6" s="1">
        <v>1.2589999999999999</v>
      </c>
      <c r="J6" s="1">
        <v>4.6769999999999996</v>
      </c>
      <c r="K6">
        <v>75.088369999999998</v>
      </c>
      <c r="L6">
        <v>561.399</v>
      </c>
    </row>
    <row r="7" spans="1:12">
      <c r="A7" t="s">
        <v>119</v>
      </c>
      <c r="B7" s="1">
        <v>-52.994799999999998</v>
      </c>
      <c r="C7">
        <v>-3</v>
      </c>
      <c r="D7" s="1">
        <v>0.501</v>
      </c>
      <c r="E7" s="1">
        <v>-55.994999999999997</v>
      </c>
      <c r="F7" s="71">
        <v>2.5100000000000001E-6</v>
      </c>
      <c r="G7" s="71">
        <v>2.5099999999999998E-9</v>
      </c>
      <c r="H7">
        <v>3</v>
      </c>
      <c r="I7" s="1">
        <v>1.9950000000000001</v>
      </c>
      <c r="J7" s="1">
        <v>9.3330000000000002</v>
      </c>
      <c r="K7">
        <v>288.62610000000001</v>
      </c>
      <c r="L7">
        <v>2196.866</v>
      </c>
    </row>
    <row r="8" spans="1:12">
      <c r="A8" t="s">
        <v>108</v>
      </c>
      <c r="B8" s="1">
        <v>-55.994799999999998</v>
      </c>
      <c r="C8">
        <v>-1</v>
      </c>
      <c r="D8" s="1">
        <v>0.79400000000000004</v>
      </c>
      <c r="E8" s="1">
        <v>-56.994999999999997</v>
      </c>
      <c r="F8" s="71">
        <v>1.9999999999999999E-6</v>
      </c>
      <c r="G8" s="71">
        <v>2.0000000000000001E-9</v>
      </c>
      <c r="H8">
        <v>1</v>
      </c>
      <c r="I8" s="1">
        <v>1.2589999999999999</v>
      </c>
      <c r="J8" s="1">
        <v>11.749000000000001</v>
      </c>
      <c r="K8">
        <v>75.088369999999998</v>
      </c>
      <c r="L8">
        <v>4048.06</v>
      </c>
    </row>
    <row r="9" spans="1:12">
      <c r="A9" t="s">
        <v>99</v>
      </c>
      <c r="B9" s="1">
        <v>-56.994799999999998</v>
      </c>
      <c r="C9">
        <v>38</v>
      </c>
      <c r="D9" s="1">
        <v>6309.5730000000003</v>
      </c>
      <c r="E9" s="1">
        <v>-18.995000000000001</v>
      </c>
      <c r="F9">
        <v>1.2604000000000001E-2</v>
      </c>
      <c r="G9" s="71">
        <v>1.26E-5</v>
      </c>
      <c r="H9">
        <v>2.2000000000000002</v>
      </c>
      <c r="I9" s="1">
        <v>1.66</v>
      </c>
      <c r="J9" s="1">
        <v>19.498000000000001</v>
      </c>
      <c r="K9">
        <v>191.28020000000001</v>
      </c>
      <c r="L9">
        <v>25547.03</v>
      </c>
    </row>
    <row r="10" spans="1:12">
      <c r="A10" t="s">
        <v>108</v>
      </c>
      <c r="B10" s="1">
        <v>-18.994800000000001</v>
      </c>
      <c r="C10">
        <v>-1</v>
      </c>
      <c r="D10" s="1">
        <v>0.79400000000000004</v>
      </c>
      <c r="E10" s="1">
        <v>-19.995000000000001</v>
      </c>
      <c r="F10">
        <v>1.0012E-2</v>
      </c>
      <c r="G10" s="71">
        <v>1.0000000000000001E-5</v>
      </c>
      <c r="H10">
        <v>1</v>
      </c>
      <c r="I10" s="1">
        <v>1.2589999999999999</v>
      </c>
      <c r="J10" s="1">
        <v>19.498999999999999</v>
      </c>
      <c r="K10">
        <v>75.088369999999998</v>
      </c>
      <c r="L10">
        <v>25549.9</v>
      </c>
    </row>
    <row r="11" spans="1:12">
      <c r="A11" t="s">
        <v>124</v>
      </c>
      <c r="B11" s="1">
        <v>-19.994800000000001</v>
      </c>
      <c r="C11">
        <v>-5</v>
      </c>
      <c r="D11" s="1">
        <v>0.316</v>
      </c>
      <c r="E11" s="1">
        <v>-24.995000000000001</v>
      </c>
      <c r="F11">
        <v>3.166E-3</v>
      </c>
      <c r="G11" s="71">
        <v>3.1700000000000001E-6</v>
      </c>
      <c r="H11">
        <v>5</v>
      </c>
      <c r="I11" s="1">
        <v>3.1619999999999999</v>
      </c>
      <c r="J11" s="1">
        <v>19.504000000000001</v>
      </c>
      <c r="K11">
        <v>627.06050000000005</v>
      </c>
      <c r="L11">
        <v>25580.080000000002</v>
      </c>
    </row>
    <row r="12" spans="1:12">
      <c r="A12" t="s">
        <v>99</v>
      </c>
      <c r="B12" s="1">
        <v>-24.994800000000001</v>
      </c>
      <c r="C12">
        <v>38</v>
      </c>
      <c r="D12" s="1">
        <v>6309.5730000000003</v>
      </c>
      <c r="E12" s="1">
        <v>13.005000000000001</v>
      </c>
      <c r="F12">
        <v>19.976400000000002</v>
      </c>
      <c r="G12">
        <v>1.9976000000000001E-2</v>
      </c>
      <c r="H12">
        <v>2.2000000000000002</v>
      </c>
      <c r="I12" s="1">
        <v>1.66</v>
      </c>
      <c r="J12" s="1">
        <v>19.504999999999999</v>
      </c>
      <c r="K12">
        <v>191.28020000000001</v>
      </c>
      <c r="L12">
        <v>25586.3</v>
      </c>
    </row>
    <row r="13" spans="1:12">
      <c r="A13" t="s">
        <v>108</v>
      </c>
      <c r="B13" s="1">
        <v>13.00517</v>
      </c>
      <c r="C13">
        <v>-1</v>
      </c>
      <c r="D13" s="1">
        <v>0.79400000000000004</v>
      </c>
      <c r="E13" s="1">
        <v>12.005000000000001</v>
      </c>
      <c r="F13">
        <v>15.86782</v>
      </c>
      <c r="G13">
        <v>1.5868E-2</v>
      </c>
      <c r="H13">
        <v>1</v>
      </c>
      <c r="I13" s="1">
        <v>1.2589999999999999</v>
      </c>
      <c r="J13" s="1">
        <v>19.506</v>
      </c>
      <c r="K13">
        <v>75.088369999999998</v>
      </c>
      <c r="L13">
        <v>25591.51</v>
      </c>
    </row>
    <row r="14" spans="1:12">
      <c r="A14" t="s">
        <v>145</v>
      </c>
      <c r="B14" s="1">
        <v>12.00517</v>
      </c>
      <c r="C14">
        <v>-7</v>
      </c>
      <c r="D14" s="1">
        <v>0.2</v>
      </c>
      <c r="E14" s="1">
        <v>5.0049999999999999</v>
      </c>
      <c r="F14">
        <v>3.1660460000000001</v>
      </c>
      <c r="G14">
        <v>3.166E-3</v>
      </c>
      <c r="H14">
        <v>7</v>
      </c>
      <c r="I14" s="1">
        <v>5.0119999999999996</v>
      </c>
      <c r="J14" s="1">
        <v>19.536000000000001</v>
      </c>
      <c r="K14">
        <v>1163.443</v>
      </c>
      <c r="L14">
        <v>25769.360000000001</v>
      </c>
    </row>
    <row r="17" spans="1:12">
      <c r="B17" t="s">
        <v>154</v>
      </c>
      <c r="C17" t="s">
        <v>98</v>
      </c>
      <c r="D17" t="s">
        <v>108</v>
      </c>
      <c r="E17" t="s">
        <v>119</v>
      </c>
      <c r="F17" t="s">
        <v>108</v>
      </c>
      <c r="G17" t="s">
        <v>99</v>
      </c>
      <c r="H17" t="s">
        <v>108</v>
      </c>
      <c r="I17" t="s">
        <v>124</v>
      </c>
      <c r="J17" t="s">
        <v>99</v>
      </c>
      <c r="K17" t="s">
        <v>108</v>
      </c>
      <c r="L17" t="s">
        <v>145</v>
      </c>
    </row>
    <row r="18" spans="1:12">
      <c r="A18" s="17" t="s">
        <v>110</v>
      </c>
      <c r="B18">
        <v>-46.294827191590201</v>
      </c>
      <c r="C18">
        <v>-46.494827191590204</v>
      </c>
      <c r="D18">
        <v>-51.194827191590207</v>
      </c>
      <c r="E18">
        <v>-51.39482719159021</v>
      </c>
      <c r="F18">
        <v>-54.39482719159021</v>
      </c>
      <c r="G18">
        <v>-54.594827191590213</v>
      </c>
      <c r="H18">
        <v>-16.594827191590213</v>
      </c>
      <c r="I18">
        <v>-16.794827191590212</v>
      </c>
      <c r="J18">
        <v>-25.794827191590212</v>
      </c>
      <c r="K18">
        <v>12.205172808409788</v>
      </c>
      <c r="L18">
        <v>12.005172808409789</v>
      </c>
    </row>
    <row r="19" spans="1:12">
      <c r="A19" s="16" t="s">
        <v>188</v>
      </c>
      <c r="B19">
        <f>10^(B18/10)</f>
        <v>2.3470226502839871E-5</v>
      </c>
      <c r="C19">
        <f t="shared" ref="C19:L19" si="0">10^(C18/10)</f>
        <v>2.2413892302455859E-5</v>
      </c>
      <c r="D19">
        <f t="shared" si="0"/>
        <v>7.5948164230206164E-6</v>
      </c>
      <c r="E19">
        <f t="shared" si="0"/>
        <v>7.2529933761785193E-6</v>
      </c>
      <c r="F19">
        <f t="shared" si="0"/>
        <v>3.6351076857238451E-6</v>
      </c>
      <c r="G19">
        <f t="shared" si="0"/>
        <v>3.4715008892558072E-6</v>
      </c>
      <c r="H19">
        <f t="shared" si="0"/>
        <v>2.1903689824454765E-2</v>
      </c>
      <c r="I19">
        <f t="shared" si="0"/>
        <v>2.0917861388867483E-2</v>
      </c>
      <c r="J19">
        <f t="shared" si="0"/>
        <v>2.6334027262833299E-3</v>
      </c>
      <c r="K19">
        <f t="shared" si="0"/>
        <v>16.615647911226318</v>
      </c>
      <c r="L19">
        <f t="shared" si="0"/>
        <v>15.867820567163704</v>
      </c>
    </row>
    <row r="20" spans="1:12">
      <c r="A20" s="17" t="s">
        <v>111</v>
      </c>
      <c r="B20">
        <v>-0.2</v>
      </c>
      <c r="C20">
        <v>-4.7</v>
      </c>
      <c r="D20">
        <v>-0.2</v>
      </c>
      <c r="E20">
        <v>-3</v>
      </c>
      <c r="F20">
        <v>-0.2</v>
      </c>
      <c r="G20">
        <v>38</v>
      </c>
      <c r="H20">
        <v>-0.2</v>
      </c>
      <c r="I20">
        <v>-9</v>
      </c>
      <c r="J20">
        <v>38</v>
      </c>
      <c r="K20">
        <v>-0.2</v>
      </c>
      <c r="L20">
        <v>-7</v>
      </c>
    </row>
    <row r="21" spans="1:12">
      <c r="A21" s="16" t="s">
        <v>184</v>
      </c>
      <c r="B21">
        <v>0.95499258602143589</v>
      </c>
      <c r="C21">
        <v>0.33884415613920249</v>
      </c>
      <c r="D21">
        <v>0.95499258602143589</v>
      </c>
      <c r="E21">
        <v>0.50118723362727224</v>
      </c>
      <c r="F21">
        <v>0.95499258602143589</v>
      </c>
      <c r="G21">
        <v>6309.5734448019384</v>
      </c>
      <c r="H21">
        <v>0.95499258602143589</v>
      </c>
      <c r="I21">
        <v>0.12589254117941667</v>
      </c>
      <c r="J21">
        <v>6309.5734448019384</v>
      </c>
      <c r="K21">
        <v>0.95499258602143589</v>
      </c>
      <c r="L21">
        <v>0.19952623149688795</v>
      </c>
    </row>
    <row r="22" spans="1:12">
      <c r="A22" s="17" t="s">
        <v>112</v>
      </c>
      <c r="B22">
        <v>-46.494827191590204</v>
      </c>
      <c r="C22">
        <v>-51.194827191590207</v>
      </c>
      <c r="D22">
        <v>-51.39482719159021</v>
      </c>
      <c r="E22">
        <v>-54.39482719159021</v>
      </c>
      <c r="F22">
        <v>-54.594827191590213</v>
      </c>
      <c r="G22">
        <v>-16.594827191590213</v>
      </c>
      <c r="H22">
        <v>-16.794827191590212</v>
      </c>
      <c r="I22">
        <v>-25.794827191590212</v>
      </c>
      <c r="J22">
        <v>12.205172808409788</v>
      </c>
      <c r="K22">
        <v>12.005172808409789</v>
      </c>
      <c r="L22">
        <v>5.0051728084097888</v>
      </c>
    </row>
    <row r="23" spans="1:12">
      <c r="A23" s="17" t="s">
        <v>158</v>
      </c>
      <c r="B23">
        <v>2.2413892302455859E-5</v>
      </c>
      <c r="C23">
        <v>7.5948164230206164E-6</v>
      </c>
      <c r="D23">
        <v>7.2529933761785193E-6</v>
      </c>
      <c r="E23">
        <v>3.6351076857238451E-6</v>
      </c>
      <c r="F23">
        <v>3.4715008892558072E-6</v>
      </c>
      <c r="G23">
        <v>2.1903689824454765E-2</v>
      </c>
      <c r="H23">
        <v>2.0917861388867483E-2</v>
      </c>
      <c r="I23">
        <v>2.6334027262833299E-3</v>
      </c>
      <c r="J23">
        <v>16.615647911226318</v>
      </c>
      <c r="K23">
        <v>15.867820567163704</v>
      </c>
      <c r="L23">
        <v>3.1660464398349837</v>
      </c>
    </row>
    <row r="24" spans="1:12">
      <c r="A24" s="17" t="s">
        <v>155</v>
      </c>
      <c r="B24">
        <v>2.2413892302455822E-8</v>
      </c>
      <c r="C24">
        <v>7.5948164230206173E-9</v>
      </c>
      <c r="D24">
        <v>7.252993376178507E-9</v>
      </c>
      <c r="E24">
        <v>3.6351076857238465E-9</v>
      </c>
      <c r="F24">
        <v>3.471500889255802E-9</v>
      </c>
      <c r="G24">
        <v>2.1903689824454761E-5</v>
      </c>
      <c r="H24">
        <v>2.0917861388867471E-5</v>
      </c>
      <c r="I24">
        <v>2.6334027262833236E-6</v>
      </c>
      <c r="J24">
        <v>1.6615647911226317E-2</v>
      </c>
      <c r="K24">
        <v>1.5867820567163692E-2</v>
      </c>
      <c r="L24">
        <v>3.1660464398349819E-3</v>
      </c>
    </row>
    <row r="25" spans="1:12">
      <c r="A25" s="17" t="s">
        <v>70</v>
      </c>
      <c r="B25">
        <v>0.2</v>
      </c>
      <c r="C25">
        <v>4.7</v>
      </c>
      <c r="D25">
        <v>0.2</v>
      </c>
      <c r="E25">
        <v>3</v>
      </c>
      <c r="F25">
        <v>0.2</v>
      </c>
      <c r="G25">
        <v>2.2000000000000002</v>
      </c>
      <c r="H25">
        <v>0.2</v>
      </c>
      <c r="I25">
        <v>9</v>
      </c>
      <c r="J25">
        <v>2.2000000000000002</v>
      </c>
      <c r="K25">
        <v>0.2</v>
      </c>
      <c r="L25">
        <v>7</v>
      </c>
    </row>
    <row r="26" spans="1:12">
      <c r="A26" s="17" t="s">
        <v>168</v>
      </c>
      <c r="B26">
        <v>1.0471285480508996</v>
      </c>
      <c r="C26">
        <v>2.9512092266663861</v>
      </c>
      <c r="D26">
        <v>1.0471285480508996</v>
      </c>
      <c r="E26">
        <v>1.9952623149688797</v>
      </c>
      <c r="F26">
        <v>1.0471285480508996</v>
      </c>
      <c r="G26">
        <v>1.6595869074375609</v>
      </c>
      <c r="H26">
        <v>1.0471285480508996</v>
      </c>
      <c r="I26">
        <v>7.9432823472428176</v>
      </c>
      <c r="J26">
        <v>1.6595869074375609</v>
      </c>
      <c r="K26">
        <v>1.0471285480508996</v>
      </c>
      <c r="L26">
        <v>5.0118723362727229</v>
      </c>
    </row>
    <row r="27" spans="1:12">
      <c r="A27" s="17" t="s">
        <v>169</v>
      </c>
      <c r="B27">
        <v>1.0471285480508996</v>
      </c>
      <c r="C27">
        <v>3.090295432513591</v>
      </c>
      <c r="D27">
        <v>3.2359365692962831</v>
      </c>
      <c r="E27">
        <v>6.4565422903465572</v>
      </c>
      <c r="F27">
        <v>6.7608297539198201</v>
      </c>
      <c r="G27">
        <v>11.220184543019641</v>
      </c>
      <c r="H27">
        <v>11.220235042168706</v>
      </c>
      <c r="I27">
        <v>11.228025533095742</v>
      </c>
      <c r="J27">
        <v>11.229842186288552</v>
      </c>
      <c r="K27">
        <v>11.228445566722375</v>
      </c>
      <c r="L27">
        <v>11.264201416556133</v>
      </c>
    </row>
    <row r="28" spans="1:12">
      <c r="A28" s="17" t="s">
        <v>74</v>
      </c>
      <c r="B28">
        <v>13.667278934760887</v>
      </c>
      <c r="C28">
        <v>565.85067573325193</v>
      </c>
      <c r="D28">
        <v>13.667278934760887</v>
      </c>
      <c r="E28">
        <v>288.6260713409751</v>
      </c>
      <c r="F28">
        <v>13.667278934760887</v>
      </c>
      <c r="G28">
        <v>191.28020315689267</v>
      </c>
      <c r="H28">
        <v>13.667278934760887</v>
      </c>
      <c r="I28">
        <v>2013.5518807004171</v>
      </c>
      <c r="J28">
        <v>191.28020315689267</v>
      </c>
      <c r="K28">
        <v>13.667278934760887</v>
      </c>
      <c r="L28">
        <v>1163.4429775190897</v>
      </c>
    </row>
    <row r="29" spans="1:12" ht="25.5">
      <c r="A29" s="17" t="s">
        <v>172</v>
      </c>
      <c r="B29">
        <v>79.071791305209345</v>
      </c>
      <c r="C29">
        <v>300.78238964208748</v>
      </c>
      <c r="D29">
        <v>320.93028548185993</v>
      </c>
      <c r="E29">
        <v>992.48480110478692</v>
      </c>
      <c r="F29">
        <v>1085.5645446242313</v>
      </c>
      <c r="G29">
        <v>3550.7536522080686</v>
      </c>
      <c r="H29">
        <v>3550.7983122088112</v>
      </c>
      <c r="I29">
        <v>3557.6942224457812</v>
      </c>
      <c r="J29">
        <v>3559.3040490569565</v>
      </c>
      <c r="K29">
        <v>3558.0663752551895</v>
      </c>
      <c r="L29">
        <v>3589.8786238106281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Range</vt:lpstr>
      <vt:lpstr>Signal Chains</vt:lpstr>
      <vt:lpstr>diagram</vt:lpstr>
      <vt:lpstr>components</vt:lpstr>
      <vt:lpstr>Compnonent Power</vt:lpstr>
      <vt:lpstr>Converter</vt:lpstr>
      <vt:lpstr>Level Shift </vt:lpstr>
      <vt:lpstr>TX chain</vt:lpstr>
      <vt:lpstr>Rx chain</vt:lpstr>
      <vt:lpstr>IQ demod</vt:lpstr>
      <vt:lpstr>diagram!Print_Area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PeteA</dc:creator>
  <cp:lastModifiedBy>PeteA</cp:lastModifiedBy>
  <cp:lastPrinted>2014-11-05T00:46:06Z</cp:lastPrinted>
  <dcterms:created xsi:type="dcterms:W3CDTF">2014-01-12T02:11:14Z</dcterms:created>
  <dcterms:modified xsi:type="dcterms:W3CDTF">2016-03-02T17:57:30Z</dcterms:modified>
</cp:coreProperties>
</file>