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ian68\Desktop\"/>
    </mc:Choice>
  </mc:AlternateContent>
  <xr:revisionPtr revIDLastSave="0" documentId="13_ncr:1_{6F6E1BFF-99E3-41C8-81D0-54117C5B547F}" xr6:coauthVersionLast="45" xr6:coauthVersionMax="45" xr10:uidLastSave="{00000000-0000-0000-0000-000000000000}"/>
  <bookViews>
    <workbookView xWindow="29610" yWindow="-120" windowWidth="28110" windowHeight="16440" activeTab="5" xr2:uid="{00000000-000D-0000-FFFF-FFFF00000000}"/>
  </bookViews>
  <sheets>
    <sheet name="Rev. History" sheetId="2" r:id="rId1"/>
    <sheet name="Summary" sheetId="10" r:id="rId2"/>
    <sheet name="WPT_CTRL" sheetId="13" r:id="rId3"/>
    <sheet name="WPT_RX" sheetId="14" r:id="rId4"/>
    <sheet name="SYS_CON" sheetId="16" r:id="rId5"/>
    <sheet name="EXT_REG" sheetId="18" r:id="rId6"/>
  </sheets>
  <definedNames>
    <definedName name="__DdeLink__32719_1051462471" localSheetId="4">SYS_CON!#REF!</definedName>
    <definedName name="__DdeLink__32719_1051462471" localSheetId="2">WPT_CTRL!#REF!</definedName>
    <definedName name="__DdeLink__32719_1051462471" localSheetId="3">WPT_RX!#REF!</definedName>
    <definedName name="_xlnm.Print_Area" localSheetId="0">'Rev. History'!$A$3:$C$3</definedName>
  </definedNames>
  <calcPr calcId="181029"/>
</workbook>
</file>

<file path=xl/calcChain.xml><?xml version="1.0" encoding="utf-8"?>
<calcChain xmlns="http://schemas.openxmlformats.org/spreadsheetml/2006/main">
  <c r="C656" i="13" l="1"/>
  <c r="B649" i="13"/>
  <c r="C846" i="18" l="1"/>
  <c r="C852" i="18"/>
  <c r="B849" i="18"/>
  <c r="C844" i="18"/>
  <c r="B841" i="18"/>
  <c r="B484" i="16" l="1"/>
  <c r="B492" i="16" s="1"/>
  <c r="C492" i="16" s="1"/>
  <c r="C484" i="16"/>
  <c r="C498" i="16"/>
  <c r="C490" i="16"/>
  <c r="B468" i="16"/>
  <c r="B476" i="16" s="1"/>
  <c r="C476" i="16" s="1"/>
  <c r="C482" i="16"/>
  <c r="C474" i="16"/>
  <c r="C460" i="16"/>
  <c r="C452" i="16"/>
  <c r="B452" i="16"/>
  <c r="C466" i="16"/>
  <c r="C458" i="16"/>
  <c r="B460" i="16"/>
  <c r="C444" i="16"/>
  <c r="B444" i="16"/>
  <c r="C450" i="16"/>
  <c r="C442" i="16"/>
  <c r="C436" i="16"/>
  <c r="C428" i="16"/>
  <c r="B436" i="16"/>
  <c r="C434" i="16"/>
  <c r="C468" i="16" l="1"/>
  <c r="C473" i="18" l="1"/>
  <c r="B470" i="18"/>
  <c r="C836" i="18" l="1"/>
  <c r="B833" i="18"/>
  <c r="C828" i="18"/>
  <c r="B825" i="18"/>
  <c r="C820" i="18"/>
  <c r="B817" i="18"/>
  <c r="C812" i="18"/>
  <c r="B809" i="18"/>
  <c r="C664" i="13" l="1"/>
  <c r="C672" i="13"/>
  <c r="C77" i="13"/>
  <c r="C76" i="13"/>
  <c r="C75" i="13"/>
  <c r="C74" i="13"/>
  <c r="B71" i="13"/>
  <c r="C65" i="13"/>
  <c r="C57" i="13"/>
  <c r="B54" i="13"/>
  <c r="C425" i="13"/>
  <c r="C417" i="13"/>
  <c r="C30" i="13"/>
  <c r="C49" i="13"/>
  <c r="C48" i="13"/>
  <c r="B45" i="13"/>
  <c r="C40" i="13"/>
  <c r="B37" i="13"/>
  <c r="C404" i="13"/>
  <c r="C386" i="16"/>
  <c r="C378" i="16"/>
  <c r="B375" i="16"/>
  <c r="B370" i="16"/>
  <c r="B365" i="16"/>
  <c r="B426" i="16"/>
  <c r="B421" i="16"/>
  <c r="B416" i="16"/>
  <c r="B411" i="16"/>
  <c r="B406" i="16"/>
  <c r="B401" i="16"/>
  <c r="B396" i="16"/>
  <c r="B391" i="16"/>
  <c r="B383" i="16"/>
  <c r="C580" i="13"/>
  <c r="C579" i="13"/>
  <c r="C562" i="13"/>
  <c r="C561" i="13"/>
  <c r="C560" i="13"/>
  <c r="C552" i="13"/>
  <c r="C551" i="13"/>
  <c r="C550" i="13"/>
  <c r="C549" i="13"/>
  <c r="C548" i="13"/>
  <c r="C66" i="13" l="1"/>
  <c r="B62" i="13"/>
  <c r="C32" i="13"/>
  <c r="C31" i="13"/>
  <c r="B27" i="13"/>
  <c r="C515" i="13"/>
  <c r="C513" i="13"/>
  <c r="C514" i="13"/>
  <c r="C525" i="13"/>
  <c r="C524" i="13"/>
  <c r="C523" i="13"/>
  <c r="C497" i="13"/>
  <c r="C489" i="13"/>
  <c r="C488" i="13"/>
  <c r="C370" i="13"/>
  <c r="C369" i="13"/>
  <c r="C396" i="13"/>
  <c r="B393" i="13"/>
  <c r="C388" i="13"/>
  <c r="C387" i="13"/>
  <c r="B384" i="13"/>
  <c r="C379" i="13"/>
  <c r="C378" i="13"/>
  <c r="B375" i="13"/>
  <c r="B366" i="13"/>
  <c r="C360" i="13"/>
  <c r="C358" i="13"/>
  <c r="B355" i="13"/>
  <c r="C349" i="13"/>
  <c r="C347" i="13"/>
  <c r="B344" i="13"/>
  <c r="B339" i="13"/>
  <c r="B334" i="13"/>
  <c r="B329" i="13"/>
  <c r="C294" i="13"/>
  <c r="B299" i="13"/>
  <c r="C299" i="13" s="1"/>
  <c r="C324" i="13"/>
  <c r="C323" i="13"/>
  <c r="C322" i="13"/>
  <c r="C321" i="13"/>
  <c r="C320" i="13"/>
  <c r="B317" i="13"/>
  <c r="B304" i="13" l="1"/>
  <c r="C304" i="13" s="1"/>
  <c r="B309" i="13" l="1"/>
  <c r="C309" i="13" s="1"/>
  <c r="B314" i="13" l="1"/>
  <c r="C314" i="13" s="1"/>
  <c r="B326" i="13" l="1"/>
  <c r="B331" i="13" s="1"/>
  <c r="C326" i="13" l="1"/>
  <c r="C331" i="13"/>
  <c r="B336" i="13"/>
  <c r="C336" i="13" l="1"/>
  <c r="B341" i="13"/>
  <c r="C341" i="13" l="1"/>
  <c r="B352" i="13"/>
  <c r="C352" i="13" l="1"/>
  <c r="B363" i="13"/>
  <c r="B372" i="13" l="1"/>
  <c r="C363" i="13"/>
  <c r="C372" i="13" l="1"/>
  <c r="B381" i="13"/>
  <c r="C381" i="13" l="1"/>
  <c r="B390" i="13"/>
  <c r="C390" i="13" s="1"/>
  <c r="B661" i="13" l="1"/>
  <c r="B312" i="13" l="1"/>
  <c r="B307" i="13"/>
  <c r="B302" i="13"/>
  <c r="C736" i="13" l="1"/>
  <c r="B729" i="13"/>
  <c r="C728" i="13"/>
  <c r="B721" i="13"/>
  <c r="C720" i="13"/>
  <c r="B713" i="13"/>
  <c r="C712" i="13"/>
  <c r="B705" i="13"/>
  <c r="C704" i="13"/>
  <c r="B697" i="13"/>
  <c r="C696" i="13"/>
  <c r="B689" i="13"/>
  <c r="C680" i="13"/>
  <c r="C688" i="13"/>
  <c r="B681" i="13"/>
  <c r="B673" i="13"/>
  <c r="B665" i="13"/>
  <c r="B657" i="13"/>
  <c r="B140" i="16"/>
  <c r="B1241" i="18" l="1"/>
  <c r="B1233" i="18"/>
  <c r="B1225" i="18"/>
  <c r="B1217" i="18"/>
  <c r="B1209" i="18"/>
  <c r="B1201" i="18"/>
  <c r="B1193" i="18"/>
  <c r="B1185" i="18"/>
  <c r="B1177" i="18"/>
  <c r="B1169" i="18"/>
  <c r="B1161" i="18"/>
  <c r="B1153" i="18"/>
  <c r="B1145" i="18"/>
  <c r="B1137" i="18"/>
  <c r="B1129" i="18"/>
  <c r="B1121" i="18"/>
  <c r="C1116" i="18"/>
  <c r="B1113" i="18"/>
  <c r="C1108" i="18"/>
  <c r="B1105" i="18"/>
  <c r="C1100" i="18"/>
  <c r="B1097" i="18"/>
  <c r="C1092" i="18"/>
  <c r="B1089" i="18"/>
  <c r="C1084" i="18"/>
  <c r="B1081" i="18"/>
  <c r="C1076" i="18"/>
  <c r="B1073" i="18"/>
  <c r="C1068" i="18"/>
  <c r="B1065" i="18"/>
  <c r="C1060" i="18"/>
  <c r="B1057" i="18"/>
  <c r="C1052" i="18"/>
  <c r="B1049" i="18"/>
  <c r="C1044" i="18"/>
  <c r="B1041" i="18"/>
  <c r="C1036" i="18"/>
  <c r="B1033" i="18"/>
  <c r="C1028" i="18"/>
  <c r="B1025" i="18"/>
  <c r="C1020" i="18"/>
  <c r="B1017" i="18"/>
  <c r="C1012" i="18"/>
  <c r="B1009" i="18"/>
  <c r="C1004" i="18"/>
  <c r="B1001" i="18"/>
  <c r="C996" i="18"/>
  <c r="B993" i="18"/>
  <c r="C988" i="18"/>
  <c r="B985" i="18"/>
  <c r="C980" i="18"/>
  <c r="B977" i="18"/>
  <c r="C972" i="18"/>
  <c r="B969" i="18"/>
  <c r="C964" i="18"/>
  <c r="B961" i="18"/>
  <c r="C956" i="18"/>
  <c r="B953" i="18"/>
  <c r="C948" i="18"/>
  <c r="B945" i="18"/>
  <c r="C940" i="18"/>
  <c r="B937" i="18"/>
  <c r="C932" i="18"/>
  <c r="B929" i="18"/>
  <c r="C924" i="18"/>
  <c r="B921" i="18"/>
  <c r="C916" i="18"/>
  <c r="B913" i="18"/>
  <c r="C908" i="18"/>
  <c r="B905" i="18"/>
  <c r="C900" i="18"/>
  <c r="B897" i="18"/>
  <c r="C892" i="18"/>
  <c r="B889" i="18"/>
  <c r="C884" i="18"/>
  <c r="B881" i="18"/>
  <c r="C876" i="18"/>
  <c r="B873" i="18"/>
  <c r="B870" i="18"/>
  <c r="B878" i="18" s="1"/>
  <c r="C868" i="18"/>
  <c r="B865" i="18"/>
  <c r="C862" i="18"/>
  <c r="C860" i="18"/>
  <c r="B857" i="18"/>
  <c r="C854" i="18"/>
  <c r="C804" i="18"/>
  <c r="B801" i="18"/>
  <c r="C796" i="18"/>
  <c r="B793" i="18"/>
  <c r="C788" i="18"/>
  <c r="B785" i="18"/>
  <c r="C780" i="18"/>
  <c r="B777" i="18"/>
  <c r="C772" i="18"/>
  <c r="B769" i="18"/>
  <c r="C764" i="18"/>
  <c r="B761" i="18"/>
  <c r="C756" i="18"/>
  <c r="B753" i="18"/>
  <c r="C748" i="18"/>
  <c r="B745" i="18"/>
  <c r="C740" i="18"/>
  <c r="B737" i="18"/>
  <c r="C732" i="18"/>
  <c r="B729" i="18"/>
  <c r="C724" i="18"/>
  <c r="B721" i="18"/>
  <c r="C716" i="18"/>
  <c r="B713" i="18"/>
  <c r="C708" i="18"/>
  <c r="B705" i="18"/>
  <c r="C700" i="18"/>
  <c r="B697" i="18"/>
  <c r="C692" i="18"/>
  <c r="B689" i="18"/>
  <c r="C684" i="18"/>
  <c r="B681" i="18"/>
  <c r="C676" i="18"/>
  <c r="B673" i="18"/>
  <c r="C668" i="18"/>
  <c r="B665" i="18"/>
  <c r="C660" i="18"/>
  <c r="B657" i="18"/>
  <c r="C652" i="18"/>
  <c r="B649" i="18"/>
  <c r="C644" i="18"/>
  <c r="B641" i="18"/>
  <c r="C636" i="18"/>
  <c r="B633" i="18"/>
  <c r="C628" i="18"/>
  <c r="B625" i="18"/>
  <c r="C620" i="18"/>
  <c r="B617" i="18"/>
  <c r="C612" i="18"/>
  <c r="B609" i="18"/>
  <c r="C604" i="18"/>
  <c r="B601" i="18"/>
  <c r="C596" i="18"/>
  <c r="B593" i="18"/>
  <c r="C588" i="18"/>
  <c r="B585" i="18"/>
  <c r="C580" i="18"/>
  <c r="B577" i="18"/>
  <c r="C572" i="18"/>
  <c r="B569" i="18"/>
  <c r="C564" i="18"/>
  <c r="B561" i="18"/>
  <c r="C556" i="18"/>
  <c r="B553" i="18"/>
  <c r="C548" i="18"/>
  <c r="B545" i="18"/>
  <c r="C540" i="18"/>
  <c r="B537" i="18"/>
  <c r="C532" i="18"/>
  <c r="B529" i="18"/>
  <c r="C524" i="18"/>
  <c r="B521" i="18"/>
  <c r="C516" i="18"/>
  <c r="B513" i="18"/>
  <c r="C508" i="18"/>
  <c r="B505" i="18"/>
  <c r="C500" i="18"/>
  <c r="B497" i="18"/>
  <c r="B494" i="18"/>
  <c r="B502" i="18" s="1"/>
  <c r="C502" i="18" s="1"/>
  <c r="C492" i="18"/>
  <c r="B489" i="18"/>
  <c r="C486" i="18"/>
  <c r="C484" i="18"/>
  <c r="C483" i="18"/>
  <c r="C482" i="18"/>
  <c r="C481" i="18"/>
  <c r="B478" i="18"/>
  <c r="C475" i="18"/>
  <c r="C465" i="18"/>
  <c r="B462" i="18"/>
  <c r="C457" i="18"/>
  <c r="B454" i="18"/>
  <c r="C449" i="18"/>
  <c r="B446" i="18"/>
  <c r="C441" i="18"/>
  <c r="B438" i="18"/>
  <c r="C433" i="18"/>
  <c r="B430" i="18"/>
  <c r="C425" i="18"/>
  <c r="B422" i="18"/>
  <c r="C417" i="18"/>
  <c r="B414" i="18"/>
  <c r="C409" i="18"/>
  <c r="B406" i="18"/>
  <c r="C401" i="18"/>
  <c r="B398" i="18"/>
  <c r="C393" i="18"/>
  <c r="B390" i="18"/>
  <c r="C385" i="18"/>
  <c r="B382" i="18"/>
  <c r="C377" i="18"/>
  <c r="B374" i="18"/>
  <c r="C369" i="18"/>
  <c r="B366" i="18"/>
  <c r="C361" i="18"/>
  <c r="B358" i="18"/>
  <c r="C353" i="18"/>
  <c r="B350" i="18"/>
  <c r="C345" i="18"/>
  <c r="B342" i="18"/>
  <c r="B339" i="18"/>
  <c r="C339" i="18" s="1"/>
  <c r="C337" i="18"/>
  <c r="B334" i="18"/>
  <c r="C331" i="18"/>
  <c r="C329" i="18"/>
  <c r="B326" i="18"/>
  <c r="C321" i="18"/>
  <c r="B318" i="18"/>
  <c r="C313" i="18"/>
  <c r="C312" i="18"/>
  <c r="C311" i="18"/>
  <c r="C310" i="18"/>
  <c r="B307" i="18"/>
  <c r="C302" i="18"/>
  <c r="C301" i="18"/>
  <c r="C300" i="18"/>
  <c r="C299" i="18"/>
  <c r="B296" i="18"/>
  <c r="B293" i="18"/>
  <c r="B304" i="18" s="1"/>
  <c r="C304" i="18" s="1"/>
  <c r="C291" i="18"/>
  <c r="C290" i="18"/>
  <c r="C289" i="18"/>
  <c r="C288" i="18"/>
  <c r="B285" i="18"/>
  <c r="C282" i="18"/>
  <c r="C280" i="18"/>
  <c r="B277" i="18"/>
  <c r="C272" i="18"/>
  <c r="B269" i="18"/>
  <c r="C264" i="18"/>
  <c r="B261" i="18"/>
  <c r="C256" i="18"/>
  <c r="B253" i="18"/>
  <c r="C248" i="18"/>
  <c r="B245" i="18"/>
  <c r="C240" i="18"/>
  <c r="B237" i="18"/>
  <c r="C232" i="18"/>
  <c r="B229" i="18"/>
  <c r="C224" i="18"/>
  <c r="B221" i="18"/>
  <c r="C216" i="18"/>
  <c r="B213" i="18"/>
  <c r="C208" i="18"/>
  <c r="B205" i="18"/>
  <c r="C200" i="18"/>
  <c r="B197" i="18"/>
  <c r="C192" i="18"/>
  <c r="B189" i="18"/>
  <c r="C184" i="18"/>
  <c r="B181" i="18"/>
  <c r="C176" i="18"/>
  <c r="B173" i="18"/>
  <c r="C168" i="18"/>
  <c r="B165" i="18"/>
  <c r="B162" i="18"/>
  <c r="B170" i="18" s="1"/>
  <c r="C170" i="18" s="1"/>
  <c r="C160" i="18"/>
  <c r="B157" i="18"/>
  <c r="C154" i="18"/>
  <c r="C152" i="18"/>
  <c r="B149" i="18"/>
  <c r="C144" i="18"/>
  <c r="B141" i="18"/>
  <c r="C136" i="18"/>
  <c r="B133" i="18"/>
  <c r="B130" i="18"/>
  <c r="B138" i="18" s="1"/>
  <c r="C128" i="18"/>
  <c r="B125" i="18"/>
  <c r="C122" i="18"/>
  <c r="C120" i="18"/>
  <c r="B117" i="18"/>
  <c r="C112" i="18"/>
  <c r="B109" i="18"/>
  <c r="C104" i="18"/>
  <c r="B101" i="18"/>
  <c r="C96" i="18"/>
  <c r="B93" i="18"/>
  <c r="C88" i="18"/>
  <c r="B85" i="18"/>
  <c r="C80" i="18"/>
  <c r="B77" i="18"/>
  <c r="C72" i="18"/>
  <c r="B69" i="18"/>
  <c r="C64" i="18"/>
  <c r="B61" i="18"/>
  <c r="C56" i="18"/>
  <c r="B53" i="18"/>
  <c r="C48" i="18"/>
  <c r="B45" i="18"/>
  <c r="C40" i="18"/>
  <c r="B37" i="18"/>
  <c r="C32" i="18"/>
  <c r="B29" i="18"/>
  <c r="C24" i="18"/>
  <c r="B21" i="18"/>
  <c r="C16" i="18"/>
  <c r="B13" i="18"/>
  <c r="B10" i="18"/>
  <c r="C10" i="18" s="1"/>
  <c r="C8" i="18"/>
  <c r="B5" i="18"/>
  <c r="C2" i="18"/>
  <c r="B360" i="16"/>
  <c r="B355" i="16"/>
  <c r="B350" i="16"/>
  <c r="B345" i="16"/>
  <c r="B340" i="16"/>
  <c r="B335" i="16"/>
  <c r="B330" i="16"/>
  <c r="B325" i="16"/>
  <c r="B320" i="16"/>
  <c r="B315" i="16"/>
  <c r="B310" i="16"/>
  <c r="B305" i="16"/>
  <c r="B300" i="16"/>
  <c r="B295" i="16"/>
  <c r="B290" i="16"/>
  <c r="B285" i="16"/>
  <c r="B280" i="16"/>
  <c r="B275" i="16"/>
  <c r="B270" i="16"/>
  <c r="B265" i="16"/>
  <c r="B260" i="16"/>
  <c r="B255" i="16"/>
  <c r="B250" i="16"/>
  <c r="B245" i="16"/>
  <c r="B240" i="16"/>
  <c r="B235" i="16"/>
  <c r="B230" i="16"/>
  <c r="B225" i="16"/>
  <c r="B220" i="16"/>
  <c r="B215" i="16"/>
  <c r="B210" i="16"/>
  <c r="B205" i="16"/>
  <c r="B200" i="16"/>
  <c r="B195" i="16"/>
  <c r="B190" i="16"/>
  <c r="B185" i="16"/>
  <c r="B180" i="16"/>
  <c r="B175" i="16"/>
  <c r="B170" i="16"/>
  <c r="B165" i="16"/>
  <c r="B160" i="16"/>
  <c r="B155" i="16"/>
  <c r="B150" i="16"/>
  <c r="B145" i="16"/>
  <c r="B135" i="16"/>
  <c r="B130" i="16"/>
  <c r="B125" i="16"/>
  <c r="B120" i="16"/>
  <c r="B115" i="16"/>
  <c r="B110" i="16"/>
  <c r="B105" i="16"/>
  <c r="B100" i="16"/>
  <c r="B95" i="16"/>
  <c r="B90" i="16"/>
  <c r="B85" i="16"/>
  <c r="B80" i="16"/>
  <c r="B75" i="16"/>
  <c r="B70" i="16"/>
  <c r="B65" i="16"/>
  <c r="B60" i="16"/>
  <c r="B55" i="16"/>
  <c r="B50" i="16"/>
  <c r="B45" i="16"/>
  <c r="B40" i="16"/>
  <c r="B35" i="16"/>
  <c r="B30" i="16"/>
  <c r="B25" i="16"/>
  <c r="B20" i="16"/>
  <c r="B15" i="16"/>
  <c r="B10" i="16"/>
  <c r="B5" i="16"/>
  <c r="B313" i="14"/>
  <c r="B308" i="14"/>
  <c r="B303" i="14"/>
  <c r="B298" i="14"/>
  <c r="B293" i="14"/>
  <c r="B288" i="14"/>
  <c r="B283" i="14"/>
  <c r="B278" i="14"/>
  <c r="B273" i="14"/>
  <c r="B268" i="14"/>
  <c r="B263" i="14"/>
  <c r="B258" i="14"/>
  <c r="B253" i="14"/>
  <c r="B248" i="14"/>
  <c r="B243" i="14"/>
  <c r="B238" i="14"/>
  <c r="B233" i="14"/>
  <c r="B228" i="14"/>
  <c r="B219" i="14"/>
  <c r="B210" i="14"/>
  <c r="B202" i="14"/>
  <c r="B194" i="14"/>
  <c r="B187" i="14"/>
  <c r="B178" i="14"/>
  <c r="B173" i="14"/>
  <c r="B168" i="14"/>
  <c r="B163" i="14"/>
  <c r="B158" i="14"/>
  <c r="B153" i="14"/>
  <c r="B148" i="14"/>
  <c r="B143" i="14"/>
  <c r="B138" i="14"/>
  <c r="B133" i="14"/>
  <c r="B128" i="14"/>
  <c r="B123" i="14"/>
  <c r="B118" i="14"/>
  <c r="B113" i="14"/>
  <c r="B108" i="14"/>
  <c r="B103" i="14"/>
  <c r="B98" i="14"/>
  <c r="B93" i="14"/>
  <c r="B88" i="14"/>
  <c r="B83" i="14"/>
  <c r="B78" i="14"/>
  <c r="B70" i="14"/>
  <c r="B62" i="14"/>
  <c r="B54" i="14"/>
  <c r="B49" i="14"/>
  <c r="B40" i="14"/>
  <c r="B30" i="14"/>
  <c r="B15" i="14"/>
  <c r="B10" i="14"/>
  <c r="B5" i="14"/>
  <c r="C648" i="13"/>
  <c r="B641" i="13"/>
  <c r="C640" i="13"/>
  <c r="C639" i="13"/>
  <c r="B632" i="13"/>
  <c r="B596" i="13"/>
  <c r="B591" i="13"/>
  <c r="B586" i="13"/>
  <c r="B581" i="13"/>
  <c r="C571" i="13"/>
  <c r="C570" i="13"/>
  <c r="B567" i="13"/>
  <c r="B557" i="13"/>
  <c r="B545" i="13"/>
  <c r="B540" i="13"/>
  <c r="B535" i="13"/>
  <c r="B530" i="13"/>
  <c r="B520" i="13"/>
  <c r="B510" i="13"/>
  <c r="C505" i="13"/>
  <c r="B502" i="13"/>
  <c r="B494" i="13"/>
  <c r="B485" i="13"/>
  <c r="C480" i="13"/>
  <c r="B477" i="13"/>
  <c r="C472" i="13"/>
  <c r="C471" i="13"/>
  <c r="C470" i="13"/>
  <c r="B467" i="13"/>
  <c r="C462" i="13"/>
  <c r="B459" i="13"/>
  <c r="C454" i="13"/>
  <c r="B451" i="13"/>
  <c r="C446" i="13"/>
  <c r="C445" i="13"/>
  <c r="B442" i="13"/>
  <c r="C437" i="13"/>
  <c r="C436" i="13"/>
  <c r="C435" i="13"/>
  <c r="C434" i="13"/>
  <c r="C433" i="13"/>
  <c r="B430" i="13"/>
  <c r="B422" i="13"/>
  <c r="B414" i="13"/>
  <c r="B409" i="13"/>
  <c r="B401" i="13"/>
  <c r="B297" i="13"/>
  <c r="B292" i="13"/>
  <c r="B287" i="13"/>
  <c r="B282" i="13"/>
  <c r="B277" i="13"/>
  <c r="B272" i="13"/>
  <c r="B267" i="13"/>
  <c r="B262" i="13"/>
  <c r="B257" i="13"/>
  <c r="B252" i="13"/>
  <c r="B247" i="13"/>
  <c r="B242" i="13"/>
  <c r="B237" i="13"/>
  <c r="B232" i="13"/>
  <c r="B227" i="13"/>
  <c r="B222" i="13"/>
  <c r="B217" i="13"/>
  <c r="B212" i="13"/>
  <c r="B207" i="13"/>
  <c r="B202" i="13"/>
  <c r="B197" i="13"/>
  <c r="B192" i="13"/>
  <c r="B187" i="13"/>
  <c r="B182" i="13"/>
  <c r="B177" i="13"/>
  <c r="B165" i="13"/>
  <c r="B154" i="13"/>
  <c r="B146" i="13"/>
  <c r="B138" i="13"/>
  <c r="B133" i="13"/>
  <c r="B128" i="13"/>
  <c r="C118" i="13"/>
  <c r="B115" i="13"/>
  <c r="C103" i="13"/>
  <c r="B100" i="13"/>
  <c r="B91" i="13"/>
  <c r="B82" i="13"/>
  <c r="B18" i="13"/>
  <c r="B5" i="13"/>
  <c r="C109" i="10"/>
  <c r="C108" i="10"/>
  <c r="C107" i="10"/>
  <c r="C106" i="10"/>
  <c r="C105" i="10"/>
  <c r="C104" i="10"/>
  <c r="C102" i="10"/>
  <c r="C101" i="10"/>
  <c r="C100" i="10"/>
  <c r="C98" i="10"/>
  <c r="C97" i="10"/>
  <c r="C96" i="10"/>
  <c r="C95" i="10"/>
  <c r="C94" i="10"/>
  <c r="C93" i="10"/>
  <c r="C92" i="10"/>
  <c r="C91" i="10"/>
  <c r="C90" i="10"/>
  <c r="C89" i="10"/>
  <c r="C88" i="10"/>
  <c r="C85" i="10"/>
  <c r="C84" i="10"/>
  <c r="C77" i="10"/>
  <c r="C76" i="10"/>
  <c r="C74" i="10"/>
  <c r="C73" i="10"/>
  <c r="C72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0" i="10"/>
  <c r="C49" i="10"/>
  <c r="C48" i="10"/>
  <c r="C45" i="10"/>
  <c r="C44" i="10"/>
  <c r="C40" i="10"/>
  <c r="C36" i="10"/>
  <c r="C34" i="10"/>
  <c r="C33" i="10"/>
  <c r="C32" i="10"/>
  <c r="C30" i="10"/>
  <c r="C29" i="10"/>
  <c r="C28" i="10"/>
  <c r="C26" i="10"/>
  <c r="C24" i="10"/>
  <c r="C20" i="10"/>
  <c r="C5" i="10"/>
  <c r="C4" i="10"/>
  <c r="C494" i="18" l="1"/>
  <c r="B18" i="18"/>
  <c r="C18" i="18" s="1"/>
  <c r="C162" i="18"/>
  <c r="B347" i="18"/>
  <c r="C347" i="18" s="1"/>
  <c r="C130" i="18"/>
  <c r="B886" i="18"/>
  <c r="C878" i="18"/>
  <c r="B146" i="18"/>
  <c r="C146" i="18" s="1"/>
  <c r="C138" i="18"/>
  <c r="C870" i="18"/>
  <c r="B26" i="18"/>
  <c r="B355" i="18"/>
  <c r="C293" i="18"/>
  <c r="B178" i="18"/>
  <c r="B510" i="18"/>
  <c r="B34" i="18" l="1"/>
  <c r="C26" i="18"/>
  <c r="B363" i="18"/>
  <c r="C355" i="18"/>
  <c r="B518" i="18"/>
  <c r="C510" i="18"/>
  <c r="B186" i="18"/>
  <c r="C178" i="18"/>
  <c r="C886" i="18"/>
  <c r="B894" i="18"/>
  <c r="C186" i="18" l="1"/>
  <c r="B194" i="18"/>
  <c r="C518" i="18"/>
  <c r="B526" i="18"/>
  <c r="C363" i="18"/>
  <c r="B371" i="18"/>
  <c r="C894" i="18"/>
  <c r="B902" i="18"/>
  <c r="C34" i="18"/>
  <c r="B42" i="18"/>
  <c r="C902" i="18" l="1"/>
  <c r="B910" i="18"/>
  <c r="C371" i="18"/>
  <c r="B379" i="18"/>
  <c r="B534" i="18"/>
  <c r="C526" i="18"/>
  <c r="C42" i="18"/>
  <c r="B50" i="18"/>
  <c r="B202" i="18"/>
  <c r="C194" i="18"/>
  <c r="C50" i="18" l="1"/>
  <c r="B58" i="18"/>
  <c r="C534" i="18"/>
  <c r="B542" i="18"/>
  <c r="C379" i="18"/>
  <c r="B387" i="18"/>
  <c r="B918" i="18"/>
  <c r="C910" i="18"/>
  <c r="C202" i="18"/>
  <c r="B210" i="18"/>
  <c r="B395" i="18" l="1"/>
  <c r="C387" i="18"/>
  <c r="B550" i="18"/>
  <c r="C542" i="18"/>
  <c r="C918" i="18"/>
  <c r="B926" i="18"/>
  <c r="B218" i="18"/>
  <c r="C210" i="18"/>
  <c r="B66" i="18"/>
  <c r="C58" i="18"/>
  <c r="B934" i="18" l="1"/>
  <c r="C926" i="18"/>
  <c r="C218" i="18"/>
  <c r="B226" i="18"/>
  <c r="C550" i="18"/>
  <c r="B558" i="18"/>
  <c r="C66" i="18"/>
  <c r="B74" i="18"/>
  <c r="C395" i="18"/>
  <c r="B403" i="18"/>
  <c r="C74" i="18" l="1"/>
  <c r="B82" i="18"/>
  <c r="B566" i="18"/>
  <c r="C558" i="18"/>
  <c r="B234" i="18"/>
  <c r="C226" i="18"/>
  <c r="B411" i="18"/>
  <c r="C403" i="18"/>
  <c r="B942" i="18"/>
  <c r="C934" i="18"/>
  <c r="C411" i="18" l="1"/>
  <c r="B419" i="18"/>
  <c r="C234" i="18"/>
  <c r="B242" i="18"/>
  <c r="C82" i="18"/>
  <c r="B90" i="18"/>
  <c r="C566" i="18"/>
  <c r="B574" i="18"/>
  <c r="B950" i="18"/>
  <c r="C942" i="18"/>
  <c r="B582" i="18" l="1"/>
  <c r="C574" i="18"/>
  <c r="C90" i="18"/>
  <c r="B98" i="18"/>
  <c r="B250" i="18"/>
  <c r="C242" i="18"/>
  <c r="B427" i="18"/>
  <c r="C419" i="18"/>
  <c r="C950" i="18"/>
  <c r="B958" i="18"/>
  <c r="C427" i="18" l="1"/>
  <c r="B435" i="18"/>
  <c r="C250" i="18"/>
  <c r="B258" i="18"/>
  <c r="C98" i="18"/>
  <c r="B106" i="18"/>
  <c r="C958" i="18"/>
  <c r="B966" i="18"/>
  <c r="C582" i="18"/>
  <c r="B590" i="18"/>
  <c r="C966" i="18" l="1"/>
  <c r="B974" i="18"/>
  <c r="B114" i="18"/>
  <c r="C114" i="18" s="1"/>
  <c r="C106" i="18"/>
  <c r="B266" i="18"/>
  <c r="C258" i="18"/>
  <c r="B598" i="18"/>
  <c r="C590" i="18"/>
  <c r="C435" i="18"/>
  <c r="B443" i="18"/>
  <c r="C443" i="18" s="1"/>
  <c r="C598" i="18" l="1"/>
  <c r="B606" i="18"/>
  <c r="C266" i="18"/>
  <c r="B274" i="18"/>
  <c r="C274" i="18" s="1"/>
  <c r="B451" i="18"/>
  <c r="C451" i="18" s="1"/>
  <c r="B982" i="18"/>
  <c r="C974" i="18"/>
  <c r="B990" i="18" l="1"/>
  <c r="C982" i="18"/>
  <c r="B459" i="18"/>
  <c r="B614" i="18"/>
  <c r="C606" i="18"/>
  <c r="B467" i="18" l="1"/>
  <c r="C467" i="18" s="1"/>
  <c r="C459" i="18"/>
  <c r="C614" i="18"/>
  <c r="B622" i="18"/>
  <c r="B998" i="18"/>
  <c r="C990" i="18"/>
  <c r="B630" i="18" l="1"/>
  <c r="C622" i="18"/>
  <c r="C998" i="18"/>
  <c r="B1006" i="18"/>
  <c r="C630" i="18" l="1"/>
  <c r="B638" i="18"/>
  <c r="B1014" i="18"/>
  <c r="C1006" i="18"/>
  <c r="C1014" i="18" l="1"/>
  <c r="B1022" i="18"/>
  <c r="B646" i="18"/>
  <c r="C638" i="18"/>
  <c r="C646" i="18" l="1"/>
  <c r="B654" i="18"/>
  <c r="C1022" i="18"/>
  <c r="B1030" i="18"/>
  <c r="C1030" i="18" l="1"/>
  <c r="B1038" i="18"/>
  <c r="B662" i="18"/>
  <c r="C654" i="18"/>
  <c r="C662" i="18" l="1"/>
  <c r="B670" i="18"/>
  <c r="B1046" i="18"/>
  <c r="C1038" i="18"/>
  <c r="B678" i="18" l="1"/>
  <c r="C670" i="18"/>
  <c r="C1046" i="18"/>
  <c r="B1054" i="18"/>
  <c r="B1062" i="18" l="1"/>
  <c r="C1054" i="18"/>
  <c r="C678" i="18"/>
  <c r="B686" i="18"/>
  <c r="B694" i="18" l="1"/>
  <c r="C686" i="18"/>
  <c r="B1070" i="18"/>
  <c r="C1062" i="18"/>
  <c r="C1070" i="18" l="1"/>
  <c r="B1078" i="18"/>
  <c r="C694" i="18"/>
  <c r="B702" i="18"/>
  <c r="B710" i="18" l="1"/>
  <c r="C702" i="18"/>
  <c r="C1078" i="18"/>
  <c r="B1086" i="18"/>
  <c r="B1094" i="18" l="1"/>
  <c r="C1086" i="18"/>
  <c r="C710" i="18"/>
  <c r="B718" i="18"/>
  <c r="C1094" i="18" l="1"/>
  <c r="B1102" i="18"/>
  <c r="B726" i="18"/>
  <c r="C718" i="18"/>
  <c r="C726" i="18" l="1"/>
  <c r="B734" i="18"/>
  <c r="B1110" i="18"/>
  <c r="C1102" i="18"/>
  <c r="C1110" i="18" l="1"/>
  <c r="B1118" i="18"/>
  <c r="B742" i="18"/>
  <c r="C734" i="18"/>
  <c r="C742" i="18" l="1"/>
  <c r="B750" i="18"/>
  <c r="G1124" i="18"/>
  <c r="B1126" i="18"/>
  <c r="D1120" i="18"/>
  <c r="C1124" i="18" s="1"/>
  <c r="C1118" i="18"/>
  <c r="C1126" i="18" l="1"/>
  <c r="G1132" i="18"/>
  <c r="B1134" i="18"/>
  <c r="D1128" i="18"/>
  <c r="C1132" i="18" s="1"/>
  <c r="B758" i="18"/>
  <c r="C750" i="18"/>
  <c r="C758" i="18" l="1"/>
  <c r="B766" i="18"/>
  <c r="C1134" i="18"/>
  <c r="D1136" i="18"/>
  <c r="C1140" i="18" s="1"/>
  <c r="B1142" i="18"/>
  <c r="G1140" i="18"/>
  <c r="B774" i="18" l="1"/>
  <c r="C766" i="18"/>
  <c r="G1148" i="18"/>
  <c r="C1142" i="18"/>
  <c r="B1150" i="18"/>
  <c r="D1144" i="18"/>
  <c r="C1148" i="18" s="1"/>
  <c r="G1156" i="18" l="1"/>
  <c r="B1158" i="18"/>
  <c r="D1152" i="18"/>
  <c r="C1156" i="18" s="1"/>
  <c r="C1150" i="18"/>
  <c r="C774" i="18"/>
  <c r="B782" i="18"/>
  <c r="B790" i="18" l="1"/>
  <c r="C782" i="18"/>
  <c r="C1158" i="18"/>
  <c r="B1166" i="18"/>
  <c r="G1164" i="18"/>
  <c r="D1160" i="18"/>
  <c r="C1164" i="18" s="1"/>
  <c r="D1168" i="18" l="1"/>
  <c r="C1172" i="18" s="1"/>
  <c r="B1174" i="18"/>
  <c r="C1166" i="18"/>
  <c r="G1172" i="18"/>
  <c r="C790" i="18"/>
  <c r="B798" i="18"/>
  <c r="C798" i="18" l="1"/>
  <c r="B806" i="18"/>
  <c r="G1180" i="18"/>
  <c r="C1174" i="18"/>
  <c r="D1176" i="18"/>
  <c r="C1180" i="18" s="1"/>
  <c r="B1182" i="18"/>
  <c r="C806" i="18" l="1"/>
  <c r="B814" i="18"/>
  <c r="B1190" i="18"/>
  <c r="D1184" i="18"/>
  <c r="C1188" i="18" s="1"/>
  <c r="G1188" i="18"/>
  <c r="C1182" i="18"/>
  <c r="C814" i="18" l="1"/>
  <c r="B822" i="18"/>
  <c r="C1190" i="18"/>
  <c r="B1198" i="18"/>
  <c r="G1196" i="18"/>
  <c r="D1192" i="18"/>
  <c r="C1196" i="18" s="1"/>
  <c r="C822" i="18" l="1"/>
  <c r="B830" i="18"/>
  <c r="C1198" i="18"/>
  <c r="D1200" i="18"/>
  <c r="C1204" i="18" s="1"/>
  <c r="B1206" i="18"/>
  <c r="G1204" i="18"/>
  <c r="B838" i="18" l="1"/>
  <c r="C830" i="18"/>
  <c r="G1212" i="18"/>
  <c r="D1208" i="18"/>
  <c r="C1212" i="18" s="1"/>
  <c r="C1206" i="18"/>
  <c r="B1214" i="18"/>
  <c r="C838" i="18" l="1"/>
  <c r="B846" i="18"/>
  <c r="B1222" i="18"/>
  <c r="D1216" i="18"/>
  <c r="C1220" i="18" s="1"/>
  <c r="G1220" i="18"/>
  <c r="C1214" i="18"/>
  <c r="C1222" i="18" l="1"/>
  <c r="G1228" i="18"/>
  <c r="B1230" i="18"/>
  <c r="D1224" i="18"/>
  <c r="C1228" i="18" s="1"/>
  <c r="D1232" i="18" l="1"/>
  <c r="C1236" i="18" s="1"/>
  <c r="B1238" i="18"/>
  <c r="G1236" i="18"/>
  <c r="C1230" i="18"/>
  <c r="G1244" i="18" l="1"/>
  <c r="C1238" i="18"/>
  <c r="D1240" i="18"/>
  <c r="C1244" i="18" s="1"/>
</calcChain>
</file>

<file path=xl/sharedStrings.xml><?xml version="1.0" encoding="utf-8"?>
<sst xmlns="http://schemas.openxmlformats.org/spreadsheetml/2006/main" count="5007" uniqueCount="1330">
  <si>
    <t>Date</t>
  </si>
  <si>
    <t>By</t>
  </si>
  <si>
    <t>Revision Item</t>
  </si>
  <si>
    <t>Hyeong Jun Lim</t>
  </si>
  <si>
    <t>Initial Draft</t>
  </si>
  <si>
    <t>Addr.(Hex)</t>
  </si>
  <si>
    <t>Name</t>
  </si>
  <si>
    <t>0x38000000</t>
  </si>
  <si>
    <t>0x38000001</t>
  </si>
  <si>
    <t>0x38000002</t>
  </si>
  <si>
    <t>0x38000003</t>
  </si>
  <si>
    <t>0x38000004</t>
  </si>
  <si>
    <t>0x38000005</t>
  </si>
  <si>
    <t>0x38000006</t>
  </si>
  <si>
    <t>0x38000007</t>
  </si>
  <si>
    <t>0x38000008</t>
  </si>
  <si>
    <t>0x38000009</t>
  </si>
  <si>
    <t>0x3800000A</t>
  </si>
  <si>
    <t>0x3800000B</t>
  </si>
  <si>
    <t>0x3800000C</t>
  </si>
  <si>
    <t>0x3800000D</t>
  </si>
  <si>
    <t>0x3800000E</t>
  </si>
  <si>
    <t>0x3800000F</t>
  </si>
  <si>
    <t>0x38000010</t>
  </si>
  <si>
    <t>0x38000011</t>
  </si>
  <si>
    <t>0x38000012</t>
  </si>
  <si>
    <t>0x38000013</t>
  </si>
  <si>
    <t>0x38000014</t>
  </si>
  <si>
    <t>0x38000015</t>
  </si>
  <si>
    <t>0x38000016</t>
  </si>
  <si>
    <t>0x38000017</t>
  </si>
  <si>
    <t>0x38000018</t>
  </si>
  <si>
    <t>0x38000019</t>
  </si>
  <si>
    <t>0x3800001A</t>
  </si>
  <si>
    <t>0x3800001B</t>
  </si>
  <si>
    <t>0x3800001C</t>
  </si>
  <si>
    <t>0x3800001D</t>
  </si>
  <si>
    <t>0x3800001E</t>
  </si>
  <si>
    <t>0x3800001F</t>
  </si>
  <si>
    <t>0x38000020</t>
  </si>
  <si>
    <t>0x38000021</t>
  </si>
  <si>
    <t>0x38000022</t>
  </si>
  <si>
    <t>0x38000023</t>
  </si>
  <si>
    <t>0x38000024</t>
  </si>
  <si>
    <t>0x38000025</t>
  </si>
  <si>
    <t>0x38000026</t>
  </si>
  <si>
    <t>0x38000027</t>
  </si>
  <si>
    <t>0x38000028</t>
  </si>
  <si>
    <t>0x38000029</t>
  </si>
  <si>
    <t>0x3800002A</t>
  </si>
  <si>
    <t>0x3800002B</t>
  </si>
  <si>
    <t>0x3800002C</t>
  </si>
  <si>
    <t>0x3800002D</t>
  </si>
  <si>
    <t>0x3800002E</t>
  </si>
  <si>
    <t>0x3800002F</t>
  </si>
  <si>
    <t>0x38000030</t>
  </si>
  <si>
    <t>0x38000031</t>
  </si>
  <si>
    <t>0x38000032</t>
  </si>
  <si>
    <t>0x38000033</t>
  </si>
  <si>
    <t>0x38000034</t>
  </si>
  <si>
    <t>0x38000035</t>
  </si>
  <si>
    <t>0x38000036</t>
  </si>
  <si>
    <t>0x38000037</t>
  </si>
  <si>
    <t>0x38000038</t>
  </si>
  <si>
    <t>0x38000039</t>
  </si>
  <si>
    <t>0x3800003A</t>
  </si>
  <si>
    <t>0x3800003B</t>
  </si>
  <si>
    <t>0x3800003C</t>
  </si>
  <si>
    <t>0x3800003D</t>
  </si>
  <si>
    <t>0x3800003E</t>
  </si>
  <si>
    <t>0x3800003F</t>
  </si>
  <si>
    <t>0x38000040</t>
  </si>
  <si>
    <t>0x38000041</t>
  </si>
  <si>
    <t>0x38000042</t>
  </si>
  <si>
    <t>0x38000043</t>
  </si>
  <si>
    <t>0x38000044</t>
  </si>
  <si>
    <t>0x38000045</t>
  </si>
  <si>
    <t>0x38000046</t>
  </si>
  <si>
    <t>0x38000047</t>
  </si>
  <si>
    <t>0x38000048</t>
  </si>
  <si>
    <t>0x38000049</t>
  </si>
  <si>
    <t>0x3800004A</t>
  </si>
  <si>
    <t>0x3800004B</t>
  </si>
  <si>
    <t>0x3800004C</t>
  </si>
  <si>
    <t>0x3800004D</t>
  </si>
  <si>
    <t>0x3800004E</t>
  </si>
  <si>
    <t>0x3800004F</t>
  </si>
  <si>
    <t>0x38000050</t>
  </si>
  <si>
    <t>0x38000051</t>
  </si>
  <si>
    <t>0x38000052</t>
  </si>
  <si>
    <t>0x38000053</t>
  </si>
  <si>
    <t>0x38000054</t>
  </si>
  <si>
    <t>0x38000055</t>
  </si>
  <si>
    <t>0x38000056</t>
  </si>
  <si>
    <t>0x38000057</t>
  </si>
  <si>
    <t>0x38000058</t>
  </si>
  <si>
    <t>0x38000059</t>
  </si>
  <si>
    <t>0x3800005A</t>
  </si>
  <si>
    <t>0x3800005B</t>
  </si>
  <si>
    <t>0x3800005C</t>
  </si>
  <si>
    <t>0x3800005D</t>
  </si>
  <si>
    <t>0x3800005E</t>
  </si>
  <si>
    <t>0x3800005F</t>
  </si>
  <si>
    <t>0x38000060</t>
  </si>
  <si>
    <t>0x38000061</t>
  </si>
  <si>
    <t>0x38000062</t>
  </si>
  <si>
    <t>0x38000063</t>
  </si>
  <si>
    <t>0x38000064</t>
  </si>
  <si>
    <t>0x38000065</t>
  </si>
  <si>
    <t>0x38000066</t>
  </si>
  <si>
    <t>0x38000067</t>
  </si>
  <si>
    <t>0x38000068</t>
  </si>
  <si>
    <t>0x38000069</t>
  </si>
  <si>
    <t>0x3800006A</t>
  </si>
  <si>
    <t>0x3800006B</t>
  </si>
  <si>
    <t>0x3800006C</t>
  </si>
  <si>
    <t>0x3800006D</t>
  </si>
  <si>
    <t>0x3800006E</t>
  </si>
  <si>
    <t>0x3800006F</t>
  </si>
  <si>
    <t>1.1.1 Addr 0x38000000 WPC Interrupt Enable - WPC_INTR_EN</t>
  </si>
  <si>
    <t>Bit</t>
  </si>
  <si>
    <t>X</t>
  </si>
  <si>
    <t>ADCC_INTR_EN</t>
  </si>
  <si>
    <t>Default</t>
  </si>
  <si>
    <t>-</t>
  </si>
  <si>
    <t>Description</t>
  </si>
  <si>
    <t>Value</t>
  </si>
  <si>
    <t>Meaning</t>
  </si>
  <si>
    <t>OTPC_INTR_EN</t>
  </si>
  <si>
    <t>OTP Controller Interrupt Enable</t>
  </si>
  <si>
    <t>1’b0</t>
  </si>
  <si>
    <t>Disable</t>
  </si>
  <si>
    <t>1’b1</t>
  </si>
  <si>
    <t>Enable</t>
  </si>
  <si>
    <t>ADC Controller Interrupt Enable</t>
  </si>
  <si>
    <t>1'b0</t>
  </si>
  <si>
    <t>ISEN_INTR_EN</t>
  </si>
  <si>
    <t>ISEN Calibration Controller Interrupt Enable</t>
  </si>
  <si>
    <t>1.1.2 Addr 0x38000004 WPC Interrupt Status - WPC_INTR_STATUS</t>
  </si>
  <si>
    <t>ADCC_INTR_STATUS</t>
  </si>
  <si>
    <t>ADC Controller Interrupt Status</t>
  </si>
  <si>
    <t>Read : Interrupt is not generated</t>
  </si>
  <si>
    <t>Read : Interrupt is generated, Write : Clear interrupt</t>
  </si>
  <si>
    <t>1.3.1 Addr 0x38000020 WPC ADC Command - WPC_ADC_CMD</t>
  </si>
  <si>
    <t>ADC_START</t>
  </si>
  <si>
    <t>ADC Start Command</t>
  </si>
  <si>
    <t>ADC Stop</t>
  </si>
  <si>
    <t>1'b1</t>
  </si>
  <si>
    <t>ADC Start</t>
  </si>
  <si>
    <t>1.3.2 Addr 0x38000024 WPC ADC Update - WPC_ADC_UPDATE</t>
  </si>
  <si>
    <t>ADC_UPDATE</t>
  </si>
  <si>
    <t>ADC Update Command</t>
  </si>
  <si>
    <t>Read : ADC data is not updated</t>
  </si>
  <si>
    <t>Read : ADC data is updated, Write : Clear bit</t>
  </si>
  <si>
    <t>1.3.3 Addr 0x38000028 WPC ADC Configuration 0 - WPC_ADC_SEL</t>
  </si>
  <si>
    <t>ADC_SEL[7:0]</t>
  </si>
  <si>
    <t>ADC Mux Selection</t>
  </si>
  <si>
    <t>12'b???????????1</t>
  </si>
  <si>
    <t>VRET_ATTEN</t>
  </si>
  <si>
    <t>12'b??????????1?</t>
  </si>
  <si>
    <t>VOUT</t>
  </si>
  <si>
    <t>12'b?????????1??</t>
  </si>
  <si>
    <t>ADC_IOUT</t>
  </si>
  <si>
    <t>12'b????????1???</t>
  </si>
  <si>
    <t>ADC_ILIM</t>
  </si>
  <si>
    <t>12'b???????1????</t>
  </si>
  <si>
    <t>12'b??????1?????</t>
  </si>
  <si>
    <t>12'b?????1??????</t>
  </si>
  <si>
    <t>VCTAT_ADC</t>
  </si>
  <si>
    <t>12'b????1???????</t>
  </si>
  <si>
    <t>1.3.4 Addr 0x38000029 WPC ADC Configuration 1 - WPC_ADC_MODE</t>
  </si>
  <si>
    <t>ADC_MODE</t>
  </si>
  <si>
    <t>ADC_SEL[11:8]</t>
  </si>
  <si>
    <t>12'b???1????????</t>
  </si>
  <si>
    <t>12'b??1?????????</t>
  </si>
  <si>
    <t>12'b?1??????????</t>
  </si>
  <si>
    <t>12'b1???????????</t>
  </si>
  <si>
    <t>ADC Mode</t>
  </si>
  <si>
    <t>ADC one-shot mode (Only one ADC operation is performed)</t>
  </si>
  <si>
    <t>ADC continuous mode (ADC operation is performed continuously)</t>
  </si>
  <si>
    <t>1.3.5 Addr 0x3800002A WPC ADC Configuration 2 - WPA_ADC_WAIT0</t>
  </si>
  <si>
    <t>ADC_WAIT[7:0]</t>
  </si>
  <si>
    <t>1.3.6 Addr 0x3800002B WPC ADC Configuration 3 - WPA_ADC_WAIT2</t>
  </si>
  <si>
    <t>ADC_WAIT[9:8]</t>
  </si>
  <si>
    <t>1.3.7 Addr 0x3800002C WPC ADC Configuration 4 - WPC_ADC_CFG0</t>
  </si>
  <si>
    <t>ADC_CONV[7:0]</t>
  </si>
  <si>
    <t>ADC_CONV</t>
  </si>
  <si>
    <t>ADC conv width
[7:4]=CONV_WIDTH[3:0]
[3:0]=CONVL_WIDTH[3:0]</t>
  </si>
  <si>
    <t>8’h33</t>
  </si>
  <si>
    <t>1.3.8 Addr 0x3800002D WPC ADC Configuration 5 - WPC_ADC_CFG1</t>
  </si>
  <si>
    <t>ADC_SAMPLE[7:0]</t>
  </si>
  <si>
    <t>ADC_SAMPLE</t>
  </si>
  <si>
    <t>ADC sample width</t>
  </si>
  <si>
    <t>8’h08</t>
  </si>
  <si>
    <t>1.3.9 Addr 0x3800002E WPC ADC Configuration 6 - WPC_ADC_SKIP</t>
  </si>
  <si>
    <t>ADC_SKIP[1:0]</t>
  </si>
  <si>
    <t>ADC_SKIP</t>
  </si>
  <si>
    <t>The amount of generating same ADC_MUX_SEL in serial</t>
  </si>
  <si>
    <t>2'b00</t>
  </si>
  <si>
    <t>no skipping</t>
  </si>
  <si>
    <t>2'b01</t>
  </si>
  <si>
    <t>1 skipping</t>
  </si>
  <si>
    <t>2'b10</t>
  </si>
  <si>
    <t>2 skipping</t>
  </si>
  <si>
    <t>2'b11</t>
  </si>
  <si>
    <t>3 skipping</t>
  </si>
  <si>
    <t>1.3.10 Addr 0x3800002F WPC ADC Configuration 5 - WPC_ADC_AVG</t>
  </si>
  <si>
    <t>SR_TIME[2:0]</t>
  </si>
  <si>
    <t>ADC_AVG[2:0]</t>
  </si>
  <si>
    <t>ADC_AVG</t>
  </si>
  <si>
    <t>The number of samples to average</t>
  </si>
  <si>
    <t>3'b000</t>
  </si>
  <si>
    <t>no average</t>
  </si>
  <si>
    <t>3'b100</t>
  </si>
  <si>
    <t>3'b001</t>
  </si>
  <si>
    <t>2 sample average</t>
  </si>
  <si>
    <t>3'b010</t>
  </si>
  <si>
    <t>4 sample average</t>
  </si>
  <si>
    <t>3'b011</t>
  </si>
  <si>
    <t>8 sample average</t>
  </si>
  <si>
    <t>16 sample average</t>
  </si>
  <si>
    <t>1.3.11 Addr 0x38000030 WPC ADC Data 0 Low - WPC_ADC_DATA0L</t>
  </si>
  <si>
    <t>ADC_DATA0[7:0]</t>
  </si>
  <si>
    <t>1.3.12 Addr 0x38000031 WPC ADC Data 0 High - WPC_ADC_DATA0H</t>
  </si>
  <si>
    <t>ADC_DATA0[11:8]</t>
  </si>
  <si>
    <t>1.3.13 Addr 0x38000032 WPC ADC Data 1 Low - WPC_ADC_DATA1L</t>
  </si>
  <si>
    <t>ADC_DATA1[7:0]</t>
  </si>
  <si>
    <t>1.3.14 Addr 0x38000033 WPC ADC Data 1 High - WPC_ADC_DATA1H</t>
  </si>
  <si>
    <t>ADC_DATA1[11:8]</t>
  </si>
  <si>
    <t>1.3.15 Addr 0x38000034 WPC ADC Data 2 Low - WPC_ADC_DATA2L</t>
  </si>
  <si>
    <t>ADC_DATA2[7:0]</t>
  </si>
  <si>
    <t>1.3.16 Addr 0x38000035 WPC ADC Data 2 High - WPC_ADC_DATA2H</t>
  </si>
  <si>
    <t>ADC_DATA2[11:8]</t>
  </si>
  <si>
    <t>1.3.17 Addr 0x38000036 WPC ADC Data 3 Low - WPC_ADC_DATA3L</t>
  </si>
  <si>
    <t>ADC_DATA3[7:0]</t>
  </si>
  <si>
    <t>1.3.18 Addr 0x38000037 WPC ADC Data 3 High - WPC_ADC_DATA3H</t>
  </si>
  <si>
    <t>ADC_DATA3[11:8]</t>
  </si>
  <si>
    <t>1.3.19 Addr 0x38000038 WPC ADC Data 4 Low - WPC_ADC_DATA4L</t>
  </si>
  <si>
    <t>ADC_DATA4[7:0]</t>
  </si>
  <si>
    <t>1.3.20 Addr 0x38000039 WPC ADC Data 4 High - WPC_ADC_DATA4H</t>
  </si>
  <si>
    <t>ADC_DATA4[11:8]</t>
  </si>
  <si>
    <t>1.3.21 Addr 0x3800003A WPC ADC Data 5 Low - WPC_ADC_DATA5L</t>
  </si>
  <si>
    <t>ADC_DATA5[7:0]</t>
  </si>
  <si>
    <t>1.3.22 Addr 0x3800003B WPC ADC Data 5 High - WPC_ADC_DATA5H</t>
  </si>
  <si>
    <t>ADC_DATA5[11:8]</t>
  </si>
  <si>
    <t>1.3.23 Addr 0x3800003C WPC ADC Data 6 Low - WPC_ADC_DATA6L</t>
  </si>
  <si>
    <t>ADC_DATA6[7:0]</t>
  </si>
  <si>
    <t>1.3.24 Addr 0x3800003D WPC ADC Data 6 High - WPC_ADC_DATA6H</t>
  </si>
  <si>
    <t>ADC_DATA6[11:8]</t>
  </si>
  <si>
    <t>1.3.25 Addr 0x3800003E WPC ADC Data 7 Low - WPC_ADC_DATA7L</t>
  </si>
  <si>
    <t>ADC_DATA7[7:0]</t>
  </si>
  <si>
    <t>1.3.26 Addr 0x3800003F WPC ADC Data 7 High - WPC_ADC_DATA7H</t>
  </si>
  <si>
    <t>ADC_DATA7[11:8]</t>
  </si>
  <si>
    <t>1.3.27 Addr 0x38000040 WPC ADC Data 8 Low - WPC_ADC_DATA8L</t>
  </si>
  <si>
    <t>1.3.28 Addr 0x38000041 WPC ADC Data 8 High - WPC_ADC_DATA8H</t>
  </si>
  <si>
    <t>1.3.29 Addr 0x38000042 WPC ADC Data 9 Low - WPC_ADC_DATA9L</t>
  </si>
  <si>
    <t>1.3.30 Addr 0x38000043 WPC ADC Data 9 High - WPC_ADC_DATA9H</t>
  </si>
  <si>
    <t>1.3.31 Addr 0x38000044 WPC ADC Data 10 Low - WPC_ADC_DATA10L</t>
  </si>
  <si>
    <t>1.3.32 Addr 0x38000045 WPC ADC Data 10 High - WPC_ADC_DATA10H</t>
  </si>
  <si>
    <t>1.3.33 Addr 0x38000046 WPC ADC Data 11 Low - WPC_ADC_DATA11L</t>
  </si>
  <si>
    <t>1.3.34 Addr 0x38000047 WPC ADC Data 11 High - WPC_ADC_DATA11H</t>
  </si>
  <si>
    <t>1’h01</t>
  </si>
  <si>
    <t>1’h00</t>
  </si>
  <si>
    <t>1.4.10 Addr 0x3800005C WPC Analog PUC 0</t>
  </si>
  <si>
    <t>1.4.11 Addr 0x3800005D WPC Analog PUC 1</t>
  </si>
  <si>
    <t>TRIM_BIAS[3:0]</t>
  </si>
  <si>
    <t>1.4.12 Addr 0x3800005E WPC Analog PUC 2</t>
  </si>
  <si>
    <t>TRIM_RCOSC_I[3:0]</t>
  </si>
  <si>
    <t>1.4.13 Addr 0x3800005F WPC Analog PUC 3</t>
  </si>
  <si>
    <t>1.5.1 Addr 0x38000060 WPC Analog MLDO 0</t>
  </si>
  <si>
    <t>TRIM_RFEED[3:0]</t>
  </si>
  <si>
    <t>SOFT_WDT</t>
  </si>
  <si>
    <t>OCL_PEN</t>
  </si>
  <si>
    <t>ISEN_PEN</t>
  </si>
  <si>
    <t>PEN_MLDO</t>
  </si>
  <si>
    <t>Enable the MLDO
- 0 : Disable,    - 1 : Enable</t>
  </si>
  <si>
    <t>Enable the current sensor
- 0 : Disable,    - 1 : Enable</t>
  </si>
  <si>
    <t>Enable the current limit
- 0 : Disable,    - 1 : Enable</t>
  </si>
  <si>
    <t>Watchdog time for soft start end</t>
  </si>
  <si>
    <t>Voltage feedback resistor trimming</t>
  </si>
  <si>
    <t>1’h08</t>
  </si>
  <si>
    <t>1.5.2 Addr 0x38000061 WPC Analog MLDO 1</t>
  </si>
  <si>
    <t>MLDO_VG_SOURCE[1:0]</t>
  </si>
  <si>
    <t>MLDO_VG_SINK[1:0]</t>
  </si>
  <si>
    <t xml:space="preserve">The gate source current of path TR trimming </t>
  </si>
  <si>
    <t>1.5.3 Addr 0x38000062 WPC Analog MLDO 2</t>
  </si>
  <si>
    <t xml:space="preserve">Set the output voltage of MLDO
- 5V: 001 1001 0100
- 9V: 011 1101 1000
- 12V: 101 1000 1001
- 15V: 111 0011 1011 </t>
  </si>
  <si>
    <t>8’h94</t>
  </si>
  <si>
    <t>1.5.4 Addr 0x38000063 WPC Analog MLDO 3</t>
  </si>
  <si>
    <t>1.5.5 Addr 0x38000064 WPC Analog MLDO 4</t>
  </si>
  <si>
    <t>LIT_MODE_CONT[3:0]</t>
  </si>
  <si>
    <t>LIT_MODE_TRIM[2:0]</t>
  </si>
  <si>
    <t>LIT_MODE</t>
  </si>
  <si>
    <t>Enable the LIT_MODE
- 0 : Disable,    - 1 : Enable</t>
  </si>
  <si>
    <t>LIT_MODE current trimming</t>
  </si>
  <si>
    <t>Dummy load current step
R1C: 0=3.7mA, 4=6.2mA, 7=12.3mA</t>
  </si>
  <si>
    <t>3’h03</t>
  </si>
  <si>
    <t>LIT_MODE current setting
 0 : 0 mA, 1 : 25 mA, 3 : 50 mA, 5 : 75 mA
 8 : 100 mA, 9 : 125 mA, 11 : 150 mA, 13 : 175 mA, 15 : 200 mA</t>
  </si>
  <si>
    <t>R1B : b0=25mA, b1=25mA, b2=50mA, b3=100mA
R1C: b0=10mA, b1=20mA, b2=40mA, b3=80mA (LIT_MODE_TRIM[2:0] = 6)</t>
  </si>
  <si>
    <t>4’h00</t>
  </si>
  <si>
    <t>1.5.6 Addr 0x38000065 WPC Analog MLDO 5</t>
  </si>
  <si>
    <t>ISEN_OUT_TRIM[6:0]</t>
  </si>
  <si>
    <t>Output of the current sensor trimming</t>
  </si>
  <si>
    <t>7’h02</t>
  </si>
  <si>
    <t>1.5.7 Addr 0x38000066 WPC Analog MLDO 6</t>
  </si>
  <si>
    <t>6’h20</t>
  </si>
  <si>
    <t>1.5.8 Addr 0x38000067 WPC Analog MLDO 7</t>
  </si>
  <si>
    <t>1.5.9 Addr 0x38000068 WPC Analog MLDO 8</t>
  </si>
  <si>
    <t>ISEN2_PEN</t>
  </si>
  <si>
    <t>Enable the resistor type current sensor
- 0 : Disable,    - 1 : Enable</t>
  </si>
  <si>
    <t>1.5.10 Addr 0x38000069 WPC Analog MLDO 9</t>
  </si>
  <si>
    <t>1.5.11 Addr 0x3800006A WPC Analog MLDO 10</t>
  </si>
  <si>
    <t>1.6.1 Addr 0x3800006C WPC Analog MADC 0</t>
  </si>
  <si>
    <t>1.6.2 Addr 0x3800006D WPC Analog MADC 1</t>
  </si>
  <si>
    <t>MDC_ADC_CM[3:0]</t>
  </si>
  <si>
    <t>1.6.3 Addr 0x3800006E WPC Analog MADC 2</t>
  </si>
  <si>
    <t>MADC_PEN</t>
  </si>
  <si>
    <t>MDC_ADC_TESTI</t>
  </si>
  <si>
    <t>MDC_ADC_REF_BC[1:0]</t>
  </si>
  <si>
    <t>MDC_ADC_CMP[2:0]</t>
  </si>
  <si>
    <t>OVP threshold</t>
  </si>
  <si>
    <t>0=14V, 7=21V, step is 1V</t>
  </si>
  <si>
    <t>OVP recover threshold</t>
  </si>
  <si>
    <t>0=12V, 7=19V, step is 1V</t>
  </si>
  <si>
    <t>1.8.1 Addr 0x38000074 WPC Analog DIG test 0</t>
  </si>
  <si>
    <t>DIG_TEST_CFG0</t>
  </si>
  <si>
    <t>DIG_TEST_PWM0[1:0]</t>
  </si>
  <si>
    <t>DIG_TEST_SEL0[4:0]</t>
  </si>
  <si>
    <t>1.8.2 Addr 0x38000075 WPC Analog DIG test 1</t>
  </si>
  <si>
    <t>DIG_TEST_CFG1</t>
  </si>
  <si>
    <t>DIG_TEST_PWM1[1:0]</t>
  </si>
  <si>
    <t>DIG_TEST_SEL1[4:0]</t>
  </si>
  <si>
    <t>1.8.3 Addr 0x38000076 WPC Analog DIG test 2</t>
  </si>
  <si>
    <t>DIG_TEST_CFG2</t>
  </si>
  <si>
    <t>DIG_TEST_PWM2[1:0]</t>
  </si>
  <si>
    <t>DIG_TEST_SEL2[4:0]</t>
  </si>
  <si>
    <t>1.8.4 Addr 0x38000077 WPC Analog DIG test 3</t>
  </si>
  <si>
    <t>DIG_TEST_CFG3</t>
  </si>
  <si>
    <t>DIG_TEST_PWM3[1:0]</t>
  </si>
  <si>
    <t>DIG_TEST_SEL3[4:0]</t>
  </si>
  <si>
    <t>DIG_TEST_SEL?</t>
  </si>
  <si>
    <t>Digital Test Output Selection</t>
  </si>
  <si>
    <t>6'b000000</t>
  </si>
  <si>
    <t>ADC_COMP</t>
  </si>
  <si>
    <t>6'b000001</t>
  </si>
  <si>
    <t>ADC_SAM</t>
  </si>
  <si>
    <t>6'b000010</t>
  </si>
  <si>
    <t>ADC_CCLK</t>
  </si>
  <si>
    <t>6'b000011</t>
  </si>
  <si>
    <t>ADC_DOUT[11]</t>
  </si>
  <si>
    <t>6'b000100</t>
  </si>
  <si>
    <t>ADC_DOUT[0]</t>
  </si>
  <si>
    <t>6'b000101</t>
  </si>
  <si>
    <t>OTP_CS</t>
  </si>
  <si>
    <t>6'b000110</t>
  </si>
  <si>
    <t>OTP_PROG</t>
  </si>
  <si>
    <t>6'b000111</t>
  </si>
  <si>
    <t>OTP_READ</t>
  </si>
  <si>
    <t>6'b001000</t>
  </si>
  <si>
    <t>6'b001001</t>
  </si>
  <si>
    <t>CAL_IS_OUT</t>
  </si>
  <si>
    <t>6'b010000</t>
  </si>
  <si>
    <t>PA_D_G1H</t>
  </si>
  <si>
    <t>6'b010001</t>
  </si>
  <si>
    <t>PA_D_G1L</t>
  </si>
  <si>
    <t>6'b010010</t>
  </si>
  <si>
    <t>PA_D_G2H</t>
  </si>
  <si>
    <t>6'b010011</t>
  </si>
  <si>
    <t>PA_D_G2L</t>
  </si>
  <si>
    <t>6'b010100</t>
  </si>
  <si>
    <t>VDEM_SIG</t>
  </si>
  <si>
    <t>6'b010101</t>
  </si>
  <si>
    <t>IDEM_SIG</t>
  </si>
  <si>
    <t>6'b010110</t>
  </si>
  <si>
    <t>LPF_VALID</t>
  </si>
  <si>
    <t>6'b010111</t>
  </si>
  <si>
    <t>LPF_DATA</t>
  </si>
  <si>
    <t>6'b011000</t>
  </si>
  <si>
    <t>BMC_VALID</t>
  </si>
  <si>
    <t>6'b011001</t>
  </si>
  <si>
    <t>BMC_DATA</t>
  </si>
  <si>
    <t>6'b011010</t>
  </si>
  <si>
    <t>BMC_ERR</t>
  </si>
  <si>
    <t>6'b100000</t>
  </si>
  <si>
    <t>TEST_DIG_IN[0]</t>
  </si>
  <si>
    <t>6'b100001</t>
  </si>
  <si>
    <t>TEST_DIG_IN[1]</t>
  </si>
  <si>
    <t>6'b100010</t>
  </si>
  <si>
    <t>TEST_DIG_IN[2]</t>
  </si>
  <si>
    <t>6'b100011</t>
  </si>
  <si>
    <t>TEST_DIG_IN[3]</t>
  </si>
  <si>
    <t>6'b100100</t>
  </si>
  <si>
    <t>TEST_DIG_IN[4]</t>
  </si>
  <si>
    <t>6'b100101</t>
  </si>
  <si>
    <t>TEST_DIG_IN[5]</t>
  </si>
  <si>
    <t>6'b100110</t>
  </si>
  <si>
    <t>TEST_DIG_IN[6]</t>
  </si>
  <si>
    <t>6'b100111</t>
  </si>
  <si>
    <t>TEST_DIG_IN[7]</t>
  </si>
  <si>
    <t>1.8.5 Addr 0x38000078 WPC Analog Test Control - WPC_TEST_ANA</t>
  </si>
  <si>
    <t>Enable the analog test port
- 0 : Disable,    - 1 : Enable</t>
  </si>
  <si>
    <t>Analog Test output selection</t>
  </si>
  <si>
    <t>RSVD_CTRL[7:0]</t>
  </si>
  <si>
    <t>2.1.1 Addr 0x500E0000 WPT Interrupt Enable 0 - WPT_INTR_EN0</t>
  </si>
  <si>
    <t>RESP_ERR</t>
  </si>
  <si>
    <t>RESP_ACK</t>
  </si>
  <si>
    <t>RESP_NAK</t>
  </si>
  <si>
    <t>RESP_ND</t>
  </si>
  <si>
    <t>CHECKSUM_ERR</t>
  </si>
  <si>
    <t>FORMAT_ERR</t>
  </si>
  <si>
    <t>PARITY_ERR</t>
  </si>
  <si>
    <t>DATA_ACK</t>
  </si>
  <si>
    <t>2.1.2 Addr 0x500E0001 WPT Interrupt Enable 1 - WPT_INTR_EN1</t>
  </si>
  <si>
    <t>INTR_EN_ENC[2:0]</t>
  </si>
  <si>
    <t>TIMEOUT</t>
  </si>
  <si>
    <t>2.1.3 Addr 0x500E0004 WPT Interrupt Status 0 - WPT_INTR_STATUS0</t>
  </si>
  <si>
    <t>Data Packet Received</t>
  </si>
  <si>
    <t>Data packet is received successfully</t>
  </si>
  <si>
    <t>Data Packet Parity Error</t>
  </si>
  <si>
    <t>Parity error occurred while receiving FSK data packet</t>
  </si>
  <si>
    <t>Data Packet Format Error</t>
  </si>
  <si>
    <t>Format error occurred while receiving FSK data packet</t>
  </si>
  <si>
    <t>Data Packet Checksum Error</t>
  </si>
  <si>
    <t>Checksum error occurred while receiving FSK data packet</t>
  </si>
  <si>
    <t>ND Response Packet</t>
  </si>
  <si>
    <t>ND response packet is received successfully</t>
  </si>
  <si>
    <t>NAK Response Packet</t>
  </si>
  <si>
    <t>NAK response packet is received successfully</t>
  </si>
  <si>
    <t>ACK Response Packet</t>
  </si>
  <si>
    <t>ACK response packet is received successfully</t>
  </si>
  <si>
    <t>Response Packet Error</t>
  </si>
  <si>
    <t>Error occurred while receiving FSK response packet</t>
  </si>
  <si>
    <t>2.1.4 Addr 0x500E0005 WPT Interrupt Status 1 - WPT_INTR_STATUS1</t>
  </si>
  <si>
    <t>INTR_EN_ENC[1:0]</t>
  </si>
  <si>
    <t>Decoding Timeout</t>
  </si>
  <si>
    <t>Time-out occurred (No packet is received)</t>
  </si>
  <si>
    <t>INTR_EN_ENC[0]</t>
  </si>
  <si>
    <t>Interrupt Enable for ENC_CMD[0]</t>
  </si>
  <si>
    <t>ASK Packet is sent successfully</t>
  </si>
  <si>
    <t>INTR_EN_ENC[1]</t>
  </si>
  <si>
    <t>Interrupt Enable for ENC_CMD[1]</t>
  </si>
  <si>
    <t>ASK Packet is sent successfully by timer1 expiration</t>
  </si>
  <si>
    <t>2.2.1 Addr 0x500E0010 WPT ASK Encoder Command - WPT_ENC_CMD</t>
  </si>
  <si>
    <t>ENC_CMD[1:0]</t>
  </si>
  <si>
    <t>ENC_CMD[0]</t>
  </si>
  <si>
    <t>Send Packet Immeidately</t>
  </si>
  <si>
    <t>Send packet immediately. This bit is automatically reset to 0 when packet is sent.</t>
  </si>
  <si>
    <t>ENC_CMD[1]</t>
  </si>
  <si>
    <t>Send Packet Whenever Timer1 Exipres</t>
  </si>
  <si>
    <t>Send packet whenever timer1 expires, until this bit is reset to 1'b0</t>
  </si>
  <si>
    <t>2.2.2 Addr 0x500E0014 WPT ASK Encoder Configuration 0 - WPT_ENC_CFG0</t>
  </si>
  <si>
    <t>COMM_250US_WIDTH[7:0]</t>
  </si>
  <si>
    <t>2.2.3 Addr 0x500E0015 WPT ASK Encoder Configuration 1 - WPT_ENC_CFG1</t>
  </si>
  <si>
    <t>COMM_250US_WIDTH[15:8]</t>
  </si>
  <si>
    <t>COMM_250US_WIDTH</t>
  </si>
  <si>
    <t>250us Width for 2kHz ASK Generation</t>
  </si>
  <si>
    <t>16’d3749</t>
  </si>
  <si>
    <t>(15MHz / 4kHz) - 1 = 3750 - 1 = 3749</t>
  </si>
  <si>
    <t>16'h0EA5</t>
  </si>
  <si>
    <t>2.2.4 Addr 0x500E0018 WPT ASK Encoder Packet Configuration - WPT_ENC_PKT_SIZE</t>
  </si>
  <si>
    <t>ENC_PKT_SIZE[4:0]</t>
  </si>
  <si>
    <t>ENC_PKT_SIZE</t>
  </si>
  <si>
    <t>Packet Size to Send</t>
  </si>
  <si>
    <t>Packet payload size in bytes</t>
  </si>
  <si>
    <t>5'd0</t>
  </si>
  <si>
    <t>2.2.5 Addr 0x500E001C WPT ASK Encoder Packet Header - WPT_ENC_PKT_HDR</t>
  </si>
  <si>
    <t>ENC_PKT_HDR[7:0]</t>
  </si>
  <si>
    <t>ENC_PKT_HDR</t>
  </si>
  <si>
    <t>Data Packet Header</t>
  </si>
  <si>
    <t>Packet header</t>
  </si>
  <si>
    <t>8'd0</t>
  </si>
  <si>
    <t>2.2.6 Addr 0x500E0020 WPT ASK Encoder Packet Data 0 - WPT_ENC_PKT_DATA0</t>
  </si>
  <si>
    <t>ENC_PKT_DATA0[7:0]</t>
  </si>
  <si>
    <t>2.2.7 Addr 0x500E0021 WPT ASK Encoder Packet Data 1 - WPT_ENC_PKT_DATA1</t>
  </si>
  <si>
    <t>ENC_PKT_DATA1[7:0]</t>
  </si>
  <si>
    <t>2.2.8 Addr 0x500E0022 WPT ASK Encoder Packet Data 2 - WPT_ENC_PKT_DATA2</t>
  </si>
  <si>
    <t>ENC_PKT_DATA2[7:0]</t>
  </si>
  <si>
    <t>2.2.9 Addr 0x500E0023 WPT ASK Encoder Packet Data 3 - WPT_ENC_PKT_DATA3</t>
  </si>
  <si>
    <t>ENC_PKT_DATA3[7:0]</t>
  </si>
  <si>
    <t>2.2.10 Addr 0x500E0024 WPT ASK Encoder Packet Data 4 - WPT_ENC_PKT_DATA4</t>
  </si>
  <si>
    <t>ENC_PKT_DATA4[7:0]</t>
  </si>
  <si>
    <t>2.2.11 Addr 0x500E0025 WPT ASK Encoder Packet Data 5 - WPT_ENC_PKT_DATA5</t>
  </si>
  <si>
    <t>ENC_PKT_DATA5[7:0]</t>
  </si>
  <si>
    <t>2.2.12 Addr 0x500E0026 WPT ASK Encoder Packet Data 6 - WPT_ENC_PKT_DATA6</t>
  </si>
  <si>
    <t>ENC_PKT_DATA6[7:0]</t>
  </si>
  <si>
    <t>2.2.13 Addr 0x500E0027 WPT ASK Encoder Packet Data 7 - WPT_ENC_PKT_DATA7</t>
  </si>
  <si>
    <t>ENC_PKT_DATA7[7:0]</t>
  </si>
  <si>
    <t>2.2.14 Addr 0x500E0028 WPT ASK Encoder Packet Data 8 - WPT_ENC_PKT_DATA8</t>
  </si>
  <si>
    <t>ENC_PKT_DATA8[7:0]</t>
  </si>
  <si>
    <t>2.2.15 Addr 0x500E0029 WPT ASK Encoder Packet Data 9 - WPT_ENC_PKT_DATA9</t>
  </si>
  <si>
    <t>ENC_PKT_DATA9[7:0]</t>
  </si>
  <si>
    <t>2.2.16 Addr 0x500E002A WPT ASK Encoder Packet Data 10 - WPT_ENC_PKT_DATA10</t>
  </si>
  <si>
    <t>ENC_PKT_DATA10[7:0]</t>
  </si>
  <si>
    <t>2.2.17 Addr 0x500E002B WPT ASK Encoder Packet Data 11 - WPT_ENC_PKT_DATA11</t>
  </si>
  <si>
    <t>ENC_PKT_DATA11[7:0]</t>
  </si>
  <si>
    <t>2.2.18 Addr 0x500E002C WPT ASK Encoder Packet Data 12 - WPT_ENC_PKT_DATA12</t>
  </si>
  <si>
    <t>ENC_PKT_DATA12[7:0]</t>
  </si>
  <si>
    <t>2.2.19 Addr 0x500E002D WPT ASK Encoder Packet Data 13 - WPT_ENC_PKT_DATA13</t>
  </si>
  <si>
    <t>ENC_PKT_DATA13[7:0]</t>
  </si>
  <si>
    <t>2.2.20 Addr 0x500E002E WPT ASK Encoder Packet Data 14 - WPT_ENC_PKT_DATA14</t>
  </si>
  <si>
    <t>ENC_PKT_DATA14[7:0]</t>
  </si>
  <si>
    <t>2.2.21 Addr 0x500E002F WPT ASK Encoder Packet Data 15 - WPT_ENC_PKT_DATA15</t>
  </si>
  <si>
    <t>ENC_PKT_DATA15[7:0]</t>
  </si>
  <si>
    <t>2.2.22 Addr 0x500E0030 WPT ASK Encoder Packet Data 16 - WPT_ENC_PKT_DATA16</t>
  </si>
  <si>
    <t>ENC_PKT_DATA16[7:0]</t>
  </si>
  <si>
    <t>2.2.23 Addr 0x500E0031 WPT ASK Encoder Packet Data 17 - WPT_ENC_PKT_DATA17</t>
  </si>
  <si>
    <t>ENC_PKT_DATA17[7:0]</t>
  </si>
  <si>
    <t>2.2.24 Addr 0x500E0032 WPT ASK Encoder Packet Data 18 - WPT_ENC_PKT_DATA18</t>
  </si>
  <si>
    <t>ENC_PKT_DATA18[7:0]</t>
  </si>
  <si>
    <t>2.2.25 Addr 0x500E0033 WPT ASK Encoder Packet Data 19 - WPT_ENC_PKT_DATA19</t>
  </si>
  <si>
    <t>ENC_PKT_DATA19[7:0]</t>
  </si>
  <si>
    <t>2.3.1 Addr 0x500E0040 WPT FSK Decoder Command - WPT_DEC_CMD</t>
  </si>
  <si>
    <t>DEC_CMD[1:0]</t>
  </si>
  <si>
    <t>DEC_CMD[0]</t>
  </si>
  <si>
    <t>Response Packet Decoding Start</t>
  </si>
  <si>
    <t>DEC_CMD[1]</t>
  </si>
  <si>
    <t>Data Packet Decoding Start</t>
  </si>
  <si>
    <t>2.3.3 Addr 0x500E0044 WPT FSK Decoder Configuration 0 - WPT_DEC_CFG0</t>
  </si>
  <si>
    <t>DEC_PKT_TIMEOUT[7:0]</t>
  </si>
  <si>
    <t>DEC_PKT_TIMEOUT</t>
  </si>
  <si>
    <t>Decoding Packet Time-out</t>
  </si>
  <si>
    <t>2.3.4 Addr 0x500E0045 WPT FSK Decoder Configuration 1 - WPT_DEC_CFG1</t>
  </si>
  <si>
    <t>DET_TH[7:0]</t>
  </si>
  <si>
    <t>BMC Edge Detection Threshold</t>
  </si>
  <si>
    <t>8'd32</t>
  </si>
  <si>
    <t>2.3.5 Addr 0x500E0046 WPT FSK Decoder Configuration 2 - WPT_DEC_CFG2</t>
  </si>
  <si>
    <t>WC_CFG[1:0]</t>
  </si>
  <si>
    <t>WC_CFG[1::0]</t>
  </si>
  <si>
    <t>Word Count Configuration</t>
  </si>
  <si>
    <t>2'b0</t>
  </si>
  <si>
    <t>2.3.6 Addr 0x500E0048 WPT FSK Decoder Size - WPT_DEC_SIZE</t>
  </si>
  <si>
    <t>DEC_PKT_SIZE[3:0]</t>
  </si>
  <si>
    <t>DEC_PKT_SIZE</t>
  </si>
  <si>
    <t>Received Data Packet Size</t>
  </si>
  <si>
    <t>Received data packet size in bytes</t>
  </si>
  <si>
    <t>4'd0</t>
  </si>
  <si>
    <t>2.3.7 Addr 0x500E004C WPT FSK Decoder Header - WPT_DEC_HDR</t>
  </si>
  <si>
    <t>DEC_PKT_HDR[7:0]</t>
  </si>
  <si>
    <t>DEC_PKT_HDR</t>
  </si>
  <si>
    <t>Recived Data Packet Header</t>
  </si>
  <si>
    <t>Received data packet header</t>
  </si>
  <si>
    <t>2.3.8 Addr 0x500E0050 WPT FSK Decoder Data 0 - WPT_DEC_DATA0</t>
  </si>
  <si>
    <t>DEC_PKT_DATA0[7:0]</t>
  </si>
  <si>
    <t>2.3.9 Addr 0x500E0051 WPT FSK Decoder Data 1 - WPT_DEC_DATA1</t>
  </si>
  <si>
    <t>DEC_PKT_DATA1[7:0]</t>
  </si>
  <si>
    <t>2.3.10 Addr 0x500E0052 WPT FSK Decoder Data 2 - WPT_DEC_DATA2</t>
  </si>
  <si>
    <t>DEC_PKT_DATA2[7:0]</t>
  </si>
  <si>
    <t>2.3.11 Addr 0x500E0053 WPT FSK Decoder Data 3 - WPT_DEC_DATA3</t>
  </si>
  <si>
    <t>DEC_PKT_DATA3[7:0]</t>
  </si>
  <si>
    <t>2.3.12 Addr 0x500E0054 WPT FSK Decoder Data 4 - WPT_DEC_DATA4</t>
  </si>
  <si>
    <t>DEC_PKT_DATA4[7:0]</t>
  </si>
  <si>
    <t>2.3.13 Addr 0x500E0055 WPT FSK Decoder Data 5 - WPT_DEC_DATA5</t>
  </si>
  <si>
    <t>DEC_PKT_DATA5[7:0]</t>
  </si>
  <si>
    <t>2.3.14 Addr 0x500E0056 WPT FSK Decoder Data 6 - WPT_DEC_DATA6</t>
  </si>
  <si>
    <t>DEC_PKT_DATA6[7:0]</t>
  </si>
  <si>
    <t>2.3.15 Addr 0x500E0057 WPT FSK Decoder Data 7 - WPT_DEC_DATA7</t>
  </si>
  <si>
    <t>DEC_PKT_DATA7[7:0]</t>
  </si>
  <si>
    <t>2.3.16 Addr 0x500E0058 WPT FSK Decoder Data 8 - WPT_DEC_DATA8</t>
  </si>
  <si>
    <t>DEC_PKT_DATA8[7:0]</t>
  </si>
  <si>
    <t>2.3.17 Addr 0x500E0059 WPT FSK Decoder Data 9 - WPT_DEC_DATA9</t>
  </si>
  <si>
    <t>DEC_PKT_DATA9[7:0]</t>
  </si>
  <si>
    <t>2.3.18 Addr 0x500E005A WPT FSK Decoder Data 10 - WPT_DEC_DATA10</t>
  </si>
  <si>
    <t>DEC_PKT_DATA10[7:0]</t>
  </si>
  <si>
    <t>2.3.19 Addr 0x500E005B WPT FSK Decoder Data 11 - WPT_DEC_DATA11</t>
  </si>
  <si>
    <t>DEC_PKT_DATA11[7:0]</t>
  </si>
  <si>
    <t>2.3.20 Addr 0x500E0060 WPT FSK Decoder AC_CNT Update - WPT_DEC_AC_UPDATE</t>
  </si>
  <si>
    <t>AC_UPDATE</t>
  </si>
  <si>
    <t>2.3.21 Addr 0x500E0061 WPT FSK Decoder AC_CNT Configuraion - WPT_DEC_AC_CFG</t>
  </si>
  <si>
    <t>AC_CFG[1:0]</t>
  </si>
  <si>
    <t>2.3.22 Addr 0x500E0062 WPT FSK Decoder AC_CNT Configuraion - WPT_DEC_AC_FLT_CFG</t>
  </si>
  <si>
    <t>AC_FLT_CFG[3:0]</t>
  </si>
  <si>
    <t>2.3.23 Addr 0x500E0064 WPT FSK Decoder AC_CNT Counter 0 - WPT_DEC_AC_CNT0</t>
  </si>
  <si>
    <t>AC_CNT[7:0]</t>
  </si>
  <si>
    <t>2.3.24 Addr 0x500E0065 WPT FSK Decoder AC_CNT Counter 1 - WPT_DEC_AC_CNT1</t>
  </si>
  <si>
    <t>AC_CNT[15:8]</t>
  </si>
  <si>
    <t>2.3.25 Addr 0x500E0066 WPT FSK Decoder TR_CNT Counter - WPT_DEC_TR_CNT</t>
  </si>
  <si>
    <t>TR_CNT[7:0]</t>
  </si>
  <si>
    <t>3.1.1 Addr 0x50100000 OSC config 0</t>
  </si>
  <si>
    <t>OSC_VAL[7:0]</t>
  </si>
  <si>
    <t>3.1.2 Addr 0x50100001 OSC config 1</t>
  </si>
  <si>
    <t>OSC_FVAL[3:0]</t>
  </si>
  <si>
    <t>3.1.3 Addr 0x50100002 OSC config 2</t>
  </si>
  <si>
    <t>OSC_FSEL</t>
  </si>
  <si>
    <t>3.1.4 Addr 0x50100003 OSC config 3</t>
  </si>
  <si>
    <t>OSC_DIV_ON</t>
  </si>
  <si>
    <t>3.1.5 Addr 0x50100004 OSC config 4</t>
  </si>
  <si>
    <t>OSC_FORCE_ON</t>
  </si>
  <si>
    <t>3.1.6 Addr 0x50100005 OSC config 5</t>
  </si>
  <si>
    <t>OSC_OFF</t>
  </si>
  <si>
    <t>3.1.7 Addr 0x50100006 OSC config 6</t>
  </si>
  <si>
    <t>OSC_OUT_EN[7:0]</t>
  </si>
  <si>
    <t>3.1.8 Addr 0x50100007 OSC config 7</t>
  </si>
  <si>
    <t>OSC_OUT_DIV[7:0]</t>
  </si>
  <si>
    <t>3.2.0 Addr 0x50100008 OSC 1M config 0</t>
  </si>
  <si>
    <t>OSC_1M_VAL[7:0]</t>
  </si>
  <si>
    <t>3.2.1 Addr 0x50100009 OSC 1M config 1</t>
  </si>
  <si>
    <t>OSC_1M_EN</t>
  </si>
  <si>
    <t>3.2.2 Addr 0x5010000A OSC 1M config 2</t>
  </si>
  <si>
    <t>OSC_1M_DIV</t>
  </si>
  <si>
    <t>3.2.3 Addr 0x5010000B OSC 1M config 3</t>
  </si>
  <si>
    <t>OSC_1M_LPM_EN</t>
  </si>
  <si>
    <t>3.3.0 Addr 0x5010000C Main clock config 0</t>
  </si>
  <si>
    <t>MCLK_DIV[7:0]</t>
  </si>
  <si>
    <t>3.3.1 Addr 0x5010000D Main clock config 1</t>
  </si>
  <si>
    <t>MCLK_SEL[7:0]</t>
  </si>
  <si>
    <t>3.3.2 Addr 0x5010000E Main clock config 2</t>
  </si>
  <si>
    <t>MCLK_STATUS[7:0]</t>
  </si>
  <si>
    <t>3.4.0 Addr 0x50100010 Timer clock config 0</t>
  </si>
  <si>
    <t>TIMER_CLK_EN[7:0]</t>
  </si>
  <si>
    <t>3.4.1 Addr 0x50100011 Timer clock config 1</t>
  </si>
  <si>
    <t>TIMER_CLK_SEL[7:0]</t>
  </si>
  <si>
    <t>3.4.2 Addr 0x50100012 Main clock config 3</t>
  </si>
  <si>
    <t>TIMER_CLK_DIV[7:0]</t>
  </si>
  <si>
    <t>3.5.0 Addr 0x50100014 WPT_CLK config 0</t>
  </si>
  <si>
    <t>WPT_CLK_DIV[7:0]</t>
  </si>
  <si>
    <t>3.5.1 Addr 0x50100015 WPT_CLK config 1</t>
  </si>
  <si>
    <t>WPT_CLK_EN[7:0]</t>
  </si>
  <si>
    <t>3.6.0 Addr 0x50100018 WPC_CLK config 0</t>
  </si>
  <si>
    <t>WPC_CLK_DIV[7:0]</t>
  </si>
  <si>
    <t>3.6.1 Addr 0x50100019 WPC_CLK config 1</t>
  </si>
  <si>
    <t>WPC_CLK_EN[7:0]</t>
  </si>
  <si>
    <t>3.7.0 Addr 0x5010001C SPI_CLK config 0</t>
  </si>
  <si>
    <t>SPI_CLK_DIV[7:0]</t>
  </si>
  <si>
    <t>3.7.1 Addr 0x5010001D SPI_CLK config 1</t>
  </si>
  <si>
    <t>SPI_CLK_EN[7:0]</t>
  </si>
  <si>
    <t>3.8.0 Addr 0x50100020 IO_CLK config 0</t>
  </si>
  <si>
    <t>IO_CLK_DIV[7:0]</t>
  </si>
  <si>
    <t>3.8.1 Addr 0x50100021 IO_CLK config 1</t>
  </si>
  <si>
    <t>IO_CLK_EN[7:0]</t>
  </si>
  <si>
    <t>3.10.0 Addr 0x50100028 Reset config 0</t>
  </si>
  <si>
    <t>LOCKUP_RESET_EN[7:0]</t>
  </si>
  <si>
    <t>3.10.1 Addr 0x50100029 Reset config 1</t>
  </si>
  <si>
    <t>POR33_EN[7:0]</t>
  </si>
  <si>
    <t>3.10.2 Addr 0x5010002A Reset config 2</t>
  </si>
  <si>
    <t>POR33_VAL[7:0]</t>
  </si>
  <si>
    <t>3.11.0 Addr 0x5010002C Lock val config 0</t>
  </si>
  <si>
    <t>LOCK_VAL_SLEEP[7:0]</t>
  </si>
  <si>
    <t>3.11.1 Addr 0x5010002D Lock val config 1</t>
  </si>
  <si>
    <t>LOCK_VAL_SLEEP[15:8]</t>
  </si>
  <si>
    <t>3.12.0 Addr 0x50100030 Flash config 0</t>
  </si>
  <si>
    <t>FLASH_READ_LATENCY[2:0]</t>
  </si>
  <si>
    <t>3.12.1 Addr 0x50100031 Flash config 1</t>
  </si>
  <si>
    <t>FLASH_WRITE_MASK</t>
  </si>
  <si>
    <t>3.12.2 Addr 0x50100032 Flash config 2</t>
  </si>
  <si>
    <t>FLASH_SAVEN</t>
  </si>
  <si>
    <t>3.12.3 Addr 0x50100033 Flash config 3</t>
  </si>
  <si>
    <t>FLASH_POR</t>
  </si>
  <si>
    <t>3.13.0 Addr 0x50100034 JTAG config 0</t>
  </si>
  <si>
    <t>JTAG_EN</t>
  </si>
  <si>
    <t>3.13.1 Addr 0x50100035 JTAG config 1</t>
  </si>
  <si>
    <t>JTAG_SWJ_EN</t>
  </si>
  <si>
    <t>3.14.0 Addr 0x50100038 Block control 0</t>
  </si>
  <si>
    <t>EN_BLOCK[7:0]</t>
  </si>
  <si>
    <t>3.14.1 Addr 0x50100039 Block control 1</t>
  </si>
  <si>
    <t>EN_BLOCK[15:8]</t>
  </si>
  <si>
    <t>3.14.2 Addr 0x5010003A Block control 2</t>
  </si>
  <si>
    <t>RESEL_BLOCK[7:0]</t>
  </si>
  <si>
    <t>3.14.3 Addr 0x5010003B Block control 3</t>
  </si>
  <si>
    <t>RESEL_BLOCK[15:8]</t>
  </si>
  <si>
    <t>3.15.0 Addr 0x5010003C ANA reserved 0</t>
  </si>
  <si>
    <t>LDO_RESERVED[7:0]</t>
  </si>
  <si>
    <t>3.15.1 Addr 0x5010003D ANA reserved 1</t>
  </si>
  <si>
    <t>RX_RESERVED[7:0]</t>
  </si>
  <si>
    <t>3.16.0 Addr 0x50100040 CRC control</t>
  </si>
  <si>
    <t>CRC_START</t>
  </si>
  <si>
    <t>3.16.1 Addr 0x50100044 CRC address 0</t>
  </si>
  <si>
    <t>CRC_ADDRESS[7:0]</t>
  </si>
  <si>
    <t>3.16.2 Addr 0x50100045 CRC address 1</t>
  </si>
  <si>
    <t>CRC_ADDRESS[15:8]</t>
  </si>
  <si>
    <t>3.16.3 Addr 0x50100046 CRC address 2</t>
  </si>
  <si>
    <t>CRC_ADDRESS[17:16]</t>
  </si>
  <si>
    <t>3.16.4 Addr 0x50100048 CRC length 0</t>
  </si>
  <si>
    <t>CRC_LENGTH[7:0]</t>
  </si>
  <si>
    <t>3.16.5 Addr 0x50100049 CRC length 1</t>
  </si>
  <si>
    <t>CRC_LENGTH[15:8]</t>
  </si>
  <si>
    <t>3.16.6 Addr 0x5010004A CRC length 2</t>
  </si>
  <si>
    <t>CRC_LENGTH[17:16]</t>
  </si>
  <si>
    <t>3.16.7 Addr 0x5010004C CRC seed 0</t>
  </si>
  <si>
    <t>CRC_SEED[7:0]</t>
  </si>
  <si>
    <t>3.16.8 Addr 0x5010004D CRC seed 1</t>
  </si>
  <si>
    <t>CRC_SEED[15:8]</t>
  </si>
  <si>
    <t>3.16.9 Addr 0x50100050 CRC result 0</t>
  </si>
  <si>
    <t>CRC_RESULT[7:0]</t>
  </si>
  <si>
    <t>3.16.10 Addr 0x50100051 CRC result 1</t>
  </si>
  <si>
    <t>CRC_RESULT[15:8]</t>
  </si>
  <si>
    <t>3.16.11 Addr 0x50100052 CRC result 2</t>
  </si>
  <si>
    <t>CRC_DONE</t>
  </si>
  <si>
    <t>3.17.0 Addr 0x50100060 Dither control 0</t>
  </si>
  <si>
    <t>DITHER_ON[7:0]</t>
  </si>
  <si>
    <t>3.17.1 Addr 0x50100061 Dither control 1</t>
  </si>
  <si>
    <t>DITHER_PERIOD[7:0]</t>
  </si>
  <si>
    <t>3.17.2 Addr 0x50100064 Dither control 2</t>
  </si>
  <si>
    <t>DITHER_VAL[7:0]</t>
  </si>
  <si>
    <t>3.17.3 Addr 0x50100065 Dither control 3</t>
  </si>
  <si>
    <t>DITHER_VAL[15:8]</t>
  </si>
  <si>
    <t>3.17.4 Addr 0x50100066 Dither control 4</t>
  </si>
  <si>
    <t>DITHER_VAL[23:16]</t>
  </si>
  <si>
    <t>3.17.5 Addr 0x50100067 Dither control 5</t>
  </si>
  <si>
    <t>DITHER_VAL[31:24]</t>
  </si>
  <si>
    <t>3.18.0 Addr 0x5010006C SRAM size 0</t>
  </si>
  <si>
    <t>SRAM_SIZE[7:0]</t>
  </si>
  <si>
    <t>3.18.1 Addr 0x5010006D SRAM size 1</t>
  </si>
  <si>
    <t>SRAM_SIZE[15:8]</t>
  </si>
  <si>
    <t>3.18.2 Addr 0x5010006E SRAM size 2</t>
  </si>
  <si>
    <t>SRAM_SIZE[23:16]</t>
  </si>
  <si>
    <t>3.18.3 Addr 0x5010006F SRAM size 3</t>
  </si>
  <si>
    <t>SRAM_SIZE[31:24]</t>
  </si>
  <si>
    <t>3.19.0 Addr 0x50100080 Chip Info 0</t>
  </si>
  <si>
    <t>CHIP_VERSION[7:0]</t>
  </si>
  <si>
    <t>3.19.1 Addr 0x50100081 Chip Info 1</t>
  </si>
  <si>
    <t>CHIP_VERSION[15:7]</t>
  </si>
  <si>
    <t>3.20.0 Addr 0x50100084 Test config 0</t>
  </si>
  <si>
    <t>TEST_EN_MASK[7:0]</t>
  </si>
  <si>
    <t>3.20.1 Addr 0x50100085 Test config 1</t>
  </si>
  <si>
    <t>TEST_EN_SYS[7:0]</t>
  </si>
  <si>
    <t>3.20.2 Addr 0x50100088 BUS control</t>
  </si>
  <si>
    <t>NCU_HALT[7:0]</t>
  </si>
  <si>
    <t>GPIO_OUT[7:0]</t>
  </si>
  <si>
    <t>GPIO_IN[7:0]</t>
  </si>
  <si>
    <t>CHIP_ID[7:0]</t>
  </si>
  <si>
    <t>Chip identifiction low byte</t>
  </si>
  <si>
    <t>0x00</t>
  </si>
  <si>
    <t>8’h00</t>
  </si>
  <si>
    <t>CHIP_ID[15:8]</t>
  </si>
  <si>
    <t>Chip identifiction high byte</t>
  </si>
  <si>
    <t>0x20</t>
  </si>
  <si>
    <t>8’h20</t>
  </si>
  <si>
    <t>Bin information</t>
  </si>
  <si>
    <t>FW_VERSION_MAJOR[7:0]</t>
  </si>
  <si>
    <t>Major firmware version low byte</t>
  </si>
  <si>
    <t>0x01</t>
  </si>
  <si>
    <t>8’h01</t>
  </si>
  <si>
    <t>FW_VERSION_MAJOR[15:8]</t>
  </si>
  <si>
    <t>Major firmware version high byte</t>
  </si>
  <si>
    <t>FW_VERSION_MINOR[7:0]</t>
  </si>
  <si>
    <t>Minor firmware version low byte</t>
  </si>
  <si>
    <t>FW_VERSION_MINOR[15:8]</t>
  </si>
  <si>
    <t>Minor firmware version high byte</t>
  </si>
  <si>
    <t>LOT_NUMBER[7:0]</t>
  </si>
  <si>
    <t>Lot number</t>
  </si>
  <si>
    <t>LOT_NUMBER[15:8]</t>
  </si>
  <si>
    <t>LOT_NUMBER[23:16]</t>
  </si>
  <si>
    <t>WAFER_NUMBER[7:0]</t>
  </si>
  <si>
    <t>Wafer number</t>
  </si>
  <si>
    <t>CHIP_X_POS[7:0]</t>
  </si>
  <si>
    <t>Chip x-axis position in wafer</t>
  </si>
  <si>
    <t>CHIP_X_POS[15:8]</t>
  </si>
  <si>
    <t>CHIP_Y_POS[7:0]</t>
  </si>
  <si>
    <t>Chip y-axis position in wafer</t>
  </si>
  <si>
    <t>CHIP_Y_POS[15:8]</t>
  </si>
  <si>
    <t>POWER_INFO_RESERVED_1[7:0]</t>
  </si>
  <si>
    <t>Vout (unit mV)</t>
  </si>
  <si>
    <t>POWER_INFO_RESERVED_1[15:8]</t>
  </si>
  <si>
    <t>POWER_INFO_VOSET[7:0]</t>
  </si>
  <si>
    <t>Target Vout (unit mV)</t>
  </si>
  <si>
    <t>POWER_INFO_VOSET[15:8]</t>
  </si>
  <si>
    <t>TRIM_MODE[7:0]</t>
  </si>
  <si>
    <t>Trimming mode</t>
  </si>
  <si>
    <t>0x00 : Enter normal operation
0x01 : BGR calibration mode
0x02 : RC OSC_C calibration mode
0x04 : Initialize or Exit Vrect calibration mode
0x05 : Vrect Attenuation calibration
0x06 : Low Vrect calibration
0x07 : High Vrect calibration mode
0x08 : Initialize or Exit Vout calibration mode
0x09 : Low Vout calibration mode
0x0A : High Vout calibration mode
0x10 : Initialize or Exit Iout calibration mode
0x11 : High Iout gain0 calibration mode
0x12 : High Iout gain1 calibration mode
0x13 : High Iout gain2 calibration mode
0x14 : Low Iout calibration mode
0x15 : High Iout code0 calibration mode
0x16 : High Iout code1 calibration mode
0x17 : High Iout code2 calibration mode
0x18 : Iout offset calibration
0x19 : Iout no load calibration
0x20 : Initialize or Exit protection calibration mode
0x21 : Temperature.1 calibration
0x22 : Temperature.2 calibration
0x23 : OVP threshold calibration
0x80 : Enter test mode</t>
  </si>
  <si>
    <t>TRIM_COMMAND[7:0]</t>
  </si>
  <si>
    <t>TRIM_JUDGEMENT[7:0]</t>
  </si>
  <si>
    <t>Trimming judgement</t>
  </si>
  <si>
    <t>0x00 : Wait for measurement
0x01 : Meet target value or Confirm
0x02 : Under target value
0x03 : Over target value
0x04 : SINK pin is high when OVP_H trimming
0x05 : SINK pin is low when OVP_H trimming or SINK pin is high when OVP_L trimming
0x06 : SINK pin is low when OVP_L trimming</t>
  </si>
  <si>
    <t>TRIM_BIT_NUM[7:0]</t>
  </si>
  <si>
    <t>Trimming bit number</t>
  </si>
  <si>
    <t>If this value is 0, triming is finished.</t>
  </si>
  <si>
    <t>TRIM_RESULT[7:0]</t>
  </si>
  <si>
    <t>Trimming result</t>
  </si>
  <si>
    <t>TRIM_RESULT[15:8]</t>
  </si>
  <si>
    <t>TRIM_TEST_VRECT[7:0]</t>
  </si>
  <si>
    <t>Trim test Input Vrect (unit mV)</t>
  </si>
  <si>
    <t>0x50</t>
  </si>
  <si>
    <t>8’h50</t>
  </si>
  <si>
    <t>TRIM_TEST_VRECT[15:8]</t>
  </si>
  <si>
    <t>0x14</t>
  </si>
  <si>
    <t>Default : 0x1450 = 5200mV</t>
  </si>
  <si>
    <t>8’h14</t>
  </si>
  <si>
    <t>TRIM_TEST_VOUT[7:0]</t>
  </si>
  <si>
    <t>Trim test Vout (unit mV)</t>
  </si>
  <si>
    <t>0x88</t>
  </si>
  <si>
    <t>Default : 0x1388 = 5000mV</t>
  </si>
  <si>
    <t>8’h88</t>
  </si>
  <si>
    <t>TRIM_TEST_VOUT[15:8]</t>
  </si>
  <si>
    <t>0x13</t>
  </si>
  <si>
    <t>8’h13</t>
  </si>
  <si>
    <t>TRIM_TEST_IOUT[7:0]</t>
  </si>
  <si>
    <t>Trim test Iout (unit mA)</t>
  </si>
  <si>
    <t>TRIM_TEST_IOUT[15:8]</t>
  </si>
  <si>
    <t>TRIM_TEST_TEMP[7:0]</t>
  </si>
  <si>
    <t>TRIM_TEST_TEMP[15:8]</t>
  </si>
  <si>
    <t>TRIM_TEST_IOUTCODE[7:0]</t>
  </si>
  <si>
    <t>Trim test Iout Code</t>
  </si>
  <si>
    <t>TRIM_TEST_IOUTCODE[15:8]</t>
  </si>
  <si>
    <t>VOUT_STATUS</t>
  </si>
  <si>
    <t>OVER_TEMPERATURE_STATUS</t>
  </si>
  <si>
    <t>OVER_VOLTAGE_STATUS</t>
  </si>
  <si>
    <t>OVER_CURRENT_STATUS</t>
  </si>
  <si>
    <t>Vout status indicator</t>
  </si>
  <si>
    <t>0 : Vout is off, 1 Vout is on.</t>
  </si>
  <si>
    <t>Over temperature status indicator</t>
  </si>
  <si>
    <t>0 : No over temperature mode
1 : Die tempeature exceeds over 130 degree or external NTC value is less than threshold</t>
  </si>
  <si>
    <t>Over voltage status indicator</t>
  </si>
  <si>
    <t>0 : No over rectifier voltage
1 : Rectifier voltage exceeds 20V</t>
  </si>
  <si>
    <t>Over current status indicator</t>
  </si>
  <si>
    <t>0 : No over current
1 : Exceeds current limit</t>
  </si>
  <si>
    <t>VOUT_INTR_STATUS</t>
  </si>
  <si>
    <t>OVER_TEMPERATURE_INTR_STATUS</t>
  </si>
  <si>
    <t>OVER_VOLTAGE_INTR_STATUS</t>
  </si>
  <si>
    <t>OVER_CURRENT_INTR_STATUS</t>
  </si>
  <si>
    <t>Vout interrupt status indicator</t>
  </si>
  <si>
    <t>Over temperature interrupt status indicator</t>
  </si>
  <si>
    <t>Over voltage interrunp status indicator</t>
  </si>
  <si>
    <t>Over current interrupt status indicator</t>
  </si>
  <si>
    <t>VOUT_INTR_EN</t>
  </si>
  <si>
    <t>OVER_TEMPERATURE_INTR_EN</t>
  </si>
  <si>
    <t>OVER_VOLTAGE_INTR_EN</t>
  </si>
  <si>
    <t>OVER_CURRENT_INTR_EN</t>
  </si>
  <si>
    <t>Vout interrupt enable</t>
  </si>
  <si>
    <t>0 : Vout interrupt disable
1 : Vout interrupt enable</t>
  </si>
  <si>
    <t>Over temperature interrupt enable</t>
  </si>
  <si>
    <t>0 : Over temperature interrupt disable
1 : Over temperature interrupt enable</t>
  </si>
  <si>
    <t>Over voltage interrunp enable</t>
  </si>
  <si>
    <t>0 : Over voltage interrupt disable
1 : Over voltage interrupt enable</t>
  </si>
  <si>
    <t>Over current interrupt enable</t>
  </si>
  <si>
    <t>0 : Over current interrupt disable
1 : Over current interrupt enable</t>
  </si>
  <si>
    <t>4.5.1 Addr 0x0000003A External Packet configuration.CSP</t>
  </si>
  <si>
    <t>CHARGE_STATUS_VALUE[7:0]</t>
  </si>
  <si>
    <t>Charge status value</t>
  </si>
  <si>
    <t>If this value is not 0xFF, PRx will be sent Charge Status Packet to PTx.</t>
  </si>
  <si>
    <t>4.5.2 Addr 0x0000003B External Packet configuration.EPT</t>
  </si>
  <si>
    <t>END_POWER_TRANSFER_VALUE[7:0]</t>
  </si>
  <si>
    <t>End power transfer value</t>
  </si>
  <si>
    <t>If this value is not 0xFF, PRx will be sent End Power Transfer Packet to PTx.</t>
  </si>
  <si>
    <t>VOUT_VALUE[7:0]</t>
  </si>
  <si>
    <t>LSB of Vout voltage in mV</t>
  </si>
  <si>
    <t>Vout(mV) = VOUT_VALUE[15:0] * 1mV</t>
  </si>
  <si>
    <t>VOUT_VALUE[15:8]</t>
  </si>
  <si>
    <t>MSB of Vout voltage in mV</t>
  </si>
  <si>
    <t>RECEIVED_POWER_VALUE[7:0]</t>
  </si>
  <si>
    <t>LSB of received power in mW</t>
  </si>
  <si>
    <t>P_received(mW) = VOUT_VALUE[15:0] * 1mW</t>
  </si>
  <si>
    <t>RECEIVED_POWER_VALUE[15:8]</t>
  </si>
  <si>
    <t>MSB of received power in mW</t>
  </si>
  <si>
    <t>VRECT_VALUE[7:0]</t>
  </si>
  <si>
    <t>LSB of Vrect voltage in mV</t>
  </si>
  <si>
    <t>Vrect(mV) = VRECT_VALUE[15:0] * 1mV</t>
  </si>
  <si>
    <t>VRECT_VALUE[15:8]</t>
  </si>
  <si>
    <t>MSB of Vrect voltage in mV</t>
  </si>
  <si>
    <t>TARGET_VRECT_VALUE[7:0]</t>
  </si>
  <si>
    <t>TARGET_VRECT_VALUE[15:8]</t>
  </si>
  <si>
    <t>IOUT_VALUE[7:0]</t>
  </si>
  <si>
    <t>LSB of Iout current in mA</t>
  </si>
  <si>
    <t>Iout(mV) = VRECT_VALUE[15:0] * 1mA</t>
  </si>
  <si>
    <t>IOUT_VALUE[15:8]</t>
  </si>
  <si>
    <t>MSB of Iout current in mA</t>
  </si>
  <si>
    <t>TEMP_VALUE[7:0]</t>
  </si>
  <si>
    <t>LSB of temperature value in degree</t>
  </si>
  <si>
    <t>Die temp(degree) = TEMP_VALUE[15:0] / 10</t>
  </si>
  <si>
    <t>TEMP_VALUE[15:8]</t>
  </si>
  <si>
    <t>MSB of temperature value in degree</t>
  </si>
  <si>
    <t>AC_FREQ_VALUE[7:0]</t>
  </si>
  <si>
    <t>LSB of AC frequency in kHz</t>
  </si>
  <si>
    <t>AC freq(kHz) = AC_FREQ_VALUE / 10</t>
  </si>
  <si>
    <t>AC_FREQ_VALUE[15:8]</t>
  </si>
  <si>
    <t>MSB of AC frequency in kHz</t>
  </si>
  <si>
    <t>CLEAR_INTERRUPT</t>
  </si>
  <si>
    <t>SEND_CSP</t>
  </si>
  <si>
    <t>SEND_EPT</t>
  </si>
  <si>
    <t>TOGGLE_LDO</t>
  </si>
  <si>
    <t>Not support</t>
  </si>
  <si>
    <t>Clear interrupt</t>
  </si>
  <si>
    <t>If this is 1, interrupt pin will be cleared</t>
  </si>
  <si>
    <t>CAL_DATA_VALID[7:0]</t>
  </si>
  <si>
    <t>Calibration data valid</t>
  </si>
  <si>
    <t>If bit[0] is 0, BGR value is valid.
If bit[1] is 0, Vrect atten value is valid.</t>
  </si>
  <si>
    <t>CAL_DATA_BGR[4:0]</t>
  </si>
  <si>
    <t>BGR calibration data</t>
  </si>
  <si>
    <t>CAL_DATA_RCOSC_C[7:0]</t>
  </si>
  <si>
    <t>RCOSC_C calibration data</t>
  </si>
  <si>
    <t>CAL_DATA_VRECT_ATTEN[7:0]</t>
  </si>
  <si>
    <t>Vrect atten calibration data</t>
  </si>
  <si>
    <t>CAL_DATA_VRECT_SV[7:0]</t>
  </si>
  <si>
    <t>Vrect scaling vector calibration data</t>
  </si>
  <si>
    <t>CAL_DATA_VRECT_SV[15:8]</t>
  </si>
  <si>
    <t>CAL_DATA_VRECT_CONST[7:0]</t>
  </si>
  <si>
    <t>Vrect constant calibration data</t>
  </si>
  <si>
    <t>CAL_DATA_VRECT_CONST[15:8]</t>
  </si>
  <si>
    <t>CAL_DATA_VOSET_SV[7:0]</t>
  </si>
  <si>
    <t>SetVout scaling vector calibration data</t>
  </si>
  <si>
    <t>CAL_DATA_VOSET_SV[15:8]</t>
  </si>
  <si>
    <t>CAL_DATA_VOSET_CONST[7:0]</t>
  </si>
  <si>
    <t>SetVout constant calibration data</t>
  </si>
  <si>
    <t>CAL_DATA_VOSET_CONST[15:8]</t>
  </si>
  <si>
    <t>CAL_DATA_VOUT_SV[7:0]</t>
  </si>
  <si>
    <t>Vout scaling vector calibration data</t>
  </si>
  <si>
    <t>CAL_DATA_VOUT_SV[15:8]</t>
  </si>
  <si>
    <t>CAL_DATA_VOUT_CONST[7:0]</t>
  </si>
  <si>
    <t>Vout constant calibration data</t>
  </si>
  <si>
    <t>CAL_DATA_VOUT_CONST[15:8]</t>
  </si>
  <si>
    <t>CAL_DATA_DIE_TEMP_L[7:0]</t>
  </si>
  <si>
    <t>Internal temp sensor compensation factor</t>
  </si>
  <si>
    <t>Die temperature(degree) = (This value - 9800 / 4096) / 10</t>
  </si>
  <si>
    <t>CAL_DATA_DIE_TEMP_H[7:0]</t>
  </si>
  <si>
    <t>CAL_DATA_OVP[5:0]</t>
  </si>
  <si>
    <t>Vrect over voltage protection value</t>
  </si>
  <si>
    <t>[5:3] OVP_L
[2:0] OVP_H</t>
  </si>
  <si>
    <t>CAL_DATA_RESERVED_0[7:0]</t>
  </si>
  <si>
    <t>CAL_DATA_ISEN_GAIN[7:0]</t>
  </si>
  <si>
    <t>ISen gain trim</t>
  </si>
  <si>
    <t>isen_out_trim</t>
  </si>
  <si>
    <t>CAL_DATA_ISEN_OFFSET[7:0]</t>
  </si>
  <si>
    <t>ISen offset control</t>
  </si>
  <si>
    <t>isen2_offcon_trim</t>
  </si>
  <si>
    <t>CAL_DATA_ISEN_NOLOAD_L[7:0]</t>
  </si>
  <si>
    <t>No load ISen ADC code value</t>
  </si>
  <si>
    <t>CAL_DATA_ISEN_NOLOAD_H[7:0]</t>
  </si>
  <si>
    <t>CAL_DATA_ISEN_X1[7:0]</t>
  </si>
  <si>
    <t xml:space="preserve">Point1 x value of ISen curve </t>
  </si>
  <si>
    <t>ADC code of low current</t>
  </si>
  <si>
    <t>CAL_DATA_ISEN_X1[15:8]</t>
  </si>
  <si>
    <t>CAL_DATA_ISEN_Y1[7:0]</t>
  </si>
  <si>
    <t xml:space="preserve">Point1 y value of ISen curve </t>
  </si>
  <si>
    <t>low current value for ISen calibration (mA)</t>
  </si>
  <si>
    <t>CAL_DATA_ISEN_Y1[15:8]</t>
  </si>
  <si>
    <t>CAL_DATA_ISEN_X2[7:0]</t>
  </si>
  <si>
    <t xml:space="preserve">Point2 x value of ISen curve </t>
  </si>
  <si>
    <t>ADC code of high current</t>
  </si>
  <si>
    <t>CAL_DATA_ISEN_X2[15:8]</t>
  </si>
  <si>
    <t>CAL_DATA_ISEN_Y2[7:0]</t>
  </si>
  <si>
    <t xml:space="preserve">Point2 y value of ISen curve </t>
  </si>
  <si>
    <t>High current value for ISen calibration (mA)</t>
  </si>
  <si>
    <t>CAL_DATA_ISEN_Y2[15:8]</t>
  </si>
  <si>
    <t>CAL_DATA_ISEN_H_SV[7:0]</t>
  </si>
  <si>
    <t>ISen scaling vector calibration data</t>
  </si>
  <si>
    <t>CAL_DATA_ISEN_H_SV[15:8]</t>
  </si>
  <si>
    <t>CAL_DATA_ISEN_H_CONST[7:0]</t>
  </si>
  <si>
    <t>ISen constant calibration data</t>
  </si>
  <si>
    <t>CAL_DATA_ISEN_H_CONST[15:8]</t>
  </si>
  <si>
    <t>CAL_DATA_ISEN_L_SV[7:0]</t>
  </si>
  <si>
    <t>CAL_DATA_ISEN_L_SV[15:8]</t>
  </si>
  <si>
    <t>CAL_DATA_ISEN_L_CONST[7:0]</t>
  </si>
  <si>
    <t>CAL_DATA_ISEN_L_CONST[15:8]</t>
  </si>
  <si>
    <t>CAL_DATA_VERSION[7:0]</t>
  </si>
  <si>
    <t>Calibration version information</t>
  </si>
  <si>
    <t>CTRL_PASSIVE_TO_HALF[7:0]</t>
  </si>
  <si>
    <t>Iout current where rectifier mode changes passive to half</t>
  </si>
  <si>
    <t>Threshold current (mA) = this value * 10 (mA)</t>
  </si>
  <si>
    <t>CTRL_HALF_TO_PASSIVE[7:0]</t>
  </si>
  <si>
    <t>Iout current where rectifier mode changes half to passive</t>
  </si>
  <si>
    <t>CTRL_HALF_TO_FULL[7:0]</t>
  </si>
  <si>
    <t>Iout current where rectifier mode changes half to full</t>
  </si>
  <si>
    <t>CTRL_FULL_TO_HALF[7:0]</t>
  </si>
  <si>
    <t>Iout current where rectifier mode changes full to half</t>
  </si>
  <si>
    <t>CTRL_BPP_VOUTSET[7:0]</t>
  </si>
  <si>
    <t>BPP Vout voltage in mV</t>
  </si>
  <si>
    <t>BPP Vout voltage[mV] = CTRL_BPP_VOUTSET[7:0] * 100 mV</t>
  </si>
  <si>
    <t>CTRL_EPP_VOUTSET[7:0]</t>
  </si>
  <si>
    <t>EPP Vout voltage in mV</t>
  </si>
  <si>
    <t>EPP Vout voltage[mV] = CTRL_EPP_VOUTSET[7:0] * 100 mV</t>
  </si>
  <si>
    <t>CTRL_Q_FACTOR[7:0]</t>
  </si>
  <si>
    <t>Receiver Q factor</t>
  </si>
  <si>
    <t>CTRL_VRECT_OFS_TH[7:0]</t>
  </si>
  <si>
    <t>Vrect offset threshold</t>
  </si>
  <si>
    <t>Threshold current (mV) = this value * 100 (mV)</t>
  </si>
  <si>
    <t>CTRL_VRECT_OFFSET_0_0[7:0]</t>
  </si>
  <si>
    <t>Vrect offset value (mV) = this value * 20</t>
  </si>
  <si>
    <t>If (POWER_INFO_VOSET &lt; CTRL_VRECT_OFS_TH) AND (0 &lt;= Iout &lt; 50mA), Vrect offset is calculated linear interpolation with next value</t>
  </si>
  <si>
    <t>CTRL_VRECT_OFFSET_0_1[7:0]</t>
  </si>
  <si>
    <t>If (POWER_INFO_VOSET &lt; CTRL_VRECT_OFS_TH) AND (50 &lt;= Iout &lt; 100mA), Vrect offset is calculated linear interpolation with next value</t>
  </si>
  <si>
    <t>CTRL_VRECT_OFFSET_0_2[7:0]</t>
  </si>
  <si>
    <t>If (POWER_INFO_VOSET &lt; CTRL_VRECT_OFS_TH) AND (100 &lt;= Iout &lt; 150mA), Vrect offset is calculated linear interpolation with next value</t>
  </si>
  <si>
    <t>CTRL_VRECT_OFFSET_0_3[7:0]</t>
  </si>
  <si>
    <t>If (POWER_INFO_VOSET &lt; CTRL_VRECT_OFS_TH) AND (150 &lt;= Iout &lt; 200mA), Vrect offset is calculated linear interpolation with next value</t>
  </si>
  <si>
    <t>CTRL_VRECT_OFFSET_0_4[7:0]</t>
  </si>
  <si>
    <t>If (POWER_INFO_VOSET &lt; CTRL_VRECT_OFS_TH) AND (200 &lt;= Iout &lt; 250mA), Vrect offset is calculated linear interpolation with next value</t>
  </si>
  <si>
    <t>CTRL_VRECT_OFFSET_0_5[7:0]</t>
  </si>
  <si>
    <t>If (POWER_INFO_VOSET &lt; CTRL_VRECT_OFS_TH) AND (250 &lt;= Iout &lt; 300mA), Vrect offset is calculated linear interpolation with next value</t>
  </si>
  <si>
    <t>CTRL_VRECT_OFFSET_0_6[7:0]</t>
  </si>
  <si>
    <t>If (POWER_INFO_VOSET &lt; CTRL_VRECT_OFS_TH) AND (300 &lt;= Iout &lt; 350mA), Vrect offset is calculated linear interpolation with next value</t>
  </si>
  <si>
    <t>CTRL_VRECT_OFFSET_0_7[7:0]</t>
  </si>
  <si>
    <t>If (POWER_INFO_VOSET &lt; CTRL_VRECT_OFS_TH) AND (350 &lt;= Iout &lt; 400mA), Vrect offset is calculated linear interpolation with next value</t>
  </si>
  <si>
    <t>CTRL_VRECT_OFFSET_0_8[7:0]</t>
  </si>
  <si>
    <t>If (POWER_INFO_VOSET &lt; CTRL_VRECT_OFS_TH) AND (400 &lt;= Iout &lt; 450mA), Vrect offset is calculated linear interpolation with next value</t>
  </si>
  <si>
    <t>CTRL_VRECT_OFFSET_0_9[7:0]</t>
  </si>
  <si>
    <t>If (POWER_INFO_VOSET &lt; CTRL_VRECT_OFS_TH) AND (450 &lt;= Iout &lt; 500mA), Vrect offset is calculated linear interpolation with next value</t>
  </si>
  <si>
    <t>CTRL_VRECT_OFFSET_0_10[7:0]</t>
  </si>
  <si>
    <t>If (POWER_INFO_VOSET &lt; CTRL_VRECT_OFS_TH) AND (500 &lt;= Iout &lt; 550mA), Vrect offset is calculated linear interpolation with next value</t>
  </si>
  <si>
    <t>CTRL_VRECT_OFFSET_0_11[7:0]</t>
  </si>
  <si>
    <t>If (POWER_INFO_VOSET &lt; CTRL_VRECT_OFS_TH) AND (550 &lt;= Iout), Vrect offset is this vlaue * 20</t>
  </si>
  <si>
    <t>CTRL_VRECT_OFFSET_1_0[7:0]</t>
  </si>
  <si>
    <t>If (POWER_INFO_VOSET &gt; CTRL_VRECT_OFS_TH) AND (0 &lt;= Iout &lt; 50mA), Vrect offset is calculated linear interpolation with next value</t>
  </si>
  <si>
    <t>CTRL_VRECT_OFFSET_1_1[7:0]</t>
  </si>
  <si>
    <t>If (POWER_INFO_VOSET &gt; CTRL_VRECT_OFS_TH) AND (50 &lt;= Iout &lt; 100mA), Vrect offset is calculated linear interpolation with next value</t>
  </si>
  <si>
    <t>CTRL_VRECT_OFFSET_1_2[7:0]</t>
  </si>
  <si>
    <t>If (POWER_INFO_VOSET &gt; CTRL_VRECT_OFS_TH) AND (100 &lt;= Iout &lt; 150mA), Vrect offset is calculated linear interpolation with next value</t>
  </si>
  <si>
    <t>CTRL_VRECT_OFFSET_1_3[7:0]</t>
  </si>
  <si>
    <t>If (POWER_INFO_VOSET &gt; CTRL_VRECT_OFS_TH) AND (150 &lt;= Iout &lt; 200mA), Vrect offset is calculated linear interpolation with next value</t>
  </si>
  <si>
    <t>CTRL_VRECT_OFFSET_1_4[7:0]</t>
  </si>
  <si>
    <t>If (POWER_INFO_VOSET &gt; CTRL_VRECT_OFS_TH) AND (200 &lt;= Iout &lt; 250mA), Vrect offset is calculated linear interpolation with next value</t>
  </si>
  <si>
    <t>CTRL_VRECT_OFFSET_1_5[7:0]</t>
  </si>
  <si>
    <t>If (POWER_INFO_VOSET &gt; CTRL_VRECT_OFS_TH) AND (250 &lt;= Iout &lt; 300mA), Vrect offset is calculated linear interpolation with next value</t>
  </si>
  <si>
    <t>CTRL_VRECT_OFFSET_1_6[7:0]</t>
  </si>
  <si>
    <t>If (POWER_INFO_VOSET &gt; CTRL_VRECT_OFS_TH) AND (300 &lt;= Iout &lt; 350mA), Vrect offset is calculated linear interpolation with next value</t>
  </si>
  <si>
    <t>CTRL_VRECT_OFFSET_1_7[7:0]</t>
  </si>
  <si>
    <t>If (POWER_INFO_VOSET &gt; CTRL_VRECT_OFS_TH) AND (350 &lt;= Iout &lt; 400mA), Vrect offset is calculated linear interpolation with next value</t>
  </si>
  <si>
    <t>CTRL_VRECT_OFFSET_1_8[7:0]</t>
  </si>
  <si>
    <t>If (POWER_INFO_VOSET &gt; CTRL_VRECT_OFS_TH) AND (400 &lt;= Iout &lt; 450mA), Vrect offset is calculated linear interpolation with next value</t>
  </si>
  <si>
    <t>CTRL_VRECT_OFFSET_1_9[7:0]</t>
  </si>
  <si>
    <t>If (POWER_INFO_VOSET &gt; CTRL_VRECT_OFS_TH) AND (450 &lt;= Iout &lt; 500mA), Vrect offset is calculated linear interpolation with next value</t>
  </si>
  <si>
    <t>CTRL_VRECT_OFFSET_1_10[7:0]</t>
  </si>
  <si>
    <t>If (POWER_INFO_VOSET &gt; CTRL_VRECT_OFS_TH) AND (500 &lt;= Iout &lt; 550mA), Vrect offset is calculated linear interpolation with next value</t>
  </si>
  <si>
    <t>CTRL_VRECT_OFFSET_1_11[7:0]</t>
  </si>
  <si>
    <t>If (POWER_INFO_VOSET &gt; CTRL_VRECT_OFS_TH) AND (550 &lt;= Iout), Vrect offset is this vlaue * 20</t>
  </si>
  <si>
    <t>Efficiency = This value / 256</t>
  </si>
  <si>
    <t>modefied</t>
    <phoneticPr fontId="14" type="noConversion"/>
  </si>
  <si>
    <t>modefied</t>
    <phoneticPr fontId="14" type="noConversion"/>
  </si>
  <si>
    <t xml:space="preserve">3.9.0 Addr 0x50100024 Wakeup config </t>
    <phoneticPr fontId="14" type="noConversion"/>
  </si>
  <si>
    <t xml:space="preserve">3.9.1 Addr 0x50100025 Sleep config </t>
    <phoneticPr fontId="14" type="noConversion"/>
  </si>
  <si>
    <t>X</t>
    <phoneticPr fontId="14" type="noConversion"/>
  </si>
  <si>
    <t>Timer_Wakeup_en</t>
    <phoneticPr fontId="14" type="noConversion"/>
  </si>
  <si>
    <t>Gpio_Wakeup_en</t>
    <phoneticPr fontId="14" type="noConversion"/>
  </si>
  <si>
    <t>I2C_Wakeup_en</t>
    <phoneticPr fontId="14" type="noConversion"/>
  </si>
  <si>
    <t>Light_Sleep</t>
    <phoneticPr fontId="14" type="noConversion"/>
  </si>
  <si>
    <t>Flash_Sleep_en</t>
    <phoneticPr fontId="14" type="noConversion"/>
  </si>
  <si>
    <t>Deep_Sleep</t>
    <phoneticPr fontId="14" type="noConversion"/>
  </si>
  <si>
    <t>Name</t>
    <phoneticPr fontId="14" type="noConversion"/>
  </si>
  <si>
    <t>added</t>
    <phoneticPr fontId="14" type="noConversion"/>
  </si>
  <si>
    <t>1.8.7 Addr 0x38000080 OTP Read&amp;Write CTRL</t>
    <phoneticPr fontId="14" type="noConversion"/>
  </si>
  <si>
    <t>1.8.8 Addr 0x38000081 VPP CTRL</t>
    <phoneticPr fontId="14" type="noConversion"/>
  </si>
  <si>
    <t>[0] : 1: Enable Vpp ,used to write OTP</t>
    <phoneticPr fontId="14" type="noConversion"/>
  </si>
  <si>
    <t>1.8.9 Addr 0x38000084 OTP ADDR</t>
    <phoneticPr fontId="14" type="noConversion"/>
  </si>
  <si>
    <t>OTP address</t>
    <phoneticPr fontId="14" type="noConversion"/>
  </si>
  <si>
    <t>Meaning</t>
    <phoneticPr fontId="14" type="noConversion"/>
  </si>
  <si>
    <t>OTP_ADDR[6:0]</t>
    <phoneticPr fontId="14" type="noConversion"/>
  </si>
  <si>
    <t>VPP_CTRL[0]</t>
    <phoneticPr fontId="14" type="noConversion"/>
  </si>
  <si>
    <t>OTP_DATA[7:0]</t>
    <phoneticPr fontId="14" type="noConversion"/>
  </si>
  <si>
    <t>OTP data(for both write and read)</t>
    <phoneticPr fontId="14" type="noConversion"/>
  </si>
  <si>
    <t>Read interrupt delay cycles</t>
    <phoneticPr fontId="14" type="noConversion"/>
  </si>
  <si>
    <t>OTP_READ_CTRL1[7:0]</t>
    <phoneticPr fontId="14" type="noConversion"/>
  </si>
  <si>
    <t>OTP_READ_CTRL2[7:0]</t>
    <phoneticPr fontId="14" type="noConversion"/>
  </si>
  <si>
    <t>Read data delay</t>
    <phoneticPr fontId="14" type="noConversion"/>
  </si>
  <si>
    <t>OTP_READ_CTRL3[7:0]</t>
    <phoneticPr fontId="14" type="noConversion"/>
  </si>
  <si>
    <t>Read pulse signal delay</t>
    <phoneticPr fontId="14" type="noConversion"/>
  </si>
  <si>
    <t>OTP_WRITE_CTRL1[7:0]</t>
    <phoneticPr fontId="14" type="noConversion"/>
  </si>
  <si>
    <t>Write interrupt delay cycles</t>
    <phoneticPr fontId="14" type="noConversion"/>
  </si>
  <si>
    <t>OTP_WRITE_CTRL2[7:0]</t>
    <phoneticPr fontId="14" type="noConversion"/>
  </si>
  <si>
    <t>Write data delay</t>
    <phoneticPr fontId="14" type="noConversion"/>
  </si>
  <si>
    <t>OTP_WRITE_CTRL3[7:0]</t>
    <phoneticPr fontId="14" type="noConversion"/>
  </si>
  <si>
    <t>Write pulse signal delay</t>
    <phoneticPr fontId="14" type="noConversion"/>
  </si>
  <si>
    <t>1.9.0 Addr 0x38000086 OTP DATA</t>
    <phoneticPr fontId="14" type="noConversion"/>
  </si>
  <si>
    <t>1.9.1 Addr 0x38000088 OTP READ CTRL 1</t>
    <phoneticPr fontId="14" type="noConversion"/>
  </si>
  <si>
    <t>1.9.2 Addr 0x38000089 OTP READ CTRL 2</t>
    <phoneticPr fontId="14" type="noConversion"/>
  </si>
  <si>
    <t>1.9.3 Addr 0x3800008A OTP READ CTRL 3</t>
    <phoneticPr fontId="14" type="noConversion"/>
  </si>
  <si>
    <t>1.9.4 Addr 0x38000088 OTP WRITE CTRL 1</t>
    <phoneticPr fontId="14" type="noConversion"/>
  </si>
  <si>
    <t>1.9.5 Addr 0x38000089 OTP WRITE CTRL 2</t>
    <phoneticPr fontId="14" type="noConversion"/>
  </si>
  <si>
    <t>1.9.6 Addr 0x3800008A OTP WRITE CTRL 3</t>
    <phoneticPr fontId="14" type="noConversion"/>
  </si>
  <si>
    <t>BIN_INFO[7:0]</t>
    <phoneticPr fontId="14" type="noConversion"/>
  </si>
  <si>
    <t>X</t>
    <phoneticPr fontId="14" type="noConversion"/>
  </si>
  <si>
    <t>Deglitch_on[0]</t>
    <phoneticPr fontId="14" type="noConversion"/>
  </si>
  <si>
    <t>PEN_PROT</t>
    <phoneticPr fontId="14" type="noConversion"/>
  </si>
  <si>
    <t>SDET_EN</t>
    <phoneticPr fontId="14" type="noConversion"/>
  </si>
  <si>
    <t>SDET_TRIM[1:0]</t>
    <phoneticPr fontId="14" type="noConversion"/>
  </si>
  <si>
    <t>SDET_TRIMH[1:0]</t>
    <phoneticPr fontId="14" type="noConversion"/>
  </si>
  <si>
    <t>added</t>
    <phoneticPr fontId="14" type="noConversion"/>
  </si>
  <si>
    <t>TRIM_OVP_H[3:0]</t>
    <phoneticPr fontId="14" type="noConversion"/>
  </si>
  <si>
    <t>1.7.4 Addr 0x38000073  PROT_CTRL 4</t>
    <phoneticPr fontId="14" type="noConversion"/>
  </si>
  <si>
    <t>1.7.3 Addr 0x38000072 PROT_CTRL 3</t>
    <phoneticPr fontId="14" type="noConversion"/>
  </si>
  <si>
    <t>1.7.2 Addr 0x38000071 PROT_CTRL 2</t>
    <phoneticPr fontId="14" type="noConversion"/>
  </si>
  <si>
    <t>1.7.1 Addr 0x38000070 PROT_CTRL 1</t>
    <phoneticPr fontId="14" type="noConversion"/>
  </si>
  <si>
    <t>hsh_val[7:0]</t>
    <phoneticPr fontId="14" type="noConversion"/>
  </si>
  <si>
    <t>hsl_val[7:0]</t>
    <phoneticPr fontId="14" type="noConversion"/>
  </si>
  <si>
    <t>ADC_DATA8[7:0]</t>
    <phoneticPr fontId="14" type="noConversion"/>
  </si>
  <si>
    <t>ADC_DATA8[11:8]</t>
    <phoneticPr fontId="14" type="noConversion"/>
  </si>
  <si>
    <t>ADC_DATA9[7:0]</t>
    <phoneticPr fontId="14" type="noConversion"/>
  </si>
  <si>
    <t>ADC_DATA9[11:8]</t>
    <phoneticPr fontId="14" type="noConversion"/>
  </si>
  <si>
    <t>ADC_DATA10[7:0]</t>
    <phoneticPr fontId="14" type="noConversion"/>
  </si>
  <si>
    <t>ADC_DATA10[11:8]</t>
    <phoneticPr fontId="14" type="noConversion"/>
  </si>
  <si>
    <t>ADC_DATA11[7:0]</t>
    <phoneticPr fontId="14" type="noConversion"/>
  </si>
  <si>
    <t>ADC_DATA11[11:8]</t>
    <phoneticPr fontId="14" type="noConversion"/>
  </si>
  <si>
    <t>ODIO0</t>
    <phoneticPr fontId="14" type="noConversion"/>
  </si>
  <si>
    <t>PPIO1</t>
    <phoneticPr fontId="14" type="noConversion"/>
  </si>
  <si>
    <t>-</t>
    <phoneticPr fontId="14" type="noConversion"/>
  </si>
  <si>
    <t>ODIO1</t>
    <phoneticPr fontId="14" type="noConversion"/>
  </si>
  <si>
    <t>PPIO0</t>
    <phoneticPr fontId="14" type="noConversion"/>
  </si>
  <si>
    <t>PPIO2</t>
    <phoneticPr fontId="14" type="noConversion"/>
  </si>
  <si>
    <t>X</t>
    <phoneticPr fontId="16" type="noConversion"/>
  </si>
  <si>
    <t>CONT_SR_HS</t>
    <phoneticPr fontId="16" type="noConversion"/>
  </si>
  <si>
    <t>CONT_OP_MODE</t>
    <phoneticPr fontId="16" type="noConversion"/>
  </si>
  <si>
    <t>PEN_RECT_DP</t>
    <phoneticPr fontId="16" type="noConversion"/>
  </si>
  <si>
    <t>PEN_RECT</t>
    <phoneticPr fontId="16" type="noConversion"/>
  </si>
  <si>
    <t>-</t>
    <phoneticPr fontId="16" type="noConversion"/>
  </si>
  <si>
    <t>Enable Rectifier</t>
    <phoneticPr fontId="16" type="noConversion"/>
  </si>
  <si>
    <t>1’h01</t>
    <phoneticPr fontId="16" type="noConversion"/>
  </si>
  <si>
    <t>Enable Rectifier test buffer</t>
    <phoneticPr fontId="16" type="noConversion"/>
  </si>
  <si>
    <t>1’h00</t>
    <phoneticPr fontId="16" type="noConversion"/>
  </si>
  <si>
    <t>Select Rectifier operating mode</t>
    <phoneticPr fontId="16" type="noConversion"/>
  </si>
  <si>
    <t>Enable High side driver in Manual Mode</t>
    <phoneticPr fontId="16" type="noConversion"/>
  </si>
  <si>
    <t>Enable Low side driver in Manual Mode</t>
    <phoneticPr fontId="16" type="noConversion"/>
  </si>
  <si>
    <t>CONT_SR_LS[7:4]</t>
    <phoneticPr fontId="16" type="noConversion"/>
  </si>
  <si>
    <t>Enable Low side driver bank
0000 : Diode Mode
0001 : 1 Bank
0011 : 2 Banks
0111 : 4 Banks
1111 : 8 Banks</t>
    <phoneticPr fontId="14" type="noConversion"/>
  </si>
  <si>
    <t>LSH_VAL[7:0]</t>
    <phoneticPr fontId="14" type="noConversion"/>
  </si>
  <si>
    <t>LSL_VAL[7:0]</t>
    <phoneticPr fontId="14" type="noConversion"/>
  </si>
  <si>
    <t>TRIM_ZCSR[3:0]</t>
    <phoneticPr fontId="16" type="noConversion"/>
  </si>
  <si>
    <t>TRIM_RSEN[4:0]</t>
    <phoneticPr fontId="16" type="noConversion"/>
  </si>
  <si>
    <t>ENB_CMAB</t>
    <phoneticPr fontId="16" type="noConversion"/>
  </si>
  <si>
    <t>ENB_COMM</t>
    <phoneticPr fontId="16" type="noConversion"/>
  </si>
  <si>
    <t>CONT_SR_MODE</t>
    <phoneticPr fontId="16" type="noConversion"/>
  </si>
  <si>
    <t>SET_LS_H[3:0]</t>
    <phoneticPr fontId="16" type="noConversion"/>
  </si>
  <si>
    <t>SET_LS_I[3:0]</t>
    <phoneticPr fontId="16" type="noConversion"/>
  </si>
  <si>
    <t>Set the level to change passive mode to half mode (step size = 50mA)</t>
  </si>
  <si>
    <t>4’b0001</t>
  </si>
  <si>
    <t>50mA</t>
    <phoneticPr fontId="16" type="noConversion"/>
  </si>
  <si>
    <t>4’b0011</t>
  </si>
  <si>
    <t>4’b1111</t>
  </si>
  <si>
    <t>750mA</t>
  </si>
  <si>
    <t>Set the level to change half mode to passive mode (step size = 50mA)</t>
    <phoneticPr fontId="16" type="noConversion"/>
  </si>
  <si>
    <t>100mA</t>
    <phoneticPr fontId="16" type="noConversion"/>
  </si>
  <si>
    <t>800mA</t>
  </si>
  <si>
    <t>SET_HS_H[3:0]</t>
    <phoneticPr fontId="16" type="noConversion"/>
  </si>
  <si>
    <t>SET_HS_I[3:0]</t>
    <phoneticPr fontId="16" type="noConversion"/>
  </si>
  <si>
    <t>Set the level to change half mode to full mode (step size = 50mA)</t>
    <phoneticPr fontId="16" type="noConversion"/>
  </si>
  <si>
    <t>4’b0001</t>
    <phoneticPr fontId="16" type="noConversion"/>
  </si>
  <si>
    <t>100mA</t>
  </si>
  <si>
    <t>4’b0110</t>
  </si>
  <si>
    <t>800mA</t>
    <phoneticPr fontId="16" type="noConversion"/>
  </si>
  <si>
    <t>SET_HS_L Set the level to change full mode to half mode (step size = 50mA)</t>
    <phoneticPr fontId="16" type="noConversion"/>
  </si>
  <si>
    <t>150mA</t>
    <phoneticPr fontId="16" type="noConversion"/>
  </si>
  <si>
    <t>850mA</t>
    <phoneticPr fontId="16" type="noConversion"/>
  </si>
  <si>
    <t>Align X phase detector trimming
trim range: -200ns~185ns (3.85%@100kHz)
trim step: 25ns (0.25%@100kHz)</t>
    <phoneticPr fontId="16" type="noConversion"/>
  </si>
  <si>
    <t>4’h04</t>
    <phoneticPr fontId="16" type="noConversion"/>
  </si>
  <si>
    <t>Align Y phase detector trimming
trim range: -200ns~185ns (3.85%@100kHz)
trim step: 25ns (0.25%@100kHz)</t>
    <phoneticPr fontId="16" type="noConversion"/>
  </si>
  <si>
    <t>VRECT_ATTEN_TRIM[7:0]</t>
    <phoneticPr fontId="16" type="noConversion"/>
  </si>
  <si>
    <t>VRECT trimming bits</t>
    <phoneticPr fontId="16" type="noConversion"/>
  </si>
  <si>
    <t>TX_MODE_EN</t>
    <phoneticPr fontId="16" type="noConversion"/>
  </si>
  <si>
    <t>Function switch</t>
    <phoneticPr fontId="16" type="noConversion"/>
  </si>
  <si>
    <t>0: rectifier, 1: MST</t>
    <phoneticPr fontId="14" type="noConversion"/>
  </si>
  <si>
    <t>TX_D[5:1]</t>
    <phoneticPr fontId="16" type="noConversion"/>
  </si>
  <si>
    <t>[0] MST input High side MOS1 signal
[1] MST input High side MOS2 signal
[2] MST input Low side MOS1 signal
[3] MST input Low side MOS2 signal</t>
    <phoneticPr fontId="14" type="noConversion"/>
  </si>
  <si>
    <t>SR_MAN_LSL[3:0]</t>
    <phoneticPr fontId="16" type="noConversion"/>
  </si>
  <si>
    <t>SR_MAN_LSH[3:0]</t>
    <phoneticPr fontId="16" type="noConversion"/>
  </si>
  <si>
    <t>RECT_INTR[3:0]</t>
    <phoneticPr fontId="16" type="noConversion"/>
  </si>
  <si>
    <t>RECT_INTR_EN[3:0]</t>
    <phoneticPr fontId="16" type="noConversion"/>
  </si>
  <si>
    <t>4’h0C</t>
    <phoneticPr fontId="16" type="noConversion"/>
  </si>
  <si>
    <t>LDOFET_CP_EN</t>
    <phoneticPr fontId="14" type="noConversion"/>
  </si>
  <si>
    <t>LDOFET_CP_CLK[1:0]</t>
    <phoneticPr fontId="14" type="noConversion"/>
  </si>
  <si>
    <t>LDO charge pump enable</t>
    <phoneticPr fontId="14" type="noConversion"/>
  </si>
  <si>
    <t>LDO charge pump clock</t>
    <phoneticPr fontId="14" type="noConversion"/>
  </si>
  <si>
    <t>15MHz, 7.5MHz, 3.75MHz, 1.875MHz</t>
    <phoneticPr fontId="14" type="noConversion"/>
  </si>
  <si>
    <t>MLDO_ILIM_CONT[4:0]</t>
    <phoneticPr fontId="14" type="noConversion"/>
  </si>
  <si>
    <t>5’h18</t>
    <phoneticPr fontId="14" type="noConversion"/>
  </si>
  <si>
    <t>ILIM generation for OCL function</t>
    <phoneticPr fontId="14" type="noConversion"/>
  </si>
  <si>
    <t>default 1.2A, ILIM(A) = MLDO_ILIM_CONT[4:0] * 0.05A</t>
    <phoneticPr fontId="14" type="noConversion"/>
  </si>
  <si>
    <t>MLDO_ISEN_CHOP_EN</t>
    <phoneticPr fontId="14" type="noConversion"/>
  </si>
  <si>
    <t>Current sensor chopping control for mismatch reduction</t>
    <phoneticPr fontId="14" type="noConversion"/>
  </si>
  <si>
    <t>clock enable</t>
    <phoneticPr fontId="14" type="noConversion"/>
  </si>
  <si>
    <t>MLDO_ISEN_CHOP_CLK_EN</t>
    <phoneticPr fontId="14" type="noConversion"/>
  </si>
  <si>
    <t>MLDO_ISEN_CHOP_CLK[1:0]</t>
    <phoneticPr fontId="14" type="noConversion"/>
  </si>
  <si>
    <t>clock</t>
    <phoneticPr fontId="14" type="noConversion"/>
  </si>
  <si>
    <t>MLDO_WB_EN</t>
    <phoneticPr fontId="14" type="noConversion"/>
  </si>
  <si>
    <t>MDLO amp control for wide bandwidth and high PSRR</t>
    <phoneticPr fontId="14" type="noConversion"/>
  </si>
  <si>
    <t>0: x1, 1: x4</t>
    <phoneticPr fontId="14" type="noConversion"/>
  </si>
  <si>
    <t>MLDO_COMP_R[1:0]</t>
    <phoneticPr fontId="14" type="noConversion"/>
  </si>
  <si>
    <t>MLDO compensation resistor control</t>
    <phoneticPr fontId="14" type="noConversion"/>
  </si>
  <si>
    <t>0: short, 1: R, 2: 2R, 3: 4R</t>
    <phoneticPr fontId="14" type="noConversion"/>
  </si>
  <si>
    <t>SLEEP_MODE</t>
    <phoneticPr fontId="14" type="noConversion"/>
  </si>
  <si>
    <t>PEN_BUF</t>
    <phoneticPr fontId="14" type="noConversion"/>
  </si>
  <si>
    <t>1'b1</t>
    <phoneticPr fontId="14" type="noConversion"/>
  </si>
  <si>
    <t>Buffer block power enable</t>
    <phoneticPr fontId="14" type="noConversion"/>
  </si>
  <si>
    <t>Sleep mode enable</t>
    <phoneticPr fontId="14" type="noConversion"/>
  </si>
  <si>
    <t>with SLEEP_MODE=1, OSC clock is lowered for sleep mode current reduction.</t>
    <phoneticPr fontId="14" type="noConversion"/>
  </si>
  <si>
    <t>MDC_ADC_DIN[7:0]</t>
    <phoneticPr fontId="14" type="noConversion"/>
  </si>
  <si>
    <t>MDC_ADC_DIN[11:8]</t>
    <phoneticPr fontId="14" type="noConversion"/>
  </si>
  <si>
    <t>1.2.1 Addr 0x38000018 WPC ANA CONFIG 0</t>
    <phoneticPr fontId="14" type="noConversion"/>
  </si>
  <si>
    <t>VOUT_ATTEN_TRIM</t>
    <phoneticPr fontId="14" type="noConversion"/>
  </si>
  <si>
    <t>VOUT scaling</t>
    <phoneticPr fontId="14" type="noConversion"/>
  </si>
  <si>
    <t>0: 1/5 for 5V Vout, 1 : 1/10 for 9V Vout</t>
    <phoneticPr fontId="14" type="noConversion"/>
  </si>
  <si>
    <t>OVP_OUT</t>
    <phoneticPr fontId="14" type="noConversion"/>
  </si>
  <si>
    <t>SDET_MASK</t>
    <phoneticPr fontId="14" type="noConversion"/>
  </si>
  <si>
    <t>MLDO VOUT short detection function control</t>
    <phoneticPr fontId="14" type="noConversion"/>
  </si>
  <si>
    <t>MLDO_SHORT_DET</t>
    <phoneticPr fontId="14" type="noConversion"/>
  </si>
  <si>
    <t>0 : Disable, 1 : Enable
*** During VOUT start-up time, this should not be enabled.</t>
    <phoneticPr fontId="14" type="noConversion"/>
  </si>
  <si>
    <t>Mask for MLDO disable when SDET interrupt occurred</t>
    <phoneticPr fontId="14" type="noConversion"/>
  </si>
  <si>
    <t>1: turn off MLDO when SDET interrupt occurred
0: do nothing when SDET interrupt occurred</t>
    <phoneticPr fontId="14" type="noConversion"/>
  </si>
  <si>
    <t>Enable the protection module</t>
    <phoneticPr fontId="14" type="noConversion"/>
  </si>
  <si>
    <t>1:Enable the protection module. 0: disable</t>
    <phoneticPr fontId="14" type="noConversion"/>
  </si>
  <si>
    <t>1:Enable the short detect module. 0:disable</t>
    <phoneticPr fontId="14" type="noConversion"/>
  </si>
  <si>
    <t>MLDO VOUT short detection level</t>
    <phoneticPr fontId="14" type="noConversion"/>
  </si>
  <si>
    <t>00 : 2.75V, 01 : 3.0V, 10 : 3.25V, 11 : 3.5V</t>
    <phoneticPr fontId="14" type="noConversion"/>
  </si>
  <si>
    <t>MLDO VOUT short detection level with hysteresis</t>
    <phoneticPr fontId="14" type="noConversion"/>
  </si>
  <si>
    <t>00 : 3.0V, 01 : 3.25V, 10 : 3.5V, 11 : 3.75V</t>
    <phoneticPr fontId="14" type="noConversion"/>
  </si>
  <si>
    <t>SDET timeout counter</t>
    <phoneticPr fontId="14" type="noConversion"/>
  </si>
  <si>
    <t>0:16 cycles ,1:32 cycles,… 7:2048</t>
    <phoneticPr fontId="14" type="noConversion"/>
  </si>
  <si>
    <t>1’h0F</t>
    <phoneticPr fontId="14" type="noConversion"/>
  </si>
  <si>
    <t>INTR_PROT_CLR[3:0]</t>
    <phoneticPr fontId="14" type="noConversion"/>
  </si>
  <si>
    <t>INTR_PROT_EN[7:4]</t>
    <phoneticPr fontId="14" type="noConversion"/>
  </si>
  <si>
    <t>4’h00</t>
    <phoneticPr fontId="14" type="noConversion"/>
  </si>
  <si>
    <t>3’h03</t>
    <phoneticPr fontId="14" type="noConversion"/>
  </si>
  <si>
    <t>[0]:OVP intr enable bit.[2:1] SDET intr enable bits.[3] UVLO intr enable</t>
    <phoneticPr fontId="14" type="noConversion"/>
  </si>
  <si>
    <t>Interrupt status register</t>
    <phoneticPr fontId="14" type="noConversion"/>
  </si>
  <si>
    <t>Write 1 to clear interrupt.
[0]:OVP intr, [2:1]: SDET intr, [3]:UVLO intr</t>
    <phoneticPr fontId="14" type="noConversion"/>
  </si>
  <si>
    <t>GPIO_EN[7:0]</t>
  </si>
  <si>
    <t>GPIO_OEB[7:0]</t>
  </si>
  <si>
    <t>GPIO_IE[7:0]</t>
  </si>
  <si>
    <t>GPIO_IM[7:0]</t>
  </si>
  <si>
    <t>GPIO_IP[7:0]</t>
  </si>
  <si>
    <t>GPIO_IS[7:0]</t>
  </si>
  <si>
    <t>GPIO_AE[7:0]</t>
  </si>
  <si>
    <t>4.1.0 Addr 0x50000010 Deglitch_off</t>
  </si>
  <si>
    <t>Deglitch_off[0]</t>
  </si>
  <si>
    <t>4.1.1 Addr 0x50000011 Deglitch_on</t>
  </si>
  <si>
    <t>4.1.2 Addr 0x50000012 Wakeup_intr_mode</t>
  </si>
  <si>
    <t>Wakeup_intr_mode[0]</t>
  </si>
  <si>
    <t>1: set I2C wakeup signal high         0: using deglitch output</t>
  </si>
  <si>
    <t>GPIO enable</t>
    <phoneticPr fontId="14" type="noConversion"/>
  </si>
  <si>
    <t>[2]: INTB, [3]: ODIO0 [4]: ODIO1, [5]: PPIO0, [6]: PPIO1, [7]: PPIO2</t>
    <phoneticPr fontId="14" type="noConversion"/>
  </si>
  <si>
    <t xml:space="preserve">The gate sink current of path TR trimming </t>
    <phoneticPr fontId="14" type="noConversion"/>
  </si>
  <si>
    <t>BGR trimming range 740mV~873mV;step:2mV
-00000: 800mV -10000:873mV -111111:740mV</t>
    <phoneticPr fontId="14" type="noConversion"/>
  </si>
  <si>
    <t>BGR trimming</t>
    <phoneticPr fontId="16" type="noConversion"/>
  </si>
  <si>
    <t>TRIM_BGR_VOUT[5:0]</t>
    <phoneticPr fontId="14" type="noConversion"/>
  </si>
  <si>
    <t>1.2.2 Addr 0x38000019 WPC ANA CONFIG 1</t>
    <phoneticPr fontId="14" type="noConversion"/>
  </si>
  <si>
    <t>TRIM_BGR_TC[4:0]</t>
    <phoneticPr fontId="14" type="noConversion"/>
  </si>
  <si>
    <t>5'b0</t>
    <phoneticPr fontId="14" type="noConversion"/>
  </si>
  <si>
    <t>BGR tempeture calibration</t>
    <phoneticPr fontId="14" type="noConversion"/>
  </si>
  <si>
    <t>1.2.3 Addr 0x3800001A WPC ANA CONFIG 2</t>
    <phoneticPr fontId="14" type="noConversion"/>
  </si>
  <si>
    <t>TRIM_LDO50[3:0]</t>
    <phoneticPr fontId="14" type="noConversion"/>
  </si>
  <si>
    <t>TRIM_LDO18[3:0]</t>
    <phoneticPr fontId="14" type="noConversion"/>
  </si>
  <si>
    <t>LDO50 trimming</t>
    <phoneticPr fontId="14" type="noConversion"/>
  </si>
  <si>
    <t>LDO18 trimming</t>
    <phoneticPr fontId="14" type="noConversion"/>
  </si>
  <si>
    <t>4'b0</t>
    <phoneticPr fontId="14" type="noConversion"/>
  </si>
  <si>
    <t>LDO50 trimming
(LDO50_MODE=0):-0000=4.99 -1000=4.42 -1111=5.44(step:80mV)
(LDO50_MODE=1):-0000=3.1 -1000=2.88 -1111=3.22(step:20mV)</t>
    <phoneticPr fontId="14" type="noConversion"/>
  </si>
  <si>
    <t>LDO50_MODE</t>
    <phoneticPr fontId="14" type="noConversion"/>
  </si>
  <si>
    <t>LDO50 MODE</t>
    <phoneticPr fontId="14" type="noConversion"/>
  </si>
  <si>
    <t>When VRECT tracks VOUT (in LDO mode) or VBAT (in Charger mode), VRECT can be lowered to 3.3V. In this case, LDO50_MODE turns to 1, then the nominal output voltage of LDO50 becomes 3.1V.</t>
    <phoneticPr fontId="14" type="noConversion"/>
  </si>
  <si>
    <t>TRIM_RCOSC_C[7:0]</t>
    <phoneticPr fontId="14" type="noConversion"/>
  </si>
  <si>
    <t>trimming OSC  current</t>
    <phoneticPr fontId="16" type="noConversion"/>
  </si>
  <si>
    <t>0000=1.96uA  1000=1.62uA  0111=2.40uA  1111=1.91uA</t>
    <phoneticPr fontId="14" type="noConversion"/>
  </si>
  <si>
    <t xml:space="preserve">trimming OSC frequence </t>
    <phoneticPr fontId="16" type="noConversion"/>
  </si>
  <si>
    <t>00000000=11MHz  10000000=17MHz  11111111=35MHz</t>
    <phoneticPr fontId="14" type="noConversion"/>
  </si>
  <si>
    <t>TRIM_ADC_GC[4:0]</t>
    <phoneticPr fontId="14" type="noConversion"/>
  </si>
  <si>
    <t>ADC gain control bit</t>
    <phoneticPr fontId="14" type="noConversion"/>
  </si>
  <si>
    <t>00000:0.2V-1.6V
11111:0.325V-1.475V</t>
    <phoneticPr fontId="14" type="noConversion"/>
  </si>
  <si>
    <t>TRIM_ADC_VFB[3:0]</t>
    <phoneticPr fontId="14" type="noConversion"/>
  </si>
  <si>
    <t>4'h8</t>
    <phoneticPr fontId="14" type="noConversion"/>
  </si>
  <si>
    <t>trimming for vreft vrefm vrefb</t>
    <phoneticPr fontId="14" type="noConversion"/>
  </si>
  <si>
    <t>1.2.5 Addr 0x3800001D WPC ANA CONFIG 4</t>
    <phoneticPr fontId="14" type="noConversion"/>
  </si>
  <si>
    <t>1.2.6 Addr 0x3800001E WPC ANA CONFIG 5</t>
    <phoneticPr fontId="14" type="noConversion"/>
  </si>
  <si>
    <t>TRIM_ADC_REF[1:0]</t>
    <phoneticPr fontId="14" type="noConversion"/>
  </si>
  <si>
    <t xml:space="preserve">ADC VREF BLOCK TOP VOLTAGE </t>
    <phoneticPr fontId="14" type="noConversion"/>
  </si>
  <si>
    <t>00:1.6V  01:1.5V 10:1.5V 11:1.4V</t>
    <phoneticPr fontId="14" type="noConversion"/>
  </si>
  <si>
    <t>TRIM_ADC_VREFB[1:0]</t>
    <phoneticPr fontId="14" type="noConversion"/>
  </si>
  <si>
    <t>vrefb setting:low vref of sar adc</t>
    <phoneticPr fontId="14" type="noConversion"/>
  </si>
  <si>
    <t>00:0.2V  01:0.3V  10:0.4V 11:0.5V</t>
    <phoneticPr fontId="14" type="noConversion"/>
  </si>
  <si>
    <t>TRIM_ADC_VREFM[1:0]</t>
    <phoneticPr fontId="14" type="noConversion"/>
  </si>
  <si>
    <t>TRIM_ADC_VREFT[1:0]</t>
    <phoneticPr fontId="14" type="noConversion"/>
  </si>
  <si>
    <t>vrefm setting:middle vref of sar adc</t>
    <phoneticPr fontId="14" type="noConversion"/>
  </si>
  <si>
    <t>vreft setting:high vref of sar adc</t>
    <phoneticPr fontId="14" type="noConversion"/>
  </si>
  <si>
    <t>00:1.3V  01:1.4V  10:1.5V 11:1.6V</t>
    <phoneticPr fontId="14" type="noConversion"/>
  </si>
  <si>
    <t>00:0.7V  01:0.8V  10:0.9V 11:1.0V</t>
    <phoneticPr fontId="14" type="noConversion"/>
  </si>
  <si>
    <t>2'h0</t>
    <phoneticPr fontId="14" type="noConversion"/>
  </si>
  <si>
    <t>2'h1</t>
    <phoneticPr fontId="14" type="noConversion"/>
  </si>
  <si>
    <t>2'h2</t>
    <phoneticPr fontId="14" type="noConversion"/>
  </si>
  <si>
    <t>OTP_R/W_CTRL[1:0]</t>
  </si>
  <si>
    <t>OTP read/write control</t>
    <phoneticPr fontId="14" type="noConversion"/>
  </si>
  <si>
    <t>[0] : Read enable, [1] Write enable</t>
    <phoneticPr fontId="14" type="noConversion"/>
  </si>
  <si>
    <t>1.2.4 Addr 0x3800001C WPC ANA CONFIG 3</t>
    <phoneticPr fontId="14" type="noConversion"/>
  </si>
  <si>
    <t>ISEN2_OFFCON[4:0]</t>
    <phoneticPr fontId="14" type="noConversion"/>
  </si>
  <si>
    <t>0: VCTAT_ADC, 1: PPIO1, 2: PPIO0, 3: ADC_ILIM, 4: ADC_IOUT
8: BGR, 9: VRECT_ATTEN, 11: POR, 15: ODIO0</t>
    <phoneticPr fontId="14" type="noConversion"/>
  </si>
  <si>
    <t>SET_VOUT[7:0]</t>
    <phoneticPr fontId="14" type="noConversion"/>
  </si>
  <si>
    <t>SET_VOUT[10:8]</t>
    <phoneticPr fontId="14" type="noConversion"/>
  </si>
  <si>
    <t>ANA_TEST_CTRL[3:0]</t>
    <phoneticPr fontId="14" type="noConversion"/>
  </si>
  <si>
    <t>ANA_TEST_PEN</t>
    <phoneticPr fontId="14" type="noConversion"/>
  </si>
  <si>
    <t>SDET_CNT[3:0]</t>
    <phoneticPr fontId="14" type="noConversion"/>
  </si>
  <si>
    <t>TRIM_OVP_L[3:0]</t>
    <phoneticPr fontId="14" type="noConversion"/>
  </si>
  <si>
    <t>CAL_DATA_ADC_SV[7:0]</t>
    <phoneticPr fontId="16" type="noConversion"/>
  </si>
  <si>
    <t>ADC scaling vector calibration data</t>
    <phoneticPr fontId="16" type="noConversion"/>
  </si>
  <si>
    <t>0x00</t>
    <phoneticPr fontId="16" type="noConversion"/>
  </si>
  <si>
    <t>8’h00</t>
    <phoneticPr fontId="16" type="noConversion"/>
  </si>
  <si>
    <t>CAL_DATA_ADC_SV[15:8]</t>
    <phoneticPr fontId="16" type="noConversion"/>
  </si>
  <si>
    <t>CAL_DATA_ADC_CONST[7:0]</t>
    <phoneticPr fontId="16" type="noConversion"/>
  </si>
  <si>
    <t>ADC constant calibration data</t>
    <phoneticPr fontId="16" type="noConversion"/>
  </si>
  <si>
    <t>CAL_DATA_ADC_CONST[15:8]</t>
    <phoneticPr fontId="16" type="noConversion"/>
  </si>
  <si>
    <t>All getting results of command are stored at TRIM_RESULT[15:0]
This value returns to zero when the command completes
0x01 : Enter "Test PT" mode. In "Test PT", user can control Vrect voltage and rectifier mode.
0x02 : Exit "Test PT" mode
0x03 : Enable Protection mode
0x04 : Disable Protection mode
0x10 : Send ASK
0x11 : Wait for receiving FSK respnse and gets result after receiving
0x12 : Run ADC self test and gets result after testing
0x14 : Turn-on Main LDO
0x15 : Turn-off Main LDO
0x16 : Run SET_VOUT test and gets result after testing
0x18 : Sets VOUT voltage by TRIM_TEST_VOUT[15:0]
0x19 : Gets Vrect (mV)
0x1A : Gets Vout (mV)
0x1B : Gets Iout (mA)
0x1C : Gets AC frequency, TRIM_RESULT * 10 (Hz)
0x1D : Gets Extern temp, TRIM_RESULT / 10 (degree)
0x1E : Gets Internal temp, TRIM_RESULT / 10 (degree)
0x20~0x2B : Get ADC code  (0:Vrec, 1:Vout, 2:Iout, 3:ILIM, 4:ODIO0, 5:PPIO1, 6:VCTAT, 7:NONE, 8:NONE, 9:ODIO1, 10:PPIO0, 11:PPIO2
0x32~0x36 : GPIO output low (GPIO2, 3, 4, 5, 6)
0x42~0x46 : GPIO output high (GPIO2, 3, 4, 5, 6)
0x52~0x56 : GPIO inout and gets GPIO status
0x62~0x66 : Set anlog pin (GPIO2, 3, 4, 5, 6)</t>
    <phoneticPr fontId="14" type="noConversion"/>
  </si>
  <si>
    <t>Trimming and test command</t>
    <phoneticPr fontId="14" type="noConversion"/>
  </si>
  <si>
    <t>Maximum charge current in BMS mode</t>
    <phoneticPr fontId="14" type="noConversion"/>
  </si>
  <si>
    <t>MAX_CHARGE_CURRENT[7:0]</t>
    <phoneticPr fontId="14" type="noConversion"/>
  </si>
  <si>
    <t>Maximum charge current (mA) = MAX_CHARGE_CURRENT[7:0] * 10</t>
    <phoneticPr fontId="14" type="noConversion"/>
  </si>
  <si>
    <t>FOLD_BACK_VOLTAGE[7:0]</t>
    <phoneticPr fontId="14" type="noConversion"/>
  </si>
  <si>
    <t>fold back voltage in BMS mode</t>
    <phoneticPr fontId="14" type="noConversion"/>
  </si>
  <si>
    <t>LOW_CHARGE_TEMP[7:0]</t>
    <phoneticPr fontId="14" type="noConversion"/>
  </si>
  <si>
    <t>HIGH_CHARGE_TEMP[7:0]</t>
    <phoneticPr fontId="14" type="noConversion"/>
  </si>
  <si>
    <t>low charge temperature in BMS mode (degree)</t>
    <phoneticPr fontId="14" type="noConversion"/>
  </si>
  <si>
    <t>8’h64</t>
    <phoneticPr fontId="14" type="noConversion"/>
  </si>
  <si>
    <t>8’hC8</t>
    <phoneticPr fontId="14" type="noConversion"/>
  </si>
  <si>
    <t>8’h0A</t>
    <phoneticPr fontId="14" type="noConversion"/>
  </si>
  <si>
    <t>8’h2D</t>
    <phoneticPr fontId="14" type="noConversion"/>
  </si>
  <si>
    <t>if battery tempearture is between 0 to LOW_CHARGE_TEMP. maximum charge current is reduced by half.</t>
    <phoneticPr fontId="14" type="noConversion"/>
  </si>
  <si>
    <t>if battery tempearture is between HIGH_CHARGE_TEMP to 60 degree. maximum charging voltage is decreased by FOLD_BACK_VOLTAGE (mV).</t>
    <phoneticPr fontId="14" type="noConversion"/>
  </si>
  <si>
    <t>5.0.0 Addr 0x50020000 GPIO_EN(1:normal GPIO, 0 : test signal output)</t>
    <phoneticPr fontId="14" type="noConversion"/>
  </si>
  <si>
    <t>5.0.1 Addr 0x50020040 GPIO_OEB (1:open drain as input, 0 : as output)</t>
    <phoneticPr fontId="14" type="noConversion"/>
  </si>
  <si>
    <t>5.0.2 Addr 0x50020080 GPIO OUT (1: output High, 0 : output LOW)</t>
    <phoneticPr fontId="14" type="noConversion"/>
  </si>
  <si>
    <t>5.0.3 Addr 0x500200C0 GPIO IN (1: input HIGH, 0 : input LOW)</t>
    <phoneticPr fontId="14" type="noConversion"/>
  </si>
  <si>
    <t>5.0.4 Addr 0x50020100 GPIO Interruput Enable (1: Enable GPIO interrupt, 0 : disable GPIO interrupt)</t>
    <phoneticPr fontId="14" type="noConversion"/>
  </si>
  <si>
    <t>5.0.5 Addr 0x50020104 GPIO_IM (1: interrupt edge trigger, 0 : interrupt level trigger)</t>
    <phoneticPr fontId="14" type="noConversion"/>
  </si>
  <si>
    <t>5.0.6 Addr 0x50020108 GPIO_Interrupt polarity (1: Low trigger, 0 : High trigger)</t>
    <phoneticPr fontId="14" type="noConversion"/>
  </si>
  <si>
    <t>5.0.7 Addr 0x50020140 GPIO_Interrupt state (read 1: int generated, write 1 :clear interrupt)</t>
    <phoneticPr fontId="14" type="noConversion"/>
  </si>
  <si>
    <t>5.0.8 Addr 0x50020180 GPIO_AE --Analog Path Enable ( 1: enable 0 :disable)</t>
    <phoneticPr fontId="14" type="noConversion"/>
  </si>
  <si>
    <t>LPWM_EN</t>
    <phoneticPr fontId="14" type="noConversion"/>
  </si>
  <si>
    <t>LPWM block enable</t>
    <phoneticPr fontId="14" type="noConversion"/>
  </si>
  <si>
    <t>LPWM_PRESCALE[7:0]</t>
    <phoneticPr fontId="14" type="noConversion"/>
  </si>
  <si>
    <t>LPWM prescaler</t>
    <phoneticPr fontId="14" type="noConversion"/>
  </si>
  <si>
    <t>F_op = 15MHz / (1 + LPWM_PRESCALE[15:0])</t>
    <phoneticPr fontId="14" type="noConversion"/>
  </si>
  <si>
    <t>LPWM_PRESCALE[15:8]</t>
    <phoneticPr fontId="14" type="noConversion"/>
  </si>
  <si>
    <t>LPWM_PERIOD[7:0]</t>
    <phoneticPr fontId="14" type="noConversion"/>
  </si>
  <si>
    <t>LPWM_PERIOD[15:8]</t>
    <phoneticPr fontId="14" type="noConversion"/>
  </si>
  <si>
    <t>LPWM period</t>
    <phoneticPr fontId="14" type="noConversion"/>
  </si>
  <si>
    <t>LPWM_CH0_COMP[7:0]</t>
    <phoneticPr fontId="14" type="noConversion"/>
  </si>
  <si>
    <t>LPWM_CH0_COMP[15:8]</t>
    <phoneticPr fontId="14" type="noConversion"/>
  </si>
  <si>
    <t>LPWM channel0 high to low position</t>
    <phoneticPr fontId="14" type="noConversion"/>
  </si>
  <si>
    <t>LPWM_CH1_COMP[7:0]</t>
    <phoneticPr fontId="14" type="noConversion"/>
  </si>
  <si>
    <t>LPWM_CH1_COMP[15:8]</t>
    <phoneticPr fontId="14" type="noConversion"/>
  </si>
  <si>
    <t>LPWM channel high to low position</t>
    <phoneticPr fontId="14" type="noConversion"/>
  </si>
  <si>
    <t>CAL_DATA_VOSET_L63[7:0]</t>
    <phoneticPr fontId="16" type="noConversion"/>
  </si>
  <si>
    <t>VOSET redundancy compensation factor</t>
    <phoneticPr fontId="16" type="noConversion"/>
  </si>
  <si>
    <t>CAL_DATA_VOSET_H63[7:0]</t>
    <phoneticPr fontId="16" type="noConversion"/>
  </si>
  <si>
    <t>This value is amount of VOUT voltage when SET_VOUT increase 63 code.</t>
    <phoneticPr fontId="14" type="noConversion"/>
  </si>
  <si>
    <t>1.8.6 Addr 0x3800007C WPC Analog RSVD.L</t>
    <phoneticPr fontId="14" type="noConversion"/>
  </si>
  <si>
    <t>1.8.6 Addr 0x3800007D WPC Analog RSVD.H</t>
    <phoneticPr fontId="14" type="noConversion"/>
  </si>
  <si>
    <t>RSVD_CTRL[15:8]</t>
    <phoneticPr fontId="14" type="noConversion"/>
  </si>
  <si>
    <t>[10] PDETB nmos control
[9:8] CMB GPIO output only (signal, en) when ENB_CMAB = 1</t>
    <phoneticPr fontId="14" type="noConversion"/>
  </si>
  <si>
    <t>[1:0] CMA GPIO output only (signal, en) when ENB_CMAB = 1
[2] 0 (50mV), 1 (-25mV) offset
[3] EXT_TS_BUFFER ENABLE
[4] ADC0_BUFFER ENABLE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</si>
</sst>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17">
    <font>
      <sz val="11"/>
      <name val="돋움"/>
      <charset val="129"/>
    </font>
    <font>
      <sz val="10"/>
      <name val="Arial"/>
      <family val="2"/>
    </font>
    <font>
      <b/>
      <sz val="10"/>
      <name val="Arial"/>
      <family val="2"/>
    </font>
    <font>
      <sz val="10"/>
      <color rgb="FF00000A"/>
      <name val="맑은 고딕"/>
      <family val="3"/>
      <charset val="129"/>
    </font>
    <font>
      <b/>
      <sz val="10"/>
      <color rgb="FF00000A"/>
      <name val="Trebuchet MS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b/>
      <sz val="11"/>
      <color indexed="10"/>
      <name val="宋体"/>
      <family val="3"/>
      <charset val="134"/>
      <scheme val="minor"/>
    </font>
    <font>
      <sz val="10"/>
      <name val="Tahoma"/>
      <family val="2"/>
    </font>
    <font>
      <b/>
      <sz val="10"/>
      <name val="Tahoma"/>
      <family val="2"/>
    </font>
    <font>
      <sz val="11"/>
      <name val="Arial"/>
      <family val="2"/>
    </font>
    <font>
      <sz val="11"/>
      <color theme="1"/>
      <name val="宋体"/>
      <family val="3"/>
      <charset val="134"/>
      <scheme val="minor"/>
    </font>
    <font>
      <sz val="10.5"/>
      <name val="ＭＳ 明朝"/>
      <family val="3"/>
    </font>
    <font>
      <sz val="11"/>
      <name val="돋움"/>
      <family val="3"/>
      <charset val="129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</cellStyleXfs>
  <cellXfs count="231">
    <xf numFmtId="0" fontId="0" fillId="0" borderId="0" xfId="0">
      <alignment vertical="center"/>
    </xf>
    <xf numFmtId="0" fontId="1" fillId="0" borderId="0" xfId="3" applyFont="1">
      <alignment vertical="center"/>
    </xf>
    <xf numFmtId="0" fontId="1" fillId="0" borderId="0" xfId="0" applyFont="1">
      <alignment vertical="center"/>
    </xf>
    <xf numFmtId="0" fontId="2" fillId="0" borderId="0" xfId="3" applyFont="1" applyAlignment="1">
      <alignment horizontal="left" vertical="center"/>
    </xf>
    <xf numFmtId="0" fontId="1" fillId="0" borderId="1" xfId="3" applyFont="1" applyBorder="1" applyAlignment="1">
      <alignment vertical="center" wrapText="1"/>
    </xf>
    <xf numFmtId="0" fontId="1" fillId="0" borderId="0" xfId="3" applyFont="1" applyAlignment="1">
      <alignment horizontal="center" vertical="center"/>
    </xf>
    <xf numFmtId="0" fontId="1" fillId="0" borderId="4" xfId="3" applyFont="1" applyBorder="1" applyAlignment="1">
      <alignment horizontal="left"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5" xfId="3" applyFont="1" applyBorder="1" applyAlignment="1">
      <alignment horizontal="center" vertical="center" wrapText="1"/>
    </xf>
    <xf numFmtId="0" fontId="3" fillId="3" borderId="0" xfId="0" applyFont="1" applyFill="1" applyAlignment="1">
      <alignment horizontal="justify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" fillId="0" borderId="0" xfId="3" applyFont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3" applyFont="1" applyBorder="1" applyAlignment="1">
      <alignment vertical="center" wrapText="1"/>
    </xf>
    <xf numFmtId="0" fontId="1" fillId="0" borderId="5" xfId="3" applyFont="1" applyBorder="1" applyAlignment="1">
      <alignment vertical="center" wrapText="1"/>
    </xf>
    <xf numFmtId="0" fontId="1" fillId="0" borderId="6" xfId="3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3" applyFont="1" applyBorder="1" applyAlignment="1">
      <alignment horizontal="left" vertical="center"/>
    </xf>
    <xf numFmtId="0" fontId="1" fillId="0" borderId="14" xfId="3" applyFont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1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center" vertical="center" wrapText="1"/>
    </xf>
    <xf numFmtId="0" fontId="1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center" vertical="center" wrapText="1"/>
    </xf>
    <xf numFmtId="0" fontId="6" fillId="0" borderId="0" xfId="9" applyFont="1">
      <alignment vertical="center"/>
    </xf>
    <xf numFmtId="0" fontId="6" fillId="19" borderId="4" xfId="9" applyFont="1" applyFill="1" applyBorder="1" applyAlignment="1">
      <alignment horizontal="center" vertical="center"/>
    </xf>
    <xf numFmtId="0" fontId="6" fillId="0" borderId="4" xfId="9" applyFont="1" applyBorder="1" applyAlignment="1">
      <alignment horizontal="center" vertical="center"/>
    </xf>
    <xf numFmtId="0" fontId="6" fillId="0" borderId="4" xfId="9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13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" fillId="0" borderId="4" xfId="3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2" fillId="0" borderId="0" xfId="3" applyFont="1">
      <alignment vertical="center"/>
    </xf>
    <xf numFmtId="0" fontId="5" fillId="0" borderId="0" xfId="3" applyFont="1">
      <alignment vertical="center"/>
    </xf>
    <xf numFmtId="0" fontId="2" fillId="20" borderId="0" xfId="3" applyFont="1" applyFill="1">
      <alignment vertical="center"/>
    </xf>
    <xf numFmtId="0" fontId="15" fillId="20" borderId="0" xfId="3" applyFont="1" applyFill="1" applyAlignment="1">
      <alignment horizontal="center" vertical="center"/>
    </xf>
    <xf numFmtId="0" fontId="1" fillId="0" borderId="4" xfId="3" applyFont="1" applyBorder="1">
      <alignment vertical="center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3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21" borderId="0" xfId="3" applyFont="1" applyFill="1" applyAlignment="1">
      <alignment horizontal="center" vertical="center"/>
    </xf>
    <xf numFmtId="0" fontId="1" fillId="21" borderId="0" xfId="3" applyFont="1" applyFill="1" applyBorder="1" applyAlignment="1">
      <alignment horizontal="left" vertical="center"/>
    </xf>
    <xf numFmtId="0" fontId="1" fillId="21" borderId="0" xfId="3" applyFont="1" applyFill="1" applyBorder="1" applyAlignment="1">
      <alignment horizontal="center" vertical="center" wrapText="1"/>
    </xf>
    <xf numFmtId="0" fontId="1" fillId="21" borderId="0" xfId="3" applyFont="1" applyFill="1">
      <alignment vertical="center"/>
    </xf>
    <xf numFmtId="0" fontId="1" fillId="0" borderId="0" xfId="3" applyFont="1" applyFill="1" applyAlignment="1">
      <alignment horizontal="center" vertical="center"/>
    </xf>
    <xf numFmtId="0" fontId="1" fillId="0" borderId="0" xfId="3" applyFont="1" applyFill="1">
      <alignment vertical="center"/>
    </xf>
    <xf numFmtId="0" fontId="1" fillId="0" borderId="4" xfId="3" applyFont="1" applyFill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4" xfId="3" quotePrefix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Fill="1">
      <alignment vertical="center"/>
    </xf>
    <xf numFmtId="0" fontId="5" fillId="0" borderId="0" xfId="3" applyFont="1" applyFill="1" applyAlignment="1">
      <alignment horizontal="center" vertical="center"/>
    </xf>
    <xf numFmtId="0" fontId="3" fillId="0" borderId="4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4" xfId="3" applyFont="1" applyFill="1" applyBorder="1" applyAlignment="1">
      <alignment horizontal="left" vertical="center" wrapText="1"/>
    </xf>
    <xf numFmtId="0" fontId="1" fillId="0" borderId="4" xfId="3" applyFont="1" applyFill="1" applyBorder="1" applyAlignment="1">
      <alignment vertical="center" wrapText="1"/>
    </xf>
    <xf numFmtId="0" fontId="1" fillId="0" borderId="4" xfId="3" applyFont="1" applyFill="1" applyBorder="1" applyAlignment="1">
      <alignment horizontal="left" vertical="center"/>
    </xf>
    <xf numFmtId="0" fontId="1" fillId="0" borderId="4" xfId="3" quotePrefix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4" xfId="3" applyFont="1" applyBorder="1" applyAlignment="1">
      <alignment horizontal="center" vertical="center" wrapText="1"/>
    </xf>
    <xf numFmtId="0" fontId="7" fillId="0" borderId="13" xfId="9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24" borderId="4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15" borderId="2" xfId="3" applyFont="1" applyFill="1" applyBorder="1" applyAlignment="1">
      <alignment horizontal="center" vertical="center" wrapText="1"/>
    </xf>
    <xf numFmtId="0" fontId="1" fillId="15" borderId="3" xfId="3" applyFont="1" applyFill="1" applyBorder="1" applyAlignment="1">
      <alignment horizontal="center" vertical="center" wrapText="1"/>
    </xf>
    <xf numFmtId="0" fontId="1" fillId="15" borderId="5" xfId="3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7" borderId="2" xfId="3" applyFont="1" applyFill="1" applyBorder="1" applyAlignment="1">
      <alignment horizontal="center" vertical="center" wrapText="1"/>
    </xf>
    <xf numFmtId="0" fontId="1" fillId="7" borderId="3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15" borderId="4" xfId="3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22" borderId="4" xfId="3" applyFont="1" applyFill="1" applyBorder="1" applyAlignment="1">
      <alignment horizontal="center" vertical="center" wrapText="1"/>
    </xf>
    <xf numFmtId="0" fontId="1" fillId="16" borderId="4" xfId="3" applyFont="1" applyFill="1" applyBorder="1" applyAlignment="1">
      <alignment horizontal="center" vertical="center" wrapText="1"/>
    </xf>
    <xf numFmtId="0" fontId="1" fillId="14" borderId="4" xfId="3" applyFont="1" applyFill="1" applyBorder="1" applyAlignment="1">
      <alignment horizontal="center" vertical="center" wrapText="1"/>
    </xf>
    <xf numFmtId="0" fontId="1" fillId="17" borderId="4" xfId="3" applyFont="1" applyFill="1" applyBorder="1" applyAlignment="1">
      <alignment horizontal="center" vertical="center" wrapText="1"/>
    </xf>
    <xf numFmtId="0" fontId="1" fillId="20" borderId="4" xfId="3" applyFont="1" applyFill="1" applyBorder="1" applyAlignment="1">
      <alignment horizontal="center" vertical="center" wrapText="1"/>
    </xf>
    <xf numFmtId="0" fontId="1" fillId="18" borderId="4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5" fillId="0" borderId="4" xfId="0" applyFont="1" applyBorder="1" applyAlignment="1">
      <alignment horizontal="justify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" fillId="11" borderId="2" xfId="3" applyFont="1" applyFill="1" applyBorder="1" applyAlignment="1">
      <alignment horizontal="center" vertical="center" wrapText="1"/>
    </xf>
    <xf numFmtId="0" fontId="1" fillId="11" borderId="3" xfId="3" applyFont="1" applyFill="1" applyBorder="1" applyAlignment="1">
      <alignment horizontal="center" vertical="center" wrapText="1"/>
    </xf>
    <xf numFmtId="0" fontId="1" fillId="11" borderId="5" xfId="3" applyFont="1" applyFill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" fillId="12" borderId="2" xfId="3" applyFont="1" applyFill="1" applyBorder="1" applyAlignment="1">
      <alignment horizontal="center" vertical="center" wrapText="1"/>
    </xf>
    <xf numFmtId="0" fontId="1" fillId="12" borderId="3" xfId="3" applyFont="1" applyFill="1" applyBorder="1" applyAlignment="1">
      <alignment horizontal="center" vertical="center" wrapText="1"/>
    </xf>
    <xf numFmtId="0" fontId="1" fillId="12" borderId="5" xfId="3" applyFont="1" applyFill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/>
    </xf>
    <xf numFmtId="0" fontId="1" fillId="0" borderId="3" xfId="3" applyFont="1" applyBorder="1" applyAlignment="1">
      <alignment horizontal="center" vertical="center"/>
    </xf>
    <xf numFmtId="0" fontId="1" fillId="0" borderId="5" xfId="3" applyFont="1" applyBorder="1" applyAlignment="1">
      <alignment horizontal="center" vertical="center"/>
    </xf>
    <xf numFmtId="0" fontId="3" fillId="3" borderId="9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1" fillId="25" borderId="2" xfId="3" applyFont="1" applyFill="1" applyBorder="1" applyAlignment="1">
      <alignment horizontal="center" vertical="center" wrapText="1"/>
    </xf>
    <xf numFmtId="0" fontId="1" fillId="25" borderId="3" xfId="3" applyFont="1" applyFill="1" applyBorder="1" applyAlignment="1">
      <alignment horizontal="center" vertical="center" wrapText="1"/>
    </xf>
    <xf numFmtId="0" fontId="1" fillId="25" borderId="5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7" borderId="2" xfId="3" applyFont="1" applyFill="1" applyBorder="1" applyAlignment="1">
      <alignment horizontal="center" vertical="center" wrapText="1"/>
    </xf>
    <xf numFmtId="0" fontId="2" fillId="7" borderId="3" xfId="3" applyFont="1" applyFill="1" applyBorder="1" applyAlignment="1">
      <alignment horizontal="center" vertical="center" wrapText="1"/>
    </xf>
    <xf numFmtId="0" fontId="2" fillId="7" borderId="5" xfId="3" applyFont="1" applyFill="1" applyBorder="1" applyAlignment="1">
      <alignment horizontal="center" vertical="center" wrapText="1"/>
    </xf>
    <xf numFmtId="0" fontId="2" fillId="20" borderId="2" xfId="3" applyFont="1" applyFill="1" applyBorder="1" applyAlignment="1">
      <alignment horizontal="center" vertical="center" wrapText="1"/>
    </xf>
    <xf numFmtId="0" fontId="2" fillId="20" borderId="3" xfId="3" applyFont="1" applyFill="1" applyBorder="1" applyAlignment="1">
      <alignment horizontal="center" vertical="center" wrapText="1"/>
    </xf>
    <xf numFmtId="0" fontId="2" fillId="20" borderId="5" xfId="3" applyFont="1" applyFill="1" applyBorder="1" applyAlignment="1">
      <alignment horizontal="center" vertical="center" wrapText="1"/>
    </xf>
    <xf numFmtId="0" fontId="1" fillId="13" borderId="2" xfId="3" applyFont="1" applyFill="1" applyBorder="1" applyAlignment="1">
      <alignment horizontal="center" vertical="center" wrapText="1"/>
    </xf>
    <xf numFmtId="0" fontId="1" fillId="13" borderId="3" xfId="3" applyFont="1" applyFill="1" applyBorder="1" applyAlignment="1">
      <alignment horizontal="center" vertical="center" wrapText="1"/>
    </xf>
    <xf numFmtId="0" fontId="1" fillId="13" borderId="5" xfId="3" applyFont="1" applyFill="1" applyBorder="1" applyAlignment="1">
      <alignment horizontal="center" vertical="center" wrapText="1"/>
    </xf>
    <xf numFmtId="0" fontId="1" fillId="14" borderId="2" xfId="3" applyFont="1" applyFill="1" applyBorder="1" applyAlignment="1">
      <alignment horizontal="center" vertical="center" wrapText="1"/>
    </xf>
    <xf numFmtId="0" fontId="1" fillId="14" borderId="3" xfId="3" applyFont="1" applyFill="1" applyBorder="1" applyAlignment="1">
      <alignment horizontal="center" vertical="center" wrapText="1"/>
    </xf>
    <xf numFmtId="0" fontId="1" fillId="14" borderId="5" xfId="3" applyFont="1" applyFill="1" applyBorder="1" applyAlignment="1">
      <alignment horizontal="center" vertical="center" wrapText="1"/>
    </xf>
    <xf numFmtId="0" fontId="2" fillId="23" borderId="2" xfId="3" applyFont="1" applyFill="1" applyBorder="1" applyAlignment="1">
      <alignment horizontal="center" vertical="center" wrapText="1"/>
    </xf>
    <xf numFmtId="0" fontId="2" fillId="23" borderId="3" xfId="3" applyFont="1" applyFill="1" applyBorder="1" applyAlignment="1">
      <alignment horizontal="center" vertical="center" wrapText="1"/>
    </xf>
    <xf numFmtId="0" fontId="2" fillId="23" borderId="5" xfId="3" applyFont="1" applyFill="1" applyBorder="1" applyAlignment="1">
      <alignment horizontal="center" vertical="center" wrapText="1"/>
    </xf>
    <xf numFmtId="0" fontId="1" fillId="23" borderId="2" xfId="3" applyFont="1" applyFill="1" applyBorder="1" applyAlignment="1">
      <alignment horizontal="center" vertical="center" wrapText="1"/>
    </xf>
    <xf numFmtId="0" fontId="1" fillId="23" borderId="3" xfId="3" applyFont="1" applyFill="1" applyBorder="1" applyAlignment="1">
      <alignment horizontal="center" vertical="center" wrapText="1"/>
    </xf>
    <xf numFmtId="0" fontId="1" fillId="23" borderId="5" xfId="3" applyFont="1" applyFill="1" applyBorder="1" applyAlignment="1">
      <alignment horizontal="center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1" fillId="4" borderId="3" xfId="3" applyFont="1" applyFill="1" applyBorder="1" applyAlignment="1">
      <alignment horizontal="center" vertical="center" wrapText="1"/>
    </xf>
    <xf numFmtId="0" fontId="1" fillId="4" borderId="5" xfId="3" applyFont="1" applyFill="1" applyBorder="1" applyAlignment="1">
      <alignment horizontal="center" vertical="center" wrapText="1"/>
    </xf>
    <xf numFmtId="0" fontId="1" fillId="5" borderId="2" xfId="3" applyFont="1" applyFill="1" applyBorder="1" applyAlignment="1">
      <alignment horizontal="center" vertical="center" wrapText="1"/>
    </xf>
    <xf numFmtId="0" fontId="1" fillId="5" borderId="3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6" borderId="2" xfId="3" applyFont="1" applyFill="1" applyBorder="1" applyAlignment="1">
      <alignment horizontal="center" vertical="center" wrapText="1"/>
    </xf>
    <xf numFmtId="0" fontId="1" fillId="6" borderId="3" xfId="3" applyFont="1" applyFill="1" applyBorder="1" applyAlignment="1">
      <alignment horizontal="center" vertical="center" wrapText="1"/>
    </xf>
    <xf numFmtId="0" fontId="1" fillId="6" borderId="5" xfId="3" applyFont="1" applyFill="1" applyBorder="1" applyAlignment="1">
      <alignment horizontal="center" vertical="center" wrapText="1"/>
    </xf>
    <xf numFmtId="0" fontId="1" fillId="8" borderId="2" xfId="3" applyFont="1" applyFill="1" applyBorder="1" applyAlignment="1">
      <alignment horizontal="center" vertical="center" wrapText="1"/>
    </xf>
    <xf numFmtId="0" fontId="1" fillId="8" borderId="3" xfId="3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center" vertical="center" wrapText="1"/>
    </xf>
    <xf numFmtId="0" fontId="1" fillId="9" borderId="2" xfId="3" applyFont="1" applyFill="1" applyBorder="1" applyAlignment="1">
      <alignment horizontal="center" vertical="center" wrapText="1"/>
    </xf>
    <xf numFmtId="0" fontId="1" fillId="9" borderId="3" xfId="3" applyFont="1" applyFill="1" applyBorder="1" applyAlignment="1">
      <alignment horizontal="center" vertical="center" wrapText="1"/>
    </xf>
    <xf numFmtId="0" fontId="1" fillId="9" borderId="5" xfId="3" applyFont="1" applyFill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1" fillId="10" borderId="2" xfId="3" applyFont="1" applyFill="1" applyBorder="1" applyAlignment="1">
      <alignment horizontal="center" vertical="center" wrapText="1"/>
    </xf>
    <xf numFmtId="0" fontId="1" fillId="10" borderId="3" xfId="3" applyFont="1" applyFill="1" applyBorder="1" applyAlignment="1">
      <alignment horizontal="center" vertical="center" wrapText="1"/>
    </xf>
    <xf numFmtId="0" fontId="1" fillId="10" borderId="5" xfId="3" applyFont="1" applyFill="1" applyBorder="1" applyAlignment="1">
      <alignment horizontal="center" vertical="center" wrapText="1"/>
    </xf>
  </cellXfs>
  <cellStyles count="14">
    <cellStyle name="標準_G1_端子機能マルチ一覧_rev0_8_9_050310_imai_gct-GDM7240R0-pinmap-v0 4" xfId="4" xr:uid="{00000000-0005-0000-0000-000000000000}"/>
    <cellStyle name="常规" xfId="0" builtinId="0"/>
    <cellStyle name="콤마 [0]_설계data" xfId="6" xr:uid="{00000000-0005-0000-0000-000002000000}"/>
    <cellStyle name="콤마_설계data" xfId="7" xr:uid="{00000000-0005-0000-0000-000003000000}"/>
    <cellStyle name="표준 2" xfId="8" xr:uid="{00000000-0005-0000-0000-000004000000}"/>
    <cellStyle name="표준 3" xfId="9" xr:uid="{00000000-0005-0000-0000-000005000000}"/>
    <cellStyle name="표준 3 2" xfId="10" xr:uid="{00000000-0005-0000-0000-000006000000}"/>
    <cellStyle name="표준 4" xfId="2" xr:uid="{00000000-0005-0000-0000-000007000000}"/>
    <cellStyle name="표준 5" xfId="11" xr:uid="{00000000-0005-0000-0000-000008000000}"/>
    <cellStyle name="표준 6" xfId="3" xr:uid="{00000000-0005-0000-0000-000009000000}"/>
    <cellStyle name="표준 6 2" xfId="1" xr:uid="{00000000-0005-0000-0000-00000A000000}"/>
    <cellStyle name="표준 6 2 2" xfId="12" xr:uid="{00000000-0005-0000-0000-00000B000000}"/>
    <cellStyle name="표준 6 3" xfId="5" xr:uid="{00000000-0005-0000-0000-00000C000000}"/>
    <cellStyle name="표준_GDM7003S_netlist_primary version_20060607_rev12" xfId="13" xr:uid="{00000000-0005-0000-0000-00000D000000}"/>
  </cellStyles>
  <dxfs count="0"/>
  <tableStyles count="0" defaultTableStyle="TableStyleMedium2" defaultPivotStyle="PivotStyleLight16"/>
  <colors>
    <mruColors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703729</xdr:colOff>
      <xdr:row>398</xdr:row>
      <xdr:rowOff>48746</xdr:rowOff>
    </xdr:from>
    <xdr:to>
      <xdr:col>16</xdr:col>
      <xdr:colOff>693898</xdr:colOff>
      <xdr:row>419</xdr:row>
      <xdr:rowOff>122264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60694981"/>
          <a:ext cx="2746816" cy="3412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62"/>
  <sheetViews>
    <sheetView workbookViewId="0">
      <selection activeCell="D3" sqref="D3"/>
    </sheetView>
  </sheetViews>
  <sheetFormatPr defaultColWidth="8.77734375" defaultRowHeight="12.75"/>
  <cols>
    <col min="1" max="2" width="8.77734375" style="37"/>
    <col min="3" max="3" width="11.21875" style="37" customWidth="1"/>
    <col min="4" max="4" width="63.77734375" style="37" customWidth="1"/>
    <col min="5" max="16384" width="8.77734375" style="37"/>
  </cols>
  <sheetData>
    <row r="2" spans="1:4">
      <c r="B2" s="38" t="s">
        <v>0</v>
      </c>
      <c r="C2" s="38" t="s">
        <v>1</v>
      </c>
      <c r="D2" s="38" t="s">
        <v>2</v>
      </c>
    </row>
    <row r="3" spans="1:4">
      <c r="B3" s="39">
        <v>43304</v>
      </c>
      <c r="C3" s="37" t="s">
        <v>3</v>
      </c>
      <c r="D3" s="37" t="s">
        <v>4</v>
      </c>
    </row>
    <row r="4" spans="1:4">
      <c r="A4" s="40"/>
      <c r="B4" s="41"/>
    </row>
    <row r="6" spans="1:4">
      <c r="A6" s="40"/>
      <c r="B6" s="41"/>
    </row>
    <row r="8" spans="1:4">
      <c r="A8" s="40"/>
      <c r="B8" s="41"/>
    </row>
    <row r="10" spans="1:4">
      <c r="A10" s="40"/>
      <c r="B10" s="41"/>
    </row>
    <row r="12" spans="1:4">
      <c r="A12" s="40"/>
      <c r="B12" s="41"/>
    </row>
    <row r="14" spans="1:4">
      <c r="A14" s="40"/>
      <c r="B14" s="41"/>
    </row>
    <row r="16" spans="1:4">
      <c r="A16" s="40"/>
      <c r="B16" s="41"/>
    </row>
    <row r="17" spans="1:2">
      <c r="B17" s="40"/>
    </row>
    <row r="23" spans="1:2">
      <c r="A23" s="40"/>
      <c r="B23" s="41"/>
    </row>
    <row r="25" spans="1:2">
      <c r="B25" s="40"/>
    </row>
    <row r="26" spans="1:2">
      <c r="A26" s="40"/>
      <c r="B26" s="41"/>
    </row>
    <row r="27" spans="1:2">
      <c r="B27" s="40"/>
    </row>
    <row r="29" spans="1:2">
      <c r="A29" s="40"/>
      <c r="B29" s="41"/>
    </row>
    <row r="35" spans="1:2">
      <c r="A35" s="40"/>
      <c r="B35" s="41"/>
    </row>
    <row r="39" spans="1:2">
      <c r="A39" s="42"/>
    </row>
    <row r="40" spans="1:2">
      <c r="A40" s="40"/>
      <c r="B40" s="41"/>
    </row>
    <row r="41" spans="1:2">
      <c r="A41" s="40"/>
      <c r="B41" s="41"/>
    </row>
    <row r="51" spans="1:2">
      <c r="A51" s="40"/>
      <c r="B51" s="41"/>
    </row>
    <row r="55" spans="1:2">
      <c r="A55" s="40"/>
      <c r="B55" s="41"/>
    </row>
    <row r="62" spans="1:2">
      <c r="B62" s="40"/>
    </row>
  </sheetData>
  <phoneticPr fontId="14" type="noConversion"/>
  <pageMargins left="0.35433070866141703" right="0.35433070866141703" top="0.98425196850393704" bottom="0.98425196850393704" header="0.511811023622047" footer="0.51181102362204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5"/>
  <sheetViews>
    <sheetView topLeftCell="A31" zoomScale="69" zoomScaleNormal="69" workbookViewId="0">
      <selection activeCell="C1" sqref="C1"/>
    </sheetView>
  </sheetViews>
  <sheetFormatPr defaultColWidth="8.77734375" defaultRowHeight="13.5"/>
  <cols>
    <col min="1" max="1" width="8.77734375" style="33"/>
    <col min="2" max="2" width="19.88671875" style="33" customWidth="1"/>
    <col min="3" max="3" width="88.21875" style="33" customWidth="1"/>
    <col min="4" max="256" width="8.77734375" style="33"/>
    <col min="257" max="258" width="9.77734375" style="33" customWidth="1"/>
    <col min="259" max="259" width="69.77734375" style="33" customWidth="1"/>
    <col min="260" max="512" width="8.77734375" style="33"/>
    <col min="513" max="514" width="9.77734375" style="33" customWidth="1"/>
    <col min="515" max="515" width="69.77734375" style="33" customWidth="1"/>
    <col min="516" max="768" width="8.77734375" style="33"/>
    <col min="769" max="770" width="9.77734375" style="33" customWidth="1"/>
    <col min="771" max="771" width="69.77734375" style="33" customWidth="1"/>
    <col min="772" max="1024" width="8.77734375" style="33"/>
    <col min="1025" max="1026" width="9.77734375" style="33" customWidth="1"/>
    <col min="1027" max="1027" width="69.77734375" style="33" customWidth="1"/>
    <col min="1028" max="1280" width="8.77734375" style="33"/>
    <col min="1281" max="1282" width="9.77734375" style="33" customWidth="1"/>
    <col min="1283" max="1283" width="69.77734375" style="33" customWidth="1"/>
    <col min="1284" max="1536" width="8.77734375" style="33"/>
    <col min="1537" max="1538" width="9.77734375" style="33" customWidth="1"/>
    <col min="1539" max="1539" width="69.77734375" style="33" customWidth="1"/>
    <col min="1540" max="1792" width="8.77734375" style="33"/>
    <col min="1793" max="1794" width="9.77734375" style="33" customWidth="1"/>
    <col min="1795" max="1795" width="69.77734375" style="33" customWidth="1"/>
    <col min="1796" max="2048" width="8.77734375" style="33"/>
    <col min="2049" max="2050" width="9.77734375" style="33" customWidth="1"/>
    <col min="2051" max="2051" width="69.77734375" style="33" customWidth="1"/>
    <col min="2052" max="2304" width="8.77734375" style="33"/>
    <col min="2305" max="2306" width="9.77734375" style="33" customWidth="1"/>
    <col min="2307" max="2307" width="69.77734375" style="33" customWidth="1"/>
    <col min="2308" max="2560" width="8.77734375" style="33"/>
    <col min="2561" max="2562" width="9.77734375" style="33" customWidth="1"/>
    <col min="2563" max="2563" width="69.77734375" style="33" customWidth="1"/>
    <col min="2564" max="2816" width="8.77734375" style="33"/>
    <col min="2817" max="2818" width="9.77734375" style="33" customWidth="1"/>
    <col min="2819" max="2819" width="69.77734375" style="33" customWidth="1"/>
    <col min="2820" max="3072" width="8.77734375" style="33"/>
    <col min="3073" max="3074" width="9.77734375" style="33" customWidth="1"/>
    <col min="3075" max="3075" width="69.77734375" style="33" customWidth="1"/>
    <col min="3076" max="3328" width="8.77734375" style="33"/>
    <col min="3329" max="3330" width="9.77734375" style="33" customWidth="1"/>
    <col min="3331" max="3331" width="69.77734375" style="33" customWidth="1"/>
    <col min="3332" max="3584" width="8.77734375" style="33"/>
    <col min="3585" max="3586" width="9.77734375" style="33" customWidth="1"/>
    <col min="3587" max="3587" width="69.77734375" style="33" customWidth="1"/>
    <col min="3588" max="3840" width="8.77734375" style="33"/>
    <col min="3841" max="3842" width="9.77734375" style="33" customWidth="1"/>
    <col min="3843" max="3843" width="69.77734375" style="33" customWidth="1"/>
    <col min="3844" max="4096" width="8.77734375" style="33"/>
    <col min="4097" max="4098" width="9.77734375" style="33" customWidth="1"/>
    <col min="4099" max="4099" width="69.77734375" style="33" customWidth="1"/>
    <col min="4100" max="4352" width="8.77734375" style="33"/>
    <col min="4353" max="4354" width="9.77734375" style="33" customWidth="1"/>
    <col min="4355" max="4355" width="69.77734375" style="33" customWidth="1"/>
    <col min="4356" max="4608" width="8.77734375" style="33"/>
    <col min="4609" max="4610" width="9.77734375" style="33" customWidth="1"/>
    <col min="4611" max="4611" width="69.77734375" style="33" customWidth="1"/>
    <col min="4612" max="4864" width="8.77734375" style="33"/>
    <col min="4865" max="4866" width="9.77734375" style="33" customWidth="1"/>
    <col min="4867" max="4867" width="69.77734375" style="33" customWidth="1"/>
    <col min="4868" max="5120" width="8.77734375" style="33"/>
    <col min="5121" max="5122" width="9.77734375" style="33" customWidth="1"/>
    <col min="5123" max="5123" width="69.77734375" style="33" customWidth="1"/>
    <col min="5124" max="5376" width="8.77734375" style="33"/>
    <col min="5377" max="5378" width="9.77734375" style="33" customWidth="1"/>
    <col min="5379" max="5379" width="69.77734375" style="33" customWidth="1"/>
    <col min="5380" max="5632" width="8.77734375" style="33"/>
    <col min="5633" max="5634" width="9.77734375" style="33" customWidth="1"/>
    <col min="5635" max="5635" width="69.77734375" style="33" customWidth="1"/>
    <col min="5636" max="5888" width="8.77734375" style="33"/>
    <col min="5889" max="5890" width="9.77734375" style="33" customWidth="1"/>
    <col min="5891" max="5891" width="69.77734375" style="33" customWidth="1"/>
    <col min="5892" max="6144" width="8.77734375" style="33"/>
    <col min="6145" max="6146" width="9.77734375" style="33" customWidth="1"/>
    <col min="6147" max="6147" width="69.77734375" style="33" customWidth="1"/>
    <col min="6148" max="6400" width="8.77734375" style="33"/>
    <col min="6401" max="6402" width="9.77734375" style="33" customWidth="1"/>
    <col min="6403" max="6403" width="69.77734375" style="33" customWidth="1"/>
    <col min="6404" max="6656" width="8.77734375" style="33"/>
    <col min="6657" max="6658" width="9.77734375" style="33" customWidth="1"/>
    <col min="6659" max="6659" width="69.77734375" style="33" customWidth="1"/>
    <col min="6660" max="6912" width="8.77734375" style="33"/>
    <col min="6913" max="6914" width="9.77734375" style="33" customWidth="1"/>
    <col min="6915" max="6915" width="69.77734375" style="33" customWidth="1"/>
    <col min="6916" max="7168" width="8.77734375" style="33"/>
    <col min="7169" max="7170" width="9.77734375" style="33" customWidth="1"/>
    <col min="7171" max="7171" width="69.77734375" style="33" customWidth="1"/>
    <col min="7172" max="7424" width="8.77734375" style="33"/>
    <col min="7425" max="7426" width="9.77734375" style="33" customWidth="1"/>
    <col min="7427" max="7427" width="69.77734375" style="33" customWidth="1"/>
    <col min="7428" max="7680" width="8.77734375" style="33"/>
    <col min="7681" max="7682" width="9.77734375" style="33" customWidth="1"/>
    <col min="7683" max="7683" width="69.77734375" style="33" customWidth="1"/>
    <col min="7684" max="7936" width="8.77734375" style="33"/>
    <col min="7937" max="7938" width="9.77734375" style="33" customWidth="1"/>
    <col min="7939" max="7939" width="69.77734375" style="33" customWidth="1"/>
    <col min="7940" max="8192" width="8.77734375" style="33"/>
    <col min="8193" max="8194" width="9.77734375" style="33" customWidth="1"/>
    <col min="8195" max="8195" width="69.77734375" style="33" customWidth="1"/>
    <col min="8196" max="8448" width="8.77734375" style="33"/>
    <col min="8449" max="8450" width="9.77734375" style="33" customWidth="1"/>
    <col min="8451" max="8451" width="69.77734375" style="33" customWidth="1"/>
    <col min="8452" max="8704" width="8.77734375" style="33"/>
    <col min="8705" max="8706" width="9.77734375" style="33" customWidth="1"/>
    <col min="8707" max="8707" width="69.77734375" style="33" customWidth="1"/>
    <col min="8708" max="8960" width="8.77734375" style="33"/>
    <col min="8961" max="8962" width="9.77734375" style="33" customWidth="1"/>
    <col min="8963" max="8963" width="69.77734375" style="33" customWidth="1"/>
    <col min="8964" max="9216" width="8.77734375" style="33"/>
    <col min="9217" max="9218" width="9.77734375" style="33" customWidth="1"/>
    <col min="9219" max="9219" width="69.77734375" style="33" customWidth="1"/>
    <col min="9220" max="9472" width="8.77734375" style="33"/>
    <col min="9473" max="9474" width="9.77734375" style="33" customWidth="1"/>
    <col min="9475" max="9475" width="69.77734375" style="33" customWidth="1"/>
    <col min="9476" max="9728" width="8.77734375" style="33"/>
    <col min="9729" max="9730" width="9.77734375" style="33" customWidth="1"/>
    <col min="9731" max="9731" width="69.77734375" style="33" customWidth="1"/>
    <col min="9732" max="9984" width="8.77734375" style="33"/>
    <col min="9985" max="9986" width="9.77734375" style="33" customWidth="1"/>
    <col min="9987" max="9987" width="69.77734375" style="33" customWidth="1"/>
    <col min="9988" max="10240" width="8.77734375" style="33"/>
    <col min="10241" max="10242" width="9.77734375" style="33" customWidth="1"/>
    <col min="10243" max="10243" width="69.77734375" style="33" customWidth="1"/>
    <col min="10244" max="10496" width="8.77734375" style="33"/>
    <col min="10497" max="10498" width="9.77734375" style="33" customWidth="1"/>
    <col min="10499" max="10499" width="69.77734375" style="33" customWidth="1"/>
    <col min="10500" max="10752" width="8.77734375" style="33"/>
    <col min="10753" max="10754" width="9.77734375" style="33" customWidth="1"/>
    <col min="10755" max="10755" width="69.77734375" style="33" customWidth="1"/>
    <col min="10756" max="11008" width="8.77734375" style="33"/>
    <col min="11009" max="11010" width="9.77734375" style="33" customWidth="1"/>
    <col min="11011" max="11011" width="69.77734375" style="33" customWidth="1"/>
    <col min="11012" max="11264" width="8.77734375" style="33"/>
    <col min="11265" max="11266" width="9.77734375" style="33" customWidth="1"/>
    <col min="11267" max="11267" width="69.77734375" style="33" customWidth="1"/>
    <col min="11268" max="11520" width="8.77734375" style="33"/>
    <col min="11521" max="11522" width="9.77734375" style="33" customWidth="1"/>
    <col min="11523" max="11523" width="69.77734375" style="33" customWidth="1"/>
    <col min="11524" max="11776" width="8.77734375" style="33"/>
    <col min="11777" max="11778" width="9.77734375" style="33" customWidth="1"/>
    <col min="11779" max="11779" width="69.77734375" style="33" customWidth="1"/>
    <col min="11780" max="12032" width="8.77734375" style="33"/>
    <col min="12033" max="12034" width="9.77734375" style="33" customWidth="1"/>
    <col min="12035" max="12035" width="69.77734375" style="33" customWidth="1"/>
    <col min="12036" max="12288" width="8.77734375" style="33"/>
    <col min="12289" max="12290" width="9.77734375" style="33" customWidth="1"/>
    <col min="12291" max="12291" width="69.77734375" style="33" customWidth="1"/>
    <col min="12292" max="12544" width="8.77734375" style="33"/>
    <col min="12545" max="12546" width="9.77734375" style="33" customWidth="1"/>
    <col min="12547" max="12547" width="69.77734375" style="33" customWidth="1"/>
    <col min="12548" max="12800" width="8.77734375" style="33"/>
    <col min="12801" max="12802" width="9.77734375" style="33" customWidth="1"/>
    <col min="12803" max="12803" width="69.77734375" style="33" customWidth="1"/>
    <col min="12804" max="13056" width="8.77734375" style="33"/>
    <col min="13057" max="13058" width="9.77734375" style="33" customWidth="1"/>
    <col min="13059" max="13059" width="69.77734375" style="33" customWidth="1"/>
    <col min="13060" max="13312" width="8.77734375" style="33"/>
    <col min="13313" max="13314" width="9.77734375" style="33" customWidth="1"/>
    <col min="13315" max="13315" width="69.77734375" style="33" customWidth="1"/>
    <col min="13316" max="13568" width="8.77734375" style="33"/>
    <col min="13569" max="13570" width="9.77734375" style="33" customWidth="1"/>
    <col min="13571" max="13571" width="69.77734375" style="33" customWidth="1"/>
    <col min="13572" max="13824" width="8.77734375" style="33"/>
    <col min="13825" max="13826" width="9.77734375" style="33" customWidth="1"/>
    <col min="13827" max="13827" width="69.77734375" style="33" customWidth="1"/>
    <col min="13828" max="14080" width="8.77734375" style="33"/>
    <col min="14081" max="14082" width="9.77734375" style="33" customWidth="1"/>
    <col min="14083" max="14083" width="69.77734375" style="33" customWidth="1"/>
    <col min="14084" max="14336" width="8.77734375" style="33"/>
    <col min="14337" max="14338" width="9.77734375" style="33" customWidth="1"/>
    <col min="14339" max="14339" width="69.77734375" style="33" customWidth="1"/>
    <col min="14340" max="14592" width="8.77734375" style="33"/>
    <col min="14593" max="14594" width="9.77734375" style="33" customWidth="1"/>
    <col min="14595" max="14595" width="69.77734375" style="33" customWidth="1"/>
    <col min="14596" max="14848" width="8.77734375" style="33"/>
    <col min="14849" max="14850" width="9.77734375" style="33" customWidth="1"/>
    <col min="14851" max="14851" width="69.77734375" style="33" customWidth="1"/>
    <col min="14852" max="15104" width="8.77734375" style="33"/>
    <col min="15105" max="15106" width="9.77734375" style="33" customWidth="1"/>
    <col min="15107" max="15107" width="69.77734375" style="33" customWidth="1"/>
    <col min="15108" max="15360" width="8.77734375" style="33"/>
    <col min="15361" max="15362" width="9.77734375" style="33" customWidth="1"/>
    <col min="15363" max="15363" width="69.77734375" style="33" customWidth="1"/>
    <col min="15364" max="15616" width="8.77734375" style="33"/>
    <col min="15617" max="15618" width="9.77734375" style="33" customWidth="1"/>
    <col min="15619" max="15619" width="69.77734375" style="33" customWidth="1"/>
    <col min="15620" max="15872" width="8.77734375" style="33"/>
    <col min="15873" max="15874" width="9.77734375" style="33" customWidth="1"/>
    <col min="15875" max="15875" width="69.77734375" style="33" customWidth="1"/>
    <col min="15876" max="16128" width="8.77734375" style="33"/>
    <col min="16129" max="16130" width="9.77734375" style="33" customWidth="1"/>
    <col min="16131" max="16131" width="69.77734375" style="33" customWidth="1"/>
    <col min="16132" max="16384" width="8.77734375" style="33"/>
  </cols>
  <sheetData>
    <row r="2" spans="2:3">
      <c r="B2" s="94"/>
      <c r="C2" s="94"/>
    </row>
    <row r="3" spans="2:3">
      <c r="B3" s="34" t="s">
        <v>5</v>
      </c>
      <c r="C3" s="34" t="s">
        <v>6</v>
      </c>
    </row>
    <row r="4" spans="2:3">
      <c r="B4" s="35" t="s">
        <v>7</v>
      </c>
      <c r="C4" s="36" t="str">
        <f>WPT_CTRL!C2</f>
        <v>1.1.1 Addr 0x38000000 WPC Interrupt Enable - WPC_INTR_EN</v>
      </c>
    </row>
    <row r="5" spans="2:3">
      <c r="B5" s="35" t="s">
        <v>8</v>
      </c>
      <c r="C5" s="36" t="str">
        <f>WPT_CTRL!C15</f>
        <v>1.1.2 Addr 0x38000004 WPC Interrupt Status - WPC_INTR_STATUS</v>
      </c>
    </row>
    <row r="6" spans="2:3">
      <c r="B6" s="35" t="s">
        <v>9</v>
      </c>
      <c r="C6" s="36"/>
    </row>
    <row r="7" spans="2:3">
      <c r="B7" s="35" t="s">
        <v>10</v>
      </c>
      <c r="C7" s="36"/>
    </row>
    <row r="8" spans="2:3">
      <c r="B8" s="35" t="s">
        <v>11</v>
      </c>
      <c r="C8" s="36"/>
    </row>
    <row r="9" spans="2:3">
      <c r="B9" s="35" t="s">
        <v>12</v>
      </c>
      <c r="C9" s="36"/>
    </row>
    <row r="10" spans="2:3">
      <c r="B10" s="35" t="s">
        <v>13</v>
      </c>
      <c r="C10" s="36"/>
    </row>
    <row r="11" spans="2:3">
      <c r="B11" s="35" t="s">
        <v>14</v>
      </c>
      <c r="C11" s="36"/>
    </row>
    <row r="12" spans="2:3">
      <c r="B12" s="35" t="s">
        <v>15</v>
      </c>
      <c r="C12" s="36"/>
    </row>
    <row r="13" spans="2:3">
      <c r="B13" s="35" t="s">
        <v>16</v>
      </c>
      <c r="C13" s="36"/>
    </row>
    <row r="14" spans="2:3">
      <c r="B14" s="35" t="s">
        <v>17</v>
      </c>
      <c r="C14" s="36"/>
    </row>
    <row r="15" spans="2:3">
      <c r="B15" s="35" t="s">
        <v>18</v>
      </c>
      <c r="C15" s="36"/>
    </row>
    <row r="16" spans="2:3">
      <c r="B16" s="35" t="s">
        <v>19</v>
      </c>
      <c r="C16" s="36"/>
    </row>
    <row r="17" spans="2:3">
      <c r="B17" s="35" t="s">
        <v>20</v>
      </c>
      <c r="C17" s="36"/>
    </row>
    <row r="18" spans="2:3">
      <c r="B18" s="35" t="s">
        <v>21</v>
      </c>
      <c r="C18" s="36"/>
    </row>
    <row r="19" spans="2:3">
      <c r="B19" s="35" t="s">
        <v>22</v>
      </c>
      <c r="C19" s="36"/>
    </row>
    <row r="20" spans="2:3">
      <c r="B20" s="35" t="s">
        <v>23</v>
      </c>
      <c r="C20" s="36" t="e">
        <f>WPT_CTRL!#REF!</f>
        <v>#REF!</v>
      </c>
    </row>
    <row r="21" spans="2:3">
      <c r="B21" s="35" t="s">
        <v>24</v>
      </c>
      <c r="C21" s="36"/>
    </row>
    <row r="22" spans="2:3">
      <c r="B22" s="35" t="s">
        <v>25</v>
      </c>
      <c r="C22" s="36"/>
    </row>
    <row r="23" spans="2:3">
      <c r="B23" s="35" t="s">
        <v>26</v>
      </c>
      <c r="C23" s="36"/>
    </row>
    <row r="24" spans="2:3">
      <c r="B24" s="35" t="s">
        <v>27</v>
      </c>
      <c r="C24" s="36" t="e">
        <f>WPT_CTRL!#REF!</f>
        <v>#REF!</v>
      </c>
    </row>
    <row r="25" spans="2:3">
      <c r="B25" s="35" t="s">
        <v>28</v>
      </c>
      <c r="C25" s="36"/>
    </row>
    <row r="26" spans="2:3">
      <c r="B26" s="35" t="s">
        <v>29</v>
      </c>
      <c r="C26" s="36" t="e">
        <f>WPT_CTRL!#REF!</f>
        <v>#REF!</v>
      </c>
    </row>
    <row r="27" spans="2:3">
      <c r="B27" s="35" t="s">
        <v>30</v>
      </c>
      <c r="C27" s="36"/>
    </row>
    <row r="28" spans="2:3">
      <c r="B28" s="35" t="s">
        <v>31</v>
      </c>
      <c r="C28" s="36" t="e">
        <f>WPT_CTRL!#REF!</f>
        <v>#REF!</v>
      </c>
    </row>
    <row r="29" spans="2:3">
      <c r="B29" s="35" t="s">
        <v>32</v>
      </c>
      <c r="C29" s="36" t="e">
        <f>WPT_CTRL!#REF!</f>
        <v>#REF!</v>
      </c>
    </row>
    <row r="30" spans="2:3">
      <c r="B30" s="35" t="s">
        <v>33</v>
      </c>
      <c r="C30" s="36" t="e">
        <f>WPT_CTRL!#REF!</f>
        <v>#REF!</v>
      </c>
    </row>
    <row r="31" spans="2:3">
      <c r="B31" s="35" t="s">
        <v>34</v>
      </c>
      <c r="C31" s="36"/>
    </row>
    <row r="32" spans="2:3">
      <c r="B32" s="35" t="s">
        <v>35</v>
      </c>
      <c r="C32" s="36" t="e">
        <f>WPT_CTRL!#REF!</f>
        <v>#REF!</v>
      </c>
    </row>
    <row r="33" spans="2:3">
      <c r="B33" s="35" t="s">
        <v>36</v>
      </c>
      <c r="C33" s="36" t="e">
        <f>WPT_CTRL!#REF!</f>
        <v>#REF!</v>
      </c>
    </row>
    <row r="34" spans="2:3">
      <c r="B34" s="35" t="s">
        <v>37</v>
      </c>
      <c r="C34" s="36" t="e">
        <f>WPT_CTRL!#REF!</f>
        <v>#REF!</v>
      </c>
    </row>
    <row r="35" spans="2:3">
      <c r="B35" s="35" t="s">
        <v>38</v>
      </c>
      <c r="C35" s="36"/>
    </row>
    <row r="36" spans="2:3">
      <c r="B36" s="35" t="s">
        <v>39</v>
      </c>
      <c r="C36" s="36" t="str">
        <f>WPT_CTRL!C79</f>
        <v>1.3.1 Addr 0x38000020 WPC ADC Command - WPC_ADC_CMD</v>
      </c>
    </row>
    <row r="37" spans="2:3">
      <c r="B37" s="35" t="s">
        <v>40</v>
      </c>
      <c r="C37" s="36"/>
    </row>
    <row r="38" spans="2:3">
      <c r="B38" s="35" t="s">
        <v>41</v>
      </c>
      <c r="C38" s="36"/>
    </row>
    <row r="39" spans="2:3">
      <c r="B39" s="35" t="s">
        <v>42</v>
      </c>
      <c r="C39" s="36"/>
    </row>
    <row r="40" spans="2:3">
      <c r="B40" s="35" t="s">
        <v>43</v>
      </c>
      <c r="C40" s="36" t="str">
        <f>WPT_CTRL!C88</f>
        <v>1.3.2 Addr 0x38000024 WPC ADC Update - WPC_ADC_UPDATE</v>
      </c>
    </row>
    <row r="41" spans="2:3">
      <c r="B41" s="35" t="s">
        <v>44</v>
      </c>
      <c r="C41" s="36"/>
    </row>
    <row r="42" spans="2:3">
      <c r="B42" s="35" t="s">
        <v>45</v>
      </c>
      <c r="C42" s="36"/>
    </row>
    <row r="43" spans="2:3">
      <c r="B43" s="35" t="s">
        <v>46</v>
      </c>
      <c r="C43" s="36"/>
    </row>
    <row r="44" spans="2:3">
      <c r="B44" s="35" t="s">
        <v>47</v>
      </c>
      <c r="C44" s="36" t="str">
        <f>WPT_CTRL!C97</f>
        <v>1.3.3 Addr 0x38000028 WPC ADC Configuration 0 - WPC_ADC_SEL</v>
      </c>
    </row>
    <row r="45" spans="2:3">
      <c r="B45" s="35" t="s">
        <v>48</v>
      </c>
      <c r="C45" s="36" t="str">
        <f>WPT_CTRL!C112</f>
        <v>1.3.4 Addr 0x38000029 WPC ADC Configuration 1 - WPC_ADC_MODE</v>
      </c>
    </row>
    <row r="46" spans="2:3">
      <c r="B46" s="35" t="s">
        <v>49</v>
      </c>
      <c r="C46" s="36"/>
    </row>
    <row r="47" spans="2:3">
      <c r="B47" s="35" t="s">
        <v>50</v>
      </c>
      <c r="C47" s="36"/>
    </row>
    <row r="48" spans="2:3">
      <c r="B48" s="35" t="s">
        <v>51</v>
      </c>
      <c r="C48" s="36" t="str">
        <f>WPT_CTRL!C135</f>
        <v>1.3.7 Addr 0x3800002C WPC ADC Configuration 4 - WPC_ADC_CFG0</v>
      </c>
    </row>
    <row r="49" spans="2:3">
      <c r="B49" s="35" t="s">
        <v>52</v>
      </c>
      <c r="C49" s="36" t="str">
        <f>WPT_CTRL!C143</f>
        <v>1.3.8 Addr 0x3800002D WPC ADC Configuration 5 - WPC_ADC_CFG1</v>
      </c>
    </row>
    <row r="50" spans="2:3">
      <c r="B50" s="35" t="s">
        <v>53</v>
      </c>
      <c r="C50" s="36" t="str">
        <f>WPT_CTRL!C151</f>
        <v>1.3.9 Addr 0x3800002E WPC ADC Configuration 6 - WPC_ADC_SKIP</v>
      </c>
    </row>
    <row r="51" spans="2:3">
      <c r="B51" s="35" t="s">
        <v>54</v>
      </c>
      <c r="C51" s="36"/>
    </row>
    <row r="52" spans="2:3">
      <c r="B52" s="35" t="s">
        <v>55</v>
      </c>
      <c r="C52" s="36" t="str">
        <f>WPT_CTRL!C174</f>
        <v>1.3.11 Addr 0x38000030 WPC ADC Data 0 Low - WPC_ADC_DATA0L</v>
      </c>
    </row>
    <row r="53" spans="2:3">
      <c r="B53" s="35" t="s">
        <v>56</v>
      </c>
      <c r="C53" s="36" t="str">
        <f>WPT_CTRL!C179</f>
        <v>1.3.12 Addr 0x38000031 WPC ADC Data 0 High - WPC_ADC_DATA0H</v>
      </c>
    </row>
    <row r="54" spans="2:3">
      <c r="B54" s="35" t="s">
        <v>57</v>
      </c>
      <c r="C54" s="36" t="str">
        <f>WPT_CTRL!C184</f>
        <v>1.3.13 Addr 0x38000032 WPC ADC Data 1 Low - WPC_ADC_DATA1L</v>
      </c>
    </row>
    <row r="55" spans="2:3">
      <c r="B55" s="35" t="s">
        <v>58</v>
      </c>
      <c r="C55" s="36" t="str">
        <f>WPT_CTRL!C189</f>
        <v>1.3.14 Addr 0x38000033 WPC ADC Data 1 High - WPC_ADC_DATA1H</v>
      </c>
    </row>
    <row r="56" spans="2:3">
      <c r="B56" s="35" t="s">
        <v>59</v>
      </c>
      <c r="C56" s="36" t="str">
        <f>WPT_CTRL!C194</f>
        <v>1.3.15 Addr 0x38000034 WPC ADC Data 2 Low - WPC_ADC_DATA2L</v>
      </c>
    </row>
    <row r="57" spans="2:3">
      <c r="B57" s="35" t="s">
        <v>60</v>
      </c>
      <c r="C57" s="36" t="str">
        <f>WPT_CTRL!C199</f>
        <v>1.3.16 Addr 0x38000035 WPC ADC Data 2 High - WPC_ADC_DATA2H</v>
      </c>
    </row>
    <row r="58" spans="2:3">
      <c r="B58" s="35" t="s">
        <v>61</v>
      </c>
      <c r="C58" s="36" t="str">
        <f>WPT_CTRL!C204</f>
        <v>1.3.17 Addr 0x38000036 WPC ADC Data 3 Low - WPC_ADC_DATA3L</v>
      </c>
    </row>
    <row r="59" spans="2:3">
      <c r="B59" s="35" t="s">
        <v>62</v>
      </c>
      <c r="C59" s="36" t="str">
        <f>WPT_CTRL!C209</f>
        <v>1.3.18 Addr 0x38000037 WPC ADC Data 3 High - WPC_ADC_DATA3H</v>
      </c>
    </row>
    <row r="60" spans="2:3">
      <c r="B60" s="35" t="s">
        <v>63</v>
      </c>
      <c r="C60" s="36" t="str">
        <f>WPT_CTRL!C214</f>
        <v>1.3.19 Addr 0x38000038 WPC ADC Data 4 Low - WPC_ADC_DATA4L</v>
      </c>
    </row>
    <row r="61" spans="2:3">
      <c r="B61" s="35" t="s">
        <v>64</v>
      </c>
      <c r="C61" s="36" t="str">
        <f>WPT_CTRL!C219</f>
        <v>1.3.20 Addr 0x38000039 WPC ADC Data 4 High - WPC_ADC_DATA4H</v>
      </c>
    </row>
    <row r="62" spans="2:3">
      <c r="B62" s="35" t="s">
        <v>65</v>
      </c>
      <c r="C62" s="36" t="str">
        <f>WPT_CTRL!C224</f>
        <v>1.3.21 Addr 0x3800003A WPC ADC Data 5 Low - WPC_ADC_DATA5L</v>
      </c>
    </row>
    <row r="63" spans="2:3">
      <c r="B63" s="35" t="s">
        <v>66</v>
      </c>
      <c r="C63" s="36" t="str">
        <f>WPT_CTRL!C229</f>
        <v>1.3.22 Addr 0x3800003B WPC ADC Data 5 High - WPC_ADC_DATA5H</v>
      </c>
    </row>
    <row r="64" spans="2:3">
      <c r="B64" s="35" t="s">
        <v>67</v>
      </c>
      <c r="C64" s="36" t="str">
        <f>WPT_CTRL!C234</f>
        <v>1.3.23 Addr 0x3800003C WPC ADC Data 6 Low - WPC_ADC_DATA6L</v>
      </c>
    </row>
    <row r="65" spans="2:3">
      <c r="B65" s="35" t="s">
        <v>68</v>
      </c>
      <c r="C65" s="36" t="str">
        <f>WPT_CTRL!C239</f>
        <v>1.3.24 Addr 0x3800003D WPC ADC Data 6 High - WPC_ADC_DATA6H</v>
      </c>
    </row>
    <row r="66" spans="2:3">
      <c r="B66" s="35" t="s">
        <v>69</v>
      </c>
      <c r="C66" s="36" t="str">
        <f>WPT_CTRL!C244</f>
        <v>1.3.25 Addr 0x3800003E WPC ADC Data 7 Low - WPC_ADC_DATA7L</v>
      </c>
    </row>
    <row r="67" spans="2:3">
      <c r="B67" s="35" t="s">
        <v>70</v>
      </c>
      <c r="C67" s="36" t="str">
        <f>WPT_CTRL!C249</f>
        <v>1.3.26 Addr 0x3800003F WPC ADC Data 7 High - WPC_ADC_DATA7H</v>
      </c>
    </row>
    <row r="68" spans="2:3">
      <c r="B68" s="35" t="s">
        <v>71</v>
      </c>
      <c r="C68" s="36" t="e">
        <f>WPT_CTRL!#REF!</f>
        <v>#REF!</v>
      </c>
    </row>
    <row r="69" spans="2:3">
      <c r="B69" s="35" t="s">
        <v>72</v>
      </c>
      <c r="C69" s="36"/>
    </row>
    <row r="70" spans="2:3">
      <c r="B70" s="35" t="s">
        <v>73</v>
      </c>
      <c r="C70" s="36"/>
    </row>
    <row r="71" spans="2:3">
      <c r="B71" s="35" t="s">
        <v>74</v>
      </c>
      <c r="C71" s="36"/>
    </row>
    <row r="72" spans="2:3">
      <c r="B72" s="35" t="s">
        <v>75</v>
      </c>
      <c r="C72" s="36" t="e">
        <f>WPT_CTRL!#REF!</f>
        <v>#REF!</v>
      </c>
    </row>
    <row r="73" spans="2:3">
      <c r="B73" s="35" t="s">
        <v>76</v>
      </c>
      <c r="C73" s="36" t="e">
        <f>WPT_CTRL!#REF!</f>
        <v>#REF!</v>
      </c>
    </row>
    <row r="74" spans="2:3">
      <c r="B74" s="35" t="s">
        <v>77</v>
      </c>
      <c r="C74" s="36" t="e">
        <f>WPT_CTRL!#REF!</f>
        <v>#REF!</v>
      </c>
    </row>
    <row r="75" spans="2:3">
      <c r="B75" s="35" t="s">
        <v>78</v>
      </c>
      <c r="C75" s="36"/>
    </row>
    <row r="76" spans="2:3">
      <c r="B76" s="35" t="s">
        <v>79</v>
      </c>
      <c r="C76" s="36" t="e">
        <f>WPT_CTRL!#REF!</f>
        <v>#REF!</v>
      </c>
    </row>
    <row r="77" spans="2:3">
      <c r="B77" s="35" t="s">
        <v>80</v>
      </c>
      <c r="C77" s="36" t="e">
        <f>WPT_CTRL!#REF!</f>
        <v>#REF!</v>
      </c>
    </row>
    <row r="78" spans="2:3">
      <c r="B78" s="35" t="s">
        <v>81</v>
      </c>
      <c r="C78" s="36"/>
    </row>
    <row r="79" spans="2:3">
      <c r="B79" s="35" t="s">
        <v>82</v>
      </c>
      <c r="C79" s="36"/>
    </row>
    <row r="80" spans="2:3">
      <c r="B80" s="35" t="s">
        <v>83</v>
      </c>
      <c r="C80" s="36"/>
    </row>
    <row r="81" spans="2:3">
      <c r="B81" s="35" t="s">
        <v>84</v>
      </c>
      <c r="C81" s="36"/>
    </row>
    <row r="82" spans="2:3">
      <c r="B82" s="35" t="s">
        <v>85</v>
      </c>
      <c r="C82" s="36"/>
    </row>
    <row r="83" spans="2:3">
      <c r="B83" s="35" t="s">
        <v>86</v>
      </c>
      <c r="C83" s="36"/>
    </row>
    <row r="84" spans="2:3">
      <c r="B84" s="35" t="s">
        <v>87</v>
      </c>
      <c r="C84" s="36" t="e">
        <f>WPT_CTRL!#REF!</f>
        <v>#REF!</v>
      </c>
    </row>
    <row r="85" spans="2:3">
      <c r="B85" s="35" t="s">
        <v>88</v>
      </c>
      <c r="C85" s="36" t="e">
        <f>WPT_CTRL!#REF!</f>
        <v>#REF!</v>
      </c>
    </row>
    <row r="86" spans="2:3">
      <c r="B86" s="35" t="s">
        <v>89</v>
      </c>
      <c r="C86" s="36"/>
    </row>
    <row r="87" spans="2:3">
      <c r="B87" s="35" t="s">
        <v>90</v>
      </c>
      <c r="C87" s="36"/>
    </row>
    <row r="88" spans="2:3">
      <c r="B88" s="35" t="s">
        <v>91</v>
      </c>
      <c r="C88" s="36" t="e">
        <f>WPT_CTRL!#REF!</f>
        <v>#REF!</v>
      </c>
    </row>
    <row r="89" spans="2:3">
      <c r="B89" s="35" t="s">
        <v>92</v>
      </c>
      <c r="C89" s="36" t="e">
        <f>WPT_CTRL!#REF!</f>
        <v>#REF!</v>
      </c>
    </row>
    <row r="90" spans="2:3">
      <c r="B90" s="35" t="s">
        <v>93</v>
      </c>
      <c r="C90" s="36" t="e">
        <f>WPT_CTRL!#REF!</f>
        <v>#REF!</v>
      </c>
    </row>
    <row r="91" spans="2:3">
      <c r="B91" s="35" t="s">
        <v>94</v>
      </c>
      <c r="C91" s="36" t="e">
        <f>WPT_CTRL!#REF!</f>
        <v>#REF!</v>
      </c>
    </row>
    <row r="92" spans="2:3">
      <c r="B92" s="35" t="s">
        <v>95</v>
      </c>
      <c r="C92" s="36" t="e">
        <f>WPT_CTRL!#REF!</f>
        <v>#REF!</v>
      </c>
    </row>
    <row r="93" spans="2:3">
      <c r="B93" s="35" t="s">
        <v>96</v>
      </c>
      <c r="C93" s="36" t="e">
        <f>WPT_CTRL!#REF!</f>
        <v>#REF!</v>
      </c>
    </row>
    <row r="94" spans="2:3">
      <c r="B94" s="35" t="s">
        <v>97</v>
      </c>
      <c r="C94" s="36" t="e">
        <f>WPT_CTRL!#REF!</f>
        <v>#REF!</v>
      </c>
    </row>
    <row r="95" spans="2:3">
      <c r="B95" s="35" t="s">
        <v>98</v>
      </c>
      <c r="C95" s="36" t="e">
        <f>WPT_CTRL!#REF!</f>
        <v>#REF!</v>
      </c>
    </row>
    <row r="96" spans="2:3">
      <c r="B96" s="35" t="s">
        <v>99</v>
      </c>
      <c r="C96" s="36" t="e">
        <f>WPT_CTRL!#REF!</f>
        <v>#REF!</v>
      </c>
    </row>
    <row r="97" spans="2:3">
      <c r="B97" s="35" t="s">
        <v>100</v>
      </c>
      <c r="C97" s="36" t="e">
        <f>WPT_CTRL!#REF!</f>
        <v>#REF!</v>
      </c>
    </row>
    <row r="98" spans="2:3">
      <c r="B98" s="35" t="s">
        <v>101</v>
      </c>
      <c r="C98" s="36" t="e">
        <f>WPT_CTRL!#REF!</f>
        <v>#REF!</v>
      </c>
    </row>
    <row r="99" spans="2:3">
      <c r="B99" s="35" t="s">
        <v>102</v>
      </c>
      <c r="C99" s="36"/>
    </row>
    <row r="100" spans="2:3">
      <c r="B100" s="35" t="s">
        <v>103</v>
      </c>
      <c r="C100" s="36" t="e">
        <f>WPT_CTRL!#REF!</f>
        <v>#REF!</v>
      </c>
    </row>
    <row r="101" spans="2:3">
      <c r="B101" s="35" t="s">
        <v>104</v>
      </c>
      <c r="C101" s="36" t="e">
        <f>WPT_CTRL!#REF!</f>
        <v>#REF!</v>
      </c>
    </row>
    <row r="102" spans="2:3">
      <c r="B102" s="35" t="s">
        <v>105</v>
      </c>
      <c r="C102" s="36" t="e">
        <f>WPT_CTRL!#REF!</f>
        <v>#REF!</v>
      </c>
    </row>
    <row r="103" spans="2:3">
      <c r="B103" s="35" t="s">
        <v>106</v>
      </c>
      <c r="C103" s="36"/>
    </row>
    <row r="104" spans="2:3">
      <c r="B104" s="35" t="s">
        <v>107</v>
      </c>
      <c r="C104" s="36" t="e">
        <f>WPT_CTRL!#REF!</f>
        <v>#REF!</v>
      </c>
    </row>
    <row r="105" spans="2:3">
      <c r="B105" s="35" t="s">
        <v>108</v>
      </c>
      <c r="C105" s="36" t="e">
        <f>WPT_CTRL!#REF!</f>
        <v>#REF!</v>
      </c>
    </row>
    <row r="106" spans="2:3">
      <c r="B106" s="35" t="s">
        <v>109</v>
      </c>
      <c r="C106" s="36" t="e">
        <f>WPT_CTRL!#REF!</f>
        <v>#REF!</v>
      </c>
    </row>
    <row r="107" spans="2:3">
      <c r="B107" s="35" t="s">
        <v>110</v>
      </c>
      <c r="C107" s="36" t="e">
        <f>WPT_CTRL!#REF!</f>
        <v>#REF!</v>
      </c>
    </row>
    <row r="108" spans="2:3">
      <c r="B108" s="35" t="s">
        <v>111</v>
      </c>
      <c r="C108" s="36" t="str">
        <f>WPT_CTRL!C633</f>
        <v>1.8.5 Addr 0x38000078 WPC Analog Test Control - WPC_TEST_ANA</v>
      </c>
    </row>
    <row r="109" spans="2:3">
      <c r="B109" s="35" t="s">
        <v>112</v>
      </c>
      <c r="C109" s="36" t="str">
        <f>WPT_CTRL!C642</f>
        <v>1.8.6 Addr 0x3800007C WPC Analog RSVD.L</v>
      </c>
    </row>
    <row r="110" spans="2:3">
      <c r="B110" s="35" t="s">
        <v>113</v>
      </c>
      <c r="C110" s="36"/>
    </row>
    <row r="111" spans="2:3">
      <c r="B111" s="35" t="s">
        <v>114</v>
      </c>
      <c r="C111" s="36"/>
    </row>
    <row r="112" spans="2:3">
      <c r="B112" s="35" t="s">
        <v>115</v>
      </c>
      <c r="C112" s="36"/>
    </row>
    <row r="113" spans="2:3">
      <c r="B113" s="35" t="s">
        <v>116</v>
      </c>
      <c r="C113" s="36"/>
    </row>
    <row r="114" spans="2:3">
      <c r="B114" s="35" t="s">
        <v>117</v>
      </c>
      <c r="C114" s="36"/>
    </row>
    <row r="115" spans="2:3">
      <c r="B115" s="35" t="s">
        <v>118</v>
      </c>
      <c r="C115" s="36"/>
    </row>
  </sheetData>
  <mergeCells count="1">
    <mergeCell ref="B2:C2"/>
  </mergeCells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7"/>
  <sheetViews>
    <sheetView showGridLines="0" topLeftCell="D710" zoomScale="115" zoomScaleNormal="115" workbookViewId="0">
      <selection activeCell="G648" sqref="G648:J648"/>
    </sheetView>
  </sheetViews>
  <sheetFormatPr defaultColWidth="10.77734375" defaultRowHeight="12.75"/>
  <cols>
    <col min="1" max="1" width="10.77734375" style="2"/>
    <col min="2" max="2" width="9.88671875" style="2" customWidth="1"/>
    <col min="3" max="3" width="18.21875" style="2" customWidth="1"/>
    <col min="4" max="11" width="14.3320312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>
      <c r="B2" s="5"/>
      <c r="C2" s="101" t="s">
        <v>119</v>
      </c>
      <c r="D2" s="101"/>
      <c r="E2" s="101"/>
      <c r="F2" s="101"/>
      <c r="G2" s="101"/>
      <c r="H2" s="101"/>
      <c r="I2" s="101"/>
      <c r="J2" s="101"/>
      <c r="K2" s="101"/>
    </row>
    <row r="3" spans="2:11" s="1" customFormat="1">
      <c r="B3" s="5"/>
      <c r="C3" s="6" t="s">
        <v>120</v>
      </c>
      <c r="D3" s="22">
        <v>7</v>
      </c>
      <c r="E3" s="22">
        <v>6</v>
      </c>
      <c r="F3" s="22">
        <v>5</v>
      </c>
      <c r="G3" s="22">
        <v>4</v>
      </c>
      <c r="H3" s="22">
        <v>3</v>
      </c>
      <c r="I3" s="22">
        <v>2</v>
      </c>
      <c r="J3" s="22">
        <v>1</v>
      </c>
      <c r="K3" s="22">
        <v>0</v>
      </c>
    </row>
    <row r="4" spans="2:11" s="1" customFormat="1" ht="13.5" customHeight="1">
      <c r="B4" s="5"/>
      <c r="C4" s="8" t="s">
        <v>6</v>
      </c>
      <c r="D4" s="23" t="s">
        <v>121</v>
      </c>
      <c r="E4" s="23" t="s">
        <v>121</v>
      </c>
      <c r="F4" s="23" t="s">
        <v>121</v>
      </c>
      <c r="G4" s="23" t="s">
        <v>121</v>
      </c>
      <c r="H4" s="23" t="s">
        <v>121</v>
      </c>
      <c r="I4" s="23"/>
      <c r="J4" s="23" t="s">
        <v>122</v>
      </c>
      <c r="K4" s="23"/>
    </row>
    <row r="5" spans="2:11" s="1" customFormat="1">
      <c r="B5" s="5" t="str">
        <f>CONCATENATE(D5,E5,F5,G5,H5,I5,J5,K5)</f>
        <v>-----0</v>
      </c>
      <c r="C5" s="24" t="s">
        <v>123</v>
      </c>
      <c r="D5" s="25" t="s">
        <v>124</v>
      </c>
      <c r="E5" s="25" t="s">
        <v>124</v>
      </c>
      <c r="F5" s="25" t="s">
        <v>124</v>
      </c>
      <c r="G5" s="25" t="s">
        <v>124</v>
      </c>
      <c r="H5" s="25" t="s">
        <v>124</v>
      </c>
      <c r="I5" s="25"/>
      <c r="J5" s="25">
        <v>0</v>
      </c>
      <c r="K5" s="25"/>
    </row>
    <row r="6" spans="2:11" s="1" customFormat="1">
      <c r="B6" s="5"/>
      <c r="C6" s="102"/>
      <c r="D6" s="102"/>
      <c r="E6" s="102"/>
      <c r="F6" s="102"/>
      <c r="G6" s="102"/>
      <c r="H6" s="102"/>
      <c r="I6" s="102"/>
      <c r="J6" s="102"/>
      <c r="K6" s="102"/>
    </row>
    <row r="7" spans="2:11">
      <c r="C7" s="26" t="s">
        <v>6</v>
      </c>
      <c r="D7" s="103" t="s">
        <v>125</v>
      </c>
      <c r="E7" s="103"/>
      <c r="F7" s="26" t="s">
        <v>126</v>
      </c>
      <c r="G7" s="103" t="s">
        <v>127</v>
      </c>
      <c r="H7" s="103"/>
      <c r="I7" s="103"/>
      <c r="J7" s="103"/>
      <c r="K7" s="26" t="s">
        <v>123</v>
      </c>
    </row>
    <row r="8" spans="2:11">
      <c r="C8" s="114" t="s">
        <v>128</v>
      </c>
      <c r="D8" s="105" t="s">
        <v>129</v>
      </c>
      <c r="E8" s="106"/>
      <c r="F8" s="18" t="s">
        <v>130</v>
      </c>
      <c r="G8" s="104" t="s">
        <v>131</v>
      </c>
      <c r="H8" s="104"/>
      <c r="I8" s="104"/>
      <c r="J8" s="104"/>
      <c r="K8" s="104" t="s">
        <v>130</v>
      </c>
    </row>
    <row r="9" spans="2:11">
      <c r="C9" s="114"/>
      <c r="D9" s="107"/>
      <c r="E9" s="108"/>
      <c r="F9" s="18" t="s">
        <v>132</v>
      </c>
      <c r="G9" s="104" t="s">
        <v>133</v>
      </c>
      <c r="H9" s="104"/>
      <c r="I9" s="104"/>
      <c r="J9" s="104"/>
      <c r="K9" s="104"/>
    </row>
    <row r="10" spans="2:11" ht="13.5" customHeight="1">
      <c r="C10" s="114" t="s">
        <v>122</v>
      </c>
      <c r="D10" s="105" t="s">
        <v>134</v>
      </c>
      <c r="E10" s="106"/>
      <c r="F10" s="18" t="s">
        <v>130</v>
      </c>
      <c r="G10" s="104" t="s">
        <v>131</v>
      </c>
      <c r="H10" s="104"/>
      <c r="I10" s="104"/>
      <c r="J10" s="104"/>
      <c r="K10" s="112" t="s">
        <v>135</v>
      </c>
    </row>
    <row r="11" spans="2:11" ht="12.75" customHeight="1">
      <c r="C11" s="114"/>
      <c r="D11" s="107"/>
      <c r="E11" s="108"/>
      <c r="F11" s="18" t="s">
        <v>132</v>
      </c>
      <c r="G11" s="104" t="s">
        <v>133</v>
      </c>
      <c r="H11" s="104"/>
      <c r="I11" s="104"/>
      <c r="J11" s="104"/>
      <c r="K11" s="113"/>
    </row>
    <row r="12" spans="2:11">
      <c r="C12" s="114" t="s">
        <v>136</v>
      </c>
      <c r="D12" s="105" t="s">
        <v>137</v>
      </c>
      <c r="E12" s="106"/>
      <c r="F12" s="18" t="s">
        <v>130</v>
      </c>
      <c r="G12" s="104" t="s">
        <v>131</v>
      </c>
      <c r="H12" s="104"/>
      <c r="I12" s="104"/>
      <c r="J12" s="104"/>
      <c r="K12" s="112" t="s">
        <v>135</v>
      </c>
    </row>
    <row r="13" spans="2:11">
      <c r="C13" s="114"/>
      <c r="D13" s="107"/>
      <c r="E13" s="108"/>
      <c r="F13" s="18" t="s">
        <v>132</v>
      </c>
      <c r="G13" s="104" t="s">
        <v>133</v>
      </c>
      <c r="H13" s="104"/>
      <c r="I13" s="104"/>
      <c r="J13" s="104"/>
      <c r="K13" s="113"/>
    </row>
    <row r="15" spans="2:11" s="1" customFormat="1">
      <c r="B15" s="5"/>
      <c r="C15" s="101" t="s">
        <v>138</v>
      </c>
      <c r="D15" s="101"/>
      <c r="E15" s="101"/>
      <c r="F15" s="101"/>
      <c r="G15" s="101"/>
      <c r="H15" s="101"/>
      <c r="I15" s="101"/>
      <c r="J15" s="101"/>
      <c r="K15" s="101"/>
    </row>
    <row r="16" spans="2:11" s="1" customFormat="1">
      <c r="B16" s="5"/>
      <c r="C16" s="6" t="s">
        <v>120</v>
      </c>
      <c r="D16" s="22">
        <v>7</v>
      </c>
      <c r="E16" s="22">
        <v>6</v>
      </c>
      <c r="F16" s="22">
        <v>5</v>
      </c>
      <c r="G16" s="22">
        <v>4</v>
      </c>
      <c r="H16" s="22">
        <v>3</v>
      </c>
      <c r="I16" s="22">
        <v>2</v>
      </c>
      <c r="J16" s="22">
        <v>1</v>
      </c>
      <c r="K16" s="22">
        <v>0</v>
      </c>
    </row>
    <row r="17" spans="2:11" s="1" customFormat="1" ht="13.5" customHeight="1">
      <c r="B17" s="5"/>
      <c r="C17" s="8" t="s">
        <v>6</v>
      </c>
      <c r="D17" s="23" t="s">
        <v>121</v>
      </c>
      <c r="E17" s="23" t="s">
        <v>121</v>
      </c>
      <c r="F17" s="23" t="s">
        <v>121</v>
      </c>
      <c r="G17" s="23" t="s">
        <v>121</v>
      </c>
      <c r="H17" s="23" t="s">
        <v>121</v>
      </c>
      <c r="I17" s="23"/>
      <c r="J17" s="23" t="s">
        <v>139</v>
      </c>
      <c r="K17" s="23"/>
    </row>
    <row r="18" spans="2:11" s="1" customFormat="1">
      <c r="B18" s="5" t="str">
        <f>CONCATENATE(D18,E18,F18,G18,H18,I18,J18,K18)</f>
        <v>-----0</v>
      </c>
      <c r="C18" s="24" t="s">
        <v>123</v>
      </c>
      <c r="D18" s="25" t="s">
        <v>124</v>
      </c>
      <c r="E18" s="25" t="s">
        <v>124</v>
      </c>
      <c r="F18" s="25" t="s">
        <v>124</v>
      </c>
      <c r="G18" s="25" t="s">
        <v>124</v>
      </c>
      <c r="H18" s="25" t="s">
        <v>124</v>
      </c>
      <c r="I18" s="25"/>
      <c r="J18" s="25">
        <v>0</v>
      </c>
      <c r="K18" s="25"/>
    </row>
    <row r="19" spans="2:11" s="1" customFormat="1">
      <c r="B19" s="5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C20" s="26" t="s">
        <v>6</v>
      </c>
      <c r="D20" s="103" t="s">
        <v>125</v>
      </c>
      <c r="E20" s="103"/>
      <c r="F20" s="26" t="s">
        <v>126</v>
      </c>
      <c r="G20" s="103" t="s">
        <v>127</v>
      </c>
      <c r="H20" s="103"/>
      <c r="I20" s="103"/>
      <c r="J20" s="103"/>
      <c r="K20" s="26" t="s">
        <v>123</v>
      </c>
    </row>
    <row r="21" spans="2:11" ht="13.5" customHeight="1">
      <c r="C21" s="114" t="s">
        <v>139</v>
      </c>
      <c r="D21" s="105" t="s">
        <v>140</v>
      </c>
      <c r="E21" s="106"/>
      <c r="F21" s="18" t="s">
        <v>130</v>
      </c>
      <c r="G21" s="104" t="s">
        <v>141</v>
      </c>
      <c r="H21" s="104"/>
      <c r="I21" s="104"/>
      <c r="J21" s="104"/>
      <c r="K21" s="112" t="s">
        <v>135</v>
      </c>
    </row>
    <row r="22" spans="2:11" ht="12.75" customHeight="1">
      <c r="C22" s="114"/>
      <c r="D22" s="107"/>
      <c r="E22" s="108"/>
      <c r="F22" s="18" t="s">
        <v>132</v>
      </c>
      <c r="G22" s="104" t="s">
        <v>142</v>
      </c>
      <c r="H22" s="104"/>
      <c r="I22" s="104"/>
      <c r="J22" s="104"/>
      <c r="K22" s="113"/>
    </row>
    <row r="24" spans="2:11" s="1" customFormat="1" ht="12.75" customHeight="1">
      <c r="B24" s="5"/>
      <c r="C24" s="119" t="s">
        <v>1172</v>
      </c>
      <c r="D24" s="120"/>
      <c r="E24" s="120"/>
      <c r="F24" s="120"/>
      <c r="G24" s="120"/>
      <c r="H24" s="120"/>
      <c r="I24" s="120"/>
      <c r="J24" s="120"/>
      <c r="K24" s="121"/>
    </row>
    <row r="25" spans="2:11" s="1" customFormat="1">
      <c r="B25" s="5"/>
      <c r="C25" s="6" t="s">
        <v>120</v>
      </c>
      <c r="D25" s="22">
        <v>7</v>
      </c>
      <c r="E25" s="22">
        <v>6</v>
      </c>
      <c r="F25" s="22">
        <v>5</v>
      </c>
      <c r="G25" s="22">
        <v>4</v>
      </c>
      <c r="H25" s="22">
        <v>3</v>
      </c>
      <c r="I25" s="22">
        <v>2</v>
      </c>
      <c r="J25" s="22">
        <v>1</v>
      </c>
      <c r="K25" s="22">
        <v>0</v>
      </c>
    </row>
    <row r="26" spans="2:11" s="1" customFormat="1" ht="13.5" customHeight="1">
      <c r="B26" s="5"/>
      <c r="C26" s="8" t="s">
        <v>6</v>
      </c>
      <c r="D26" s="56" t="s">
        <v>121</v>
      </c>
      <c r="E26" s="56" t="s">
        <v>121</v>
      </c>
      <c r="F26" s="56" t="s">
        <v>121</v>
      </c>
      <c r="G26" s="56" t="s">
        <v>121</v>
      </c>
      <c r="H26" s="56" t="s">
        <v>1165</v>
      </c>
      <c r="I26" s="56" t="s">
        <v>1164</v>
      </c>
      <c r="J26" s="56" t="s">
        <v>1230</v>
      </c>
      <c r="K26" s="56" t="s">
        <v>121</v>
      </c>
    </row>
    <row r="27" spans="2:11" s="1" customFormat="1">
      <c r="B27" s="5" t="str">
        <f>CONCATENATE(D27,E27,F27,G27,H27,I27,J27,K27)</f>
        <v>----100-</v>
      </c>
      <c r="C27" s="24" t="s">
        <v>123</v>
      </c>
      <c r="D27" s="25" t="s">
        <v>124</v>
      </c>
      <c r="E27" s="25" t="s">
        <v>124</v>
      </c>
      <c r="F27" s="25" t="s">
        <v>124</v>
      </c>
      <c r="G27" s="25" t="s">
        <v>124</v>
      </c>
      <c r="H27" s="25">
        <v>1</v>
      </c>
      <c r="I27" s="25">
        <v>0</v>
      </c>
      <c r="J27" s="25">
        <v>0</v>
      </c>
      <c r="K27" s="25" t="s">
        <v>124</v>
      </c>
    </row>
    <row r="28" spans="2:11" s="1" customFormat="1">
      <c r="B28" s="5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C29" s="54" t="s">
        <v>6</v>
      </c>
      <c r="D29" s="114" t="s">
        <v>125</v>
      </c>
      <c r="E29" s="114"/>
      <c r="F29" s="54" t="s">
        <v>126</v>
      </c>
      <c r="G29" s="114" t="s">
        <v>127</v>
      </c>
      <c r="H29" s="114"/>
      <c r="I29" s="114"/>
      <c r="J29" s="114"/>
      <c r="K29" s="54" t="s">
        <v>123</v>
      </c>
    </row>
    <row r="30" spans="2:11" ht="36" customHeight="1">
      <c r="C30" s="59" t="str">
        <f>J26</f>
        <v>LDO50_MODE</v>
      </c>
      <c r="D30" s="115" t="s">
        <v>1231</v>
      </c>
      <c r="E30" s="116"/>
      <c r="F30" s="55" t="s">
        <v>135</v>
      </c>
      <c r="G30" s="104" t="s">
        <v>1232</v>
      </c>
      <c r="H30" s="104"/>
      <c r="I30" s="104"/>
      <c r="J30" s="104"/>
      <c r="K30" s="59" t="s">
        <v>135</v>
      </c>
    </row>
    <row r="31" spans="2:11">
      <c r="C31" s="59" t="str">
        <f>I26</f>
        <v>SLEEP_MODE</v>
      </c>
      <c r="D31" s="115" t="s">
        <v>1168</v>
      </c>
      <c r="E31" s="116"/>
      <c r="F31" s="55" t="s">
        <v>135</v>
      </c>
      <c r="G31" s="104" t="s">
        <v>1169</v>
      </c>
      <c r="H31" s="104"/>
      <c r="I31" s="104"/>
      <c r="J31" s="104"/>
      <c r="K31" s="59" t="s">
        <v>135</v>
      </c>
    </row>
    <row r="32" spans="2:11">
      <c r="C32" s="59" t="str">
        <f>H26</f>
        <v>PEN_BUF</v>
      </c>
      <c r="D32" s="115" t="s">
        <v>1167</v>
      </c>
      <c r="E32" s="116"/>
      <c r="F32" s="55" t="s">
        <v>147</v>
      </c>
      <c r="G32" s="122"/>
      <c r="H32" s="123"/>
      <c r="I32" s="123"/>
      <c r="J32" s="124"/>
      <c r="K32" s="59" t="s">
        <v>1166</v>
      </c>
    </row>
    <row r="34" spans="2:11" s="1" customFormat="1" ht="12.75" customHeight="1">
      <c r="B34" s="5"/>
      <c r="C34" s="119" t="s">
        <v>1219</v>
      </c>
      <c r="D34" s="120"/>
      <c r="E34" s="120"/>
      <c r="F34" s="120"/>
      <c r="G34" s="120"/>
      <c r="H34" s="120"/>
      <c r="I34" s="120"/>
      <c r="J34" s="120"/>
      <c r="K34" s="121"/>
    </row>
    <row r="35" spans="2:11" s="1" customFormat="1">
      <c r="B35" s="5"/>
      <c r="C35" s="6" t="s">
        <v>120</v>
      </c>
      <c r="D35" s="22">
        <v>7</v>
      </c>
      <c r="E35" s="22">
        <v>6</v>
      </c>
      <c r="F35" s="22">
        <v>5</v>
      </c>
      <c r="G35" s="22">
        <v>4</v>
      </c>
      <c r="H35" s="22">
        <v>3</v>
      </c>
      <c r="I35" s="22">
        <v>2</v>
      </c>
      <c r="J35" s="22">
        <v>1</v>
      </c>
      <c r="K35" s="22">
        <v>0</v>
      </c>
    </row>
    <row r="36" spans="2:11" s="1" customFormat="1" ht="13.5" customHeight="1">
      <c r="B36" s="5"/>
      <c r="C36" s="8" t="s">
        <v>6</v>
      </c>
      <c r="D36" s="56" t="s">
        <v>121</v>
      </c>
      <c r="E36" s="56" t="s">
        <v>121</v>
      </c>
      <c r="F36" s="56" t="s">
        <v>121</v>
      </c>
      <c r="G36" s="131" t="s">
        <v>1220</v>
      </c>
      <c r="H36" s="117"/>
      <c r="I36" s="117"/>
      <c r="J36" s="117"/>
      <c r="K36" s="118"/>
    </row>
    <row r="37" spans="2:11" s="1" customFormat="1">
      <c r="B37" s="5" t="str">
        <f>CONCATENATE(D37,E37,F37,G37,H37,I37,J37,K37)</f>
        <v>---00000</v>
      </c>
      <c r="C37" s="24" t="s">
        <v>123</v>
      </c>
      <c r="D37" s="25" t="s">
        <v>124</v>
      </c>
      <c r="E37" s="25" t="s">
        <v>124</v>
      </c>
      <c r="F37" s="25" t="s">
        <v>124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</row>
    <row r="38" spans="2:11" s="1" customFormat="1">
      <c r="B38" s="5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C39" s="54" t="s">
        <v>6</v>
      </c>
      <c r="D39" s="114" t="s">
        <v>125</v>
      </c>
      <c r="E39" s="114"/>
      <c r="F39" s="54" t="s">
        <v>126</v>
      </c>
      <c r="G39" s="114" t="s">
        <v>127</v>
      </c>
      <c r="H39" s="114"/>
      <c r="I39" s="114"/>
      <c r="J39" s="114"/>
      <c r="K39" s="54" t="s">
        <v>123</v>
      </c>
    </row>
    <row r="40" spans="2:11">
      <c r="C40" s="59" t="str">
        <f>G36</f>
        <v>TRIM_BGR_TC[4:0]</v>
      </c>
      <c r="D40" s="115" t="s">
        <v>1222</v>
      </c>
      <c r="E40" s="116"/>
      <c r="F40" s="55" t="s">
        <v>135</v>
      </c>
      <c r="G40" s="104"/>
      <c r="H40" s="104"/>
      <c r="I40" s="104"/>
      <c r="J40" s="104"/>
      <c r="K40" s="59" t="s">
        <v>1221</v>
      </c>
    </row>
    <row r="42" spans="2:11" s="1" customFormat="1" ht="12.75" customHeight="1">
      <c r="B42" s="5"/>
      <c r="C42" s="119" t="s">
        <v>1223</v>
      </c>
      <c r="D42" s="120"/>
      <c r="E42" s="120"/>
      <c r="F42" s="120"/>
      <c r="G42" s="120"/>
      <c r="H42" s="120"/>
      <c r="I42" s="120"/>
      <c r="J42" s="120"/>
      <c r="K42" s="121"/>
    </row>
    <row r="43" spans="2:11" s="1" customFormat="1">
      <c r="B43" s="5"/>
      <c r="C43" s="6" t="s">
        <v>120</v>
      </c>
      <c r="D43" s="22">
        <v>7</v>
      </c>
      <c r="E43" s="22">
        <v>6</v>
      </c>
      <c r="F43" s="22">
        <v>5</v>
      </c>
      <c r="G43" s="22">
        <v>4</v>
      </c>
      <c r="H43" s="22">
        <v>3</v>
      </c>
      <c r="I43" s="22">
        <v>2</v>
      </c>
      <c r="J43" s="22">
        <v>1</v>
      </c>
      <c r="K43" s="22">
        <v>0</v>
      </c>
    </row>
    <row r="44" spans="2:11" s="1" customFormat="1" ht="13.5" customHeight="1">
      <c r="B44" s="5"/>
      <c r="C44" s="8" t="s">
        <v>6</v>
      </c>
      <c r="D44" s="117" t="s">
        <v>1225</v>
      </c>
      <c r="E44" s="117"/>
      <c r="F44" s="117"/>
      <c r="G44" s="118"/>
      <c r="H44" s="117" t="s">
        <v>1224</v>
      </c>
      <c r="I44" s="117"/>
      <c r="J44" s="117"/>
      <c r="K44" s="118"/>
    </row>
    <row r="45" spans="2:11" s="1" customFormat="1">
      <c r="B45" s="5" t="str">
        <f>CONCATENATE(D45,E45,F45,G45,H45,I45,J45,K45)</f>
        <v>00000000</v>
      </c>
      <c r="C45" s="24" t="s">
        <v>123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</row>
    <row r="46" spans="2:11" s="1" customFormat="1">
      <c r="B46" s="5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C47" s="54" t="s">
        <v>6</v>
      </c>
      <c r="D47" s="114" t="s">
        <v>125</v>
      </c>
      <c r="E47" s="114"/>
      <c r="F47" s="54" t="s">
        <v>126</v>
      </c>
      <c r="G47" s="114" t="s">
        <v>127</v>
      </c>
      <c r="H47" s="114"/>
      <c r="I47" s="114"/>
      <c r="J47" s="114"/>
      <c r="K47" s="54" t="s">
        <v>123</v>
      </c>
    </row>
    <row r="48" spans="2:11" ht="39.75" customHeight="1">
      <c r="C48" s="59" t="str">
        <f>H44</f>
        <v>TRIM_LDO50[3:0]</v>
      </c>
      <c r="D48" s="115" t="s">
        <v>1226</v>
      </c>
      <c r="E48" s="116"/>
      <c r="F48" s="55"/>
      <c r="G48" s="104" t="s">
        <v>1229</v>
      </c>
      <c r="H48" s="104"/>
      <c r="I48" s="104"/>
      <c r="J48" s="104"/>
      <c r="K48" s="59" t="s">
        <v>1228</v>
      </c>
    </row>
    <row r="49" spans="2:11">
      <c r="C49" s="59" t="str">
        <f>D44</f>
        <v>TRIM_LDO18[3:0]</v>
      </c>
      <c r="D49" s="115" t="s">
        <v>1227</v>
      </c>
      <c r="E49" s="116"/>
      <c r="F49" s="55"/>
      <c r="G49" s="104"/>
      <c r="H49" s="104"/>
      <c r="I49" s="104"/>
      <c r="J49" s="104"/>
      <c r="K49" s="59" t="s">
        <v>1228</v>
      </c>
    </row>
    <row r="51" spans="2:11" s="1" customFormat="1" ht="12.75" customHeight="1">
      <c r="B51" s="5"/>
      <c r="C51" s="119" t="s">
        <v>1264</v>
      </c>
      <c r="D51" s="120"/>
      <c r="E51" s="120"/>
      <c r="F51" s="120"/>
      <c r="G51" s="120"/>
      <c r="H51" s="120"/>
      <c r="I51" s="120"/>
      <c r="J51" s="120"/>
      <c r="K51" s="121"/>
    </row>
    <row r="52" spans="2:11" s="1" customFormat="1">
      <c r="B52" s="5"/>
      <c r="C52" s="6" t="s">
        <v>120</v>
      </c>
      <c r="D52" s="22">
        <v>7</v>
      </c>
      <c r="E52" s="22">
        <v>6</v>
      </c>
      <c r="F52" s="22">
        <v>5</v>
      </c>
      <c r="G52" s="22">
        <v>4</v>
      </c>
      <c r="H52" s="22">
        <v>3</v>
      </c>
      <c r="I52" s="22">
        <v>2</v>
      </c>
      <c r="J52" s="22">
        <v>1</v>
      </c>
      <c r="K52" s="22">
        <v>0</v>
      </c>
    </row>
    <row r="53" spans="2:11" s="1" customFormat="1" ht="13.5" customHeight="1">
      <c r="B53" s="5"/>
      <c r="C53" s="8" t="s">
        <v>6</v>
      </c>
      <c r="D53" s="56" t="s">
        <v>121</v>
      </c>
      <c r="E53" s="56" t="s">
        <v>121</v>
      </c>
      <c r="F53" s="56" t="s">
        <v>121</v>
      </c>
      <c r="G53" s="117" t="s">
        <v>1238</v>
      </c>
      <c r="H53" s="117"/>
      <c r="I53" s="117"/>
      <c r="J53" s="117"/>
      <c r="K53" s="118"/>
    </row>
    <row r="54" spans="2:11" s="1" customFormat="1">
      <c r="B54" s="5" t="str">
        <f>CONCATENATE(D54,E54,F54,G54,H54,I54,J54,K54)</f>
        <v>---00000</v>
      </c>
      <c r="C54" s="24" t="s">
        <v>123</v>
      </c>
      <c r="D54" s="25" t="s">
        <v>124</v>
      </c>
      <c r="E54" s="25" t="s">
        <v>124</v>
      </c>
      <c r="F54" s="25" t="s">
        <v>124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</row>
    <row r="55" spans="2:11" s="1" customFormat="1">
      <c r="B55" s="5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C56" s="54" t="s">
        <v>6</v>
      </c>
      <c r="D56" s="114" t="s">
        <v>125</v>
      </c>
      <c r="E56" s="114"/>
      <c r="F56" s="54" t="s">
        <v>126</v>
      </c>
      <c r="G56" s="114" t="s">
        <v>127</v>
      </c>
      <c r="H56" s="114"/>
      <c r="I56" s="114"/>
      <c r="J56" s="114"/>
      <c r="K56" s="54" t="s">
        <v>123</v>
      </c>
    </row>
    <row r="57" spans="2:11" ht="27.75" customHeight="1">
      <c r="C57" s="59" t="str">
        <f>G53</f>
        <v>TRIM_ADC_GC[4:0]</v>
      </c>
      <c r="D57" s="115" t="s">
        <v>1239</v>
      </c>
      <c r="E57" s="116"/>
      <c r="F57" s="55"/>
      <c r="G57" s="104" t="s">
        <v>1240</v>
      </c>
      <c r="H57" s="104"/>
      <c r="I57" s="104"/>
      <c r="J57" s="104"/>
      <c r="K57" s="59" t="s">
        <v>1228</v>
      </c>
    </row>
    <row r="59" spans="2:11" s="1" customFormat="1" ht="12.75" customHeight="1">
      <c r="B59" s="5"/>
      <c r="C59" s="119" t="s">
        <v>1244</v>
      </c>
      <c r="D59" s="120"/>
      <c r="E59" s="120"/>
      <c r="F59" s="120"/>
      <c r="G59" s="120"/>
      <c r="H59" s="120"/>
      <c r="I59" s="120"/>
      <c r="J59" s="120"/>
      <c r="K59" s="121"/>
    </row>
    <row r="60" spans="2:11" s="1" customFormat="1">
      <c r="B60" s="5"/>
      <c r="C60" s="6" t="s">
        <v>120</v>
      </c>
      <c r="D60" s="22">
        <v>7</v>
      </c>
      <c r="E60" s="22">
        <v>6</v>
      </c>
      <c r="F60" s="22">
        <v>5</v>
      </c>
      <c r="G60" s="22">
        <v>4</v>
      </c>
      <c r="H60" s="22">
        <v>3</v>
      </c>
      <c r="I60" s="22">
        <v>2</v>
      </c>
      <c r="J60" s="22">
        <v>1</v>
      </c>
      <c r="K60" s="22">
        <v>0</v>
      </c>
    </row>
    <row r="61" spans="2:11" s="1" customFormat="1" ht="13.5" customHeight="1">
      <c r="B61" s="5"/>
      <c r="C61" s="8" t="s">
        <v>6</v>
      </c>
      <c r="D61" s="56" t="s">
        <v>121</v>
      </c>
      <c r="E61" s="56" t="s">
        <v>121</v>
      </c>
      <c r="F61" s="56" t="s">
        <v>121</v>
      </c>
      <c r="G61" s="56" t="s">
        <v>1173</v>
      </c>
      <c r="H61" s="131" t="s">
        <v>1241</v>
      </c>
      <c r="I61" s="117"/>
      <c r="J61" s="117"/>
      <c r="K61" s="118"/>
    </row>
    <row r="62" spans="2:11" s="1" customFormat="1">
      <c r="B62" s="5" t="str">
        <f>CONCATENATE(D62,E62,F62,G62,H62,I62,J62,K62)</f>
        <v>---01000</v>
      </c>
      <c r="C62" s="24" t="s">
        <v>123</v>
      </c>
      <c r="D62" s="25" t="s">
        <v>124</v>
      </c>
      <c r="E62" s="25" t="s">
        <v>124</v>
      </c>
      <c r="F62" s="25" t="s">
        <v>124</v>
      </c>
      <c r="G62" s="25">
        <v>0</v>
      </c>
      <c r="H62" s="25">
        <v>1</v>
      </c>
      <c r="I62" s="25">
        <v>0</v>
      </c>
      <c r="J62" s="25">
        <v>0</v>
      </c>
      <c r="K62" s="25">
        <v>0</v>
      </c>
    </row>
    <row r="63" spans="2:11" s="1" customFormat="1">
      <c r="B63" s="5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C64" s="54" t="s">
        <v>6</v>
      </c>
      <c r="D64" s="114" t="s">
        <v>125</v>
      </c>
      <c r="E64" s="114"/>
      <c r="F64" s="54" t="s">
        <v>126</v>
      </c>
      <c r="G64" s="114" t="s">
        <v>127</v>
      </c>
      <c r="H64" s="114"/>
      <c r="I64" s="114"/>
      <c r="J64" s="114"/>
      <c r="K64" s="54" t="s">
        <v>123</v>
      </c>
    </row>
    <row r="65" spans="2:11">
      <c r="C65" s="54" t="str">
        <f>H61</f>
        <v>TRIM_ADC_VFB[3:0]</v>
      </c>
      <c r="D65" s="115" t="s">
        <v>1243</v>
      </c>
      <c r="E65" s="116"/>
      <c r="F65" s="54"/>
      <c r="G65" s="104"/>
      <c r="H65" s="104"/>
      <c r="I65" s="104"/>
      <c r="J65" s="104"/>
      <c r="K65" s="54" t="s">
        <v>1242</v>
      </c>
    </row>
    <row r="66" spans="2:11">
      <c r="C66" s="59" t="str">
        <f>G61</f>
        <v>VOUT_ATTEN_TRIM</v>
      </c>
      <c r="D66" s="115" t="s">
        <v>1174</v>
      </c>
      <c r="E66" s="116"/>
      <c r="F66" s="55"/>
      <c r="G66" s="104" t="s">
        <v>1175</v>
      </c>
      <c r="H66" s="104"/>
      <c r="I66" s="104"/>
      <c r="J66" s="104"/>
      <c r="K66" s="59" t="s">
        <v>135</v>
      </c>
    </row>
    <row r="68" spans="2:11" s="1" customFormat="1" ht="12.75" customHeight="1">
      <c r="B68" s="5"/>
      <c r="C68" s="119" t="s">
        <v>1245</v>
      </c>
      <c r="D68" s="120"/>
      <c r="E68" s="120"/>
      <c r="F68" s="120"/>
      <c r="G68" s="120"/>
      <c r="H68" s="120"/>
      <c r="I68" s="120"/>
      <c r="J68" s="120"/>
      <c r="K68" s="121"/>
    </row>
    <row r="69" spans="2:11" s="1" customFormat="1">
      <c r="B69" s="5"/>
      <c r="C69" s="6" t="s">
        <v>120</v>
      </c>
      <c r="D69" s="22">
        <v>7</v>
      </c>
      <c r="E69" s="22">
        <v>6</v>
      </c>
      <c r="F69" s="22">
        <v>5</v>
      </c>
      <c r="G69" s="22">
        <v>4</v>
      </c>
      <c r="H69" s="22">
        <v>3</v>
      </c>
      <c r="I69" s="22">
        <v>2</v>
      </c>
      <c r="J69" s="22">
        <v>1</v>
      </c>
      <c r="K69" s="22">
        <v>0</v>
      </c>
    </row>
    <row r="70" spans="2:11" s="1" customFormat="1" ht="13.5" customHeight="1">
      <c r="B70" s="5"/>
      <c r="C70" s="8" t="s">
        <v>6</v>
      </c>
      <c r="D70" s="131" t="s">
        <v>1253</v>
      </c>
      <c r="E70" s="118"/>
      <c r="F70" s="131" t="s">
        <v>1252</v>
      </c>
      <c r="G70" s="118"/>
      <c r="H70" s="131" t="s">
        <v>1249</v>
      </c>
      <c r="I70" s="117"/>
      <c r="J70" s="117" t="s">
        <v>1246</v>
      </c>
      <c r="K70" s="118"/>
    </row>
    <row r="71" spans="2:11" s="1" customFormat="1">
      <c r="B71" s="5" t="str">
        <f>CONCATENATE(D71,E71,F71,G71,H71,I71,J71,K71)</f>
        <v>10100100</v>
      </c>
      <c r="C71" s="24" t="s">
        <v>123</v>
      </c>
      <c r="D71" s="25">
        <v>1</v>
      </c>
      <c r="E71" s="25">
        <v>0</v>
      </c>
      <c r="F71" s="25">
        <v>1</v>
      </c>
      <c r="G71" s="25">
        <v>0</v>
      </c>
      <c r="H71" s="25">
        <v>0</v>
      </c>
      <c r="I71" s="25">
        <v>1</v>
      </c>
      <c r="J71" s="25">
        <v>0</v>
      </c>
      <c r="K71" s="25">
        <v>0</v>
      </c>
    </row>
    <row r="72" spans="2:11" s="1" customFormat="1">
      <c r="B72" s="5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C73" s="54" t="s">
        <v>6</v>
      </c>
      <c r="D73" s="114" t="s">
        <v>125</v>
      </c>
      <c r="E73" s="114"/>
      <c r="F73" s="54" t="s">
        <v>126</v>
      </c>
      <c r="G73" s="114" t="s">
        <v>127</v>
      </c>
      <c r="H73" s="114"/>
      <c r="I73" s="114"/>
      <c r="J73" s="114"/>
      <c r="K73" s="54" t="s">
        <v>123</v>
      </c>
    </row>
    <row r="74" spans="2:11">
      <c r="C74" s="54" t="str">
        <f>J70</f>
        <v>TRIM_ADC_REF[1:0]</v>
      </c>
      <c r="D74" s="115" t="s">
        <v>1247</v>
      </c>
      <c r="E74" s="116"/>
      <c r="F74" s="54"/>
      <c r="G74" s="104" t="s">
        <v>1248</v>
      </c>
      <c r="H74" s="104"/>
      <c r="I74" s="104"/>
      <c r="J74" s="104"/>
      <c r="K74" s="54" t="s">
        <v>1258</v>
      </c>
    </row>
    <row r="75" spans="2:11">
      <c r="C75" s="59" t="str">
        <f>H70</f>
        <v>TRIM_ADC_VREFB[1:0]</v>
      </c>
      <c r="D75" s="115" t="s">
        <v>1250</v>
      </c>
      <c r="E75" s="116"/>
      <c r="F75" s="54"/>
      <c r="G75" s="104" t="s">
        <v>1251</v>
      </c>
      <c r="H75" s="104"/>
      <c r="I75" s="104"/>
      <c r="J75" s="104"/>
      <c r="K75" s="54" t="s">
        <v>1259</v>
      </c>
    </row>
    <row r="76" spans="2:11">
      <c r="C76" s="59" t="str">
        <f>F70</f>
        <v>TRIM_ADC_VREFM[1:0]</v>
      </c>
      <c r="D76" s="115" t="s">
        <v>1254</v>
      </c>
      <c r="E76" s="116"/>
      <c r="F76" s="54"/>
      <c r="G76" s="104" t="s">
        <v>1257</v>
      </c>
      <c r="H76" s="104"/>
      <c r="I76" s="104"/>
      <c r="J76" s="104"/>
      <c r="K76" s="54" t="s">
        <v>1260</v>
      </c>
    </row>
    <row r="77" spans="2:11">
      <c r="C77" s="59" t="str">
        <f>D70</f>
        <v>TRIM_ADC_VREFT[1:0]</v>
      </c>
      <c r="D77" s="115" t="s">
        <v>1255</v>
      </c>
      <c r="E77" s="116"/>
      <c r="F77" s="54"/>
      <c r="G77" s="104" t="s">
        <v>1256</v>
      </c>
      <c r="H77" s="104"/>
      <c r="I77" s="104"/>
      <c r="J77" s="104"/>
      <c r="K77" s="54" t="s">
        <v>1260</v>
      </c>
    </row>
    <row r="79" spans="2:11" s="1" customFormat="1" ht="12.75" customHeight="1">
      <c r="B79" s="5"/>
      <c r="C79" s="109" t="s">
        <v>143</v>
      </c>
      <c r="D79" s="110"/>
      <c r="E79" s="110"/>
      <c r="F79" s="110"/>
      <c r="G79" s="110"/>
      <c r="H79" s="110"/>
      <c r="I79" s="110"/>
      <c r="J79" s="110"/>
      <c r="K79" s="111"/>
    </row>
    <row r="80" spans="2:11" s="1" customFormat="1">
      <c r="B80" s="5"/>
      <c r="C80" s="6" t="s">
        <v>120</v>
      </c>
      <c r="D80" s="22">
        <v>7</v>
      </c>
      <c r="E80" s="22">
        <v>6</v>
      </c>
      <c r="F80" s="22">
        <v>5</v>
      </c>
      <c r="G80" s="22">
        <v>4</v>
      </c>
      <c r="H80" s="22">
        <v>3</v>
      </c>
      <c r="I80" s="22">
        <v>2</v>
      </c>
      <c r="J80" s="22">
        <v>1</v>
      </c>
      <c r="K80" s="22">
        <v>0</v>
      </c>
    </row>
    <row r="81" spans="2:11" s="1" customFormat="1" ht="13.5" customHeight="1">
      <c r="B81" s="5"/>
      <c r="C81" s="8" t="s">
        <v>6</v>
      </c>
      <c r="D81" s="23" t="s">
        <v>121</v>
      </c>
      <c r="E81" s="23" t="s">
        <v>121</v>
      </c>
      <c r="F81" s="23" t="s">
        <v>121</v>
      </c>
      <c r="G81" s="23" t="s">
        <v>121</v>
      </c>
      <c r="H81" s="23" t="s">
        <v>121</v>
      </c>
      <c r="I81" s="23" t="s">
        <v>121</v>
      </c>
      <c r="J81" s="23" t="s">
        <v>121</v>
      </c>
      <c r="K81" s="23" t="s">
        <v>144</v>
      </c>
    </row>
    <row r="82" spans="2:11" s="1" customFormat="1">
      <c r="B82" s="5" t="str">
        <f>CONCATENATE(D82,E82,F82,G82,H82,I82,J82,K82)</f>
        <v>-------0</v>
      </c>
      <c r="C82" s="24" t="s">
        <v>123</v>
      </c>
      <c r="D82" s="25" t="s">
        <v>124</v>
      </c>
      <c r="E82" s="25" t="s">
        <v>124</v>
      </c>
      <c r="F82" s="25" t="s">
        <v>124</v>
      </c>
      <c r="G82" s="25" t="s">
        <v>124</v>
      </c>
      <c r="H82" s="25" t="s">
        <v>124</v>
      </c>
      <c r="I82" s="25" t="s">
        <v>124</v>
      </c>
      <c r="J82" s="25" t="s">
        <v>124</v>
      </c>
      <c r="K82" s="25">
        <v>0</v>
      </c>
    </row>
    <row r="83" spans="2:11" s="1" customFormat="1">
      <c r="B83" s="5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C84" s="19" t="s">
        <v>6</v>
      </c>
      <c r="D84" s="114" t="s">
        <v>125</v>
      </c>
      <c r="E84" s="114"/>
      <c r="F84" s="19" t="s">
        <v>126</v>
      </c>
      <c r="G84" s="114" t="s">
        <v>127</v>
      </c>
      <c r="H84" s="114"/>
      <c r="I84" s="114"/>
      <c r="J84" s="114"/>
      <c r="K84" s="19" t="s">
        <v>123</v>
      </c>
    </row>
    <row r="85" spans="2:11">
      <c r="C85" s="125" t="s">
        <v>144</v>
      </c>
      <c r="D85" s="127" t="s">
        <v>145</v>
      </c>
      <c r="E85" s="128"/>
      <c r="F85" s="18" t="s">
        <v>135</v>
      </c>
      <c r="G85" s="104" t="s">
        <v>146</v>
      </c>
      <c r="H85" s="104"/>
      <c r="I85" s="104"/>
      <c r="J85" s="104"/>
      <c r="K85" s="125" t="s">
        <v>135</v>
      </c>
    </row>
    <row r="86" spans="2:11">
      <c r="C86" s="126"/>
      <c r="D86" s="129"/>
      <c r="E86" s="130"/>
      <c r="F86" s="18" t="s">
        <v>147</v>
      </c>
      <c r="G86" s="122" t="s">
        <v>148</v>
      </c>
      <c r="H86" s="123"/>
      <c r="I86" s="123"/>
      <c r="J86" s="124"/>
      <c r="K86" s="126"/>
    </row>
    <row r="88" spans="2:11" s="1" customFormat="1" ht="12.75" customHeight="1">
      <c r="B88" s="5"/>
      <c r="C88" s="109" t="s">
        <v>149</v>
      </c>
      <c r="D88" s="110"/>
      <c r="E88" s="110"/>
      <c r="F88" s="110"/>
      <c r="G88" s="110"/>
      <c r="H88" s="110"/>
      <c r="I88" s="110"/>
      <c r="J88" s="110"/>
      <c r="K88" s="111"/>
    </row>
    <row r="89" spans="2:11" s="1" customFormat="1">
      <c r="B89" s="5"/>
      <c r="C89" s="6" t="s">
        <v>120</v>
      </c>
      <c r="D89" s="22">
        <v>7</v>
      </c>
      <c r="E89" s="22">
        <v>6</v>
      </c>
      <c r="F89" s="22">
        <v>5</v>
      </c>
      <c r="G89" s="22">
        <v>4</v>
      </c>
      <c r="H89" s="22">
        <v>3</v>
      </c>
      <c r="I89" s="22">
        <v>2</v>
      </c>
      <c r="J89" s="22">
        <v>1</v>
      </c>
      <c r="K89" s="22">
        <v>0</v>
      </c>
    </row>
    <row r="90" spans="2:11" s="1" customFormat="1" ht="13.5" customHeight="1">
      <c r="B90" s="5"/>
      <c r="C90" s="8" t="s">
        <v>6</v>
      </c>
      <c r="D90" s="23" t="s">
        <v>121</v>
      </c>
      <c r="E90" s="23" t="s">
        <v>121</v>
      </c>
      <c r="F90" s="23" t="s">
        <v>121</v>
      </c>
      <c r="G90" s="23" t="s">
        <v>121</v>
      </c>
      <c r="H90" s="23" t="s">
        <v>121</v>
      </c>
      <c r="I90" s="23" t="s">
        <v>121</v>
      </c>
      <c r="J90" s="23" t="s">
        <v>121</v>
      </c>
      <c r="K90" s="23" t="s">
        <v>150</v>
      </c>
    </row>
    <row r="91" spans="2:11" s="1" customFormat="1">
      <c r="B91" s="5" t="str">
        <f>CONCATENATE(D91,E91,F91,G91,H91,I91,J91,K91)</f>
        <v>-------0</v>
      </c>
      <c r="C91" s="24" t="s">
        <v>123</v>
      </c>
      <c r="D91" s="25" t="s">
        <v>124</v>
      </c>
      <c r="E91" s="25" t="s">
        <v>124</v>
      </c>
      <c r="F91" s="25" t="s">
        <v>124</v>
      </c>
      <c r="G91" s="25" t="s">
        <v>124</v>
      </c>
      <c r="H91" s="25" t="s">
        <v>124</v>
      </c>
      <c r="I91" s="25" t="s">
        <v>124</v>
      </c>
      <c r="J91" s="25" t="s">
        <v>124</v>
      </c>
      <c r="K91" s="25">
        <v>0</v>
      </c>
    </row>
    <row r="92" spans="2:11" s="1" customFormat="1">
      <c r="B92" s="5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C93" s="19" t="s">
        <v>6</v>
      </c>
      <c r="D93" s="114" t="s">
        <v>125</v>
      </c>
      <c r="E93" s="114"/>
      <c r="F93" s="19" t="s">
        <v>126</v>
      </c>
      <c r="G93" s="114" t="s">
        <v>127</v>
      </c>
      <c r="H93" s="114"/>
      <c r="I93" s="114"/>
      <c r="J93" s="114"/>
      <c r="K93" s="19" t="s">
        <v>123</v>
      </c>
    </row>
    <row r="94" spans="2:11">
      <c r="C94" s="125" t="s">
        <v>150</v>
      </c>
      <c r="D94" s="127" t="s">
        <v>151</v>
      </c>
      <c r="E94" s="128"/>
      <c r="F94" s="18" t="s">
        <v>135</v>
      </c>
      <c r="G94" s="104" t="s">
        <v>152</v>
      </c>
      <c r="H94" s="104"/>
      <c r="I94" s="104"/>
      <c r="J94" s="104"/>
      <c r="K94" s="125" t="s">
        <v>135</v>
      </c>
    </row>
    <row r="95" spans="2:11">
      <c r="C95" s="126"/>
      <c r="D95" s="129"/>
      <c r="E95" s="130"/>
      <c r="F95" s="18" t="s">
        <v>147</v>
      </c>
      <c r="G95" s="104" t="s">
        <v>153</v>
      </c>
      <c r="H95" s="104"/>
      <c r="I95" s="104"/>
      <c r="J95" s="104"/>
      <c r="K95" s="126"/>
    </row>
    <row r="97" spans="2:11" s="1" customFormat="1" ht="12.75" customHeight="1">
      <c r="B97" s="5"/>
      <c r="C97" s="109" t="s">
        <v>154</v>
      </c>
      <c r="D97" s="110"/>
      <c r="E97" s="110"/>
      <c r="F97" s="110"/>
      <c r="G97" s="110"/>
      <c r="H97" s="110"/>
      <c r="I97" s="110"/>
      <c r="J97" s="110"/>
      <c r="K97" s="111"/>
    </row>
    <row r="98" spans="2:11" s="1" customFormat="1">
      <c r="B98" s="5"/>
      <c r="C98" s="6" t="s">
        <v>120</v>
      </c>
      <c r="D98" s="22">
        <v>7</v>
      </c>
      <c r="E98" s="22">
        <v>6</v>
      </c>
      <c r="F98" s="22">
        <v>5</v>
      </c>
      <c r="G98" s="22">
        <v>4</v>
      </c>
      <c r="H98" s="22">
        <v>3</v>
      </c>
      <c r="I98" s="22">
        <v>2</v>
      </c>
      <c r="J98" s="22">
        <v>1</v>
      </c>
      <c r="K98" s="22">
        <v>0</v>
      </c>
    </row>
    <row r="99" spans="2:11" s="1" customFormat="1" ht="13.5" customHeight="1">
      <c r="B99" s="5"/>
      <c r="C99" s="8" t="s">
        <v>6</v>
      </c>
      <c r="D99" s="131" t="s">
        <v>155</v>
      </c>
      <c r="E99" s="117"/>
      <c r="F99" s="117"/>
      <c r="G99" s="117"/>
      <c r="H99" s="117"/>
      <c r="I99" s="117"/>
      <c r="J99" s="117"/>
      <c r="K99" s="118"/>
    </row>
    <row r="100" spans="2:11" s="1" customFormat="1">
      <c r="B100" s="5" t="str">
        <f>CONCATENATE(D100,E100,F100,G100,H100,I100,J100,K100)</f>
        <v>00000000</v>
      </c>
      <c r="C100" s="24" t="s">
        <v>123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</row>
    <row r="101" spans="2:11" s="1" customFormat="1">
      <c r="B101" s="5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C102" s="19" t="s">
        <v>6</v>
      </c>
      <c r="D102" s="114" t="s">
        <v>125</v>
      </c>
      <c r="E102" s="114"/>
      <c r="F102" s="19" t="s">
        <v>126</v>
      </c>
      <c r="G102" s="114" t="s">
        <v>127</v>
      </c>
      <c r="H102" s="114"/>
      <c r="I102" s="114"/>
      <c r="J102" s="114"/>
      <c r="K102" s="19" t="s">
        <v>123</v>
      </c>
    </row>
    <row r="103" spans="2:11">
      <c r="C103" s="164" t="str">
        <f>D99</f>
        <v>ADC_SEL[7:0]</v>
      </c>
      <c r="D103" s="134" t="s">
        <v>156</v>
      </c>
      <c r="E103" s="135"/>
      <c r="F103" s="18" t="s">
        <v>157</v>
      </c>
      <c r="G103" s="104" t="s">
        <v>158</v>
      </c>
      <c r="H103" s="104"/>
      <c r="I103" s="104"/>
      <c r="J103" s="104"/>
      <c r="K103" s="125" t="s">
        <v>135</v>
      </c>
    </row>
    <row r="104" spans="2:11">
      <c r="C104" s="165"/>
      <c r="D104" s="136"/>
      <c r="E104" s="137"/>
      <c r="F104" s="18" t="s">
        <v>159</v>
      </c>
      <c r="G104" s="104" t="s">
        <v>160</v>
      </c>
      <c r="H104" s="104"/>
      <c r="I104" s="104"/>
      <c r="J104" s="104"/>
      <c r="K104" s="133"/>
    </row>
    <row r="105" spans="2:11">
      <c r="C105" s="165"/>
      <c r="D105" s="136"/>
      <c r="E105" s="137"/>
      <c r="F105" s="18" t="s">
        <v>161</v>
      </c>
      <c r="G105" s="104" t="s">
        <v>162</v>
      </c>
      <c r="H105" s="104"/>
      <c r="I105" s="104"/>
      <c r="J105" s="104"/>
      <c r="K105" s="133"/>
    </row>
    <row r="106" spans="2:11">
      <c r="C106" s="165"/>
      <c r="D106" s="136"/>
      <c r="E106" s="137"/>
      <c r="F106" s="18" t="s">
        <v>163</v>
      </c>
      <c r="G106" s="104" t="s">
        <v>164</v>
      </c>
      <c r="H106" s="104"/>
      <c r="I106" s="104"/>
      <c r="J106" s="104"/>
      <c r="K106" s="133"/>
    </row>
    <row r="107" spans="2:11">
      <c r="C107" s="165"/>
      <c r="D107" s="136"/>
      <c r="E107" s="137"/>
      <c r="F107" s="18" t="s">
        <v>165</v>
      </c>
      <c r="G107" s="104" t="s">
        <v>1079</v>
      </c>
      <c r="H107" s="104"/>
      <c r="I107" s="104"/>
      <c r="J107" s="104"/>
      <c r="K107" s="133"/>
    </row>
    <row r="108" spans="2:11">
      <c r="C108" s="165"/>
      <c r="D108" s="136"/>
      <c r="E108" s="137"/>
      <c r="F108" s="18" t="s">
        <v>166</v>
      </c>
      <c r="G108" s="104" t="s">
        <v>1080</v>
      </c>
      <c r="H108" s="104"/>
      <c r="I108" s="104"/>
      <c r="J108" s="104"/>
      <c r="K108" s="133"/>
    </row>
    <row r="109" spans="2:11">
      <c r="C109" s="165"/>
      <c r="D109" s="136"/>
      <c r="E109" s="137"/>
      <c r="F109" s="18" t="s">
        <v>167</v>
      </c>
      <c r="G109" s="104" t="s">
        <v>168</v>
      </c>
      <c r="H109" s="104"/>
      <c r="I109" s="104"/>
      <c r="J109" s="104"/>
      <c r="K109" s="133"/>
    </row>
    <row r="110" spans="2:11">
      <c r="C110" s="166"/>
      <c r="D110" s="138"/>
      <c r="E110" s="139"/>
      <c r="F110" s="18" t="s">
        <v>169</v>
      </c>
      <c r="G110" s="132" t="s">
        <v>1081</v>
      </c>
      <c r="H110" s="104"/>
      <c r="I110" s="104"/>
      <c r="J110" s="104"/>
      <c r="K110" s="126"/>
    </row>
    <row r="112" spans="2:11" s="1" customFormat="1" ht="12.75" customHeight="1">
      <c r="B112" s="5"/>
      <c r="C112" s="109" t="s">
        <v>170</v>
      </c>
      <c r="D112" s="110"/>
      <c r="E112" s="110"/>
      <c r="F112" s="110"/>
      <c r="G112" s="110"/>
      <c r="H112" s="110"/>
      <c r="I112" s="110"/>
      <c r="J112" s="110"/>
      <c r="K112" s="111"/>
    </row>
    <row r="113" spans="2:11" s="1" customFormat="1">
      <c r="B113" s="5"/>
      <c r="C113" s="6" t="s">
        <v>120</v>
      </c>
      <c r="D113" s="22">
        <v>7</v>
      </c>
      <c r="E113" s="22">
        <v>6</v>
      </c>
      <c r="F113" s="22">
        <v>5</v>
      </c>
      <c r="G113" s="22">
        <v>4</v>
      </c>
      <c r="H113" s="22">
        <v>3</v>
      </c>
      <c r="I113" s="22">
        <v>2</v>
      </c>
      <c r="J113" s="22">
        <v>1</v>
      </c>
      <c r="K113" s="22">
        <v>0</v>
      </c>
    </row>
    <row r="114" spans="2:11" s="1" customFormat="1" ht="13.5" customHeight="1">
      <c r="B114" s="5"/>
      <c r="C114" s="8" t="s">
        <v>6</v>
      </c>
      <c r="D114" s="23" t="s">
        <v>121</v>
      </c>
      <c r="E114" s="23" t="s">
        <v>121</v>
      </c>
      <c r="F114" s="23" t="s">
        <v>121</v>
      </c>
      <c r="G114" s="23" t="s">
        <v>171</v>
      </c>
      <c r="H114" s="131" t="s">
        <v>172</v>
      </c>
      <c r="I114" s="117"/>
      <c r="J114" s="117"/>
      <c r="K114" s="118"/>
    </row>
    <row r="115" spans="2:11" s="1" customFormat="1">
      <c r="B115" s="5" t="str">
        <f>CONCATENATE(D115,E115,F115,G115,H115,I115,J115,K115)</f>
        <v>---00000</v>
      </c>
      <c r="C115" s="24" t="s">
        <v>123</v>
      </c>
      <c r="D115" s="25" t="s">
        <v>124</v>
      </c>
      <c r="E115" s="25" t="s">
        <v>124</v>
      </c>
      <c r="F115" s="25" t="s">
        <v>124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</row>
    <row r="116" spans="2:11" s="1" customFormat="1">
      <c r="B116" s="5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C117" s="19" t="s">
        <v>6</v>
      </c>
      <c r="D117" s="114" t="s">
        <v>125</v>
      </c>
      <c r="E117" s="114"/>
      <c r="F117" s="19" t="s">
        <v>126</v>
      </c>
      <c r="G117" s="114" t="s">
        <v>127</v>
      </c>
      <c r="H117" s="114"/>
      <c r="I117" s="114"/>
      <c r="J117" s="114"/>
      <c r="K117" s="19" t="s">
        <v>123</v>
      </c>
    </row>
    <row r="118" spans="2:11">
      <c r="C118" s="164" t="str">
        <f>H114</f>
        <v>ADC_SEL[11:8]</v>
      </c>
      <c r="D118" s="134" t="s">
        <v>156</v>
      </c>
      <c r="E118" s="135"/>
      <c r="F118" s="18" t="s">
        <v>173</v>
      </c>
      <c r="G118" s="132" t="s">
        <v>1081</v>
      </c>
      <c r="H118" s="104"/>
      <c r="I118" s="104"/>
      <c r="J118" s="104"/>
      <c r="K118" s="125" t="s">
        <v>135</v>
      </c>
    </row>
    <row r="119" spans="2:11">
      <c r="C119" s="165"/>
      <c r="D119" s="136"/>
      <c r="E119" s="137"/>
      <c r="F119" s="18" t="s">
        <v>174</v>
      </c>
      <c r="G119" s="115" t="s">
        <v>1082</v>
      </c>
      <c r="H119" s="140"/>
      <c r="I119" s="140"/>
      <c r="J119" s="116"/>
      <c r="K119" s="133"/>
    </row>
    <row r="120" spans="2:11">
      <c r="C120" s="165"/>
      <c r="D120" s="136"/>
      <c r="E120" s="137"/>
      <c r="F120" s="18" t="s">
        <v>175</v>
      </c>
      <c r="G120" s="115" t="s">
        <v>1083</v>
      </c>
      <c r="H120" s="140"/>
      <c r="I120" s="140"/>
      <c r="J120" s="116"/>
      <c r="K120" s="133"/>
    </row>
    <row r="121" spans="2:11">
      <c r="C121" s="166"/>
      <c r="D121" s="138"/>
      <c r="E121" s="139"/>
      <c r="F121" s="18" t="s">
        <v>176</v>
      </c>
      <c r="G121" s="115" t="s">
        <v>1084</v>
      </c>
      <c r="H121" s="140"/>
      <c r="I121" s="140"/>
      <c r="J121" s="116"/>
      <c r="K121" s="126"/>
    </row>
    <row r="122" spans="2:11">
      <c r="C122" s="125" t="s">
        <v>171</v>
      </c>
      <c r="D122" s="127" t="s">
        <v>177</v>
      </c>
      <c r="E122" s="128"/>
      <c r="F122" s="18" t="s">
        <v>135</v>
      </c>
      <c r="G122" s="104" t="s">
        <v>178</v>
      </c>
      <c r="H122" s="104"/>
      <c r="I122" s="104"/>
      <c r="J122" s="104"/>
      <c r="K122" s="125" t="s">
        <v>135</v>
      </c>
    </row>
    <row r="123" spans="2:11">
      <c r="C123" s="126"/>
      <c r="D123" s="129"/>
      <c r="E123" s="130"/>
      <c r="F123" s="18" t="s">
        <v>147</v>
      </c>
      <c r="G123" s="104" t="s">
        <v>179</v>
      </c>
      <c r="H123" s="104"/>
      <c r="I123" s="104"/>
      <c r="J123" s="104"/>
      <c r="K123" s="126"/>
    </row>
    <row r="125" spans="2:11" s="1" customFormat="1" ht="12.75" customHeight="1">
      <c r="B125" s="5"/>
      <c r="C125" s="141" t="s">
        <v>180</v>
      </c>
      <c r="D125" s="141"/>
      <c r="E125" s="141"/>
      <c r="F125" s="141"/>
      <c r="G125" s="141"/>
      <c r="H125" s="141"/>
      <c r="I125" s="141"/>
      <c r="J125" s="141"/>
      <c r="K125" s="141"/>
    </row>
    <row r="126" spans="2:11" s="1" customFormat="1">
      <c r="B126" s="5"/>
      <c r="C126" s="6" t="s">
        <v>120</v>
      </c>
      <c r="D126" s="7">
        <v>7</v>
      </c>
      <c r="E126" s="7">
        <v>6</v>
      </c>
      <c r="F126" s="7">
        <v>5</v>
      </c>
      <c r="G126" s="7">
        <v>4</v>
      </c>
      <c r="H126" s="7">
        <v>3</v>
      </c>
      <c r="I126" s="7">
        <v>2</v>
      </c>
      <c r="J126" s="7">
        <v>1</v>
      </c>
      <c r="K126" s="7">
        <v>0</v>
      </c>
    </row>
    <row r="127" spans="2:11" s="1" customFormat="1" ht="13.5" customHeight="1">
      <c r="B127" s="5"/>
      <c r="C127" s="8" t="s">
        <v>6</v>
      </c>
      <c r="D127" s="142" t="s">
        <v>181</v>
      </c>
      <c r="E127" s="142"/>
      <c r="F127" s="142"/>
      <c r="G127" s="142"/>
      <c r="H127" s="142"/>
      <c r="I127" s="142"/>
      <c r="J127" s="142"/>
      <c r="K127" s="142"/>
    </row>
    <row r="128" spans="2:11" s="1" customFormat="1">
      <c r="B128" s="5" t="str">
        <f>CONCATENATE(D128,E128,F128,G128,H128,I128,J128,K128)</f>
        <v>00000000</v>
      </c>
      <c r="C128" s="8" t="s">
        <v>123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</row>
    <row r="130" spans="2:11" s="1" customFormat="1" ht="12.75" customHeight="1">
      <c r="B130" s="5"/>
      <c r="C130" s="141" t="s">
        <v>182</v>
      </c>
      <c r="D130" s="141"/>
      <c r="E130" s="141"/>
      <c r="F130" s="141"/>
      <c r="G130" s="141"/>
      <c r="H130" s="141"/>
      <c r="I130" s="141"/>
      <c r="J130" s="141"/>
      <c r="K130" s="141"/>
    </row>
    <row r="131" spans="2:11" s="1" customFormat="1">
      <c r="B131" s="5"/>
      <c r="C131" s="6" t="s">
        <v>120</v>
      </c>
      <c r="D131" s="7">
        <v>7</v>
      </c>
      <c r="E131" s="7">
        <v>6</v>
      </c>
      <c r="F131" s="7">
        <v>5</v>
      </c>
      <c r="G131" s="7">
        <v>4</v>
      </c>
      <c r="H131" s="7">
        <v>3</v>
      </c>
      <c r="I131" s="7">
        <v>2</v>
      </c>
      <c r="J131" s="7">
        <v>1</v>
      </c>
      <c r="K131" s="7">
        <v>0</v>
      </c>
    </row>
    <row r="132" spans="2:11" s="1" customFormat="1" ht="13.5" customHeight="1">
      <c r="B132" s="5"/>
      <c r="C132" s="8" t="s">
        <v>6</v>
      </c>
      <c r="D132" s="23" t="s">
        <v>121</v>
      </c>
      <c r="E132" s="23" t="s">
        <v>121</v>
      </c>
      <c r="F132" s="23" t="s">
        <v>121</v>
      </c>
      <c r="G132" s="23" t="s">
        <v>121</v>
      </c>
      <c r="H132" s="23" t="s">
        <v>121</v>
      </c>
      <c r="I132" s="23" t="s">
        <v>121</v>
      </c>
      <c r="J132" s="142" t="s">
        <v>183</v>
      </c>
      <c r="K132" s="142"/>
    </row>
    <row r="133" spans="2:11" s="1" customFormat="1">
      <c r="B133" s="5" t="str">
        <f>CONCATENATE(D133,E133,F133,G133,H133,I133,J133,K133)</f>
        <v>------00</v>
      </c>
      <c r="C133" s="8" t="s">
        <v>123</v>
      </c>
      <c r="D133" s="9" t="s">
        <v>124</v>
      </c>
      <c r="E133" s="9" t="s">
        <v>124</v>
      </c>
      <c r="F133" s="9" t="s">
        <v>124</v>
      </c>
      <c r="G133" s="9" t="s">
        <v>124</v>
      </c>
      <c r="H133" s="9" t="s">
        <v>124</v>
      </c>
      <c r="I133" s="9" t="s">
        <v>124</v>
      </c>
      <c r="J133" s="9">
        <v>0</v>
      </c>
      <c r="K133" s="9">
        <v>0</v>
      </c>
    </row>
    <row r="135" spans="2:11" s="1" customFormat="1" ht="12.75" customHeight="1">
      <c r="B135" s="5"/>
      <c r="C135" s="109" t="s">
        <v>184</v>
      </c>
      <c r="D135" s="110"/>
      <c r="E135" s="110"/>
      <c r="F135" s="110"/>
      <c r="G135" s="110"/>
      <c r="H135" s="110"/>
      <c r="I135" s="110"/>
      <c r="J135" s="110"/>
      <c r="K135" s="111"/>
    </row>
    <row r="136" spans="2:11" s="1" customFormat="1">
      <c r="B136" s="5"/>
      <c r="C136" s="6" t="s">
        <v>120</v>
      </c>
      <c r="D136" s="22">
        <v>7</v>
      </c>
      <c r="E136" s="22">
        <v>6</v>
      </c>
      <c r="F136" s="22">
        <v>5</v>
      </c>
      <c r="G136" s="22">
        <v>4</v>
      </c>
      <c r="H136" s="22">
        <v>3</v>
      </c>
      <c r="I136" s="22">
        <v>2</v>
      </c>
      <c r="J136" s="22">
        <v>1</v>
      </c>
      <c r="K136" s="22">
        <v>0</v>
      </c>
    </row>
    <row r="137" spans="2:11" s="1" customFormat="1" ht="13.5" customHeight="1">
      <c r="B137" s="5"/>
      <c r="C137" s="8" t="s">
        <v>6</v>
      </c>
      <c r="D137" s="131" t="s">
        <v>185</v>
      </c>
      <c r="E137" s="117"/>
      <c r="F137" s="117"/>
      <c r="G137" s="117"/>
      <c r="H137" s="117"/>
      <c r="I137" s="117"/>
      <c r="J137" s="117"/>
      <c r="K137" s="118"/>
    </row>
    <row r="138" spans="2:11" s="1" customFormat="1">
      <c r="B138" s="5" t="str">
        <f>CONCATENATE(D138,E138,F138,G138,H138,I138,J138,K138)</f>
        <v>00110011</v>
      </c>
      <c r="C138" s="24" t="s">
        <v>123</v>
      </c>
      <c r="D138" s="25">
        <v>0</v>
      </c>
      <c r="E138" s="25">
        <v>0</v>
      </c>
      <c r="F138" s="25">
        <v>1</v>
      </c>
      <c r="G138" s="25">
        <v>1</v>
      </c>
      <c r="H138" s="25">
        <v>0</v>
      </c>
      <c r="I138" s="25">
        <v>0</v>
      </c>
      <c r="J138" s="25">
        <v>1</v>
      </c>
      <c r="K138" s="25">
        <v>1</v>
      </c>
    </row>
    <row r="139" spans="2:11" s="1" customFormat="1">
      <c r="B139" s="5"/>
      <c r="C139" s="102"/>
      <c r="D139" s="102"/>
      <c r="E139" s="102"/>
      <c r="F139" s="102"/>
      <c r="G139" s="102"/>
      <c r="H139" s="102"/>
      <c r="I139" s="102"/>
      <c r="J139" s="102"/>
      <c r="K139" s="102"/>
    </row>
    <row r="140" spans="2:11" s="1" customFormat="1" ht="13.5">
      <c r="B140" s="3"/>
      <c r="C140" s="10" t="s">
        <v>6</v>
      </c>
      <c r="D140" s="143" t="s">
        <v>125</v>
      </c>
      <c r="E140" s="143"/>
      <c r="F140" s="10" t="s">
        <v>126</v>
      </c>
      <c r="G140" s="143" t="s">
        <v>127</v>
      </c>
      <c r="H140" s="143"/>
      <c r="I140" s="143"/>
      <c r="J140" s="143"/>
      <c r="K140" s="10" t="s">
        <v>123</v>
      </c>
    </row>
    <row r="141" spans="2:11" s="1" customFormat="1" ht="40.5" customHeight="1">
      <c r="B141" s="3"/>
      <c r="C141" s="10" t="s">
        <v>186</v>
      </c>
      <c r="D141" s="144" t="s">
        <v>187</v>
      </c>
      <c r="E141" s="144"/>
      <c r="F141" s="13"/>
      <c r="G141" s="144"/>
      <c r="H141" s="144"/>
      <c r="I141" s="144"/>
      <c r="J141" s="144"/>
      <c r="K141" s="10" t="s">
        <v>188</v>
      </c>
    </row>
    <row r="142" spans="2:11" ht="14.25" customHeight="1">
      <c r="C142" s="27"/>
      <c r="D142"/>
      <c r="E142"/>
      <c r="F142"/>
      <c r="G142"/>
      <c r="H142"/>
      <c r="I142"/>
      <c r="J142"/>
      <c r="K142"/>
    </row>
    <row r="143" spans="2:11" s="1" customFormat="1" ht="12.75" customHeight="1">
      <c r="B143" s="5"/>
      <c r="C143" s="109" t="s">
        <v>189</v>
      </c>
      <c r="D143" s="110"/>
      <c r="E143" s="110"/>
      <c r="F143" s="110"/>
      <c r="G143" s="110"/>
      <c r="H143" s="110"/>
      <c r="I143" s="110"/>
      <c r="J143" s="110"/>
      <c r="K143" s="111"/>
    </row>
    <row r="144" spans="2:11" s="1" customFormat="1">
      <c r="B144" s="5"/>
      <c r="C144" s="6" t="s">
        <v>120</v>
      </c>
      <c r="D144" s="22">
        <v>7</v>
      </c>
      <c r="E144" s="22">
        <v>6</v>
      </c>
      <c r="F144" s="22">
        <v>5</v>
      </c>
      <c r="G144" s="22">
        <v>4</v>
      </c>
      <c r="H144" s="22">
        <v>3</v>
      </c>
      <c r="I144" s="22">
        <v>2</v>
      </c>
      <c r="J144" s="22">
        <v>1</v>
      </c>
      <c r="K144" s="22">
        <v>0</v>
      </c>
    </row>
    <row r="145" spans="2:11" s="1" customFormat="1" ht="13.5" customHeight="1">
      <c r="B145" s="5"/>
      <c r="C145" s="8" t="s">
        <v>6</v>
      </c>
      <c r="D145" s="131" t="s">
        <v>190</v>
      </c>
      <c r="E145" s="117"/>
      <c r="F145" s="117"/>
      <c r="G145" s="117"/>
      <c r="H145" s="117"/>
      <c r="I145" s="117"/>
      <c r="J145" s="117"/>
      <c r="K145" s="118"/>
    </row>
    <row r="146" spans="2:11" s="1" customFormat="1">
      <c r="B146" s="5" t="str">
        <f>CONCATENATE(D146,E146,F146,G146,H146,I146,J146,K146)</f>
        <v>00001000</v>
      </c>
      <c r="C146" s="24" t="s">
        <v>123</v>
      </c>
      <c r="D146" s="25">
        <v>0</v>
      </c>
      <c r="E146" s="25">
        <v>0</v>
      </c>
      <c r="F146" s="25">
        <v>0</v>
      </c>
      <c r="G146" s="25">
        <v>0</v>
      </c>
      <c r="H146" s="25">
        <v>1</v>
      </c>
      <c r="I146" s="25">
        <v>0</v>
      </c>
      <c r="J146" s="25">
        <v>0</v>
      </c>
      <c r="K146" s="25">
        <v>0</v>
      </c>
    </row>
    <row r="147" spans="2:11" s="1" customFormat="1">
      <c r="B147" s="5"/>
      <c r="C147" s="102"/>
      <c r="D147" s="102"/>
      <c r="E147" s="102"/>
      <c r="F147" s="102"/>
      <c r="G147" s="102"/>
      <c r="H147" s="102"/>
      <c r="I147" s="102"/>
      <c r="J147" s="102"/>
      <c r="K147" s="102"/>
    </row>
    <row r="148" spans="2:11" s="1" customFormat="1" ht="13.5">
      <c r="B148" s="3"/>
      <c r="C148" s="10" t="s">
        <v>6</v>
      </c>
      <c r="D148" s="143" t="s">
        <v>125</v>
      </c>
      <c r="E148" s="143"/>
      <c r="F148" s="10" t="s">
        <v>126</v>
      </c>
      <c r="G148" s="143" t="s">
        <v>127</v>
      </c>
      <c r="H148" s="143"/>
      <c r="I148" s="143"/>
      <c r="J148" s="143"/>
      <c r="K148" s="10" t="s">
        <v>123</v>
      </c>
    </row>
    <row r="149" spans="2:11" s="1" customFormat="1" ht="13.5">
      <c r="B149" s="3"/>
      <c r="C149" s="10" t="s">
        <v>191</v>
      </c>
      <c r="D149" s="144" t="s">
        <v>192</v>
      </c>
      <c r="E149" s="144"/>
      <c r="F149" s="13"/>
      <c r="G149" s="144"/>
      <c r="H149" s="144"/>
      <c r="I149" s="144"/>
      <c r="J149" s="144"/>
      <c r="K149" s="10" t="s">
        <v>193</v>
      </c>
    </row>
    <row r="150" spans="2:11" s="1" customFormat="1" ht="12.75" customHeight="1">
      <c r="B150" s="3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2:11" s="1" customFormat="1" ht="12.75" customHeight="1">
      <c r="B151" s="5"/>
      <c r="C151" s="109" t="s">
        <v>194</v>
      </c>
      <c r="D151" s="110"/>
      <c r="E151" s="110"/>
      <c r="F151" s="110"/>
      <c r="G151" s="110"/>
      <c r="H151" s="110"/>
      <c r="I151" s="110"/>
      <c r="J151" s="110"/>
      <c r="K151" s="111"/>
    </row>
    <row r="152" spans="2:11" s="1" customFormat="1">
      <c r="B152" s="5"/>
      <c r="C152" s="6" t="s">
        <v>120</v>
      </c>
      <c r="D152" s="22">
        <v>7</v>
      </c>
      <c r="E152" s="22">
        <v>6</v>
      </c>
      <c r="F152" s="22">
        <v>5</v>
      </c>
      <c r="G152" s="22">
        <v>4</v>
      </c>
      <c r="H152" s="22">
        <v>3</v>
      </c>
      <c r="I152" s="22">
        <v>2</v>
      </c>
      <c r="J152" s="22">
        <v>1</v>
      </c>
      <c r="K152" s="22">
        <v>0</v>
      </c>
    </row>
    <row r="153" spans="2:11" s="1" customFormat="1" ht="13.5" customHeight="1">
      <c r="B153" s="5"/>
      <c r="C153" s="8" t="s">
        <v>6</v>
      </c>
      <c r="D153" s="23" t="s">
        <v>121</v>
      </c>
      <c r="E153" s="23" t="s">
        <v>121</v>
      </c>
      <c r="F153" s="23" t="s">
        <v>121</v>
      </c>
      <c r="G153" s="23" t="s">
        <v>121</v>
      </c>
      <c r="H153" s="23" t="s">
        <v>121</v>
      </c>
      <c r="I153" s="23" t="s">
        <v>121</v>
      </c>
      <c r="J153" s="131" t="s">
        <v>195</v>
      </c>
      <c r="K153" s="118"/>
    </row>
    <row r="154" spans="2:11" s="1" customFormat="1">
      <c r="B154" s="5" t="str">
        <f>CONCATENATE(D154,E154,F154,G154,H154,I154,J154,K154)</f>
        <v>------00</v>
      </c>
      <c r="C154" s="24" t="s">
        <v>123</v>
      </c>
      <c r="D154" s="25" t="s">
        <v>124</v>
      </c>
      <c r="E154" s="25" t="s">
        <v>124</v>
      </c>
      <c r="F154" s="25" t="s">
        <v>124</v>
      </c>
      <c r="G154" s="25" t="s">
        <v>124</v>
      </c>
      <c r="H154" s="25" t="s">
        <v>124</v>
      </c>
      <c r="I154" s="25" t="s">
        <v>124</v>
      </c>
      <c r="J154" s="25">
        <v>0</v>
      </c>
      <c r="K154" s="25">
        <v>0</v>
      </c>
    </row>
    <row r="155" spans="2:11" s="1" customFormat="1">
      <c r="B155" s="5"/>
      <c r="C155" s="102"/>
      <c r="D155" s="102"/>
      <c r="E155" s="102"/>
      <c r="F155" s="102"/>
      <c r="G155" s="102"/>
      <c r="H155" s="102"/>
      <c r="I155" s="102"/>
      <c r="J155" s="102"/>
      <c r="K155" s="102"/>
    </row>
    <row r="156" spans="2:11">
      <c r="C156" s="19" t="s">
        <v>6</v>
      </c>
      <c r="D156" s="114" t="s">
        <v>125</v>
      </c>
      <c r="E156" s="114"/>
      <c r="F156" s="19" t="s">
        <v>126</v>
      </c>
      <c r="G156" s="114" t="s">
        <v>127</v>
      </c>
      <c r="H156" s="114"/>
      <c r="I156" s="114"/>
      <c r="J156" s="114"/>
      <c r="K156" s="19" t="s">
        <v>123</v>
      </c>
    </row>
    <row r="157" spans="2:11">
      <c r="C157" s="114" t="s">
        <v>196</v>
      </c>
      <c r="D157" s="127" t="s">
        <v>197</v>
      </c>
      <c r="E157" s="128"/>
      <c r="F157" s="18" t="s">
        <v>198</v>
      </c>
      <c r="G157" s="104" t="s">
        <v>199</v>
      </c>
      <c r="H157" s="104"/>
      <c r="I157" s="104"/>
      <c r="J157" s="104"/>
      <c r="K157" s="114" t="s">
        <v>200</v>
      </c>
    </row>
    <row r="158" spans="2:11">
      <c r="C158" s="114"/>
      <c r="D158" s="145"/>
      <c r="E158" s="146"/>
      <c r="F158" s="18" t="s">
        <v>200</v>
      </c>
      <c r="G158" s="104" t="s">
        <v>201</v>
      </c>
      <c r="H158" s="104"/>
      <c r="I158" s="104"/>
      <c r="J158" s="104"/>
      <c r="K158" s="114"/>
    </row>
    <row r="159" spans="2:11">
      <c r="C159" s="114"/>
      <c r="D159" s="145"/>
      <c r="E159" s="146"/>
      <c r="F159" s="18" t="s">
        <v>202</v>
      </c>
      <c r="G159" s="104" t="s">
        <v>203</v>
      </c>
      <c r="H159" s="104"/>
      <c r="I159" s="104"/>
      <c r="J159" s="104"/>
      <c r="K159" s="114"/>
    </row>
    <row r="160" spans="2:11">
      <c r="C160" s="114"/>
      <c r="D160" s="129"/>
      <c r="E160" s="130"/>
      <c r="F160" s="18" t="s">
        <v>204</v>
      </c>
      <c r="G160" s="104" t="s">
        <v>205</v>
      </c>
      <c r="H160" s="104"/>
      <c r="I160" s="104"/>
      <c r="J160" s="104"/>
      <c r="K160" s="114"/>
    </row>
    <row r="161" spans="2:11">
      <c r="C161" s="28"/>
    </row>
    <row r="162" spans="2:11" s="1" customFormat="1" ht="12.75" customHeight="1">
      <c r="B162" s="5"/>
      <c r="C162" s="109" t="s">
        <v>206</v>
      </c>
      <c r="D162" s="110"/>
      <c r="E162" s="110"/>
      <c r="F162" s="110"/>
      <c r="G162" s="110"/>
      <c r="H162" s="110"/>
      <c r="I162" s="110"/>
      <c r="J162" s="110"/>
      <c r="K162" s="111"/>
    </row>
    <row r="163" spans="2:11" s="1" customFormat="1">
      <c r="B163" s="5"/>
      <c r="C163" s="6" t="s">
        <v>120</v>
      </c>
      <c r="D163" s="22">
        <v>7</v>
      </c>
      <c r="E163" s="22">
        <v>6</v>
      </c>
      <c r="F163" s="22">
        <v>5</v>
      </c>
      <c r="G163" s="22">
        <v>4</v>
      </c>
      <c r="H163" s="22">
        <v>3</v>
      </c>
      <c r="I163" s="22">
        <v>2</v>
      </c>
      <c r="J163" s="22">
        <v>1</v>
      </c>
      <c r="K163" s="22">
        <v>0</v>
      </c>
    </row>
    <row r="164" spans="2:11" s="1" customFormat="1" ht="13.5" customHeight="1">
      <c r="B164" s="5"/>
      <c r="C164" s="8" t="s">
        <v>6</v>
      </c>
      <c r="D164" s="23" t="s">
        <v>121</v>
      </c>
      <c r="E164" s="23" t="s">
        <v>121</v>
      </c>
      <c r="F164" s="131" t="s">
        <v>207</v>
      </c>
      <c r="G164" s="117"/>
      <c r="H164" s="118"/>
      <c r="I164" s="131" t="s">
        <v>208</v>
      </c>
      <c r="J164" s="117"/>
      <c r="K164" s="118"/>
    </row>
    <row r="165" spans="2:11" s="1" customFormat="1">
      <c r="B165" s="5" t="str">
        <f>CONCATENATE(D165,E165,F165,G165,H165,I165,J165,K165)</f>
        <v>-----100</v>
      </c>
      <c r="C165" s="24" t="s">
        <v>123</v>
      </c>
      <c r="D165" s="25" t="s">
        <v>124</v>
      </c>
      <c r="E165" s="25" t="s">
        <v>124</v>
      </c>
      <c r="F165" s="25" t="s">
        <v>124</v>
      </c>
      <c r="G165" s="25" t="s">
        <v>124</v>
      </c>
      <c r="H165" s="25" t="s">
        <v>124</v>
      </c>
      <c r="I165" s="25">
        <v>1</v>
      </c>
      <c r="J165" s="25">
        <v>0</v>
      </c>
      <c r="K165" s="25">
        <v>0</v>
      </c>
    </row>
    <row r="166" spans="2:11" s="1" customFormat="1">
      <c r="B166" s="5"/>
      <c r="C166" s="102"/>
      <c r="D166" s="102"/>
      <c r="E166" s="102"/>
      <c r="F166" s="102"/>
      <c r="G166" s="102"/>
      <c r="H166" s="102"/>
      <c r="I166" s="102"/>
      <c r="J166" s="102"/>
      <c r="K166" s="102"/>
    </row>
    <row r="167" spans="2:11">
      <c r="C167" s="19" t="s">
        <v>6</v>
      </c>
      <c r="D167" s="114" t="s">
        <v>125</v>
      </c>
      <c r="E167" s="114"/>
      <c r="F167" s="19" t="s">
        <v>126</v>
      </c>
      <c r="G167" s="114" t="s">
        <v>127</v>
      </c>
      <c r="H167" s="114"/>
      <c r="I167" s="114"/>
      <c r="J167" s="114"/>
      <c r="K167" s="19" t="s">
        <v>123</v>
      </c>
    </row>
    <row r="168" spans="2:11">
      <c r="C168" s="114" t="s">
        <v>209</v>
      </c>
      <c r="D168" s="127" t="s">
        <v>210</v>
      </c>
      <c r="E168" s="128"/>
      <c r="F168" s="18" t="s">
        <v>211</v>
      </c>
      <c r="G168" s="104" t="s">
        <v>212</v>
      </c>
      <c r="H168" s="104"/>
      <c r="I168" s="104"/>
      <c r="J168" s="104"/>
      <c r="K168" s="114" t="s">
        <v>213</v>
      </c>
    </row>
    <row r="169" spans="2:11">
      <c r="C169" s="114"/>
      <c r="D169" s="145"/>
      <c r="E169" s="146"/>
      <c r="F169" s="18" t="s">
        <v>214</v>
      </c>
      <c r="G169" s="104" t="s">
        <v>215</v>
      </c>
      <c r="H169" s="104"/>
      <c r="I169" s="104"/>
      <c r="J169" s="104"/>
      <c r="K169" s="114"/>
    </row>
    <row r="170" spans="2:11">
      <c r="C170" s="114"/>
      <c r="D170" s="145"/>
      <c r="E170" s="146"/>
      <c r="F170" s="18" t="s">
        <v>216</v>
      </c>
      <c r="G170" s="104" t="s">
        <v>217</v>
      </c>
      <c r="H170" s="104"/>
      <c r="I170" s="104"/>
      <c r="J170" s="104"/>
      <c r="K170" s="114"/>
    </row>
    <row r="171" spans="2:11">
      <c r="C171" s="114"/>
      <c r="D171" s="145"/>
      <c r="E171" s="146"/>
      <c r="F171" s="18" t="s">
        <v>218</v>
      </c>
      <c r="G171" s="104" t="s">
        <v>219</v>
      </c>
      <c r="H171" s="104"/>
      <c r="I171" s="104"/>
      <c r="J171" s="104"/>
      <c r="K171" s="114"/>
    </row>
    <row r="172" spans="2:11">
      <c r="C172" s="114"/>
      <c r="D172" s="129"/>
      <c r="E172" s="130"/>
      <c r="F172" s="18" t="s">
        <v>213</v>
      </c>
      <c r="G172" s="104" t="s">
        <v>220</v>
      </c>
      <c r="H172" s="104"/>
      <c r="I172" s="104"/>
      <c r="J172" s="104"/>
      <c r="K172" s="114"/>
    </row>
    <row r="173" spans="2:11">
      <c r="C173" s="28"/>
    </row>
    <row r="174" spans="2:11" s="1" customFormat="1" ht="12.75" customHeight="1">
      <c r="B174" s="5"/>
      <c r="C174" s="109" t="s">
        <v>221</v>
      </c>
      <c r="D174" s="110"/>
      <c r="E174" s="110"/>
      <c r="F174" s="110"/>
      <c r="G174" s="110"/>
      <c r="H174" s="110"/>
      <c r="I174" s="110"/>
      <c r="J174" s="110"/>
      <c r="K174" s="111"/>
    </row>
    <row r="175" spans="2:11" s="1" customFormat="1">
      <c r="B175" s="5"/>
      <c r="C175" s="6" t="s">
        <v>120</v>
      </c>
      <c r="D175" s="22">
        <v>7</v>
      </c>
      <c r="E175" s="22">
        <v>6</v>
      </c>
      <c r="F175" s="22">
        <v>5</v>
      </c>
      <c r="G175" s="22">
        <v>4</v>
      </c>
      <c r="H175" s="22">
        <v>3</v>
      </c>
      <c r="I175" s="22">
        <v>2</v>
      </c>
      <c r="J175" s="22">
        <v>1</v>
      </c>
      <c r="K175" s="22">
        <v>0</v>
      </c>
    </row>
    <row r="176" spans="2:11" s="1" customFormat="1" ht="13.5" customHeight="1">
      <c r="B176" s="5"/>
      <c r="C176" s="8" t="s">
        <v>6</v>
      </c>
      <c r="D176" s="131" t="s">
        <v>222</v>
      </c>
      <c r="E176" s="117"/>
      <c r="F176" s="117"/>
      <c r="G176" s="117"/>
      <c r="H176" s="117"/>
      <c r="I176" s="117"/>
      <c r="J176" s="117"/>
      <c r="K176" s="118"/>
    </row>
    <row r="177" spans="2:11" s="1" customFormat="1">
      <c r="B177" s="5" t="str">
        <f>CONCATENATE(D177,E177,F177,G177,H177,I177,J177,K177)</f>
        <v>00000000</v>
      </c>
      <c r="C177" s="24" t="s">
        <v>123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</row>
    <row r="178" spans="2:11" s="1" customFormat="1">
      <c r="B178" s="5"/>
      <c r="C178" s="102"/>
      <c r="D178" s="102"/>
      <c r="E178" s="102"/>
      <c r="F178" s="102"/>
      <c r="G178" s="102"/>
      <c r="H178" s="102"/>
      <c r="I178" s="102"/>
      <c r="J178" s="102"/>
      <c r="K178" s="102"/>
    </row>
    <row r="179" spans="2:11" s="1" customFormat="1" ht="12.75" customHeight="1">
      <c r="B179" s="5"/>
      <c r="C179" s="109" t="s">
        <v>223</v>
      </c>
      <c r="D179" s="110"/>
      <c r="E179" s="110"/>
      <c r="F179" s="110"/>
      <c r="G179" s="110"/>
      <c r="H179" s="110"/>
      <c r="I179" s="110"/>
      <c r="J179" s="110"/>
      <c r="K179" s="111"/>
    </row>
    <row r="180" spans="2:11" s="1" customFormat="1">
      <c r="B180" s="5"/>
      <c r="C180" s="6" t="s">
        <v>120</v>
      </c>
      <c r="D180" s="22">
        <v>7</v>
      </c>
      <c r="E180" s="22">
        <v>6</v>
      </c>
      <c r="F180" s="22">
        <v>5</v>
      </c>
      <c r="G180" s="22">
        <v>4</v>
      </c>
      <c r="H180" s="22">
        <v>3</v>
      </c>
      <c r="I180" s="22">
        <v>2</v>
      </c>
      <c r="J180" s="22">
        <v>1</v>
      </c>
      <c r="K180" s="22">
        <v>0</v>
      </c>
    </row>
    <row r="181" spans="2:11" s="1" customFormat="1" ht="13.5" customHeight="1">
      <c r="B181" s="5"/>
      <c r="C181" s="8" t="s">
        <v>6</v>
      </c>
      <c r="D181" s="23" t="s">
        <v>121</v>
      </c>
      <c r="E181" s="23" t="s">
        <v>121</v>
      </c>
      <c r="F181" s="23" t="s">
        <v>121</v>
      </c>
      <c r="G181" s="23" t="s">
        <v>121</v>
      </c>
      <c r="H181" s="131" t="s">
        <v>224</v>
      </c>
      <c r="I181" s="117"/>
      <c r="J181" s="117"/>
      <c r="K181" s="118"/>
    </row>
    <row r="182" spans="2:11" s="1" customFormat="1">
      <c r="B182" s="5" t="str">
        <f>CONCATENATE(D182,E182,F182,G182,H182,I182,J182,K182)</f>
        <v>----0000</v>
      </c>
      <c r="C182" s="24" t="s">
        <v>123</v>
      </c>
      <c r="D182" s="25" t="s">
        <v>124</v>
      </c>
      <c r="E182" s="25" t="s">
        <v>124</v>
      </c>
      <c r="F182" s="25" t="s">
        <v>124</v>
      </c>
      <c r="G182" s="25" t="s">
        <v>124</v>
      </c>
      <c r="H182" s="25">
        <v>0</v>
      </c>
      <c r="I182" s="25">
        <v>0</v>
      </c>
      <c r="J182" s="25">
        <v>0</v>
      </c>
      <c r="K182" s="25">
        <v>0</v>
      </c>
    </row>
    <row r="183" spans="2:11" s="1" customFormat="1">
      <c r="B183" s="5"/>
      <c r="C183" s="102"/>
      <c r="D183" s="102"/>
      <c r="E183" s="102"/>
      <c r="F183" s="102"/>
      <c r="G183" s="102"/>
      <c r="H183" s="102"/>
      <c r="I183" s="102"/>
      <c r="J183" s="102"/>
      <c r="K183" s="102"/>
    </row>
    <row r="184" spans="2:11" s="1" customFormat="1" ht="12.75" customHeight="1">
      <c r="B184" s="5"/>
      <c r="C184" s="109" t="s">
        <v>225</v>
      </c>
      <c r="D184" s="110"/>
      <c r="E184" s="110"/>
      <c r="F184" s="110"/>
      <c r="G184" s="110"/>
      <c r="H184" s="110"/>
      <c r="I184" s="110"/>
      <c r="J184" s="110"/>
      <c r="K184" s="111"/>
    </row>
    <row r="185" spans="2:11" s="1" customFormat="1">
      <c r="B185" s="5"/>
      <c r="C185" s="6" t="s">
        <v>120</v>
      </c>
      <c r="D185" s="22">
        <v>7</v>
      </c>
      <c r="E185" s="22">
        <v>6</v>
      </c>
      <c r="F185" s="22">
        <v>5</v>
      </c>
      <c r="G185" s="22">
        <v>4</v>
      </c>
      <c r="H185" s="22">
        <v>3</v>
      </c>
      <c r="I185" s="22">
        <v>2</v>
      </c>
      <c r="J185" s="22">
        <v>1</v>
      </c>
      <c r="K185" s="22">
        <v>0</v>
      </c>
    </row>
    <row r="186" spans="2:11" s="1" customFormat="1" ht="13.5" customHeight="1">
      <c r="B186" s="5"/>
      <c r="C186" s="8" t="s">
        <v>6</v>
      </c>
      <c r="D186" s="131" t="s">
        <v>226</v>
      </c>
      <c r="E186" s="117"/>
      <c r="F186" s="117"/>
      <c r="G186" s="117"/>
      <c r="H186" s="117"/>
      <c r="I186" s="117"/>
      <c r="J186" s="117"/>
      <c r="K186" s="118"/>
    </row>
    <row r="187" spans="2:11" s="1" customFormat="1">
      <c r="B187" s="5" t="str">
        <f>CONCATENATE(D187,E187,F187,G187,H187,I187,J187,K187)</f>
        <v>00000000</v>
      </c>
      <c r="C187" s="24" t="s">
        <v>123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</row>
    <row r="188" spans="2:11" s="1" customFormat="1">
      <c r="B188" s="5"/>
      <c r="C188" s="102"/>
      <c r="D188" s="102"/>
      <c r="E188" s="102"/>
      <c r="F188" s="102"/>
      <c r="G188" s="102"/>
      <c r="H188" s="102"/>
      <c r="I188" s="102"/>
      <c r="J188" s="102"/>
      <c r="K188" s="102"/>
    </row>
    <row r="189" spans="2:11" s="1" customFormat="1" ht="12.75" customHeight="1">
      <c r="B189" s="5"/>
      <c r="C189" s="109" t="s">
        <v>227</v>
      </c>
      <c r="D189" s="110"/>
      <c r="E189" s="110"/>
      <c r="F189" s="110"/>
      <c r="G189" s="110"/>
      <c r="H189" s="110"/>
      <c r="I189" s="110"/>
      <c r="J189" s="110"/>
      <c r="K189" s="111"/>
    </row>
    <row r="190" spans="2:11" s="1" customFormat="1">
      <c r="B190" s="5"/>
      <c r="C190" s="6" t="s">
        <v>120</v>
      </c>
      <c r="D190" s="22">
        <v>7</v>
      </c>
      <c r="E190" s="22">
        <v>6</v>
      </c>
      <c r="F190" s="22">
        <v>5</v>
      </c>
      <c r="G190" s="22">
        <v>4</v>
      </c>
      <c r="H190" s="22">
        <v>3</v>
      </c>
      <c r="I190" s="22">
        <v>2</v>
      </c>
      <c r="J190" s="22">
        <v>1</v>
      </c>
      <c r="K190" s="22">
        <v>0</v>
      </c>
    </row>
    <row r="191" spans="2:11" s="1" customFormat="1" ht="13.5" customHeight="1">
      <c r="B191" s="5"/>
      <c r="C191" s="8" t="s">
        <v>6</v>
      </c>
      <c r="D191" s="23" t="s">
        <v>121</v>
      </c>
      <c r="E191" s="23" t="s">
        <v>121</v>
      </c>
      <c r="F191" s="23" t="s">
        <v>121</v>
      </c>
      <c r="G191" s="23" t="s">
        <v>121</v>
      </c>
      <c r="H191" s="131" t="s">
        <v>228</v>
      </c>
      <c r="I191" s="117"/>
      <c r="J191" s="117"/>
      <c r="K191" s="118"/>
    </row>
    <row r="192" spans="2:11" s="1" customFormat="1">
      <c r="B192" s="5" t="str">
        <f>CONCATENATE(D192,E192,F192,G192,H192,I192,J192,K192)</f>
        <v>----0000</v>
      </c>
      <c r="C192" s="24" t="s">
        <v>123</v>
      </c>
      <c r="D192" s="25" t="s">
        <v>124</v>
      </c>
      <c r="E192" s="25" t="s">
        <v>124</v>
      </c>
      <c r="F192" s="25" t="s">
        <v>124</v>
      </c>
      <c r="G192" s="25" t="s">
        <v>124</v>
      </c>
      <c r="H192" s="25">
        <v>0</v>
      </c>
      <c r="I192" s="25">
        <v>0</v>
      </c>
      <c r="J192" s="25">
        <v>0</v>
      </c>
      <c r="K192" s="25">
        <v>0</v>
      </c>
    </row>
    <row r="193" spans="2:11" s="1" customFormat="1">
      <c r="B193" s="5"/>
      <c r="C193" s="102"/>
      <c r="D193" s="102"/>
      <c r="E193" s="102"/>
      <c r="F193" s="102"/>
      <c r="G193" s="102"/>
      <c r="H193" s="102"/>
      <c r="I193" s="102"/>
      <c r="J193" s="102"/>
      <c r="K193" s="102"/>
    </row>
    <row r="194" spans="2:11" s="1" customFormat="1" ht="12.75" customHeight="1">
      <c r="B194" s="5"/>
      <c r="C194" s="109" t="s">
        <v>229</v>
      </c>
      <c r="D194" s="110"/>
      <c r="E194" s="110"/>
      <c r="F194" s="110"/>
      <c r="G194" s="110"/>
      <c r="H194" s="110"/>
      <c r="I194" s="110"/>
      <c r="J194" s="110"/>
      <c r="K194" s="111"/>
    </row>
    <row r="195" spans="2:11" s="1" customFormat="1">
      <c r="B195" s="5"/>
      <c r="C195" s="6" t="s">
        <v>120</v>
      </c>
      <c r="D195" s="22">
        <v>7</v>
      </c>
      <c r="E195" s="22">
        <v>6</v>
      </c>
      <c r="F195" s="22">
        <v>5</v>
      </c>
      <c r="G195" s="22">
        <v>4</v>
      </c>
      <c r="H195" s="22">
        <v>3</v>
      </c>
      <c r="I195" s="22">
        <v>2</v>
      </c>
      <c r="J195" s="22">
        <v>1</v>
      </c>
      <c r="K195" s="22">
        <v>0</v>
      </c>
    </row>
    <row r="196" spans="2:11" s="1" customFormat="1" ht="13.5" customHeight="1">
      <c r="B196" s="5"/>
      <c r="C196" s="8" t="s">
        <v>6</v>
      </c>
      <c r="D196" s="131" t="s">
        <v>230</v>
      </c>
      <c r="E196" s="117"/>
      <c r="F196" s="117"/>
      <c r="G196" s="117"/>
      <c r="H196" s="117"/>
      <c r="I196" s="117"/>
      <c r="J196" s="117"/>
      <c r="K196" s="118"/>
    </row>
    <row r="197" spans="2:11" s="1" customFormat="1">
      <c r="B197" s="5" t="str">
        <f>CONCATENATE(D197,E197,F197,G197,H197,I197,J197,K197)</f>
        <v>00000000</v>
      </c>
      <c r="C197" s="24" t="s">
        <v>123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</row>
    <row r="198" spans="2:11" s="1" customFormat="1">
      <c r="B198" s="5"/>
      <c r="C198" s="102"/>
      <c r="D198" s="102"/>
      <c r="E198" s="102"/>
      <c r="F198" s="102"/>
      <c r="G198" s="102"/>
      <c r="H198" s="102"/>
      <c r="I198" s="102"/>
      <c r="J198" s="102"/>
      <c r="K198" s="102"/>
    </row>
    <row r="199" spans="2:11" s="1" customFormat="1" ht="12.75" customHeight="1">
      <c r="B199" s="5"/>
      <c r="C199" s="109" t="s">
        <v>231</v>
      </c>
      <c r="D199" s="110"/>
      <c r="E199" s="110"/>
      <c r="F199" s="110"/>
      <c r="G199" s="110"/>
      <c r="H199" s="110"/>
      <c r="I199" s="110"/>
      <c r="J199" s="110"/>
      <c r="K199" s="111"/>
    </row>
    <row r="200" spans="2:11" s="1" customFormat="1">
      <c r="B200" s="5"/>
      <c r="C200" s="6" t="s">
        <v>120</v>
      </c>
      <c r="D200" s="22">
        <v>7</v>
      </c>
      <c r="E200" s="22">
        <v>6</v>
      </c>
      <c r="F200" s="22">
        <v>5</v>
      </c>
      <c r="G200" s="22">
        <v>4</v>
      </c>
      <c r="H200" s="22">
        <v>3</v>
      </c>
      <c r="I200" s="22">
        <v>2</v>
      </c>
      <c r="J200" s="22">
        <v>1</v>
      </c>
      <c r="K200" s="22">
        <v>0</v>
      </c>
    </row>
    <row r="201" spans="2:11" s="1" customFormat="1" ht="13.5" customHeight="1">
      <c r="B201" s="5"/>
      <c r="C201" s="8" t="s">
        <v>6</v>
      </c>
      <c r="D201" s="23" t="s">
        <v>121</v>
      </c>
      <c r="E201" s="23" t="s">
        <v>121</v>
      </c>
      <c r="F201" s="23" t="s">
        <v>121</v>
      </c>
      <c r="G201" s="23" t="s">
        <v>121</v>
      </c>
      <c r="H201" s="131" t="s">
        <v>232</v>
      </c>
      <c r="I201" s="117"/>
      <c r="J201" s="117"/>
      <c r="K201" s="118"/>
    </row>
    <row r="202" spans="2:11" s="1" customFormat="1">
      <c r="B202" s="5" t="str">
        <f>CONCATENATE(D202,E202,F202,G202,H202,I202,J202,K202)</f>
        <v>----0000</v>
      </c>
      <c r="C202" s="24" t="s">
        <v>123</v>
      </c>
      <c r="D202" s="25" t="s">
        <v>124</v>
      </c>
      <c r="E202" s="25" t="s">
        <v>124</v>
      </c>
      <c r="F202" s="25" t="s">
        <v>124</v>
      </c>
      <c r="G202" s="25" t="s">
        <v>124</v>
      </c>
      <c r="H202" s="25">
        <v>0</v>
      </c>
      <c r="I202" s="25">
        <v>0</v>
      </c>
      <c r="J202" s="25">
        <v>0</v>
      </c>
      <c r="K202" s="25">
        <v>0</v>
      </c>
    </row>
    <row r="203" spans="2:11" s="1" customFormat="1">
      <c r="B203" s="5"/>
      <c r="C203" s="102"/>
      <c r="D203" s="102"/>
      <c r="E203" s="102"/>
      <c r="F203" s="102"/>
      <c r="G203" s="102"/>
      <c r="H203" s="102"/>
      <c r="I203" s="102"/>
      <c r="J203" s="102"/>
      <c r="K203" s="102"/>
    </row>
    <row r="204" spans="2:11" s="1" customFormat="1" ht="12.75" customHeight="1">
      <c r="B204" s="5"/>
      <c r="C204" s="109" t="s">
        <v>233</v>
      </c>
      <c r="D204" s="110"/>
      <c r="E204" s="110"/>
      <c r="F204" s="110"/>
      <c r="G204" s="110"/>
      <c r="H204" s="110"/>
      <c r="I204" s="110"/>
      <c r="J204" s="110"/>
      <c r="K204" s="111"/>
    </row>
    <row r="205" spans="2:11" s="1" customFormat="1">
      <c r="B205" s="5"/>
      <c r="C205" s="6" t="s">
        <v>120</v>
      </c>
      <c r="D205" s="22">
        <v>7</v>
      </c>
      <c r="E205" s="22">
        <v>6</v>
      </c>
      <c r="F205" s="22">
        <v>5</v>
      </c>
      <c r="G205" s="22">
        <v>4</v>
      </c>
      <c r="H205" s="22">
        <v>3</v>
      </c>
      <c r="I205" s="22">
        <v>2</v>
      </c>
      <c r="J205" s="22">
        <v>1</v>
      </c>
      <c r="K205" s="22">
        <v>0</v>
      </c>
    </row>
    <row r="206" spans="2:11" s="1" customFormat="1" ht="13.5" customHeight="1">
      <c r="B206" s="5"/>
      <c r="C206" s="8" t="s">
        <v>6</v>
      </c>
      <c r="D206" s="131" t="s">
        <v>234</v>
      </c>
      <c r="E206" s="117"/>
      <c r="F206" s="117"/>
      <c r="G206" s="117"/>
      <c r="H206" s="117"/>
      <c r="I206" s="117"/>
      <c r="J206" s="117"/>
      <c r="K206" s="118"/>
    </row>
    <row r="207" spans="2:11" s="1" customFormat="1">
      <c r="B207" s="5" t="str">
        <f>CONCATENATE(D207,E207,F207,G207,H207,I207,J207,K207)</f>
        <v>00000000</v>
      </c>
      <c r="C207" s="24" t="s">
        <v>123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</row>
    <row r="208" spans="2:11" s="1" customFormat="1">
      <c r="B208" s="5"/>
      <c r="C208" s="102"/>
      <c r="D208" s="102"/>
      <c r="E208" s="102"/>
      <c r="F208" s="102"/>
      <c r="G208" s="102"/>
      <c r="H208" s="102"/>
      <c r="I208" s="102"/>
      <c r="J208" s="102"/>
      <c r="K208" s="102"/>
    </row>
    <row r="209" spans="2:11" s="1" customFormat="1" ht="12.75" customHeight="1">
      <c r="B209" s="5"/>
      <c r="C209" s="109" t="s">
        <v>235</v>
      </c>
      <c r="D209" s="110"/>
      <c r="E209" s="110"/>
      <c r="F209" s="110"/>
      <c r="G209" s="110"/>
      <c r="H209" s="110"/>
      <c r="I209" s="110"/>
      <c r="J209" s="110"/>
      <c r="K209" s="111"/>
    </row>
    <row r="210" spans="2:11" s="1" customFormat="1">
      <c r="B210" s="5"/>
      <c r="C210" s="6" t="s">
        <v>120</v>
      </c>
      <c r="D210" s="22">
        <v>7</v>
      </c>
      <c r="E210" s="22">
        <v>6</v>
      </c>
      <c r="F210" s="22">
        <v>5</v>
      </c>
      <c r="G210" s="22">
        <v>4</v>
      </c>
      <c r="H210" s="22">
        <v>3</v>
      </c>
      <c r="I210" s="22">
        <v>2</v>
      </c>
      <c r="J210" s="22">
        <v>1</v>
      </c>
      <c r="K210" s="22">
        <v>0</v>
      </c>
    </row>
    <row r="211" spans="2:11" s="1" customFormat="1" ht="13.5" customHeight="1">
      <c r="B211" s="5"/>
      <c r="C211" s="8" t="s">
        <v>6</v>
      </c>
      <c r="D211" s="23" t="s">
        <v>121</v>
      </c>
      <c r="E211" s="23" t="s">
        <v>121</v>
      </c>
      <c r="F211" s="23" t="s">
        <v>121</v>
      </c>
      <c r="G211" s="23" t="s">
        <v>121</v>
      </c>
      <c r="H211" s="131" t="s">
        <v>236</v>
      </c>
      <c r="I211" s="117"/>
      <c r="J211" s="117"/>
      <c r="K211" s="118"/>
    </row>
    <row r="212" spans="2:11" s="1" customFormat="1">
      <c r="B212" s="5" t="str">
        <f>CONCATENATE(D212,E212,F212,G212,H212,I212,J212,K212)</f>
        <v>----0000</v>
      </c>
      <c r="C212" s="24" t="s">
        <v>123</v>
      </c>
      <c r="D212" s="25" t="s">
        <v>124</v>
      </c>
      <c r="E212" s="25" t="s">
        <v>124</v>
      </c>
      <c r="F212" s="25" t="s">
        <v>124</v>
      </c>
      <c r="G212" s="25" t="s">
        <v>124</v>
      </c>
      <c r="H212" s="25">
        <v>0</v>
      </c>
      <c r="I212" s="25">
        <v>0</v>
      </c>
      <c r="J212" s="25">
        <v>0</v>
      </c>
      <c r="K212" s="25">
        <v>0</v>
      </c>
    </row>
    <row r="213" spans="2:11" s="1" customFormat="1">
      <c r="B213" s="5"/>
      <c r="C213" s="102"/>
      <c r="D213" s="102"/>
      <c r="E213" s="102"/>
      <c r="F213" s="102"/>
      <c r="G213" s="102"/>
      <c r="H213" s="102"/>
      <c r="I213" s="102"/>
      <c r="J213" s="102"/>
      <c r="K213" s="102"/>
    </row>
    <row r="214" spans="2:11" s="1" customFormat="1" ht="12.75" customHeight="1">
      <c r="B214" s="5"/>
      <c r="C214" s="109" t="s">
        <v>237</v>
      </c>
      <c r="D214" s="110"/>
      <c r="E214" s="110"/>
      <c r="F214" s="110"/>
      <c r="G214" s="110"/>
      <c r="H214" s="110"/>
      <c r="I214" s="110"/>
      <c r="J214" s="110"/>
      <c r="K214" s="111"/>
    </row>
    <row r="215" spans="2:11" s="1" customFormat="1">
      <c r="B215" s="5"/>
      <c r="C215" s="6" t="s">
        <v>120</v>
      </c>
      <c r="D215" s="22">
        <v>7</v>
      </c>
      <c r="E215" s="22">
        <v>6</v>
      </c>
      <c r="F215" s="22">
        <v>5</v>
      </c>
      <c r="G215" s="22">
        <v>4</v>
      </c>
      <c r="H215" s="22">
        <v>3</v>
      </c>
      <c r="I215" s="22">
        <v>2</v>
      </c>
      <c r="J215" s="22">
        <v>1</v>
      </c>
      <c r="K215" s="22">
        <v>0</v>
      </c>
    </row>
    <row r="216" spans="2:11" s="1" customFormat="1" ht="13.5" customHeight="1">
      <c r="B216" s="5"/>
      <c r="C216" s="8" t="s">
        <v>6</v>
      </c>
      <c r="D216" s="131" t="s">
        <v>238</v>
      </c>
      <c r="E216" s="117"/>
      <c r="F216" s="117"/>
      <c r="G216" s="117"/>
      <c r="H216" s="117"/>
      <c r="I216" s="117"/>
      <c r="J216" s="117"/>
      <c r="K216" s="118"/>
    </row>
    <row r="217" spans="2:11" s="1" customFormat="1">
      <c r="B217" s="5" t="str">
        <f>CONCATENATE(D217,E217,F217,G217,H217,I217,J217,K217)</f>
        <v>00000000</v>
      </c>
      <c r="C217" s="24" t="s">
        <v>123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</row>
    <row r="218" spans="2:11" s="1" customFormat="1">
      <c r="B218" s="5"/>
      <c r="C218" s="102"/>
      <c r="D218" s="102"/>
      <c r="E218" s="102"/>
      <c r="F218" s="102"/>
      <c r="G218" s="102"/>
      <c r="H218" s="102"/>
      <c r="I218" s="102"/>
      <c r="J218" s="102"/>
      <c r="K218" s="102"/>
    </row>
    <row r="219" spans="2:11" s="1" customFormat="1" ht="12.75" customHeight="1">
      <c r="B219" s="5"/>
      <c r="C219" s="109" t="s">
        <v>239</v>
      </c>
      <c r="D219" s="110"/>
      <c r="E219" s="110"/>
      <c r="F219" s="110"/>
      <c r="G219" s="110"/>
      <c r="H219" s="110"/>
      <c r="I219" s="110"/>
      <c r="J219" s="110"/>
      <c r="K219" s="111"/>
    </row>
    <row r="220" spans="2:11" s="1" customFormat="1">
      <c r="B220" s="5"/>
      <c r="C220" s="6" t="s">
        <v>120</v>
      </c>
      <c r="D220" s="22">
        <v>7</v>
      </c>
      <c r="E220" s="22">
        <v>6</v>
      </c>
      <c r="F220" s="22">
        <v>5</v>
      </c>
      <c r="G220" s="22">
        <v>4</v>
      </c>
      <c r="H220" s="22">
        <v>3</v>
      </c>
      <c r="I220" s="22">
        <v>2</v>
      </c>
      <c r="J220" s="22">
        <v>1</v>
      </c>
      <c r="K220" s="22">
        <v>0</v>
      </c>
    </row>
    <row r="221" spans="2:11" s="1" customFormat="1" ht="13.5" customHeight="1">
      <c r="B221" s="5"/>
      <c r="C221" s="8" t="s">
        <v>6</v>
      </c>
      <c r="D221" s="23" t="s">
        <v>121</v>
      </c>
      <c r="E221" s="23" t="s">
        <v>121</v>
      </c>
      <c r="F221" s="23" t="s">
        <v>121</v>
      </c>
      <c r="G221" s="23" t="s">
        <v>121</v>
      </c>
      <c r="H221" s="131" t="s">
        <v>240</v>
      </c>
      <c r="I221" s="117"/>
      <c r="J221" s="117"/>
      <c r="K221" s="118"/>
    </row>
    <row r="222" spans="2:11" s="1" customFormat="1">
      <c r="B222" s="5" t="str">
        <f>CONCATENATE(D222,E222,F222,G222,H222,I222,J222,K222)</f>
        <v>----0000</v>
      </c>
      <c r="C222" s="24" t="s">
        <v>123</v>
      </c>
      <c r="D222" s="25" t="s">
        <v>124</v>
      </c>
      <c r="E222" s="25" t="s">
        <v>124</v>
      </c>
      <c r="F222" s="25" t="s">
        <v>124</v>
      </c>
      <c r="G222" s="25" t="s">
        <v>124</v>
      </c>
      <c r="H222" s="25">
        <v>0</v>
      </c>
      <c r="I222" s="25">
        <v>0</v>
      </c>
      <c r="J222" s="25">
        <v>0</v>
      </c>
      <c r="K222" s="25">
        <v>0</v>
      </c>
    </row>
    <row r="223" spans="2:11" s="1" customFormat="1">
      <c r="B223" s="5"/>
      <c r="C223" s="102"/>
      <c r="D223" s="102"/>
      <c r="E223" s="102"/>
      <c r="F223" s="102"/>
      <c r="G223" s="102"/>
      <c r="H223" s="102"/>
      <c r="I223" s="102"/>
      <c r="J223" s="102"/>
      <c r="K223" s="102"/>
    </row>
    <row r="224" spans="2:11" s="1" customFormat="1" ht="12.75" customHeight="1">
      <c r="B224" s="5"/>
      <c r="C224" s="109" t="s">
        <v>241</v>
      </c>
      <c r="D224" s="110"/>
      <c r="E224" s="110"/>
      <c r="F224" s="110"/>
      <c r="G224" s="110"/>
      <c r="H224" s="110"/>
      <c r="I224" s="110"/>
      <c r="J224" s="110"/>
      <c r="K224" s="111"/>
    </row>
    <row r="225" spans="2:11" s="1" customFormat="1">
      <c r="B225" s="5"/>
      <c r="C225" s="6" t="s">
        <v>120</v>
      </c>
      <c r="D225" s="22">
        <v>7</v>
      </c>
      <c r="E225" s="22">
        <v>6</v>
      </c>
      <c r="F225" s="22">
        <v>5</v>
      </c>
      <c r="G225" s="22">
        <v>4</v>
      </c>
      <c r="H225" s="22">
        <v>3</v>
      </c>
      <c r="I225" s="22">
        <v>2</v>
      </c>
      <c r="J225" s="22">
        <v>1</v>
      </c>
      <c r="K225" s="22">
        <v>0</v>
      </c>
    </row>
    <row r="226" spans="2:11" s="1" customFormat="1" ht="13.5" customHeight="1">
      <c r="B226" s="5"/>
      <c r="C226" s="8" t="s">
        <v>6</v>
      </c>
      <c r="D226" s="131" t="s">
        <v>242</v>
      </c>
      <c r="E226" s="117"/>
      <c r="F226" s="117"/>
      <c r="G226" s="117"/>
      <c r="H226" s="117"/>
      <c r="I226" s="117"/>
      <c r="J226" s="117"/>
      <c r="K226" s="118"/>
    </row>
    <row r="227" spans="2:11" s="1" customFormat="1">
      <c r="B227" s="5" t="str">
        <f>CONCATENATE(D227,E227,F227,G227,H227,I227,J227,K227)</f>
        <v>00000000</v>
      </c>
      <c r="C227" s="24" t="s">
        <v>123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</row>
    <row r="228" spans="2:11" s="1" customFormat="1">
      <c r="B228" s="5"/>
      <c r="C228" s="102"/>
      <c r="D228" s="102"/>
      <c r="E228" s="102"/>
      <c r="F228" s="102"/>
      <c r="G228" s="102"/>
      <c r="H228" s="102"/>
      <c r="I228" s="102"/>
      <c r="J228" s="102"/>
      <c r="K228" s="102"/>
    </row>
    <row r="229" spans="2:11" s="1" customFormat="1" ht="12.75" customHeight="1">
      <c r="B229" s="5"/>
      <c r="C229" s="109" t="s">
        <v>243</v>
      </c>
      <c r="D229" s="110"/>
      <c r="E229" s="110"/>
      <c r="F229" s="110"/>
      <c r="G229" s="110"/>
      <c r="H229" s="110"/>
      <c r="I229" s="110"/>
      <c r="J229" s="110"/>
      <c r="K229" s="111"/>
    </row>
    <row r="230" spans="2:11" s="1" customFormat="1">
      <c r="B230" s="5"/>
      <c r="C230" s="6" t="s">
        <v>120</v>
      </c>
      <c r="D230" s="22">
        <v>7</v>
      </c>
      <c r="E230" s="22">
        <v>6</v>
      </c>
      <c r="F230" s="22">
        <v>5</v>
      </c>
      <c r="G230" s="22">
        <v>4</v>
      </c>
      <c r="H230" s="22">
        <v>3</v>
      </c>
      <c r="I230" s="22">
        <v>2</v>
      </c>
      <c r="J230" s="22">
        <v>1</v>
      </c>
      <c r="K230" s="22">
        <v>0</v>
      </c>
    </row>
    <row r="231" spans="2:11" s="1" customFormat="1" ht="13.5" customHeight="1">
      <c r="B231" s="5"/>
      <c r="C231" s="8" t="s">
        <v>6</v>
      </c>
      <c r="D231" s="23" t="s">
        <v>121</v>
      </c>
      <c r="E231" s="23" t="s">
        <v>121</v>
      </c>
      <c r="F231" s="23" t="s">
        <v>121</v>
      </c>
      <c r="G231" s="23" t="s">
        <v>121</v>
      </c>
      <c r="H231" s="131" t="s">
        <v>244</v>
      </c>
      <c r="I231" s="117"/>
      <c r="J231" s="117"/>
      <c r="K231" s="118"/>
    </row>
    <row r="232" spans="2:11" s="1" customFormat="1">
      <c r="B232" s="5" t="str">
        <f>CONCATENATE(D232,E232,F232,G232,H232,I232,J232,K232)</f>
        <v>----0000</v>
      </c>
      <c r="C232" s="24" t="s">
        <v>123</v>
      </c>
      <c r="D232" s="25" t="s">
        <v>124</v>
      </c>
      <c r="E232" s="25" t="s">
        <v>124</v>
      </c>
      <c r="F232" s="25" t="s">
        <v>124</v>
      </c>
      <c r="G232" s="25" t="s">
        <v>124</v>
      </c>
      <c r="H232" s="25">
        <v>0</v>
      </c>
      <c r="I232" s="25">
        <v>0</v>
      </c>
      <c r="J232" s="25">
        <v>0</v>
      </c>
      <c r="K232" s="25">
        <v>0</v>
      </c>
    </row>
    <row r="233" spans="2:11" s="1" customFormat="1">
      <c r="B233" s="5"/>
      <c r="C233" s="102"/>
      <c r="D233" s="102"/>
      <c r="E233" s="102"/>
      <c r="F233" s="102"/>
      <c r="G233" s="102"/>
      <c r="H233" s="102"/>
      <c r="I233" s="102"/>
      <c r="J233" s="102"/>
      <c r="K233" s="102"/>
    </row>
    <row r="234" spans="2:11" s="1" customFormat="1" ht="12.75" customHeight="1">
      <c r="B234" s="5"/>
      <c r="C234" s="109" t="s">
        <v>245</v>
      </c>
      <c r="D234" s="110"/>
      <c r="E234" s="110"/>
      <c r="F234" s="110"/>
      <c r="G234" s="110"/>
      <c r="H234" s="110"/>
      <c r="I234" s="110"/>
      <c r="J234" s="110"/>
      <c r="K234" s="111"/>
    </row>
    <row r="235" spans="2:11" s="1" customFormat="1">
      <c r="B235" s="5"/>
      <c r="C235" s="6" t="s">
        <v>120</v>
      </c>
      <c r="D235" s="22">
        <v>7</v>
      </c>
      <c r="E235" s="22">
        <v>6</v>
      </c>
      <c r="F235" s="22">
        <v>5</v>
      </c>
      <c r="G235" s="22">
        <v>4</v>
      </c>
      <c r="H235" s="22">
        <v>3</v>
      </c>
      <c r="I235" s="22">
        <v>2</v>
      </c>
      <c r="J235" s="22">
        <v>1</v>
      </c>
      <c r="K235" s="22">
        <v>0</v>
      </c>
    </row>
    <row r="236" spans="2:11" s="1" customFormat="1" ht="13.5" customHeight="1">
      <c r="B236" s="5"/>
      <c r="C236" s="8" t="s">
        <v>6</v>
      </c>
      <c r="D236" s="131" t="s">
        <v>246</v>
      </c>
      <c r="E236" s="117"/>
      <c r="F236" s="117"/>
      <c r="G236" s="117"/>
      <c r="H236" s="117"/>
      <c r="I236" s="117"/>
      <c r="J236" s="117"/>
      <c r="K236" s="118"/>
    </row>
    <row r="237" spans="2:11" s="1" customFormat="1">
      <c r="B237" s="5" t="str">
        <f>CONCATENATE(D237,E237,F237,G237,H237,I237,J237,K237)</f>
        <v>00000000</v>
      </c>
      <c r="C237" s="24" t="s">
        <v>123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</row>
    <row r="238" spans="2:11" s="1" customFormat="1">
      <c r="B238" s="5"/>
      <c r="C238" s="102"/>
      <c r="D238" s="102"/>
      <c r="E238" s="102"/>
      <c r="F238" s="102"/>
      <c r="G238" s="102"/>
      <c r="H238" s="102"/>
      <c r="I238" s="102"/>
      <c r="J238" s="102"/>
      <c r="K238" s="102"/>
    </row>
    <row r="239" spans="2:11" s="1" customFormat="1" ht="12.75" customHeight="1">
      <c r="B239" s="5"/>
      <c r="C239" s="109" t="s">
        <v>247</v>
      </c>
      <c r="D239" s="110"/>
      <c r="E239" s="110"/>
      <c r="F239" s="110"/>
      <c r="G239" s="110"/>
      <c r="H239" s="110"/>
      <c r="I239" s="110"/>
      <c r="J239" s="110"/>
      <c r="K239" s="111"/>
    </row>
    <row r="240" spans="2:11" s="1" customFormat="1">
      <c r="B240" s="5"/>
      <c r="C240" s="6" t="s">
        <v>120</v>
      </c>
      <c r="D240" s="22">
        <v>7</v>
      </c>
      <c r="E240" s="22">
        <v>6</v>
      </c>
      <c r="F240" s="22">
        <v>5</v>
      </c>
      <c r="G240" s="22">
        <v>4</v>
      </c>
      <c r="H240" s="22">
        <v>3</v>
      </c>
      <c r="I240" s="22">
        <v>2</v>
      </c>
      <c r="J240" s="22">
        <v>1</v>
      </c>
      <c r="K240" s="22">
        <v>0</v>
      </c>
    </row>
    <row r="241" spans="2:11" s="1" customFormat="1" ht="13.5" customHeight="1">
      <c r="B241" s="5"/>
      <c r="C241" s="8" t="s">
        <v>6</v>
      </c>
      <c r="D241" s="23" t="s">
        <v>121</v>
      </c>
      <c r="E241" s="23" t="s">
        <v>121</v>
      </c>
      <c r="F241" s="23" t="s">
        <v>121</v>
      </c>
      <c r="G241" s="23" t="s">
        <v>121</v>
      </c>
      <c r="H241" s="131" t="s">
        <v>248</v>
      </c>
      <c r="I241" s="117"/>
      <c r="J241" s="117"/>
      <c r="K241" s="118"/>
    </row>
    <row r="242" spans="2:11" s="1" customFormat="1">
      <c r="B242" s="5" t="str">
        <f>CONCATENATE(D242,E242,F242,G242,H242,I242,J242,K242)</f>
        <v>----0000</v>
      </c>
      <c r="C242" s="24" t="s">
        <v>123</v>
      </c>
      <c r="D242" s="25" t="s">
        <v>124</v>
      </c>
      <c r="E242" s="25" t="s">
        <v>124</v>
      </c>
      <c r="F242" s="25" t="s">
        <v>124</v>
      </c>
      <c r="G242" s="25" t="s">
        <v>124</v>
      </c>
      <c r="H242" s="25">
        <v>0</v>
      </c>
      <c r="I242" s="25">
        <v>0</v>
      </c>
      <c r="J242" s="25">
        <v>0</v>
      </c>
      <c r="K242" s="25">
        <v>0</v>
      </c>
    </row>
    <row r="243" spans="2:11" s="1" customFormat="1">
      <c r="B243" s="5"/>
      <c r="C243" s="102"/>
      <c r="D243" s="102"/>
      <c r="E243" s="102"/>
      <c r="F243" s="102"/>
      <c r="G243" s="102"/>
      <c r="H243" s="102"/>
      <c r="I243" s="102"/>
      <c r="J243" s="102"/>
      <c r="K243" s="102"/>
    </row>
    <row r="244" spans="2:11" s="1" customFormat="1" ht="12.75" customHeight="1">
      <c r="B244" s="5"/>
      <c r="C244" s="109" t="s">
        <v>249</v>
      </c>
      <c r="D244" s="110"/>
      <c r="E244" s="110"/>
      <c r="F244" s="110"/>
      <c r="G244" s="110"/>
      <c r="H244" s="110"/>
      <c r="I244" s="110"/>
      <c r="J244" s="110"/>
      <c r="K244" s="111"/>
    </row>
    <row r="245" spans="2:11" s="1" customFormat="1">
      <c r="B245" s="5"/>
      <c r="C245" s="6" t="s">
        <v>120</v>
      </c>
      <c r="D245" s="22">
        <v>7</v>
      </c>
      <c r="E245" s="22">
        <v>6</v>
      </c>
      <c r="F245" s="22">
        <v>5</v>
      </c>
      <c r="G245" s="22">
        <v>4</v>
      </c>
      <c r="H245" s="22">
        <v>3</v>
      </c>
      <c r="I245" s="22">
        <v>2</v>
      </c>
      <c r="J245" s="22">
        <v>1</v>
      </c>
      <c r="K245" s="22">
        <v>0</v>
      </c>
    </row>
    <row r="246" spans="2:11" s="1" customFormat="1" ht="13.5" customHeight="1">
      <c r="B246" s="5"/>
      <c r="C246" s="8" t="s">
        <v>6</v>
      </c>
      <c r="D246" s="131" t="s">
        <v>250</v>
      </c>
      <c r="E246" s="117"/>
      <c r="F246" s="117"/>
      <c r="G246" s="117"/>
      <c r="H246" s="117"/>
      <c r="I246" s="117"/>
      <c r="J246" s="117"/>
      <c r="K246" s="118"/>
    </row>
    <row r="247" spans="2:11" s="1" customFormat="1">
      <c r="B247" s="5" t="str">
        <f>CONCATENATE(D247,E247,F247,G247,H247,I247,J247,K247)</f>
        <v>00000000</v>
      </c>
      <c r="C247" s="24" t="s">
        <v>123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</row>
    <row r="248" spans="2:11" s="1" customFormat="1">
      <c r="B248" s="5"/>
      <c r="C248" s="102"/>
      <c r="D248" s="102"/>
      <c r="E248" s="102"/>
      <c r="F248" s="102"/>
      <c r="G248" s="102"/>
      <c r="H248" s="102"/>
      <c r="I248" s="102"/>
      <c r="J248" s="102"/>
      <c r="K248" s="102"/>
    </row>
    <row r="249" spans="2:11" s="1" customFormat="1" ht="12.75" customHeight="1">
      <c r="B249" s="5"/>
      <c r="C249" s="109" t="s">
        <v>251</v>
      </c>
      <c r="D249" s="110"/>
      <c r="E249" s="110"/>
      <c r="F249" s="110"/>
      <c r="G249" s="110"/>
      <c r="H249" s="110"/>
      <c r="I249" s="110"/>
      <c r="J249" s="110"/>
      <c r="K249" s="111"/>
    </row>
    <row r="250" spans="2:11" s="1" customFormat="1">
      <c r="B250" s="5"/>
      <c r="C250" s="6" t="s">
        <v>120</v>
      </c>
      <c r="D250" s="22">
        <v>7</v>
      </c>
      <c r="E250" s="22">
        <v>6</v>
      </c>
      <c r="F250" s="22">
        <v>5</v>
      </c>
      <c r="G250" s="22">
        <v>4</v>
      </c>
      <c r="H250" s="22">
        <v>3</v>
      </c>
      <c r="I250" s="22">
        <v>2</v>
      </c>
      <c r="J250" s="22">
        <v>1</v>
      </c>
      <c r="K250" s="22">
        <v>0</v>
      </c>
    </row>
    <row r="251" spans="2:11" s="1" customFormat="1" ht="13.5" customHeight="1">
      <c r="B251" s="5"/>
      <c r="C251" s="8" t="s">
        <v>6</v>
      </c>
      <c r="D251" s="23" t="s">
        <v>121</v>
      </c>
      <c r="E251" s="23" t="s">
        <v>121</v>
      </c>
      <c r="F251" s="23" t="s">
        <v>121</v>
      </c>
      <c r="G251" s="23" t="s">
        <v>121</v>
      </c>
      <c r="H251" s="131" t="s">
        <v>252</v>
      </c>
      <c r="I251" s="117"/>
      <c r="J251" s="117"/>
      <c r="K251" s="118"/>
    </row>
    <row r="252" spans="2:11" s="1" customFormat="1">
      <c r="B252" s="5" t="str">
        <f>CONCATENATE(D252,E252,F252,G252,H252,I252,J252,K252)</f>
        <v>----0000</v>
      </c>
      <c r="C252" s="24" t="s">
        <v>123</v>
      </c>
      <c r="D252" s="25" t="s">
        <v>124</v>
      </c>
      <c r="E252" s="25" t="s">
        <v>124</v>
      </c>
      <c r="F252" s="25" t="s">
        <v>124</v>
      </c>
      <c r="G252" s="25" t="s">
        <v>124</v>
      </c>
      <c r="H252" s="25">
        <v>0</v>
      </c>
      <c r="I252" s="25">
        <v>0</v>
      </c>
      <c r="J252" s="25">
        <v>0</v>
      </c>
      <c r="K252" s="25">
        <v>0</v>
      </c>
    </row>
    <row r="253" spans="2:11" s="1" customFormat="1">
      <c r="B253" s="5"/>
      <c r="C253" s="102"/>
      <c r="D253" s="102"/>
      <c r="E253" s="102"/>
      <c r="F253" s="102"/>
      <c r="G253" s="102"/>
      <c r="H253" s="102"/>
      <c r="I253" s="102"/>
      <c r="J253" s="102"/>
      <c r="K253" s="102"/>
    </row>
    <row r="254" spans="2:11" s="1" customFormat="1" ht="12.75" customHeight="1">
      <c r="B254" s="5"/>
      <c r="C254" s="109" t="s">
        <v>253</v>
      </c>
      <c r="D254" s="110"/>
      <c r="E254" s="110"/>
      <c r="F254" s="110"/>
      <c r="G254" s="110"/>
      <c r="H254" s="110"/>
      <c r="I254" s="110"/>
      <c r="J254" s="110"/>
      <c r="K254" s="111"/>
    </row>
    <row r="255" spans="2:11" s="1" customFormat="1">
      <c r="B255" s="5"/>
      <c r="C255" s="6" t="s">
        <v>120</v>
      </c>
      <c r="D255" s="22">
        <v>7</v>
      </c>
      <c r="E255" s="22">
        <v>6</v>
      </c>
      <c r="F255" s="22">
        <v>5</v>
      </c>
      <c r="G255" s="22">
        <v>4</v>
      </c>
      <c r="H255" s="22">
        <v>3</v>
      </c>
      <c r="I255" s="22">
        <v>2</v>
      </c>
      <c r="J255" s="22">
        <v>1</v>
      </c>
      <c r="K255" s="22">
        <v>0</v>
      </c>
    </row>
    <row r="256" spans="2:11" s="1" customFormat="1" ht="13.5" customHeight="1">
      <c r="B256" s="5"/>
      <c r="C256" s="8" t="s">
        <v>6</v>
      </c>
      <c r="D256" s="131" t="s">
        <v>1071</v>
      </c>
      <c r="E256" s="117"/>
      <c r="F256" s="117"/>
      <c r="G256" s="117"/>
      <c r="H256" s="117"/>
      <c r="I256" s="117"/>
      <c r="J256" s="117"/>
      <c r="K256" s="118"/>
    </row>
    <row r="257" spans="2:11" s="1" customFormat="1">
      <c r="B257" s="5" t="str">
        <f>CONCATENATE(D257,E257,F257,G257,H257,I257,J257,K257)</f>
        <v>00000000</v>
      </c>
      <c r="C257" s="24" t="s">
        <v>123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0</v>
      </c>
    </row>
    <row r="258" spans="2:11" s="1" customFormat="1">
      <c r="B258" s="5"/>
      <c r="C258" s="102"/>
      <c r="D258" s="102"/>
      <c r="E258" s="102"/>
      <c r="F258" s="102"/>
      <c r="G258" s="102"/>
      <c r="H258" s="102"/>
      <c r="I258" s="102"/>
      <c r="J258" s="102"/>
      <c r="K258" s="102"/>
    </row>
    <row r="259" spans="2:11" s="1" customFormat="1" ht="12.75" customHeight="1">
      <c r="B259" s="5"/>
      <c r="C259" s="109" t="s">
        <v>254</v>
      </c>
      <c r="D259" s="110"/>
      <c r="E259" s="110"/>
      <c r="F259" s="110"/>
      <c r="G259" s="110"/>
      <c r="H259" s="110"/>
      <c r="I259" s="110"/>
      <c r="J259" s="110"/>
      <c r="K259" s="111"/>
    </row>
    <row r="260" spans="2:11" s="1" customFormat="1">
      <c r="B260" s="5"/>
      <c r="C260" s="6" t="s">
        <v>120</v>
      </c>
      <c r="D260" s="22">
        <v>7</v>
      </c>
      <c r="E260" s="22">
        <v>6</v>
      </c>
      <c r="F260" s="22">
        <v>5</v>
      </c>
      <c r="G260" s="22">
        <v>4</v>
      </c>
      <c r="H260" s="22">
        <v>3</v>
      </c>
      <c r="I260" s="22">
        <v>2</v>
      </c>
      <c r="J260" s="22">
        <v>1</v>
      </c>
      <c r="K260" s="22">
        <v>0</v>
      </c>
    </row>
    <row r="261" spans="2:11" s="1" customFormat="1" ht="13.5" customHeight="1">
      <c r="B261" s="5"/>
      <c r="C261" s="8" t="s">
        <v>6</v>
      </c>
      <c r="D261" s="23" t="s">
        <v>121</v>
      </c>
      <c r="E261" s="23" t="s">
        <v>121</v>
      </c>
      <c r="F261" s="23" t="s">
        <v>121</v>
      </c>
      <c r="G261" s="23" t="s">
        <v>121</v>
      </c>
      <c r="H261" s="131" t="s">
        <v>1072</v>
      </c>
      <c r="I261" s="117"/>
      <c r="J261" s="117"/>
      <c r="K261" s="118"/>
    </row>
    <row r="262" spans="2:11" s="1" customFormat="1">
      <c r="B262" s="5" t="str">
        <f>CONCATENATE(D262,E262,F262,G262,H262,I262,J262,K262)</f>
        <v>----0000</v>
      </c>
      <c r="C262" s="24" t="s">
        <v>123</v>
      </c>
      <c r="D262" s="25" t="s">
        <v>124</v>
      </c>
      <c r="E262" s="25" t="s">
        <v>124</v>
      </c>
      <c r="F262" s="25" t="s">
        <v>124</v>
      </c>
      <c r="G262" s="25" t="s">
        <v>124</v>
      </c>
      <c r="H262" s="25">
        <v>0</v>
      </c>
      <c r="I262" s="25">
        <v>0</v>
      </c>
      <c r="J262" s="25">
        <v>0</v>
      </c>
      <c r="K262" s="25">
        <v>0</v>
      </c>
    </row>
    <row r="263" spans="2:11" s="1" customFormat="1">
      <c r="B263" s="5"/>
      <c r="C263" s="102"/>
      <c r="D263" s="102"/>
      <c r="E263" s="102"/>
      <c r="F263" s="102"/>
      <c r="G263" s="102"/>
      <c r="H263" s="102"/>
      <c r="I263" s="102"/>
      <c r="J263" s="102"/>
      <c r="K263" s="102"/>
    </row>
    <row r="264" spans="2:11" s="1" customFormat="1" ht="12.75" customHeight="1">
      <c r="B264" s="5"/>
      <c r="C264" s="109" t="s">
        <v>255</v>
      </c>
      <c r="D264" s="110"/>
      <c r="E264" s="110"/>
      <c r="F264" s="110"/>
      <c r="G264" s="110"/>
      <c r="H264" s="110"/>
      <c r="I264" s="110"/>
      <c r="J264" s="110"/>
      <c r="K264" s="111"/>
    </row>
    <row r="265" spans="2:11" s="1" customFormat="1">
      <c r="B265" s="5"/>
      <c r="C265" s="6" t="s">
        <v>120</v>
      </c>
      <c r="D265" s="22">
        <v>7</v>
      </c>
      <c r="E265" s="22">
        <v>6</v>
      </c>
      <c r="F265" s="22">
        <v>5</v>
      </c>
      <c r="G265" s="22">
        <v>4</v>
      </c>
      <c r="H265" s="22">
        <v>3</v>
      </c>
      <c r="I265" s="22">
        <v>2</v>
      </c>
      <c r="J265" s="22">
        <v>1</v>
      </c>
      <c r="K265" s="22">
        <v>0</v>
      </c>
    </row>
    <row r="266" spans="2:11" s="1" customFormat="1" ht="13.5" customHeight="1">
      <c r="B266" s="5"/>
      <c r="C266" s="8" t="s">
        <v>6</v>
      </c>
      <c r="D266" s="131" t="s">
        <v>1073</v>
      </c>
      <c r="E266" s="117"/>
      <c r="F266" s="117"/>
      <c r="G266" s="117"/>
      <c r="H266" s="117"/>
      <c r="I266" s="117"/>
      <c r="J266" s="117"/>
      <c r="K266" s="118"/>
    </row>
    <row r="267" spans="2:11" s="1" customFormat="1">
      <c r="B267" s="5" t="str">
        <f>CONCATENATE(D267,E267,F267,G267,H267,I267,J267,K267)</f>
        <v>00000000</v>
      </c>
      <c r="C267" s="24" t="s">
        <v>123</v>
      </c>
      <c r="D267" s="25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</row>
    <row r="268" spans="2:11" s="1" customFormat="1">
      <c r="B268" s="5"/>
      <c r="C268" s="102"/>
      <c r="D268" s="102"/>
      <c r="E268" s="102"/>
      <c r="F268" s="102"/>
      <c r="G268" s="102"/>
      <c r="H268" s="102"/>
      <c r="I268" s="102"/>
      <c r="J268" s="102"/>
      <c r="K268" s="102"/>
    </row>
    <row r="269" spans="2:11" s="1" customFormat="1" ht="12.75" customHeight="1">
      <c r="B269" s="5"/>
      <c r="C269" s="109" t="s">
        <v>256</v>
      </c>
      <c r="D269" s="110"/>
      <c r="E269" s="110"/>
      <c r="F269" s="110"/>
      <c r="G269" s="110"/>
      <c r="H269" s="110"/>
      <c r="I269" s="110"/>
      <c r="J269" s="110"/>
      <c r="K269" s="111"/>
    </row>
    <row r="270" spans="2:11" s="1" customFormat="1">
      <c r="B270" s="5"/>
      <c r="C270" s="6" t="s">
        <v>120</v>
      </c>
      <c r="D270" s="22">
        <v>7</v>
      </c>
      <c r="E270" s="22">
        <v>6</v>
      </c>
      <c r="F270" s="22">
        <v>5</v>
      </c>
      <c r="G270" s="22">
        <v>4</v>
      </c>
      <c r="H270" s="22">
        <v>3</v>
      </c>
      <c r="I270" s="22">
        <v>2</v>
      </c>
      <c r="J270" s="22">
        <v>1</v>
      </c>
      <c r="K270" s="22">
        <v>0</v>
      </c>
    </row>
    <row r="271" spans="2:11" s="1" customFormat="1" ht="13.5" customHeight="1">
      <c r="B271" s="5"/>
      <c r="C271" s="8" t="s">
        <v>6</v>
      </c>
      <c r="D271" s="23" t="s">
        <v>121</v>
      </c>
      <c r="E271" s="23" t="s">
        <v>121</v>
      </c>
      <c r="F271" s="23" t="s">
        <v>121</v>
      </c>
      <c r="G271" s="23" t="s">
        <v>121</v>
      </c>
      <c r="H271" s="131" t="s">
        <v>1074</v>
      </c>
      <c r="I271" s="117"/>
      <c r="J271" s="117"/>
      <c r="K271" s="118"/>
    </row>
    <row r="272" spans="2:11" s="1" customFormat="1">
      <c r="B272" s="5" t="str">
        <f>CONCATENATE(D272,E272,F272,G272,H272,I272,J272,K272)</f>
        <v>----0000</v>
      </c>
      <c r="C272" s="24" t="s">
        <v>123</v>
      </c>
      <c r="D272" s="25" t="s">
        <v>124</v>
      </c>
      <c r="E272" s="25" t="s">
        <v>124</v>
      </c>
      <c r="F272" s="25" t="s">
        <v>124</v>
      </c>
      <c r="G272" s="25" t="s">
        <v>124</v>
      </c>
      <c r="H272" s="25">
        <v>0</v>
      </c>
      <c r="I272" s="25">
        <v>0</v>
      </c>
      <c r="J272" s="25">
        <v>0</v>
      </c>
      <c r="K272" s="25">
        <v>0</v>
      </c>
    </row>
    <row r="273" spans="2:11" s="1" customFormat="1">
      <c r="B273" s="5"/>
      <c r="C273" s="102"/>
      <c r="D273" s="102"/>
      <c r="E273" s="102"/>
      <c r="F273" s="102"/>
      <c r="G273" s="102"/>
      <c r="H273" s="102"/>
      <c r="I273" s="102"/>
      <c r="J273" s="102"/>
      <c r="K273" s="102"/>
    </row>
    <row r="274" spans="2:11" s="1" customFormat="1" ht="12.75" customHeight="1">
      <c r="B274" s="5"/>
      <c r="C274" s="109" t="s">
        <v>257</v>
      </c>
      <c r="D274" s="110"/>
      <c r="E274" s="110"/>
      <c r="F274" s="110"/>
      <c r="G274" s="110"/>
      <c r="H274" s="110"/>
      <c r="I274" s="110"/>
      <c r="J274" s="110"/>
      <c r="K274" s="111"/>
    </row>
    <row r="275" spans="2:11" s="1" customFormat="1">
      <c r="B275" s="5"/>
      <c r="C275" s="6" t="s">
        <v>120</v>
      </c>
      <c r="D275" s="22">
        <v>7</v>
      </c>
      <c r="E275" s="22">
        <v>6</v>
      </c>
      <c r="F275" s="22">
        <v>5</v>
      </c>
      <c r="G275" s="22">
        <v>4</v>
      </c>
      <c r="H275" s="22">
        <v>3</v>
      </c>
      <c r="I275" s="22">
        <v>2</v>
      </c>
      <c r="J275" s="22">
        <v>1</v>
      </c>
      <c r="K275" s="22">
        <v>0</v>
      </c>
    </row>
    <row r="276" spans="2:11" s="1" customFormat="1" ht="13.5" customHeight="1">
      <c r="B276" s="5"/>
      <c r="C276" s="8" t="s">
        <v>6</v>
      </c>
      <c r="D276" s="131" t="s">
        <v>1075</v>
      </c>
      <c r="E276" s="117"/>
      <c r="F276" s="117"/>
      <c r="G276" s="117"/>
      <c r="H276" s="117"/>
      <c r="I276" s="117"/>
      <c r="J276" s="117"/>
      <c r="K276" s="118"/>
    </row>
    <row r="277" spans="2:11" s="1" customFormat="1">
      <c r="B277" s="5" t="str">
        <f>CONCATENATE(D277,E277,F277,G277,H277,I277,J277,K277)</f>
        <v>00000000</v>
      </c>
      <c r="C277" s="24" t="s">
        <v>123</v>
      </c>
      <c r="D277" s="25">
        <v>0</v>
      </c>
      <c r="E277" s="25">
        <v>0</v>
      </c>
      <c r="F277" s="25">
        <v>0</v>
      </c>
      <c r="G277" s="25">
        <v>0</v>
      </c>
      <c r="H277" s="25">
        <v>0</v>
      </c>
      <c r="I277" s="25">
        <v>0</v>
      </c>
      <c r="J277" s="25">
        <v>0</v>
      </c>
      <c r="K277" s="25">
        <v>0</v>
      </c>
    </row>
    <row r="278" spans="2:11" s="1" customFormat="1">
      <c r="B278" s="5"/>
      <c r="C278" s="102"/>
      <c r="D278" s="102"/>
      <c r="E278" s="102"/>
      <c r="F278" s="102"/>
      <c r="G278" s="102"/>
      <c r="H278" s="102"/>
      <c r="I278" s="102"/>
      <c r="J278" s="102"/>
      <c r="K278" s="102"/>
    </row>
    <row r="279" spans="2:11" s="1" customFormat="1" ht="12.75" customHeight="1">
      <c r="B279" s="5"/>
      <c r="C279" s="109" t="s">
        <v>258</v>
      </c>
      <c r="D279" s="110"/>
      <c r="E279" s="110"/>
      <c r="F279" s="110"/>
      <c r="G279" s="110"/>
      <c r="H279" s="110"/>
      <c r="I279" s="110"/>
      <c r="J279" s="110"/>
      <c r="K279" s="111"/>
    </row>
    <row r="280" spans="2:11" s="1" customFormat="1">
      <c r="B280" s="5"/>
      <c r="C280" s="6" t="s">
        <v>120</v>
      </c>
      <c r="D280" s="22">
        <v>7</v>
      </c>
      <c r="E280" s="22">
        <v>6</v>
      </c>
      <c r="F280" s="22">
        <v>5</v>
      </c>
      <c r="G280" s="22">
        <v>4</v>
      </c>
      <c r="H280" s="22">
        <v>3</v>
      </c>
      <c r="I280" s="22">
        <v>2</v>
      </c>
      <c r="J280" s="22">
        <v>1</v>
      </c>
      <c r="K280" s="22">
        <v>0</v>
      </c>
    </row>
    <row r="281" spans="2:11" s="1" customFormat="1" ht="13.5" customHeight="1">
      <c r="B281" s="5"/>
      <c r="C281" s="8" t="s">
        <v>6</v>
      </c>
      <c r="D281" s="23" t="s">
        <v>121</v>
      </c>
      <c r="E281" s="23" t="s">
        <v>121</v>
      </c>
      <c r="F281" s="23" t="s">
        <v>121</v>
      </c>
      <c r="G281" s="23" t="s">
        <v>121</v>
      </c>
      <c r="H281" s="131" t="s">
        <v>1076</v>
      </c>
      <c r="I281" s="117"/>
      <c r="J281" s="117"/>
      <c r="K281" s="118"/>
    </row>
    <row r="282" spans="2:11" s="1" customFormat="1">
      <c r="B282" s="5" t="str">
        <f>CONCATENATE(D282,E282,F282,G282,H282,I282,J282,K282)</f>
        <v>----0000</v>
      </c>
      <c r="C282" s="24" t="s">
        <v>123</v>
      </c>
      <c r="D282" s="25" t="s">
        <v>124</v>
      </c>
      <c r="E282" s="25" t="s">
        <v>124</v>
      </c>
      <c r="F282" s="25" t="s">
        <v>124</v>
      </c>
      <c r="G282" s="25" t="s">
        <v>124</v>
      </c>
      <c r="H282" s="25">
        <v>0</v>
      </c>
      <c r="I282" s="25">
        <v>0</v>
      </c>
      <c r="J282" s="25">
        <v>0</v>
      </c>
      <c r="K282" s="25">
        <v>0</v>
      </c>
    </row>
    <row r="283" spans="2:11" s="1" customFormat="1">
      <c r="B283" s="5"/>
      <c r="C283" s="102"/>
      <c r="D283" s="102"/>
      <c r="E283" s="102"/>
      <c r="F283" s="102"/>
      <c r="G283" s="102"/>
      <c r="H283" s="102"/>
      <c r="I283" s="102"/>
      <c r="J283" s="102"/>
      <c r="K283" s="102"/>
    </row>
    <row r="284" spans="2:11" s="1" customFormat="1" ht="12.75" customHeight="1">
      <c r="B284" s="5"/>
      <c r="C284" s="109" t="s">
        <v>259</v>
      </c>
      <c r="D284" s="110"/>
      <c r="E284" s="110"/>
      <c r="F284" s="110"/>
      <c r="G284" s="110"/>
      <c r="H284" s="110"/>
      <c r="I284" s="110"/>
      <c r="J284" s="110"/>
      <c r="K284" s="111"/>
    </row>
    <row r="285" spans="2:11" s="1" customFormat="1">
      <c r="B285" s="5"/>
      <c r="C285" s="6" t="s">
        <v>120</v>
      </c>
      <c r="D285" s="22">
        <v>7</v>
      </c>
      <c r="E285" s="22">
        <v>6</v>
      </c>
      <c r="F285" s="22">
        <v>5</v>
      </c>
      <c r="G285" s="22">
        <v>4</v>
      </c>
      <c r="H285" s="22">
        <v>3</v>
      </c>
      <c r="I285" s="22">
        <v>2</v>
      </c>
      <c r="J285" s="22">
        <v>1</v>
      </c>
      <c r="K285" s="22">
        <v>0</v>
      </c>
    </row>
    <row r="286" spans="2:11" s="1" customFormat="1" ht="13.5" customHeight="1">
      <c r="B286" s="5"/>
      <c r="C286" s="8" t="s">
        <v>6</v>
      </c>
      <c r="D286" s="131" t="s">
        <v>1077</v>
      </c>
      <c r="E286" s="117"/>
      <c r="F286" s="117"/>
      <c r="G286" s="117"/>
      <c r="H286" s="117"/>
      <c r="I286" s="117"/>
      <c r="J286" s="117"/>
      <c r="K286" s="118"/>
    </row>
    <row r="287" spans="2:11" s="1" customFormat="1">
      <c r="B287" s="5" t="str">
        <f>CONCATENATE(D287,E287,F287,G287,H287,I287,J287,K287)</f>
        <v>00000000</v>
      </c>
      <c r="C287" s="24" t="s">
        <v>123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</row>
    <row r="288" spans="2:11" s="1" customFormat="1">
      <c r="B288" s="5"/>
      <c r="C288" s="102"/>
      <c r="D288" s="102"/>
      <c r="E288" s="102"/>
      <c r="F288" s="102"/>
      <c r="G288" s="102"/>
      <c r="H288" s="102"/>
      <c r="I288" s="102"/>
      <c r="J288" s="102"/>
      <c r="K288" s="102"/>
    </row>
    <row r="289" spans="2:11" s="1" customFormat="1" ht="12.75" customHeight="1">
      <c r="B289" s="5"/>
      <c r="C289" s="141" t="s">
        <v>260</v>
      </c>
      <c r="D289" s="141"/>
      <c r="E289" s="141"/>
      <c r="F289" s="141"/>
      <c r="G289" s="141"/>
      <c r="H289" s="141"/>
      <c r="I289" s="141"/>
      <c r="J289" s="141"/>
      <c r="K289" s="141"/>
    </row>
    <row r="290" spans="2:11" s="1" customFormat="1">
      <c r="B290" s="5"/>
      <c r="C290" s="6" t="s">
        <v>120</v>
      </c>
      <c r="D290" s="7">
        <v>7</v>
      </c>
      <c r="E290" s="7">
        <v>6</v>
      </c>
      <c r="F290" s="7">
        <v>5</v>
      </c>
      <c r="G290" s="7">
        <v>4</v>
      </c>
      <c r="H290" s="7">
        <v>3</v>
      </c>
      <c r="I290" s="7">
        <v>2</v>
      </c>
      <c r="J290" s="7">
        <v>1</v>
      </c>
      <c r="K290" s="7">
        <v>0</v>
      </c>
    </row>
    <row r="291" spans="2:11" s="1" customFormat="1" ht="13.5" customHeight="1">
      <c r="B291" s="5"/>
      <c r="C291" s="8" t="s">
        <v>6</v>
      </c>
      <c r="D291" s="23" t="s">
        <v>121</v>
      </c>
      <c r="E291" s="23" t="s">
        <v>121</v>
      </c>
      <c r="F291" s="23" t="s">
        <v>121</v>
      </c>
      <c r="G291" s="23" t="s">
        <v>121</v>
      </c>
      <c r="H291" s="142" t="s">
        <v>1078</v>
      </c>
      <c r="I291" s="142"/>
      <c r="J291" s="142"/>
      <c r="K291" s="142"/>
    </row>
    <row r="292" spans="2:11" s="1" customFormat="1">
      <c r="B292" s="5" t="str">
        <f>CONCATENATE(D292,E292,F292,G292,H292,I292,J292,K292)</f>
        <v>----0000</v>
      </c>
      <c r="C292" s="8" t="s">
        <v>123</v>
      </c>
      <c r="D292" s="9" t="s">
        <v>124</v>
      </c>
      <c r="E292" s="9" t="s">
        <v>124</v>
      </c>
      <c r="F292" s="9" t="s">
        <v>124</v>
      </c>
      <c r="G292" s="9" t="s">
        <v>124</v>
      </c>
      <c r="H292" s="9">
        <v>0</v>
      </c>
      <c r="I292" s="9">
        <v>0</v>
      </c>
      <c r="J292" s="9">
        <v>0</v>
      </c>
      <c r="K292" s="9">
        <v>0</v>
      </c>
    </row>
    <row r="293" spans="2:11" s="1" customFormat="1">
      <c r="B293" s="5"/>
      <c r="C293" s="29"/>
      <c r="D293" s="30"/>
      <c r="E293" s="30"/>
      <c r="F293" s="30"/>
      <c r="G293" s="30"/>
      <c r="H293" s="30"/>
      <c r="I293" s="30"/>
      <c r="J293" s="30"/>
      <c r="K293" s="30"/>
    </row>
    <row r="294" spans="2:11" s="65" customFormat="1" ht="12.75" customHeight="1">
      <c r="B294" s="64">
        <v>76</v>
      </c>
      <c r="C294" s="147" t="str">
        <f>"1.4."&amp;B294-$B$294+1&amp;" Addr 0x3800"&amp;DEC2HEX(B294,4)&amp;" RECT CTRL 3-"&amp;B294-$B$294+1</f>
        <v>1.4.1 Addr 0x3800004C RECT CTRL 3-1</v>
      </c>
      <c r="D294" s="147"/>
      <c r="E294" s="147"/>
      <c r="F294" s="147"/>
      <c r="G294" s="147"/>
      <c r="H294" s="147"/>
      <c r="I294" s="147"/>
      <c r="J294" s="147"/>
      <c r="K294" s="147"/>
    </row>
    <row r="295" spans="2:11" s="1" customFormat="1">
      <c r="B295" s="5"/>
      <c r="C295" s="6" t="s">
        <v>120</v>
      </c>
      <c r="D295" s="7">
        <v>7</v>
      </c>
      <c r="E295" s="7">
        <v>6</v>
      </c>
      <c r="F295" s="7">
        <v>5</v>
      </c>
      <c r="G295" s="7">
        <v>4</v>
      </c>
      <c r="H295" s="7">
        <v>3</v>
      </c>
      <c r="I295" s="7">
        <v>2</v>
      </c>
      <c r="J295" s="7">
        <v>1</v>
      </c>
      <c r="K295" s="7">
        <v>0</v>
      </c>
    </row>
    <row r="296" spans="2:11" s="1" customFormat="1" ht="13.9" customHeight="1">
      <c r="B296" s="5"/>
      <c r="C296" s="8" t="s">
        <v>6</v>
      </c>
      <c r="D296" s="131" t="s">
        <v>1100</v>
      </c>
      <c r="E296" s="117"/>
      <c r="F296" s="117"/>
      <c r="G296" s="117"/>
      <c r="H296" s="117"/>
      <c r="I296" s="117"/>
      <c r="J296" s="117"/>
      <c r="K296" s="118"/>
    </row>
    <row r="297" spans="2:11" s="1" customFormat="1" ht="13.9" customHeight="1">
      <c r="B297" s="5" t="str">
        <f>CONCATENATE(D297,E297,F297,G297,H297,I297,J297,K297)</f>
        <v>10000000</v>
      </c>
      <c r="C297" s="8" t="s">
        <v>123</v>
      </c>
      <c r="D297" s="9">
        <v>1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</row>
    <row r="298" spans="2:11" s="1" customFormat="1" ht="13.9" customHeight="1">
      <c r="B298" s="5"/>
      <c r="C298" s="31"/>
      <c r="D298" s="32"/>
      <c r="E298" s="32"/>
      <c r="F298" s="32"/>
      <c r="G298" s="32"/>
      <c r="H298" s="32"/>
      <c r="I298" s="32"/>
      <c r="J298" s="32"/>
      <c r="K298" s="32"/>
    </row>
    <row r="299" spans="2:11" s="65" customFormat="1" ht="12.75" customHeight="1">
      <c r="B299" s="64">
        <f>B294+1</f>
        <v>77</v>
      </c>
      <c r="C299" s="147" t="str">
        <f>"1.4."&amp;B299-$B$294+1&amp;" Addr 0x3800"&amp;DEC2HEX(B299,4)&amp;" RECT CTRL 3-"&amp;B299-$B$294+1</f>
        <v>1.4.2 Addr 0x3800004D RECT CTRL 3-2</v>
      </c>
      <c r="D299" s="147"/>
      <c r="E299" s="147"/>
      <c r="F299" s="147"/>
      <c r="G299" s="147"/>
      <c r="H299" s="147"/>
      <c r="I299" s="147"/>
      <c r="J299" s="147"/>
      <c r="K299" s="147"/>
    </row>
    <row r="300" spans="2:11" s="1" customFormat="1">
      <c r="B300" s="5"/>
      <c r="C300" s="6" t="s">
        <v>120</v>
      </c>
      <c r="D300" s="7">
        <v>7</v>
      </c>
      <c r="E300" s="7">
        <v>6</v>
      </c>
      <c r="F300" s="7">
        <v>5</v>
      </c>
      <c r="G300" s="7">
        <v>4</v>
      </c>
      <c r="H300" s="7">
        <v>3</v>
      </c>
      <c r="I300" s="7">
        <v>2</v>
      </c>
      <c r="J300" s="7">
        <v>1</v>
      </c>
      <c r="K300" s="7">
        <v>0</v>
      </c>
    </row>
    <row r="301" spans="2:11" s="1" customFormat="1" ht="13.9" customHeight="1">
      <c r="B301" s="5"/>
      <c r="C301" s="8" t="s">
        <v>6</v>
      </c>
      <c r="D301" s="131" t="s">
        <v>1101</v>
      </c>
      <c r="E301" s="117"/>
      <c r="F301" s="117"/>
      <c r="G301" s="117"/>
      <c r="H301" s="117"/>
      <c r="I301" s="117"/>
      <c r="J301" s="117"/>
      <c r="K301" s="118"/>
    </row>
    <row r="302" spans="2:11" s="1" customFormat="1" ht="13.9" customHeight="1">
      <c r="B302" s="5" t="str">
        <f>CONCATENATE(D302,E302,F302,G302,H302,I302,J302,K302)</f>
        <v>01000000</v>
      </c>
      <c r="C302" s="8" t="s">
        <v>123</v>
      </c>
      <c r="D302" s="51">
        <v>0</v>
      </c>
      <c r="E302" s="51">
        <v>1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</row>
    <row r="303" spans="2:11" s="1" customFormat="1" ht="13.9" customHeight="1">
      <c r="B303" s="5"/>
      <c r="C303" s="29"/>
      <c r="D303" s="30"/>
      <c r="E303" s="30"/>
      <c r="F303" s="30"/>
      <c r="G303" s="30"/>
      <c r="H303" s="30"/>
      <c r="I303" s="30"/>
      <c r="J303" s="30"/>
      <c r="K303" s="30"/>
    </row>
    <row r="304" spans="2:11" s="65" customFormat="1" ht="12.75" customHeight="1">
      <c r="B304" s="64">
        <f>B299+1</f>
        <v>78</v>
      </c>
      <c r="C304" s="147" t="str">
        <f>"1.4."&amp;B304-$B$294+1&amp;" Addr 0x3800"&amp;DEC2HEX(B304,4)&amp;" RECT CTRL 3-"&amp;B304-$B$294+1</f>
        <v>1.4.3 Addr 0x3800004E RECT CTRL 3-3</v>
      </c>
      <c r="D304" s="147"/>
      <c r="E304" s="147"/>
      <c r="F304" s="147"/>
      <c r="G304" s="147"/>
      <c r="H304" s="147"/>
      <c r="I304" s="147"/>
      <c r="J304" s="147"/>
      <c r="K304" s="147"/>
    </row>
    <row r="305" spans="2:11" s="1" customFormat="1">
      <c r="B305" s="5"/>
      <c r="C305" s="6" t="s">
        <v>120</v>
      </c>
      <c r="D305" s="7">
        <v>7</v>
      </c>
      <c r="E305" s="7">
        <v>6</v>
      </c>
      <c r="F305" s="7">
        <v>5</v>
      </c>
      <c r="G305" s="7">
        <v>4</v>
      </c>
      <c r="H305" s="7">
        <v>3</v>
      </c>
      <c r="I305" s="7">
        <v>2</v>
      </c>
      <c r="J305" s="7">
        <v>1</v>
      </c>
      <c r="K305" s="7">
        <v>0</v>
      </c>
    </row>
    <row r="306" spans="2:11" s="1" customFormat="1" ht="13.9" customHeight="1">
      <c r="B306" s="5"/>
      <c r="C306" s="8" t="s">
        <v>6</v>
      </c>
      <c r="D306" s="131" t="s">
        <v>1069</v>
      </c>
      <c r="E306" s="117"/>
      <c r="F306" s="117"/>
      <c r="G306" s="117"/>
      <c r="H306" s="117"/>
      <c r="I306" s="117"/>
      <c r="J306" s="117"/>
      <c r="K306" s="118"/>
    </row>
    <row r="307" spans="2:11" s="1" customFormat="1" ht="13.9" customHeight="1">
      <c r="B307" s="5" t="str">
        <f>CONCATENATE(D307,E307,F307,G307,H307,I307,J307,K307)</f>
        <v>11000000</v>
      </c>
      <c r="C307" s="8" t="s">
        <v>123</v>
      </c>
      <c r="D307" s="51">
        <v>1</v>
      </c>
      <c r="E307" s="51">
        <v>1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</row>
    <row r="308" spans="2:11" s="1" customFormat="1" ht="13.9" customHeight="1">
      <c r="B308" s="5"/>
      <c r="C308" s="31"/>
      <c r="D308" s="32"/>
      <c r="E308" s="32"/>
      <c r="F308" s="32"/>
      <c r="G308" s="32"/>
      <c r="H308" s="32"/>
      <c r="I308" s="32"/>
      <c r="J308" s="32"/>
      <c r="K308" s="32"/>
    </row>
    <row r="309" spans="2:11" s="65" customFormat="1" ht="12.75" customHeight="1">
      <c r="B309" s="64">
        <f>B304+1</f>
        <v>79</v>
      </c>
      <c r="C309" s="147" t="str">
        <f>"1.4."&amp;B309-$B$294+1&amp;" Addr 0x3800"&amp;DEC2HEX(B309,4)&amp;" RECT CTRL 3-"&amp;B309-$B$294+1</f>
        <v>1.4.4 Addr 0x3800004F RECT CTRL 3-4</v>
      </c>
      <c r="D309" s="147"/>
      <c r="E309" s="147"/>
      <c r="F309" s="147"/>
      <c r="G309" s="147"/>
      <c r="H309" s="147"/>
      <c r="I309" s="147"/>
      <c r="J309" s="147"/>
      <c r="K309" s="147"/>
    </row>
    <row r="310" spans="2:11" s="1" customFormat="1">
      <c r="B310" s="5"/>
      <c r="C310" s="6" t="s">
        <v>120</v>
      </c>
      <c r="D310" s="7">
        <v>7</v>
      </c>
      <c r="E310" s="7">
        <v>6</v>
      </c>
      <c r="F310" s="7">
        <v>5</v>
      </c>
      <c r="G310" s="7">
        <v>4</v>
      </c>
      <c r="H310" s="7">
        <v>3</v>
      </c>
      <c r="I310" s="7">
        <v>2</v>
      </c>
      <c r="J310" s="7">
        <v>1</v>
      </c>
      <c r="K310" s="7">
        <v>0</v>
      </c>
    </row>
    <row r="311" spans="2:11" s="1" customFormat="1" ht="13.9" customHeight="1">
      <c r="B311" s="5"/>
      <c r="C311" s="8" t="s">
        <v>6</v>
      </c>
      <c r="D311" s="131" t="s">
        <v>1070</v>
      </c>
      <c r="E311" s="117"/>
      <c r="F311" s="117"/>
      <c r="G311" s="117"/>
      <c r="H311" s="117"/>
      <c r="I311" s="117"/>
      <c r="J311" s="117"/>
      <c r="K311" s="118"/>
    </row>
    <row r="312" spans="2:11" s="1" customFormat="1" ht="13.9" customHeight="1">
      <c r="B312" s="5" t="str">
        <f>CONCATENATE(D312,E312,F312,G312,H312,I312,J312,K312)</f>
        <v>01100000</v>
      </c>
      <c r="C312" s="8" t="s">
        <v>123</v>
      </c>
      <c r="D312" s="51">
        <v>0</v>
      </c>
      <c r="E312" s="51">
        <v>1</v>
      </c>
      <c r="F312" s="51">
        <v>1</v>
      </c>
      <c r="G312" s="51">
        <v>0</v>
      </c>
      <c r="H312" s="51">
        <v>0</v>
      </c>
      <c r="I312" s="51">
        <v>0</v>
      </c>
      <c r="J312" s="51">
        <v>0</v>
      </c>
      <c r="K312" s="51">
        <v>0</v>
      </c>
    </row>
    <row r="313" spans="2:11" s="1" customFormat="1" ht="13.9" customHeight="1">
      <c r="B313" s="5"/>
      <c r="C313" s="31"/>
      <c r="D313" s="32"/>
      <c r="E313" s="32"/>
      <c r="F313" s="32"/>
      <c r="G313" s="32"/>
      <c r="H313" s="32"/>
      <c r="I313" s="32"/>
      <c r="J313" s="32"/>
      <c r="K313" s="32"/>
    </row>
    <row r="314" spans="2:11" s="1" customFormat="1" ht="12.75" customHeight="1">
      <c r="B314" s="64">
        <f>B309+1</f>
        <v>80</v>
      </c>
      <c r="C314" s="147" t="str">
        <f>"1.4."&amp;B314-$B$294+1&amp;" Addr 0x3800"&amp;DEC2HEX(B314,4)&amp;" RECT CTRL 0-"&amp;B314-$B$314+1</f>
        <v>1.4.5 Addr 0x38000050 RECT CTRL 0-1</v>
      </c>
      <c r="D314" s="147"/>
      <c r="E314" s="147"/>
      <c r="F314" s="147"/>
      <c r="G314" s="147"/>
      <c r="H314" s="147"/>
      <c r="I314" s="147"/>
      <c r="J314" s="147"/>
      <c r="K314" s="147"/>
    </row>
    <row r="315" spans="2:11" s="1" customFormat="1">
      <c r="B315" s="5"/>
      <c r="C315" s="6" t="s">
        <v>120</v>
      </c>
      <c r="D315" s="7">
        <v>7</v>
      </c>
      <c r="E315" s="7">
        <v>6</v>
      </c>
      <c r="F315" s="7">
        <v>5</v>
      </c>
      <c r="G315" s="7">
        <v>4</v>
      </c>
      <c r="H315" s="7">
        <v>3</v>
      </c>
      <c r="I315" s="7">
        <v>2</v>
      </c>
      <c r="J315" s="7">
        <v>1</v>
      </c>
      <c r="K315" s="7">
        <v>0</v>
      </c>
    </row>
    <row r="316" spans="2:11" s="1" customFormat="1" ht="13.5" customHeight="1">
      <c r="B316" s="5"/>
      <c r="C316" s="8" t="s">
        <v>6</v>
      </c>
      <c r="D316" s="131" t="s">
        <v>1098</v>
      </c>
      <c r="E316" s="117"/>
      <c r="F316" s="117"/>
      <c r="G316" s="118"/>
      <c r="H316" s="56" t="s">
        <v>1086</v>
      </c>
      <c r="I316" s="56" t="s">
        <v>1087</v>
      </c>
      <c r="J316" s="56" t="s">
        <v>1088</v>
      </c>
      <c r="K316" s="56" t="s">
        <v>1089</v>
      </c>
    </row>
    <row r="317" spans="2:11" s="1" customFormat="1">
      <c r="B317" s="5" t="str">
        <f>CONCATENATE(D317,E317,F317,G317,H317,I317,J317,K317)</f>
        <v>---00001</v>
      </c>
      <c r="C317" s="8" t="s">
        <v>123</v>
      </c>
      <c r="D317" s="58" t="s">
        <v>1090</v>
      </c>
      <c r="E317" s="58" t="s">
        <v>1090</v>
      </c>
      <c r="F317" s="58" t="s">
        <v>1090</v>
      </c>
      <c r="G317" s="58">
        <v>0</v>
      </c>
      <c r="H317" s="58">
        <v>0</v>
      </c>
      <c r="I317" s="58">
        <v>0</v>
      </c>
      <c r="J317" s="58">
        <v>0</v>
      </c>
      <c r="K317" s="58">
        <v>1</v>
      </c>
    </row>
    <row r="318" spans="2:11" s="1" customFormat="1">
      <c r="B318" s="5"/>
      <c r="C318" s="102"/>
      <c r="D318" s="102"/>
      <c r="E318" s="102"/>
      <c r="F318" s="102"/>
      <c r="G318" s="102"/>
      <c r="H318" s="102"/>
      <c r="I318" s="102"/>
      <c r="J318" s="102"/>
      <c r="K318" s="102"/>
    </row>
    <row r="319" spans="2:11" s="1" customFormat="1" ht="13.5">
      <c r="B319" s="3"/>
      <c r="C319" s="52" t="s">
        <v>6</v>
      </c>
      <c r="D319" s="143" t="s">
        <v>125</v>
      </c>
      <c r="E319" s="143"/>
      <c r="F319" s="52" t="s">
        <v>126</v>
      </c>
      <c r="G319" s="143" t="s">
        <v>127</v>
      </c>
      <c r="H319" s="143"/>
      <c r="I319" s="143"/>
      <c r="J319" s="143"/>
      <c r="K319" s="52" t="s">
        <v>123</v>
      </c>
    </row>
    <row r="320" spans="2:11" s="1" customFormat="1" ht="13.5">
      <c r="B320" s="3"/>
      <c r="C320" s="52" t="str">
        <f>K316</f>
        <v>PEN_RECT</v>
      </c>
      <c r="D320" s="144" t="s">
        <v>1091</v>
      </c>
      <c r="E320" s="144"/>
      <c r="F320" s="53"/>
      <c r="G320" s="144"/>
      <c r="H320" s="144"/>
      <c r="I320" s="144"/>
      <c r="J320" s="144"/>
      <c r="K320" s="52" t="s">
        <v>1092</v>
      </c>
    </row>
    <row r="321" spans="2:11" s="1" customFormat="1" ht="13.5">
      <c r="B321" s="3"/>
      <c r="C321" s="52" t="str">
        <f>J316</f>
        <v>PEN_RECT_DP</v>
      </c>
      <c r="D321" s="144" t="s">
        <v>1093</v>
      </c>
      <c r="E321" s="144"/>
      <c r="F321" s="53"/>
      <c r="G321" s="144"/>
      <c r="H321" s="144"/>
      <c r="I321" s="144"/>
      <c r="J321" s="144"/>
      <c r="K321" s="52" t="s">
        <v>1094</v>
      </c>
    </row>
    <row r="322" spans="2:11" s="1" customFormat="1" ht="13.5">
      <c r="B322" s="3"/>
      <c r="C322" s="52" t="str">
        <f>I316</f>
        <v>CONT_OP_MODE</v>
      </c>
      <c r="D322" s="144" t="s">
        <v>1095</v>
      </c>
      <c r="E322" s="144"/>
      <c r="F322" s="53"/>
      <c r="G322" s="144"/>
      <c r="H322" s="144"/>
      <c r="I322" s="144"/>
      <c r="J322" s="144"/>
      <c r="K322" s="52" t="s">
        <v>1094</v>
      </c>
    </row>
    <row r="323" spans="2:11" s="1" customFormat="1" ht="13.5">
      <c r="B323" s="3"/>
      <c r="C323" s="52" t="str">
        <f>H316</f>
        <v>CONT_SR_HS</v>
      </c>
      <c r="D323" s="144" t="s">
        <v>1096</v>
      </c>
      <c r="E323" s="144"/>
      <c r="F323" s="53"/>
      <c r="G323" s="144"/>
      <c r="H323" s="144"/>
      <c r="I323" s="144"/>
      <c r="J323" s="144"/>
      <c r="K323" s="52" t="s">
        <v>1094</v>
      </c>
    </row>
    <row r="324" spans="2:11" s="1" customFormat="1" ht="78.75" customHeight="1">
      <c r="B324" s="3"/>
      <c r="C324" s="52" t="str">
        <f>D316</f>
        <v>CONT_SR_LS[7:4]</v>
      </c>
      <c r="D324" s="144" t="s">
        <v>1097</v>
      </c>
      <c r="E324" s="144"/>
      <c r="F324" s="53"/>
      <c r="G324" s="144" t="s">
        <v>1099</v>
      </c>
      <c r="H324" s="144"/>
      <c r="I324" s="144"/>
      <c r="J324" s="144"/>
      <c r="K324" s="52" t="s">
        <v>1094</v>
      </c>
    </row>
    <row r="325" spans="2:11" s="1" customFormat="1"/>
    <row r="326" spans="2:11" s="1" customFormat="1" ht="12.75" customHeight="1">
      <c r="B326" s="64">
        <f>B314+1</f>
        <v>81</v>
      </c>
      <c r="C326" s="147" t="str">
        <f>"1.4."&amp;B326-$B$294+1&amp;" Addr 0x3800"&amp;DEC2HEX(B326,4)&amp;" RECT CTRL 0-"&amp;B326-$B$314+1</f>
        <v>1.4.6 Addr 0x38000051 RECT CTRL 0-2</v>
      </c>
      <c r="D326" s="147"/>
      <c r="E326" s="147"/>
      <c r="F326" s="147"/>
      <c r="G326" s="147"/>
      <c r="H326" s="147"/>
      <c r="I326" s="147"/>
      <c r="J326" s="147"/>
      <c r="K326" s="147"/>
    </row>
    <row r="327" spans="2:11" s="1" customFormat="1">
      <c r="B327" s="5"/>
      <c r="C327" s="6" t="s">
        <v>120</v>
      </c>
      <c r="D327" s="7">
        <v>7</v>
      </c>
      <c r="E327" s="7">
        <v>6</v>
      </c>
      <c r="F327" s="7">
        <v>5</v>
      </c>
      <c r="G327" s="7">
        <v>4</v>
      </c>
      <c r="H327" s="7">
        <v>3</v>
      </c>
      <c r="I327" s="7">
        <v>2</v>
      </c>
      <c r="J327" s="7">
        <v>1</v>
      </c>
      <c r="K327" s="7">
        <v>0</v>
      </c>
    </row>
    <row r="328" spans="2:11" s="1" customFormat="1" ht="13.5" customHeight="1">
      <c r="B328" s="5"/>
      <c r="C328" s="8" t="s">
        <v>6</v>
      </c>
      <c r="D328" s="56" t="s">
        <v>1085</v>
      </c>
      <c r="E328" s="56" t="s">
        <v>1085</v>
      </c>
      <c r="F328" s="56" t="s">
        <v>1085</v>
      </c>
      <c r="G328" s="56" t="s">
        <v>1085</v>
      </c>
      <c r="H328" s="131" t="s">
        <v>1102</v>
      </c>
      <c r="I328" s="117"/>
      <c r="J328" s="117"/>
      <c r="K328" s="118"/>
    </row>
    <row r="329" spans="2:11" s="1" customFormat="1">
      <c r="B329" s="5" t="str">
        <f>CONCATENATE(D329,E329,F329,G329,H329,I329,J329,K329)</f>
        <v>----0000</v>
      </c>
      <c r="C329" s="8" t="s">
        <v>123</v>
      </c>
      <c r="D329" s="58" t="s">
        <v>1090</v>
      </c>
      <c r="E329" s="58" t="s">
        <v>1090</v>
      </c>
      <c r="F329" s="58" t="s">
        <v>1090</v>
      </c>
      <c r="G329" s="58" t="s">
        <v>1090</v>
      </c>
      <c r="H329" s="58">
        <v>0</v>
      </c>
      <c r="I329" s="58">
        <v>0</v>
      </c>
      <c r="J329" s="58">
        <v>0</v>
      </c>
      <c r="K329" s="58">
        <v>0</v>
      </c>
    </row>
    <row r="330" spans="2:11" s="1" customFormat="1"/>
    <row r="331" spans="2:11" s="1" customFormat="1" ht="12.75" customHeight="1">
      <c r="B331" s="64">
        <f>B326+1</f>
        <v>82</v>
      </c>
      <c r="C331" s="147" t="str">
        <f>"1.4."&amp;B331-$B$294+1&amp;" Addr 0x3800"&amp;DEC2HEX(B331,4)&amp;" RECT CTRL 0-"&amp;B331-$B$314+1</f>
        <v>1.4.7 Addr 0x38000052 RECT CTRL 0-3</v>
      </c>
      <c r="D331" s="147"/>
      <c r="E331" s="147"/>
      <c r="F331" s="147"/>
      <c r="G331" s="147"/>
      <c r="H331" s="147"/>
      <c r="I331" s="147"/>
      <c r="J331" s="147"/>
      <c r="K331" s="147"/>
    </row>
    <row r="332" spans="2:11" s="1" customFormat="1">
      <c r="B332" s="5"/>
      <c r="C332" s="6" t="s">
        <v>120</v>
      </c>
      <c r="D332" s="7">
        <v>7</v>
      </c>
      <c r="E332" s="7">
        <v>6</v>
      </c>
      <c r="F332" s="7">
        <v>5</v>
      </c>
      <c r="G332" s="7">
        <v>4</v>
      </c>
      <c r="H332" s="7">
        <v>3</v>
      </c>
      <c r="I332" s="7">
        <v>2</v>
      </c>
      <c r="J332" s="7">
        <v>1</v>
      </c>
      <c r="K332" s="7">
        <v>0</v>
      </c>
    </row>
    <row r="333" spans="2:11" s="1" customFormat="1" ht="13.5" customHeight="1">
      <c r="B333" s="5"/>
      <c r="C333" s="8" t="s">
        <v>6</v>
      </c>
      <c r="D333" s="56" t="s">
        <v>1085</v>
      </c>
      <c r="E333" s="56" t="s">
        <v>1105</v>
      </c>
      <c r="F333" s="56" t="s">
        <v>1104</v>
      </c>
      <c r="G333" s="131" t="s">
        <v>1103</v>
      </c>
      <c r="H333" s="117"/>
      <c r="I333" s="117"/>
      <c r="J333" s="117"/>
      <c r="K333" s="118"/>
    </row>
    <row r="334" spans="2:11" s="1" customFormat="1">
      <c r="B334" s="5" t="str">
        <f>CONCATENATE(D334,E334,F334,G334,H334,I334,J334,K334)</f>
        <v>-00-0000</v>
      </c>
      <c r="C334" s="8" t="s">
        <v>123</v>
      </c>
      <c r="D334" s="58" t="s">
        <v>1090</v>
      </c>
      <c r="E334" s="58">
        <v>0</v>
      </c>
      <c r="F334" s="58">
        <v>0</v>
      </c>
      <c r="G334" s="58" t="s">
        <v>1090</v>
      </c>
      <c r="H334" s="58">
        <v>0</v>
      </c>
      <c r="I334" s="58">
        <v>0</v>
      </c>
      <c r="J334" s="58">
        <v>0</v>
      </c>
      <c r="K334" s="58">
        <v>0</v>
      </c>
    </row>
    <row r="335" spans="2:11" s="1" customFormat="1"/>
    <row r="336" spans="2:11" s="1" customFormat="1" ht="12.75" customHeight="1">
      <c r="B336" s="64">
        <f>B331+2</f>
        <v>84</v>
      </c>
      <c r="C336" s="147" t="str">
        <f>"1.4."&amp;B336-$B$294+1&amp;" Addr 0x3800"&amp;DEC2HEX(B336,4)&amp;" RECT CTRL 1-"&amp;B336-$B$336+1</f>
        <v>1.4.9 Addr 0x38000054 RECT CTRL 1-1</v>
      </c>
      <c r="D336" s="147"/>
      <c r="E336" s="147"/>
      <c r="F336" s="147"/>
      <c r="G336" s="147"/>
      <c r="H336" s="147"/>
      <c r="I336" s="147"/>
      <c r="J336" s="147"/>
      <c r="K336" s="147"/>
    </row>
    <row r="337" spans="2:12" s="1" customFormat="1">
      <c r="B337" s="5"/>
      <c r="C337" s="6" t="s">
        <v>120</v>
      </c>
      <c r="D337" s="7">
        <v>7</v>
      </c>
      <c r="E337" s="7">
        <v>6</v>
      </c>
      <c r="F337" s="7">
        <v>5</v>
      </c>
      <c r="G337" s="7">
        <v>4</v>
      </c>
      <c r="H337" s="7">
        <v>3</v>
      </c>
      <c r="I337" s="7">
        <v>2</v>
      </c>
      <c r="J337" s="7">
        <v>1</v>
      </c>
      <c r="K337" s="7">
        <v>0</v>
      </c>
    </row>
    <row r="338" spans="2:12" s="1" customFormat="1" ht="13.5" customHeight="1">
      <c r="B338" s="5"/>
      <c r="C338" s="8" t="s">
        <v>6</v>
      </c>
      <c r="D338" s="56" t="s">
        <v>1085</v>
      </c>
      <c r="E338" s="56" t="s">
        <v>1085</v>
      </c>
      <c r="F338" s="56" t="s">
        <v>1085</v>
      </c>
      <c r="G338" s="56" t="s">
        <v>1085</v>
      </c>
      <c r="H338" s="56" t="s">
        <v>1085</v>
      </c>
      <c r="I338" s="56" t="s">
        <v>1085</v>
      </c>
      <c r="J338" s="56" t="s">
        <v>1085</v>
      </c>
      <c r="K338" s="56" t="s">
        <v>1106</v>
      </c>
    </row>
    <row r="339" spans="2:12" s="1" customFormat="1">
      <c r="B339" s="5" t="str">
        <f>CONCATENATE(D339,E339,F339,G339,H339,I339,J339,K339)</f>
        <v>-------0</v>
      </c>
      <c r="C339" s="8" t="s">
        <v>123</v>
      </c>
      <c r="D339" s="58" t="s">
        <v>1090</v>
      </c>
      <c r="E339" s="58" t="s">
        <v>1090</v>
      </c>
      <c r="F339" s="58" t="s">
        <v>1090</v>
      </c>
      <c r="G339" s="58" t="s">
        <v>1090</v>
      </c>
      <c r="H339" s="58" t="s">
        <v>1090</v>
      </c>
      <c r="I339" s="58" t="s">
        <v>1090</v>
      </c>
      <c r="J339" s="58" t="s">
        <v>1090</v>
      </c>
      <c r="K339" s="58">
        <v>0</v>
      </c>
    </row>
    <row r="340" spans="2:12" s="1" customFormat="1"/>
    <row r="341" spans="2:12" s="1" customFormat="1" ht="12.75" customHeight="1">
      <c r="B341" s="64">
        <f>B336+1</f>
        <v>85</v>
      </c>
      <c r="C341" s="147" t="str">
        <f>"1.4."&amp;B341-$B$294+1&amp;" Addr 0x3800"&amp;DEC2HEX(B341,4)&amp;" RECT CTRL 1-"&amp;B341-$B$336+1</f>
        <v>1.4.10 Addr 0x38000055 RECT CTRL 1-2</v>
      </c>
      <c r="D341" s="147"/>
      <c r="E341" s="147"/>
      <c r="F341" s="147"/>
      <c r="G341" s="147"/>
      <c r="H341" s="147"/>
      <c r="I341" s="147"/>
      <c r="J341" s="147"/>
      <c r="K341" s="147"/>
    </row>
    <row r="342" spans="2:12" s="1" customFormat="1">
      <c r="B342" s="5"/>
      <c r="C342" s="6" t="s">
        <v>120</v>
      </c>
      <c r="D342" s="7">
        <v>7</v>
      </c>
      <c r="E342" s="7">
        <v>6</v>
      </c>
      <c r="F342" s="7">
        <v>5</v>
      </c>
      <c r="G342" s="7">
        <v>4</v>
      </c>
      <c r="H342" s="7">
        <v>3</v>
      </c>
      <c r="I342" s="7">
        <v>2</v>
      </c>
      <c r="J342" s="7">
        <v>1</v>
      </c>
      <c r="K342" s="7">
        <v>0</v>
      </c>
    </row>
    <row r="343" spans="2:12" s="1" customFormat="1" ht="13.5" customHeight="1">
      <c r="B343" s="5"/>
      <c r="C343" s="8" t="s">
        <v>6</v>
      </c>
      <c r="D343" s="131" t="s">
        <v>1107</v>
      </c>
      <c r="E343" s="117"/>
      <c r="F343" s="117"/>
      <c r="G343" s="118"/>
      <c r="H343" s="131" t="s">
        <v>1108</v>
      </c>
      <c r="I343" s="117"/>
      <c r="J343" s="117"/>
      <c r="K343" s="118"/>
    </row>
    <row r="344" spans="2:12" s="1" customFormat="1">
      <c r="B344" s="5" t="str">
        <f>CONCATENATE(D344,E344,F344,G344,H344,I344,J344,K344)</f>
        <v>00000000</v>
      </c>
      <c r="C344" s="8" t="s">
        <v>123</v>
      </c>
      <c r="D344" s="58">
        <v>0</v>
      </c>
      <c r="E344" s="58">
        <v>0</v>
      </c>
      <c r="F344" s="58">
        <v>0</v>
      </c>
      <c r="G344" s="58">
        <v>0</v>
      </c>
      <c r="H344" s="58">
        <v>0</v>
      </c>
      <c r="I344" s="58">
        <v>0</v>
      </c>
      <c r="J344" s="58">
        <v>0</v>
      </c>
      <c r="K344" s="58">
        <v>0</v>
      </c>
    </row>
    <row r="346" spans="2:12">
      <c r="C346" s="54" t="s">
        <v>6</v>
      </c>
      <c r="D346" s="142" t="s">
        <v>125</v>
      </c>
      <c r="E346" s="142"/>
      <c r="F346" s="54" t="s">
        <v>126</v>
      </c>
      <c r="G346" s="104" t="s">
        <v>127</v>
      </c>
      <c r="H346" s="104"/>
      <c r="I346" s="104"/>
      <c r="J346" s="104"/>
      <c r="K346" s="54" t="s">
        <v>123</v>
      </c>
      <c r="L346" s="67"/>
    </row>
    <row r="347" spans="2:12">
      <c r="C347" s="168" t="str">
        <f>H343</f>
        <v>SET_LS_I[3:0]</v>
      </c>
      <c r="D347" s="142" t="s">
        <v>1109</v>
      </c>
      <c r="E347" s="142"/>
      <c r="F347" s="55" t="s">
        <v>1110</v>
      </c>
      <c r="G347" s="104" t="s">
        <v>1111</v>
      </c>
      <c r="H347" s="104"/>
      <c r="I347" s="104"/>
      <c r="J347" s="104"/>
      <c r="K347" s="114" t="s">
        <v>1112</v>
      </c>
      <c r="L347" s="68"/>
    </row>
    <row r="348" spans="2:12">
      <c r="C348" s="168"/>
      <c r="D348" s="142"/>
      <c r="E348" s="142"/>
      <c r="F348" s="55" t="s">
        <v>1113</v>
      </c>
      <c r="G348" s="104" t="s">
        <v>1114</v>
      </c>
      <c r="H348" s="104"/>
      <c r="I348" s="104"/>
      <c r="J348" s="104"/>
      <c r="K348" s="114"/>
      <c r="L348" s="68"/>
    </row>
    <row r="349" spans="2:12" ht="15" customHeight="1">
      <c r="C349" s="168" t="str">
        <f>D343</f>
        <v>SET_LS_H[3:0]</v>
      </c>
      <c r="D349" s="142" t="s">
        <v>1115</v>
      </c>
      <c r="E349" s="142"/>
      <c r="F349" s="55" t="s">
        <v>1110</v>
      </c>
      <c r="G349" s="104" t="s">
        <v>1116</v>
      </c>
      <c r="H349" s="104"/>
      <c r="I349" s="104"/>
      <c r="J349" s="104"/>
      <c r="K349" s="114" t="s">
        <v>1112</v>
      </c>
      <c r="L349" s="68"/>
    </row>
    <row r="350" spans="2:12">
      <c r="C350" s="168"/>
      <c r="D350" s="142"/>
      <c r="E350" s="142"/>
      <c r="F350" s="55" t="s">
        <v>1113</v>
      </c>
      <c r="G350" s="104" t="s">
        <v>1117</v>
      </c>
      <c r="H350" s="104"/>
      <c r="I350" s="104"/>
      <c r="J350" s="104"/>
      <c r="K350" s="114"/>
      <c r="L350" s="68"/>
    </row>
    <row r="351" spans="2:12" s="1" customFormat="1"/>
    <row r="352" spans="2:12" s="1" customFormat="1" ht="12.75" customHeight="1">
      <c r="B352" s="64">
        <f>B341+1</f>
        <v>86</v>
      </c>
      <c r="C352" s="147" t="str">
        <f>"1.4."&amp;B352-$B$294+1&amp;" Addr 0x3800"&amp;DEC2HEX(B352,4)&amp;" RECT CTRL 1-"&amp;B352-$B$336+1</f>
        <v>1.4.11 Addr 0x38000056 RECT CTRL 1-3</v>
      </c>
      <c r="D352" s="147"/>
      <c r="E352" s="147"/>
      <c r="F352" s="147"/>
      <c r="G352" s="147"/>
      <c r="H352" s="147"/>
      <c r="I352" s="147"/>
      <c r="J352" s="147"/>
      <c r="K352" s="147"/>
    </row>
    <row r="353" spans="2:11" s="1" customFormat="1">
      <c r="B353" s="5"/>
      <c r="C353" s="6" t="s">
        <v>120</v>
      </c>
      <c r="D353" s="7">
        <v>7</v>
      </c>
      <c r="E353" s="7">
        <v>6</v>
      </c>
      <c r="F353" s="7">
        <v>5</v>
      </c>
      <c r="G353" s="7">
        <v>4</v>
      </c>
      <c r="H353" s="7">
        <v>3</v>
      </c>
      <c r="I353" s="7">
        <v>2</v>
      </c>
      <c r="J353" s="7">
        <v>1</v>
      </c>
      <c r="K353" s="7">
        <v>0</v>
      </c>
    </row>
    <row r="354" spans="2:11" s="1" customFormat="1" ht="13.5" customHeight="1">
      <c r="B354" s="5"/>
      <c r="C354" s="8" t="s">
        <v>6</v>
      </c>
      <c r="D354" s="131" t="s">
        <v>1118</v>
      </c>
      <c r="E354" s="117"/>
      <c r="F354" s="117"/>
      <c r="G354" s="118"/>
      <c r="H354" s="131" t="s">
        <v>1119</v>
      </c>
      <c r="I354" s="117"/>
      <c r="J354" s="117"/>
      <c r="K354" s="118"/>
    </row>
    <row r="355" spans="2:11" s="1" customFormat="1">
      <c r="B355" s="5" t="str">
        <f>CONCATENATE(D355,E355,F355,G355,H355,I355,J355,K355)</f>
        <v>00000000</v>
      </c>
      <c r="C355" s="8" t="s">
        <v>123</v>
      </c>
      <c r="D355" s="58">
        <v>0</v>
      </c>
      <c r="E355" s="58">
        <v>0</v>
      </c>
      <c r="F355" s="58">
        <v>0</v>
      </c>
      <c r="G355" s="58">
        <v>0</v>
      </c>
      <c r="H355" s="58">
        <v>0</v>
      </c>
      <c r="I355" s="58">
        <v>0</v>
      </c>
      <c r="J355" s="58">
        <v>0</v>
      </c>
      <c r="K355" s="58">
        <v>0</v>
      </c>
    </row>
    <row r="357" spans="2:11">
      <c r="C357" s="54" t="s">
        <v>6</v>
      </c>
      <c r="D357" s="142" t="s">
        <v>125</v>
      </c>
      <c r="E357" s="142"/>
      <c r="F357" s="54" t="s">
        <v>126</v>
      </c>
      <c r="G357" s="104" t="s">
        <v>127</v>
      </c>
      <c r="H357" s="104"/>
      <c r="I357" s="104"/>
      <c r="J357" s="104"/>
      <c r="K357" s="54" t="s">
        <v>123</v>
      </c>
    </row>
    <row r="358" spans="2:11">
      <c r="C358" s="168" t="str">
        <f>H354</f>
        <v>SET_HS_I[3:0]</v>
      </c>
      <c r="D358" s="142" t="s">
        <v>1120</v>
      </c>
      <c r="E358" s="142"/>
      <c r="F358" s="55" t="s">
        <v>1121</v>
      </c>
      <c r="G358" s="104" t="s">
        <v>1122</v>
      </c>
      <c r="H358" s="104"/>
      <c r="I358" s="104"/>
      <c r="J358" s="104"/>
      <c r="K358" s="114" t="s">
        <v>1123</v>
      </c>
    </row>
    <row r="359" spans="2:11">
      <c r="C359" s="168"/>
      <c r="D359" s="142"/>
      <c r="E359" s="142"/>
      <c r="F359" s="55" t="s">
        <v>1113</v>
      </c>
      <c r="G359" s="104" t="s">
        <v>1124</v>
      </c>
      <c r="H359" s="104"/>
      <c r="I359" s="104"/>
      <c r="J359" s="104"/>
      <c r="K359" s="114"/>
    </row>
    <row r="360" spans="2:11">
      <c r="C360" s="168" t="str">
        <f>D354</f>
        <v>SET_HS_H[3:0]</v>
      </c>
      <c r="D360" s="142" t="s">
        <v>1125</v>
      </c>
      <c r="E360" s="142"/>
      <c r="F360" s="55" t="s">
        <v>1121</v>
      </c>
      <c r="G360" s="104" t="s">
        <v>1126</v>
      </c>
      <c r="H360" s="104"/>
      <c r="I360" s="104"/>
      <c r="J360" s="104"/>
      <c r="K360" s="114" t="s">
        <v>1123</v>
      </c>
    </row>
    <row r="361" spans="2:11">
      <c r="C361" s="168"/>
      <c r="D361" s="142"/>
      <c r="E361" s="142"/>
      <c r="F361" s="55" t="s">
        <v>1113</v>
      </c>
      <c r="G361" s="104" t="s">
        <v>1127</v>
      </c>
      <c r="H361" s="104"/>
      <c r="I361" s="104"/>
      <c r="J361" s="104"/>
      <c r="K361" s="114"/>
    </row>
    <row r="362" spans="2:11" s="1" customFormat="1"/>
    <row r="363" spans="2:11" s="1" customFormat="1" ht="12.75" customHeight="1">
      <c r="B363" s="64">
        <f>B352+2</f>
        <v>88</v>
      </c>
      <c r="C363" s="147" t="str">
        <f>"1.4."&amp;B363-$B$294+1&amp;" Addr 0x3800"&amp;DEC2HEX(B363,4)&amp;" RECT CTRL 2-"&amp;B363-$B$363+1</f>
        <v>1.4.13 Addr 0x38000058 RECT CTRL 2-1</v>
      </c>
      <c r="D363" s="147"/>
      <c r="E363" s="147"/>
      <c r="F363" s="147"/>
      <c r="G363" s="147"/>
      <c r="H363" s="147"/>
      <c r="I363" s="147"/>
      <c r="J363" s="147"/>
      <c r="K363" s="147"/>
    </row>
    <row r="364" spans="2:11" s="1" customFormat="1">
      <c r="B364" s="5"/>
      <c r="C364" s="6" t="s">
        <v>120</v>
      </c>
      <c r="D364" s="7">
        <v>7</v>
      </c>
      <c r="E364" s="7">
        <v>6</v>
      </c>
      <c r="F364" s="7">
        <v>5</v>
      </c>
      <c r="G364" s="7">
        <v>4</v>
      </c>
      <c r="H364" s="7">
        <v>3</v>
      </c>
      <c r="I364" s="7">
        <v>2</v>
      </c>
      <c r="J364" s="7">
        <v>1</v>
      </c>
      <c r="K364" s="7">
        <v>0</v>
      </c>
    </row>
    <row r="365" spans="2:11" s="1" customFormat="1" ht="13.5" customHeight="1">
      <c r="B365" s="5"/>
      <c r="C365" s="8" t="s">
        <v>6</v>
      </c>
      <c r="D365" s="56" t="s">
        <v>1085</v>
      </c>
      <c r="E365" s="56" t="s">
        <v>1085</v>
      </c>
      <c r="F365" s="131" t="s">
        <v>1136</v>
      </c>
      <c r="G365" s="117"/>
      <c r="H365" s="117"/>
      <c r="I365" s="118"/>
      <c r="J365" s="56" t="s">
        <v>1133</v>
      </c>
      <c r="K365" s="56" t="s">
        <v>1085</v>
      </c>
    </row>
    <row r="366" spans="2:11" s="1" customFormat="1">
      <c r="B366" s="5" t="str">
        <f>CONCATENATE(D366,E366,F366,G366,H366,I366,J366,K366)</f>
        <v>------0-</v>
      </c>
      <c r="C366" s="8" t="s">
        <v>123</v>
      </c>
      <c r="D366" s="58" t="s">
        <v>1090</v>
      </c>
      <c r="E366" s="58" t="s">
        <v>1090</v>
      </c>
      <c r="F366" s="58" t="s">
        <v>1090</v>
      </c>
      <c r="G366" s="58" t="s">
        <v>1090</v>
      </c>
      <c r="H366" s="58" t="s">
        <v>1090</v>
      </c>
      <c r="I366" s="58" t="s">
        <v>1090</v>
      </c>
      <c r="J366" s="58">
        <v>0</v>
      </c>
      <c r="K366" s="58" t="s">
        <v>1090</v>
      </c>
    </row>
    <row r="367" spans="2:11" s="1" customFormat="1">
      <c r="B367" s="5"/>
      <c r="C367" s="102"/>
      <c r="D367" s="102"/>
      <c r="E367" s="102"/>
      <c r="F367" s="102"/>
      <c r="G367" s="102"/>
      <c r="H367" s="102"/>
      <c r="I367" s="102"/>
      <c r="J367" s="102"/>
      <c r="K367" s="102"/>
    </row>
    <row r="368" spans="2:11" s="1" customFormat="1" ht="13.5">
      <c r="B368" s="3"/>
      <c r="C368" s="52" t="s">
        <v>6</v>
      </c>
      <c r="D368" s="143" t="s">
        <v>125</v>
      </c>
      <c r="E368" s="143"/>
      <c r="F368" s="52" t="s">
        <v>126</v>
      </c>
      <c r="G368" s="143" t="s">
        <v>127</v>
      </c>
      <c r="H368" s="143"/>
      <c r="I368" s="143"/>
      <c r="J368" s="143"/>
      <c r="K368" s="52" t="s">
        <v>123</v>
      </c>
    </row>
    <row r="369" spans="2:11" s="1" customFormat="1" ht="13.5">
      <c r="B369" s="3"/>
      <c r="C369" s="52" t="str">
        <f>J365</f>
        <v>TX_MODE_EN</v>
      </c>
      <c r="D369" s="144" t="s">
        <v>1134</v>
      </c>
      <c r="E369" s="144"/>
      <c r="F369" s="53">
        <v>0</v>
      </c>
      <c r="G369" s="144" t="s">
        <v>1135</v>
      </c>
      <c r="H369" s="144"/>
      <c r="I369" s="144"/>
      <c r="J369" s="144"/>
      <c r="K369" s="52" t="s">
        <v>1094</v>
      </c>
    </row>
    <row r="370" spans="2:11" s="1" customFormat="1" ht="52.5" customHeight="1">
      <c r="B370" s="3"/>
      <c r="C370" s="52" t="str">
        <f>F365</f>
        <v>TX_D[5:1]</v>
      </c>
      <c r="D370" s="144" t="s">
        <v>1134</v>
      </c>
      <c r="E370" s="144"/>
      <c r="F370" s="53"/>
      <c r="G370" s="144" t="s">
        <v>1137</v>
      </c>
      <c r="H370" s="144"/>
      <c r="I370" s="144"/>
      <c r="J370" s="144"/>
      <c r="K370" s="52" t="s">
        <v>1094</v>
      </c>
    </row>
    <row r="371" spans="2:11" s="1" customFormat="1"/>
    <row r="372" spans="2:11" s="1" customFormat="1" ht="12.75" customHeight="1">
      <c r="B372" s="64">
        <f>B363+1</f>
        <v>89</v>
      </c>
      <c r="C372" s="147" t="str">
        <f>"1.4."&amp;B372-$B$294+1&amp;" Addr 0x3800"&amp;DEC2HEX(B372,4)&amp;" RECT CTRL 2-"&amp;B372-$B$363+1</f>
        <v>1.4.14 Addr 0x38000059 RECT CTRL 2-2</v>
      </c>
      <c r="D372" s="147"/>
      <c r="E372" s="147"/>
      <c r="F372" s="147"/>
      <c r="G372" s="147"/>
      <c r="H372" s="147"/>
      <c r="I372" s="147"/>
      <c r="J372" s="147"/>
      <c r="K372" s="147"/>
    </row>
    <row r="373" spans="2:11" s="1" customFormat="1">
      <c r="B373" s="5"/>
      <c r="C373" s="6" t="s">
        <v>120</v>
      </c>
      <c r="D373" s="7">
        <v>7</v>
      </c>
      <c r="E373" s="7">
        <v>6</v>
      </c>
      <c r="F373" s="7">
        <v>5</v>
      </c>
      <c r="G373" s="7">
        <v>4</v>
      </c>
      <c r="H373" s="7">
        <v>3</v>
      </c>
      <c r="I373" s="7">
        <v>2</v>
      </c>
      <c r="J373" s="7">
        <v>1</v>
      </c>
      <c r="K373" s="7">
        <v>0</v>
      </c>
    </row>
    <row r="374" spans="2:11" s="1" customFormat="1" ht="13.5" customHeight="1">
      <c r="B374" s="5"/>
      <c r="C374" s="8" t="s">
        <v>6</v>
      </c>
      <c r="D374" s="131" t="s">
        <v>1139</v>
      </c>
      <c r="E374" s="117"/>
      <c r="F374" s="117"/>
      <c r="G374" s="118"/>
      <c r="H374" s="131" t="s">
        <v>1138</v>
      </c>
      <c r="I374" s="117"/>
      <c r="J374" s="117"/>
      <c r="K374" s="118"/>
    </row>
    <row r="375" spans="2:11" s="1" customFormat="1">
      <c r="B375" s="5" t="str">
        <f>CONCATENATE(D375,E375,F375,G375,H375,I375,J375,K375)</f>
        <v>11000100</v>
      </c>
      <c r="C375" s="8" t="s">
        <v>123</v>
      </c>
      <c r="D375" s="58">
        <v>1</v>
      </c>
      <c r="E375" s="58">
        <v>1</v>
      </c>
      <c r="F375" s="58">
        <v>0</v>
      </c>
      <c r="G375" s="58">
        <v>0</v>
      </c>
      <c r="H375" s="58">
        <v>0</v>
      </c>
      <c r="I375" s="58">
        <v>1</v>
      </c>
      <c r="J375" s="58">
        <v>0</v>
      </c>
      <c r="K375" s="58">
        <v>0</v>
      </c>
    </row>
    <row r="376" spans="2:11" s="1" customFormat="1">
      <c r="B376" s="5"/>
      <c r="C376" s="102"/>
      <c r="D376" s="102"/>
      <c r="E376" s="102"/>
      <c r="F376" s="102"/>
      <c r="G376" s="102"/>
      <c r="H376" s="102"/>
      <c r="I376" s="102"/>
      <c r="J376" s="102"/>
      <c r="K376" s="102"/>
    </row>
    <row r="377" spans="2:11" s="1" customFormat="1" ht="13.5">
      <c r="B377" s="3"/>
      <c r="C377" s="52" t="s">
        <v>6</v>
      </c>
      <c r="D377" s="143" t="s">
        <v>125</v>
      </c>
      <c r="E377" s="143"/>
      <c r="F377" s="52" t="s">
        <v>126</v>
      </c>
      <c r="G377" s="143" t="s">
        <v>127</v>
      </c>
      <c r="H377" s="143"/>
      <c r="I377" s="143"/>
      <c r="J377" s="143"/>
      <c r="K377" s="52" t="s">
        <v>123</v>
      </c>
    </row>
    <row r="378" spans="2:11" s="1" customFormat="1" ht="39.75" customHeight="1">
      <c r="B378" s="3"/>
      <c r="C378" s="52" t="str">
        <f>H374</f>
        <v>SR_MAN_LSL[3:0]</v>
      </c>
      <c r="D378" s="144" t="s">
        <v>1128</v>
      </c>
      <c r="E378" s="144"/>
      <c r="F378" s="53">
        <v>4</v>
      </c>
      <c r="G378" s="144"/>
      <c r="H378" s="144"/>
      <c r="I378" s="144"/>
      <c r="J378" s="144"/>
      <c r="K378" s="52" t="s">
        <v>1129</v>
      </c>
    </row>
    <row r="379" spans="2:11" s="1" customFormat="1" ht="38.25" customHeight="1">
      <c r="B379" s="3"/>
      <c r="C379" s="52" t="str">
        <f>D374</f>
        <v>SR_MAN_LSH[3:0]</v>
      </c>
      <c r="D379" s="144" t="s">
        <v>1130</v>
      </c>
      <c r="E379" s="144"/>
      <c r="F379" s="53">
        <v>12</v>
      </c>
      <c r="G379" s="144"/>
      <c r="H379" s="144"/>
      <c r="I379" s="144"/>
      <c r="J379" s="144"/>
      <c r="K379" s="52" t="s">
        <v>1142</v>
      </c>
    </row>
    <row r="380" spans="2:11" s="1" customFormat="1"/>
    <row r="381" spans="2:11" s="1" customFormat="1" ht="12.75" customHeight="1">
      <c r="B381" s="64">
        <f>B372+1</f>
        <v>90</v>
      </c>
      <c r="C381" s="147" t="str">
        <f>"1.4."&amp;B381-$B$294+1&amp;" Addr 0x3800"&amp;DEC2HEX(B381,4)&amp;" RECT CTRL 2-"&amp;B381-$B$363+1</f>
        <v>1.4.15 Addr 0x3800005A RECT CTRL 2-3</v>
      </c>
      <c r="D381" s="147"/>
      <c r="E381" s="147"/>
      <c r="F381" s="147"/>
      <c r="G381" s="147"/>
      <c r="H381" s="147"/>
      <c r="I381" s="147"/>
      <c r="J381" s="147"/>
      <c r="K381" s="147"/>
    </row>
    <row r="382" spans="2:11" s="1" customFormat="1">
      <c r="B382" s="5"/>
      <c r="C382" s="6" t="s">
        <v>120</v>
      </c>
      <c r="D382" s="7">
        <v>7</v>
      </c>
      <c r="E382" s="7">
        <v>6</v>
      </c>
      <c r="F382" s="7">
        <v>5</v>
      </c>
      <c r="G382" s="7">
        <v>4</v>
      </c>
      <c r="H382" s="7">
        <v>3</v>
      </c>
      <c r="I382" s="7">
        <v>2</v>
      </c>
      <c r="J382" s="7">
        <v>1</v>
      </c>
      <c r="K382" s="7">
        <v>0</v>
      </c>
    </row>
    <row r="383" spans="2:11" s="1" customFormat="1" ht="13.5" customHeight="1">
      <c r="B383" s="5"/>
      <c r="C383" s="8" t="s">
        <v>6</v>
      </c>
      <c r="D383" s="131" t="s">
        <v>1141</v>
      </c>
      <c r="E383" s="117"/>
      <c r="F383" s="117"/>
      <c r="G383" s="118"/>
      <c r="H383" s="131" t="s">
        <v>1140</v>
      </c>
      <c r="I383" s="117"/>
      <c r="J383" s="117"/>
      <c r="K383" s="118"/>
    </row>
    <row r="384" spans="2:11" s="1" customFormat="1">
      <c r="B384" s="5" t="str">
        <f>CONCATENATE(D384,E384,F384,G384,H384,I384,J384,K384)</f>
        <v>00000000</v>
      </c>
      <c r="C384" s="8" t="s">
        <v>123</v>
      </c>
      <c r="D384" s="58">
        <v>0</v>
      </c>
      <c r="E384" s="58">
        <v>0</v>
      </c>
      <c r="F384" s="58">
        <v>0</v>
      </c>
      <c r="G384" s="58">
        <v>0</v>
      </c>
      <c r="H384" s="58">
        <v>0</v>
      </c>
      <c r="I384" s="58">
        <v>0</v>
      </c>
      <c r="J384" s="58">
        <v>0</v>
      </c>
      <c r="K384" s="58">
        <v>0</v>
      </c>
    </row>
    <row r="385" spans="2:11" s="1" customFormat="1">
      <c r="B385" s="5"/>
      <c r="C385" s="102"/>
      <c r="D385" s="102"/>
      <c r="E385" s="102"/>
      <c r="F385" s="102"/>
      <c r="G385" s="102"/>
      <c r="H385" s="102"/>
      <c r="I385" s="102"/>
      <c r="J385" s="102"/>
      <c r="K385" s="102"/>
    </row>
    <row r="386" spans="2:11" s="1" customFormat="1" ht="13.5">
      <c r="B386" s="3"/>
      <c r="C386" s="52" t="s">
        <v>6</v>
      </c>
      <c r="D386" s="143" t="s">
        <v>125</v>
      </c>
      <c r="E386" s="143"/>
      <c r="F386" s="52" t="s">
        <v>126</v>
      </c>
      <c r="G386" s="143" t="s">
        <v>127</v>
      </c>
      <c r="H386" s="143"/>
      <c r="I386" s="143"/>
      <c r="J386" s="143"/>
      <c r="K386" s="52" t="s">
        <v>123</v>
      </c>
    </row>
    <row r="387" spans="2:11" s="1" customFormat="1" ht="13.5">
      <c r="B387" s="3"/>
      <c r="C387" s="52" t="str">
        <f>H383</f>
        <v>RECT_INTR[3:0]</v>
      </c>
      <c r="D387" s="144"/>
      <c r="E387" s="144"/>
      <c r="F387" s="53"/>
      <c r="G387" s="144"/>
      <c r="H387" s="144"/>
      <c r="I387" s="144"/>
      <c r="J387" s="144"/>
      <c r="K387" s="52" t="s">
        <v>1129</v>
      </c>
    </row>
    <row r="388" spans="2:11" s="1" customFormat="1" ht="13.5">
      <c r="B388" s="3"/>
      <c r="C388" s="52" t="str">
        <f>H383</f>
        <v>RECT_INTR[3:0]</v>
      </c>
      <c r="D388" s="144"/>
      <c r="E388" s="144"/>
      <c r="F388" s="53"/>
      <c r="G388" s="144"/>
      <c r="H388" s="144"/>
      <c r="I388" s="144"/>
      <c r="J388" s="144"/>
      <c r="K388" s="52" t="s">
        <v>1129</v>
      </c>
    </row>
    <row r="389" spans="2:11" s="1" customFormat="1"/>
    <row r="390" spans="2:11" s="1" customFormat="1" ht="12.75" customHeight="1">
      <c r="B390" s="64">
        <f>B381+1</f>
        <v>91</v>
      </c>
      <c r="C390" s="147" t="str">
        <f>"1.4."&amp;B390-$B$294+1&amp;" Addr 0x3800"&amp;DEC2HEX(B390,4)&amp;" RECT CTRL 2-"&amp;B390-$B$363+1</f>
        <v>1.4.16 Addr 0x3800005B RECT CTRL 2-4</v>
      </c>
      <c r="D390" s="147"/>
      <c r="E390" s="147"/>
      <c r="F390" s="147"/>
      <c r="G390" s="147"/>
      <c r="H390" s="147"/>
      <c r="I390" s="147"/>
      <c r="J390" s="147"/>
      <c r="K390" s="147"/>
    </row>
    <row r="391" spans="2:11" s="1" customFormat="1">
      <c r="B391" s="5"/>
      <c r="C391" s="6" t="s">
        <v>120</v>
      </c>
      <c r="D391" s="7">
        <v>7</v>
      </c>
      <c r="E391" s="7">
        <v>6</v>
      </c>
      <c r="F391" s="7">
        <v>5</v>
      </c>
      <c r="G391" s="7">
        <v>4</v>
      </c>
      <c r="H391" s="7">
        <v>3</v>
      </c>
      <c r="I391" s="7">
        <v>2</v>
      </c>
      <c r="J391" s="7">
        <v>1</v>
      </c>
      <c r="K391" s="7">
        <v>0</v>
      </c>
    </row>
    <row r="392" spans="2:11" s="1" customFormat="1" ht="13.5" customHeight="1">
      <c r="B392" s="5"/>
      <c r="C392" s="8" t="s">
        <v>6</v>
      </c>
      <c r="D392" s="131" t="s">
        <v>1131</v>
      </c>
      <c r="E392" s="117"/>
      <c r="F392" s="117"/>
      <c r="G392" s="117"/>
      <c r="H392" s="117"/>
      <c r="I392" s="117"/>
      <c r="J392" s="117"/>
      <c r="K392" s="118"/>
    </row>
    <row r="393" spans="2:11" s="1" customFormat="1">
      <c r="B393" s="5" t="str">
        <f>CONCATENATE(D393,E393,F393,G393,H393,I393,J393,K393)</f>
        <v>00000000</v>
      </c>
      <c r="C393" s="8" t="s">
        <v>123</v>
      </c>
      <c r="D393" s="58">
        <v>0</v>
      </c>
      <c r="E393" s="58">
        <v>0</v>
      </c>
      <c r="F393" s="58">
        <v>0</v>
      </c>
      <c r="G393" s="58">
        <v>0</v>
      </c>
      <c r="H393" s="58">
        <v>0</v>
      </c>
      <c r="I393" s="58">
        <v>0</v>
      </c>
      <c r="J393" s="58">
        <v>0</v>
      </c>
      <c r="K393" s="58">
        <v>0</v>
      </c>
    </row>
    <row r="394" spans="2:11" s="1" customFormat="1">
      <c r="B394" s="5"/>
      <c r="C394" s="102"/>
      <c r="D394" s="102"/>
      <c r="E394" s="102"/>
      <c r="F394" s="102"/>
      <c r="G394" s="102"/>
      <c r="H394" s="102"/>
      <c r="I394" s="102"/>
      <c r="J394" s="102"/>
      <c r="K394" s="102"/>
    </row>
    <row r="395" spans="2:11" s="1" customFormat="1" ht="13.5">
      <c r="B395" s="3"/>
      <c r="C395" s="52" t="s">
        <v>6</v>
      </c>
      <c r="D395" s="143" t="s">
        <v>125</v>
      </c>
      <c r="E395" s="143"/>
      <c r="F395" s="52" t="s">
        <v>126</v>
      </c>
      <c r="G395" s="143" t="s">
        <v>127</v>
      </c>
      <c r="H395" s="143"/>
      <c r="I395" s="143"/>
      <c r="J395" s="143"/>
      <c r="K395" s="52" t="s">
        <v>123</v>
      </c>
    </row>
    <row r="396" spans="2:11" s="1" customFormat="1" ht="13.5">
      <c r="B396" s="3"/>
      <c r="C396" s="52" t="str">
        <f>D392</f>
        <v>VRECT_ATTEN_TRIM[7:0]</v>
      </c>
      <c r="D396" s="144" t="s">
        <v>1132</v>
      </c>
      <c r="E396" s="144"/>
      <c r="F396" s="53"/>
      <c r="G396" s="144"/>
      <c r="H396" s="144"/>
      <c r="I396" s="144"/>
      <c r="J396" s="144"/>
      <c r="K396" s="52" t="s">
        <v>1094</v>
      </c>
    </row>
    <row r="397" spans="2:11" s="63" customFormat="1" ht="13.9" customHeight="1">
      <c r="B397" s="60"/>
      <c r="C397" s="61"/>
      <c r="D397" s="62"/>
      <c r="E397" s="62"/>
      <c r="F397" s="62"/>
      <c r="G397" s="62"/>
      <c r="H397" s="62"/>
      <c r="I397" s="62"/>
      <c r="J397" s="62"/>
      <c r="K397" s="62"/>
    </row>
    <row r="398" spans="2:11" s="1" customFormat="1" ht="12.75" customHeight="1">
      <c r="B398" s="5"/>
      <c r="C398" s="148" t="s">
        <v>263</v>
      </c>
      <c r="D398" s="148"/>
      <c r="E398" s="148"/>
      <c r="F398" s="148"/>
      <c r="G398" s="148"/>
      <c r="H398" s="148"/>
      <c r="I398" s="148"/>
      <c r="J398" s="148"/>
      <c r="K398" s="148"/>
    </row>
    <row r="399" spans="2:11" s="1" customFormat="1">
      <c r="B399" s="5"/>
      <c r="C399" s="6" t="s">
        <v>120</v>
      </c>
      <c r="D399" s="7">
        <v>7</v>
      </c>
      <c r="E399" s="7">
        <v>6</v>
      </c>
      <c r="F399" s="7">
        <v>5</v>
      </c>
      <c r="G399" s="7">
        <v>4</v>
      </c>
      <c r="H399" s="7">
        <v>3</v>
      </c>
      <c r="I399" s="7">
        <v>2</v>
      </c>
      <c r="J399" s="7">
        <v>1</v>
      </c>
      <c r="K399" s="7">
        <v>0</v>
      </c>
    </row>
    <row r="400" spans="2:11" s="1" customFormat="1" ht="13.5" customHeight="1">
      <c r="B400" s="5"/>
      <c r="C400" s="8" t="s">
        <v>6</v>
      </c>
      <c r="D400" s="23" t="s">
        <v>121</v>
      </c>
      <c r="E400" s="23" t="s">
        <v>121</v>
      </c>
      <c r="F400" s="131" t="s">
        <v>1218</v>
      </c>
      <c r="G400" s="117"/>
      <c r="H400" s="117"/>
      <c r="I400" s="117"/>
      <c r="J400" s="117"/>
      <c r="K400" s="118"/>
    </row>
    <row r="401" spans="2:11" s="1" customFormat="1">
      <c r="B401" s="5" t="str">
        <f>CONCATENATE(D401,E401,F401,G401,H401,I401,J401,K401)</f>
        <v>---00000</v>
      </c>
      <c r="C401" s="8" t="s">
        <v>123</v>
      </c>
      <c r="D401" s="9" t="s">
        <v>124</v>
      </c>
      <c r="E401" s="9" t="s">
        <v>124</v>
      </c>
      <c r="F401" s="9" t="s">
        <v>124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</row>
    <row r="402" spans="2:11" s="1" customFormat="1">
      <c r="B402" s="5"/>
      <c r="C402" s="102"/>
      <c r="D402" s="102"/>
      <c r="E402" s="102"/>
      <c r="F402" s="102"/>
      <c r="G402" s="102"/>
      <c r="H402" s="102"/>
      <c r="I402" s="102"/>
      <c r="J402" s="102"/>
      <c r="K402" s="102"/>
    </row>
    <row r="403" spans="2:11" s="1" customFormat="1" ht="13.5">
      <c r="B403" s="3"/>
      <c r="C403" s="52" t="s">
        <v>6</v>
      </c>
      <c r="D403" s="143" t="s">
        <v>125</v>
      </c>
      <c r="E403" s="143"/>
      <c r="F403" s="52" t="s">
        <v>126</v>
      </c>
      <c r="G403" s="143" t="s">
        <v>127</v>
      </c>
      <c r="H403" s="143"/>
      <c r="I403" s="143"/>
      <c r="J403" s="143"/>
      <c r="K403" s="52" t="s">
        <v>123</v>
      </c>
    </row>
    <row r="404" spans="2:11" s="1" customFormat="1" ht="24.75" customHeight="1">
      <c r="B404" s="3"/>
      <c r="C404" s="52" t="str">
        <f>F400</f>
        <v>TRIM_BGR_VOUT[5:0]</v>
      </c>
      <c r="D404" s="144" t="s">
        <v>1217</v>
      </c>
      <c r="E404" s="144"/>
      <c r="F404" s="53"/>
      <c r="G404" s="144" t="s">
        <v>1216</v>
      </c>
      <c r="H404" s="144"/>
      <c r="I404" s="144"/>
      <c r="J404" s="144"/>
      <c r="K404" s="52" t="s">
        <v>1094</v>
      </c>
    </row>
    <row r="405" spans="2:11" s="1" customFormat="1"/>
    <row r="406" spans="2:11" s="1" customFormat="1" ht="12.75" customHeight="1">
      <c r="B406" s="5"/>
      <c r="C406" s="148" t="s">
        <v>264</v>
      </c>
      <c r="D406" s="148"/>
      <c r="E406" s="148"/>
      <c r="F406" s="148"/>
      <c r="G406" s="148"/>
      <c r="H406" s="148"/>
      <c r="I406" s="148"/>
      <c r="J406" s="148"/>
      <c r="K406" s="148"/>
    </row>
    <row r="407" spans="2:11" s="1" customFormat="1">
      <c r="B407" s="5"/>
      <c r="C407" s="6" t="s">
        <v>120</v>
      </c>
      <c r="D407" s="7">
        <v>7</v>
      </c>
      <c r="E407" s="7">
        <v>6</v>
      </c>
      <c r="F407" s="7">
        <v>5</v>
      </c>
      <c r="G407" s="7">
        <v>4</v>
      </c>
      <c r="H407" s="7">
        <v>3</v>
      </c>
      <c r="I407" s="7">
        <v>2</v>
      </c>
      <c r="J407" s="7">
        <v>1</v>
      </c>
      <c r="K407" s="7">
        <v>0</v>
      </c>
    </row>
    <row r="408" spans="2:11" s="1" customFormat="1" ht="13.5" customHeight="1">
      <c r="B408" s="5"/>
      <c r="C408" s="8" t="s">
        <v>6</v>
      </c>
      <c r="D408" s="23" t="s">
        <v>121</v>
      </c>
      <c r="E408" s="23" t="s">
        <v>121</v>
      </c>
      <c r="F408" s="23" t="s">
        <v>121</v>
      </c>
      <c r="G408" s="23" t="s">
        <v>121</v>
      </c>
      <c r="H408" s="131" t="s">
        <v>265</v>
      </c>
      <c r="I408" s="117"/>
      <c r="J408" s="117"/>
      <c r="K408" s="118"/>
    </row>
    <row r="409" spans="2:11" s="1" customFormat="1">
      <c r="B409" s="5" t="str">
        <f>CONCATENATE(D409,E409,F409,G409,H409,I409,J409,K409)</f>
        <v>----0000</v>
      </c>
      <c r="C409" s="8" t="s">
        <v>123</v>
      </c>
      <c r="D409" s="9" t="s">
        <v>124</v>
      </c>
      <c r="E409" s="9" t="s">
        <v>124</v>
      </c>
      <c r="F409" s="9" t="s">
        <v>124</v>
      </c>
      <c r="G409" s="9" t="s">
        <v>124</v>
      </c>
      <c r="H409" s="9">
        <v>0</v>
      </c>
      <c r="I409" s="9">
        <v>0</v>
      </c>
      <c r="J409" s="9">
        <v>0</v>
      </c>
      <c r="K409" s="9">
        <v>0</v>
      </c>
    </row>
    <row r="410" spans="2:11" s="1" customFormat="1"/>
    <row r="411" spans="2:11" s="1" customFormat="1" ht="12.75" customHeight="1">
      <c r="B411" s="5"/>
      <c r="C411" s="148" t="s">
        <v>266</v>
      </c>
      <c r="D411" s="148"/>
      <c r="E411" s="148"/>
      <c r="F411" s="148"/>
      <c r="G411" s="148"/>
      <c r="H411" s="148"/>
      <c r="I411" s="148"/>
      <c r="J411" s="148"/>
      <c r="K411" s="148"/>
    </row>
    <row r="412" spans="2:11" s="1" customFormat="1">
      <c r="B412" s="5"/>
      <c r="C412" s="6" t="s">
        <v>120</v>
      </c>
      <c r="D412" s="7">
        <v>7</v>
      </c>
      <c r="E412" s="7">
        <v>6</v>
      </c>
      <c r="F412" s="7">
        <v>5</v>
      </c>
      <c r="G412" s="7">
        <v>4</v>
      </c>
      <c r="H412" s="7">
        <v>3</v>
      </c>
      <c r="I412" s="7">
        <v>2</v>
      </c>
      <c r="J412" s="7">
        <v>1</v>
      </c>
      <c r="K412" s="7">
        <v>0</v>
      </c>
    </row>
    <row r="413" spans="2:11" s="1" customFormat="1" ht="13.5" customHeight="1">
      <c r="B413" s="5"/>
      <c r="C413" s="8" t="s">
        <v>6</v>
      </c>
      <c r="D413" s="23" t="s">
        <v>121</v>
      </c>
      <c r="E413" s="23" t="s">
        <v>121</v>
      </c>
      <c r="F413" s="23" t="s">
        <v>121</v>
      </c>
      <c r="G413" s="23" t="s">
        <v>121</v>
      </c>
      <c r="H413" s="131" t="s">
        <v>267</v>
      </c>
      <c r="I413" s="117"/>
      <c r="J413" s="117"/>
      <c r="K413" s="118"/>
    </row>
    <row r="414" spans="2:11" s="1" customFormat="1">
      <c r="B414" s="5" t="str">
        <f>CONCATENATE(D414,E414,F414,G414,H414,I414,J414,K414)</f>
        <v>----0000</v>
      </c>
      <c r="C414" s="8" t="s">
        <v>123</v>
      </c>
      <c r="D414" s="9" t="s">
        <v>124</v>
      </c>
      <c r="E414" s="9" t="s">
        <v>124</v>
      </c>
      <c r="F414" s="9" t="s">
        <v>124</v>
      </c>
      <c r="G414" s="9" t="s">
        <v>124</v>
      </c>
      <c r="H414" s="9">
        <v>0</v>
      </c>
      <c r="I414" s="9">
        <v>0</v>
      </c>
      <c r="J414" s="9">
        <v>0</v>
      </c>
      <c r="K414" s="9">
        <v>0</v>
      </c>
    </row>
    <row r="415" spans="2:11" s="1" customFormat="1">
      <c r="B415" s="5"/>
      <c r="C415" s="102"/>
      <c r="D415" s="102"/>
      <c r="E415" s="102"/>
      <c r="F415" s="102"/>
      <c r="G415" s="102"/>
      <c r="H415" s="102"/>
      <c r="I415" s="102"/>
      <c r="J415" s="102"/>
      <c r="K415" s="102"/>
    </row>
    <row r="416" spans="2:11" s="1" customFormat="1" ht="13.5">
      <c r="B416" s="3"/>
      <c r="C416" s="52" t="s">
        <v>6</v>
      </c>
      <c r="D416" s="143" t="s">
        <v>125</v>
      </c>
      <c r="E416" s="143"/>
      <c r="F416" s="52" t="s">
        <v>126</v>
      </c>
      <c r="G416" s="143" t="s">
        <v>127</v>
      </c>
      <c r="H416" s="143"/>
      <c r="I416" s="143"/>
      <c r="J416" s="143"/>
      <c r="K416" s="52" t="s">
        <v>123</v>
      </c>
    </row>
    <row r="417" spans="2:11" s="1" customFormat="1" ht="24.75" customHeight="1">
      <c r="B417" s="3"/>
      <c r="C417" s="52" t="str">
        <f>H413</f>
        <v>TRIM_RCOSC_I[3:0]</v>
      </c>
      <c r="D417" s="144" t="s">
        <v>1234</v>
      </c>
      <c r="E417" s="144"/>
      <c r="F417" s="53"/>
      <c r="G417" s="144" t="s">
        <v>1235</v>
      </c>
      <c r="H417" s="144"/>
      <c r="I417" s="144"/>
      <c r="J417" s="144"/>
      <c r="K417" s="52" t="s">
        <v>1094</v>
      </c>
    </row>
    <row r="418" spans="2:11" s="1" customFormat="1"/>
    <row r="419" spans="2:11" s="1" customFormat="1" ht="12.75" customHeight="1">
      <c r="B419" s="5"/>
      <c r="C419" s="148" t="s">
        <v>268</v>
      </c>
      <c r="D419" s="148"/>
      <c r="E419" s="148"/>
      <c r="F419" s="148"/>
      <c r="G419" s="148"/>
      <c r="H419" s="148"/>
      <c r="I419" s="148"/>
      <c r="J419" s="148"/>
      <c r="K419" s="148"/>
    </row>
    <row r="420" spans="2:11" s="1" customFormat="1">
      <c r="B420" s="5"/>
      <c r="C420" s="6" t="s">
        <v>120</v>
      </c>
      <c r="D420" s="7">
        <v>7</v>
      </c>
      <c r="E420" s="7">
        <v>6</v>
      </c>
      <c r="F420" s="7">
        <v>5</v>
      </c>
      <c r="G420" s="7">
        <v>4</v>
      </c>
      <c r="H420" s="7">
        <v>3</v>
      </c>
      <c r="I420" s="7">
        <v>2</v>
      </c>
      <c r="J420" s="7">
        <v>1</v>
      </c>
      <c r="K420" s="7">
        <v>0</v>
      </c>
    </row>
    <row r="421" spans="2:11" s="1" customFormat="1" ht="13.5" customHeight="1">
      <c r="B421" s="5"/>
      <c r="C421" s="8" t="s">
        <v>6</v>
      </c>
      <c r="D421" s="131" t="s">
        <v>1233</v>
      </c>
      <c r="E421" s="117"/>
      <c r="F421" s="117"/>
      <c r="G421" s="117"/>
      <c r="H421" s="117"/>
      <c r="I421" s="117"/>
      <c r="J421" s="117"/>
      <c r="K421" s="118"/>
    </row>
    <row r="422" spans="2:11" s="1" customFormat="1">
      <c r="B422" s="5" t="str">
        <f>CONCATENATE(D422,E422,F422,G422,H422,I422,J422,K422)</f>
        <v>-0001000</v>
      </c>
      <c r="C422" s="8" t="s">
        <v>123</v>
      </c>
      <c r="D422" s="9" t="s">
        <v>124</v>
      </c>
      <c r="E422" s="9">
        <v>0</v>
      </c>
      <c r="F422" s="9">
        <v>0</v>
      </c>
      <c r="G422" s="9">
        <v>0</v>
      </c>
      <c r="H422" s="9">
        <v>1</v>
      </c>
      <c r="I422" s="9">
        <v>0</v>
      </c>
      <c r="J422" s="9">
        <v>0</v>
      </c>
      <c r="K422" s="9">
        <v>0</v>
      </c>
    </row>
    <row r="423" spans="2:11" s="1" customFormat="1">
      <c r="B423" s="5"/>
      <c r="C423" s="102"/>
      <c r="D423" s="102"/>
      <c r="E423" s="102"/>
      <c r="F423" s="102"/>
      <c r="G423" s="102"/>
      <c r="H423" s="102"/>
      <c r="I423" s="102"/>
      <c r="J423" s="102"/>
      <c r="K423" s="102"/>
    </row>
    <row r="424" spans="2:11" s="1" customFormat="1" ht="13.5">
      <c r="B424" s="3"/>
      <c r="C424" s="52" t="s">
        <v>6</v>
      </c>
      <c r="D424" s="143" t="s">
        <v>125</v>
      </c>
      <c r="E424" s="143"/>
      <c r="F424" s="52" t="s">
        <v>126</v>
      </c>
      <c r="G424" s="143" t="s">
        <v>127</v>
      </c>
      <c r="H424" s="143"/>
      <c r="I424" s="143"/>
      <c r="J424" s="143"/>
      <c r="K424" s="52" t="s">
        <v>123</v>
      </c>
    </row>
    <row r="425" spans="2:11" s="1" customFormat="1" ht="24.75" customHeight="1">
      <c r="B425" s="3"/>
      <c r="C425" s="52" t="str">
        <f>D421</f>
        <v>TRIM_RCOSC_C[7:0]</v>
      </c>
      <c r="D425" s="144" t="s">
        <v>1236</v>
      </c>
      <c r="E425" s="144"/>
      <c r="F425" s="53"/>
      <c r="G425" s="144" t="s">
        <v>1237</v>
      </c>
      <c r="H425" s="144"/>
      <c r="I425" s="144"/>
      <c r="J425" s="144"/>
      <c r="K425" s="52" t="s">
        <v>1094</v>
      </c>
    </row>
    <row r="426" spans="2:11" s="1" customFormat="1"/>
    <row r="427" spans="2:11" s="1" customFormat="1" ht="12.75" customHeight="1">
      <c r="B427" s="5"/>
      <c r="C427" s="149" t="s">
        <v>269</v>
      </c>
      <c r="D427" s="149"/>
      <c r="E427" s="149"/>
      <c r="F427" s="149"/>
      <c r="G427" s="149"/>
      <c r="H427" s="149"/>
      <c r="I427" s="149"/>
      <c r="J427" s="149"/>
      <c r="K427" s="149"/>
    </row>
    <row r="428" spans="2:11" s="1" customFormat="1">
      <c r="B428" s="5"/>
      <c r="C428" s="6" t="s">
        <v>120</v>
      </c>
      <c r="D428" s="7">
        <v>7</v>
      </c>
      <c r="E428" s="7">
        <v>6</v>
      </c>
      <c r="F428" s="7">
        <v>5</v>
      </c>
      <c r="G428" s="7">
        <v>4</v>
      </c>
      <c r="H428" s="7">
        <v>3</v>
      </c>
      <c r="I428" s="7">
        <v>2</v>
      </c>
      <c r="J428" s="7">
        <v>1</v>
      </c>
      <c r="K428" s="7">
        <v>0</v>
      </c>
    </row>
    <row r="429" spans="2:11" s="1" customFormat="1" ht="13.5" customHeight="1">
      <c r="B429" s="5"/>
      <c r="C429" s="8" t="s">
        <v>6</v>
      </c>
      <c r="D429" s="131" t="s">
        <v>270</v>
      </c>
      <c r="E429" s="117"/>
      <c r="F429" s="117"/>
      <c r="G429" s="118"/>
      <c r="H429" s="23" t="s">
        <v>271</v>
      </c>
      <c r="I429" s="23" t="s">
        <v>272</v>
      </c>
      <c r="J429" s="23" t="s">
        <v>273</v>
      </c>
      <c r="K429" s="23" t="s">
        <v>274</v>
      </c>
    </row>
    <row r="430" spans="2:11" s="1" customFormat="1">
      <c r="B430" s="5" t="str">
        <f>CONCATENATE(D430,E430,F430,G430,H430,I430,J430,K430)</f>
        <v>10000110</v>
      </c>
      <c r="C430" s="8" t="s">
        <v>123</v>
      </c>
      <c r="D430" s="9">
        <v>1</v>
      </c>
      <c r="E430" s="9">
        <v>0</v>
      </c>
      <c r="F430" s="9">
        <v>0</v>
      </c>
      <c r="G430" s="9">
        <v>0</v>
      </c>
      <c r="H430" s="9">
        <v>0</v>
      </c>
      <c r="I430" s="9">
        <v>1</v>
      </c>
      <c r="J430" s="9">
        <v>1</v>
      </c>
      <c r="K430" s="9">
        <v>0</v>
      </c>
    </row>
    <row r="431" spans="2:11" s="1" customFormat="1">
      <c r="B431" s="5"/>
      <c r="C431" s="102"/>
      <c r="D431" s="102"/>
      <c r="E431" s="102"/>
      <c r="F431" s="102"/>
      <c r="G431" s="102"/>
      <c r="H431" s="102"/>
      <c r="I431" s="102"/>
      <c r="J431" s="102"/>
      <c r="K431" s="102"/>
    </row>
    <row r="432" spans="2:11" s="1" customFormat="1" ht="13.5">
      <c r="B432" s="3"/>
      <c r="C432" s="10" t="s">
        <v>6</v>
      </c>
      <c r="D432" s="143" t="s">
        <v>125</v>
      </c>
      <c r="E432" s="143"/>
      <c r="F432" s="10" t="s">
        <v>126</v>
      </c>
      <c r="G432" s="143" t="s">
        <v>127</v>
      </c>
      <c r="H432" s="143"/>
      <c r="I432" s="143"/>
      <c r="J432" s="143"/>
      <c r="K432" s="10" t="s">
        <v>123</v>
      </c>
    </row>
    <row r="433" spans="2:11" s="1" customFormat="1" ht="27" customHeight="1">
      <c r="B433" s="3"/>
      <c r="C433" s="10" t="str">
        <f>K429</f>
        <v>PEN_MLDO</v>
      </c>
      <c r="D433" s="144" t="s">
        <v>275</v>
      </c>
      <c r="E433" s="144"/>
      <c r="F433" s="13"/>
      <c r="G433" s="144"/>
      <c r="H433" s="144"/>
      <c r="I433" s="144"/>
      <c r="J433" s="144"/>
      <c r="K433" s="10" t="s">
        <v>262</v>
      </c>
    </row>
    <row r="434" spans="2:11" s="1" customFormat="1" ht="27" customHeight="1">
      <c r="B434" s="3"/>
      <c r="C434" s="10" t="str">
        <f>J429</f>
        <v>ISEN_PEN</v>
      </c>
      <c r="D434" s="144" t="s">
        <v>276</v>
      </c>
      <c r="E434" s="144"/>
      <c r="F434" s="13"/>
      <c r="G434" s="144"/>
      <c r="H434" s="144"/>
      <c r="I434" s="144"/>
      <c r="J434" s="144"/>
      <c r="K434" s="10" t="s">
        <v>261</v>
      </c>
    </row>
    <row r="435" spans="2:11" s="1" customFormat="1" ht="27" customHeight="1">
      <c r="B435" s="3"/>
      <c r="C435" s="10" t="str">
        <f>I429</f>
        <v>OCL_PEN</v>
      </c>
      <c r="D435" s="144" t="s">
        <v>277</v>
      </c>
      <c r="E435" s="144"/>
      <c r="F435" s="13"/>
      <c r="G435" s="144"/>
      <c r="H435" s="144"/>
      <c r="I435" s="144"/>
      <c r="J435" s="144"/>
      <c r="K435" s="10" t="s">
        <v>261</v>
      </c>
    </row>
    <row r="436" spans="2:11" s="1" customFormat="1" ht="13.5">
      <c r="B436" s="3"/>
      <c r="C436" s="10" t="str">
        <f>H429</f>
        <v>SOFT_WDT</v>
      </c>
      <c r="D436" s="144" t="s">
        <v>278</v>
      </c>
      <c r="E436" s="144"/>
      <c r="F436" s="13"/>
      <c r="G436" s="144"/>
      <c r="H436" s="144"/>
      <c r="I436" s="144"/>
      <c r="J436" s="144"/>
      <c r="K436" s="10" t="s">
        <v>262</v>
      </c>
    </row>
    <row r="437" spans="2:11" s="1" customFormat="1" ht="13.5">
      <c r="B437" s="3"/>
      <c r="C437" s="10" t="str">
        <f>D429</f>
        <v>TRIM_RFEED[3:0]</v>
      </c>
      <c r="D437" s="144" t="s">
        <v>279</v>
      </c>
      <c r="E437" s="144"/>
      <c r="F437" s="13"/>
      <c r="G437" s="144"/>
      <c r="H437" s="144"/>
      <c r="I437" s="144"/>
      <c r="J437" s="144"/>
      <c r="K437" s="10" t="s">
        <v>280</v>
      </c>
    </row>
    <row r="438" spans="2:11" s="1" customFormat="1"/>
    <row r="439" spans="2:11" s="1" customFormat="1" ht="12.75" customHeight="1">
      <c r="B439" s="5"/>
      <c r="C439" s="149" t="s">
        <v>281</v>
      </c>
      <c r="D439" s="149"/>
      <c r="E439" s="149"/>
      <c r="F439" s="149"/>
      <c r="G439" s="149"/>
      <c r="H439" s="149"/>
      <c r="I439" s="149"/>
      <c r="J439" s="149"/>
      <c r="K439" s="149"/>
    </row>
    <row r="440" spans="2:11" s="1" customFormat="1">
      <c r="B440" s="5"/>
      <c r="C440" s="6" t="s">
        <v>120</v>
      </c>
      <c r="D440" s="7">
        <v>7</v>
      </c>
      <c r="E440" s="7">
        <v>6</v>
      </c>
      <c r="F440" s="7">
        <v>5</v>
      </c>
      <c r="G440" s="7">
        <v>4</v>
      </c>
      <c r="H440" s="7">
        <v>3</v>
      </c>
      <c r="I440" s="7">
        <v>2</v>
      </c>
      <c r="J440" s="7">
        <v>1</v>
      </c>
      <c r="K440" s="7">
        <v>0</v>
      </c>
    </row>
    <row r="441" spans="2:11" s="1" customFormat="1" ht="13.5" customHeight="1">
      <c r="B441" s="5"/>
      <c r="C441" s="8" t="s">
        <v>6</v>
      </c>
      <c r="D441" s="23" t="s">
        <v>121</v>
      </c>
      <c r="E441" s="23" t="s">
        <v>121</v>
      </c>
      <c r="F441" s="23" t="s">
        <v>121</v>
      </c>
      <c r="G441" s="131" t="s">
        <v>282</v>
      </c>
      <c r="H441" s="118"/>
      <c r="I441" s="131" t="s">
        <v>283</v>
      </c>
      <c r="J441" s="117"/>
      <c r="K441" s="118"/>
    </row>
    <row r="442" spans="2:11" s="1" customFormat="1">
      <c r="B442" s="5" t="str">
        <f>CONCATENATE(D442,E442,F442,G442,H442,I442,J442,K442)</f>
        <v>---01000</v>
      </c>
      <c r="C442" s="8" t="s">
        <v>123</v>
      </c>
      <c r="D442" s="9" t="s">
        <v>124</v>
      </c>
      <c r="E442" s="9" t="s">
        <v>124</v>
      </c>
      <c r="F442" s="9" t="s">
        <v>124</v>
      </c>
      <c r="G442" s="9">
        <v>0</v>
      </c>
      <c r="H442" s="9">
        <v>1</v>
      </c>
      <c r="I442" s="9">
        <v>0</v>
      </c>
      <c r="J442" s="9">
        <v>0</v>
      </c>
      <c r="K442" s="9">
        <v>0</v>
      </c>
    </row>
    <row r="443" spans="2:11" s="1" customFormat="1">
      <c r="B443" s="5"/>
      <c r="C443" s="102"/>
      <c r="D443" s="102"/>
      <c r="E443" s="102"/>
      <c r="F443" s="102"/>
      <c r="G443" s="102"/>
      <c r="H443" s="102"/>
      <c r="I443" s="102"/>
      <c r="J443" s="102"/>
      <c r="K443" s="102"/>
    </row>
    <row r="444" spans="2:11" s="1" customFormat="1" ht="13.5">
      <c r="B444" s="3"/>
      <c r="C444" s="10" t="s">
        <v>6</v>
      </c>
      <c r="D444" s="143" t="s">
        <v>125</v>
      </c>
      <c r="E444" s="143"/>
      <c r="F444" s="10" t="s">
        <v>126</v>
      </c>
      <c r="G444" s="143" t="s">
        <v>127</v>
      </c>
      <c r="H444" s="143"/>
      <c r="I444" s="143"/>
      <c r="J444" s="143"/>
      <c r="K444" s="10" t="s">
        <v>123</v>
      </c>
    </row>
    <row r="445" spans="2:11" s="1" customFormat="1" ht="29.25" customHeight="1">
      <c r="B445" s="3"/>
      <c r="C445" s="10" t="str">
        <f>I441</f>
        <v>MLDO_VG_SINK[1:0]</v>
      </c>
      <c r="D445" s="144" t="s">
        <v>1215</v>
      </c>
      <c r="E445" s="144"/>
      <c r="F445" s="13"/>
      <c r="G445" s="144"/>
      <c r="H445" s="144"/>
      <c r="I445" s="144"/>
      <c r="J445" s="144"/>
      <c r="K445" s="10" t="s">
        <v>262</v>
      </c>
    </row>
    <row r="446" spans="2:11" s="1" customFormat="1" ht="27" customHeight="1">
      <c r="B446" s="3"/>
      <c r="C446" s="10" t="str">
        <f>G441</f>
        <v>MLDO_VG_SOURCE[1:0]</v>
      </c>
      <c r="D446" s="144" t="s">
        <v>284</v>
      </c>
      <c r="E446" s="144"/>
      <c r="F446" s="13"/>
      <c r="G446" s="144"/>
      <c r="H446" s="144"/>
      <c r="I446" s="144"/>
      <c r="J446" s="144"/>
      <c r="K446" s="10" t="s">
        <v>261</v>
      </c>
    </row>
    <row r="447" spans="2:11" s="1" customFormat="1"/>
    <row r="448" spans="2:11" s="1" customFormat="1" ht="12.75" customHeight="1">
      <c r="B448" s="5"/>
      <c r="C448" s="149" t="s">
        <v>285</v>
      </c>
      <c r="D448" s="149"/>
      <c r="E448" s="149"/>
      <c r="F448" s="149"/>
      <c r="G448" s="149"/>
      <c r="H448" s="149"/>
      <c r="I448" s="149"/>
      <c r="J448" s="149"/>
      <c r="K448" s="149"/>
    </row>
    <row r="449" spans="2:11" s="1" customFormat="1">
      <c r="B449" s="5"/>
      <c r="C449" s="6" t="s">
        <v>120</v>
      </c>
      <c r="D449" s="7">
        <v>7</v>
      </c>
      <c r="E449" s="7">
        <v>6</v>
      </c>
      <c r="F449" s="7">
        <v>5</v>
      </c>
      <c r="G449" s="7">
        <v>4</v>
      </c>
      <c r="H449" s="7">
        <v>3</v>
      </c>
      <c r="I449" s="7">
        <v>2</v>
      </c>
      <c r="J449" s="7">
        <v>1</v>
      </c>
      <c r="K449" s="7">
        <v>0</v>
      </c>
    </row>
    <row r="450" spans="2:11" s="1" customFormat="1" ht="13.5" customHeight="1">
      <c r="B450" s="5"/>
      <c r="C450" s="8" t="s">
        <v>6</v>
      </c>
      <c r="D450" s="131" t="s">
        <v>1267</v>
      </c>
      <c r="E450" s="117"/>
      <c r="F450" s="117"/>
      <c r="G450" s="117"/>
      <c r="H450" s="117"/>
      <c r="I450" s="117"/>
      <c r="J450" s="117"/>
      <c r="K450" s="118"/>
    </row>
    <row r="451" spans="2:11" s="1" customFormat="1">
      <c r="B451" s="5" t="str">
        <f>CONCATENATE(D451,E451,F451,G451,H451,I451,J451,K451)</f>
        <v>10010100</v>
      </c>
      <c r="C451" s="8" t="s">
        <v>123</v>
      </c>
      <c r="D451" s="9">
        <v>1</v>
      </c>
      <c r="E451" s="9">
        <v>0</v>
      </c>
      <c r="F451" s="9">
        <v>0</v>
      </c>
      <c r="G451" s="9">
        <v>1</v>
      </c>
      <c r="H451" s="9">
        <v>0</v>
      </c>
      <c r="I451" s="9">
        <v>1</v>
      </c>
      <c r="J451" s="9">
        <v>0</v>
      </c>
      <c r="K451" s="9">
        <v>0</v>
      </c>
    </row>
    <row r="452" spans="2:11" s="1" customFormat="1">
      <c r="B452" s="5"/>
      <c r="C452" s="102"/>
      <c r="D452" s="102"/>
      <c r="E452" s="102"/>
      <c r="F452" s="102"/>
      <c r="G452" s="102"/>
      <c r="H452" s="102"/>
      <c r="I452" s="102"/>
      <c r="J452" s="102"/>
      <c r="K452" s="102"/>
    </row>
    <row r="453" spans="2:11" s="1" customFormat="1" ht="13.5">
      <c r="B453" s="3"/>
      <c r="C453" s="10" t="s">
        <v>6</v>
      </c>
      <c r="D453" s="143" t="s">
        <v>125</v>
      </c>
      <c r="E453" s="143"/>
      <c r="F453" s="10" t="s">
        <v>126</v>
      </c>
      <c r="G453" s="143" t="s">
        <v>127</v>
      </c>
      <c r="H453" s="143"/>
      <c r="I453" s="143"/>
      <c r="J453" s="143"/>
      <c r="K453" s="10" t="s">
        <v>123</v>
      </c>
    </row>
    <row r="454" spans="2:11" s="1" customFormat="1" ht="63.75" customHeight="1">
      <c r="B454" s="3"/>
      <c r="C454" s="10" t="str">
        <f>D450</f>
        <v>SET_VOUT[7:0]</v>
      </c>
      <c r="D454" s="144" t="s">
        <v>286</v>
      </c>
      <c r="E454" s="144"/>
      <c r="F454" s="13"/>
      <c r="G454" s="144"/>
      <c r="H454" s="144"/>
      <c r="I454" s="144"/>
      <c r="J454" s="144"/>
      <c r="K454" s="10" t="s">
        <v>287</v>
      </c>
    </row>
    <row r="455" spans="2:11" s="1" customFormat="1"/>
    <row r="456" spans="2:11" s="1" customFormat="1" ht="12.75" customHeight="1">
      <c r="B456" s="5"/>
      <c r="C456" s="149" t="s">
        <v>288</v>
      </c>
      <c r="D456" s="149"/>
      <c r="E456" s="149"/>
      <c r="F456" s="149"/>
      <c r="G456" s="149"/>
      <c r="H456" s="149"/>
      <c r="I456" s="149"/>
      <c r="J456" s="149"/>
      <c r="K456" s="149"/>
    </row>
    <row r="457" spans="2:11" s="1" customFormat="1">
      <c r="B457" s="5"/>
      <c r="C457" s="6" t="s">
        <v>120</v>
      </c>
      <c r="D457" s="7">
        <v>7</v>
      </c>
      <c r="E457" s="7">
        <v>6</v>
      </c>
      <c r="F457" s="7">
        <v>5</v>
      </c>
      <c r="G457" s="7">
        <v>4</v>
      </c>
      <c r="H457" s="7">
        <v>3</v>
      </c>
      <c r="I457" s="7">
        <v>2</v>
      </c>
      <c r="J457" s="7">
        <v>1</v>
      </c>
      <c r="K457" s="7">
        <v>0</v>
      </c>
    </row>
    <row r="458" spans="2:11" s="1" customFormat="1" ht="13.5" customHeight="1">
      <c r="B458" s="5"/>
      <c r="C458" s="8" t="s">
        <v>6</v>
      </c>
      <c r="D458" s="23" t="s">
        <v>121</v>
      </c>
      <c r="E458" s="23" t="s">
        <v>121</v>
      </c>
      <c r="F458" s="23" t="s">
        <v>121</v>
      </c>
      <c r="G458" s="23" t="s">
        <v>121</v>
      </c>
      <c r="H458" s="23" t="s">
        <v>121</v>
      </c>
      <c r="I458" s="117" t="s">
        <v>1268</v>
      </c>
      <c r="J458" s="117"/>
      <c r="K458" s="118"/>
    </row>
    <row r="459" spans="2:11" s="1" customFormat="1">
      <c r="B459" s="5" t="str">
        <f>CONCATENATE(D459,E459,F459,G459,H459,I459,J459,K459)</f>
        <v>-----001</v>
      </c>
      <c r="C459" s="8" t="s">
        <v>123</v>
      </c>
      <c r="D459" s="9" t="s">
        <v>124</v>
      </c>
      <c r="E459" s="9" t="s">
        <v>124</v>
      </c>
      <c r="F459" s="9" t="s">
        <v>124</v>
      </c>
      <c r="G459" s="9" t="s">
        <v>124</v>
      </c>
      <c r="H459" s="9" t="s">
        <v>124</v>
      </c>
      <c r="I459" s="9">
        <v>0</v>
      </c>
      <c r="J459" s="9">
        <v>0</v>
      </c>
      <c r="K459" s="9">
        <v>1</v>
      </c>
    </row>
    <row r="460" spans="2:11" s="1" customFormat="1">
      <c r="B460" s="5"/>
      <c r="C460" s="102"/>
      <c r="D460" s="102"/>
      <c r="E460" s="102"/>
      <c r="F460" s="102"/>
      <c r="G460" s="102"/>
      <c r="H460" s="102"/>
      <c r="I460" s="102"/>
      <c r="J460" s="102"/>
      <c r="K460" s="102"/>
    </row>
    <row r="461" spans="2:11" s="1" customFormat="1" ht="13.5">
      <c r="B461" s="3"/>
      <c r="C461" s="10" t="s">
        <v>6</v>
      </c>
      <c r="D461" s="143" t="s">
        <v>125</v>
      </c>
      <c r="E461" s="143"/>
      <c r="F461" s="10" t="s">
        <v>126</v>
      </c>
      <c r="G461" s="143" t="s">
        <v>127</v>
      </c>
      <c r="H461" s="143"/>
      <c r="I461" s="143"/>
      <c r="J461" s="143"/>
      <c r="K461" s="10" t="s">
        <v>123</v>
      </c>
    </row>
    <row r="462" spans="2:11" s="1" customFormat="1" ht="63.75" customHeight="1">
      <c r="B462" s="3"/>
      <c r="C462" s="10" t="str">
        <f>I458</f>
        <v>SET_VOUT[10:8]</v>
      </c>
      <c r="D462" s="144" t="s">
        <v>286</v>
      </c>
      <c r="E462" s="144"/>
      <c r="F462" s="13"/>
      <c r="G462" s="144"/>
      <c r="H462" s="144"/>
      <c r="I462" s="144"/>
      <c r="J462" s="144"/>
      <c r="K462" s="10" t="s">
        <v>261</v>
      </c>
    </row>
    <row r="463" spans="2:11" s="1" customFormat="1"/>
    <row r="464" spans="2:11" s="1" customFormat="1" ht="12.75" customHeight="1">
      <c r="B464" s="5"/>
      <c r="C464" s="149" t="s">
        <v>289</v>
      </c>
      <c r="D464" s="149"/>
      <c r="E464" s="149"/>
      <c r="F464" s="149"/>
      <c r="G464" s="149"/>
      <c r="H464" s="149"/>
      <c r="I464" s="149"/>
      <c r="J464" s="149"/>
      <c r="K464" s="149"/>
    </row>
    <row r="465" spans="2:11" s="1" customFormat="1">
      <c r="B465" s="5"/>
      <c r="C465" s="6" t="s">
        <v>120</v>
      </c>
      <c r="D465" s="7">
        <v>7</v>
      </c>
      <c r="E465" s="7">
        <v>6</v>
      </c>
      <c r="F465" s="7">
        <v>5</v>
      </c>
      <c r="G465" s="7">
        <v>4</v>
      </c>
      <c r="H465" s="7">
        <v>3</v>
      </c>
      <c r="I465" s="7">
        <v>2</v>
      </c>
      <c r="J465" s="7">
        <v>1</v>
      </c>
      <c r="K465" s="7">
        <v>0</v>
      </c>
    </row>
    <row r="466" spans="2:11" s="1" customFormat="1" ht="13.5" customHeight="1">
      <c r="B466" s="5"/>
      <c r="C466" s="8" t="s">
        <v>6</v>
      </c>
      <c r="D466" s="131" t="s">
        <v>290</v>
      </c>
      <c r="E466" s="117"/>
      <c r="F466" s="117"/>
      <c r="G466" s="118"/>
      <c r="H466" s="131" t="s">
        <v>291</v>
      </c>
      <c r="I466" s="117"/>
      <c r="J466" s="118"/>
      <c r="K466" s="23" t="s">
        <v>292</v>
      </c>
    </row>
    <row r="467" spans="2:11" s="1" customFormat="1">
      <c r="B467" s="5" t="str">
        <f>CONCATENATE(D467,E467,F467,G467,H467,I467,J467,K467)</f>
        <v>00000110</v>
      </c>
      <c r="C467" s="8" t="s">
        <v>123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1</v>
      </c>
      <c r="J467" s="9">
        <v>1</v>
      </c>
      <c r="K467" s="9">
        <v>0</v>
      </c>
    </row>
    <row r="468" spans="2:11" s="1" customFormat="1">
      <c r="B468" s="5"/>
      <c r="C468" s="102"/>
      <c r="D468" s="102"/>
      <c r="E468" s="102"/>
      <c r="F468" s="102"/>
      <c r="G468" s="102"/>
      <c r="H468" s="102"/>
      <c r="I468" s="102"/>
      <c r="J468" s="102"/>
      <c r="K468" s="102"/>
    </row>
    <row r="469" spans="2:11" s="1" customFormat="1" ht="13.5">
      <c r="B469" s="3"/>
      <c r="C469" s="10" t="s">
        <v>6</v>
      </c>
      <c r="D469" s="143" t="s">
        <v>125</v>
      </c>
      <c r="E469" s="143"/>
      <c r="F469" s="10" t="s">
        <v>126</v>
      </c>
      <c r="G469" s="143" t="s">
        <v>127</v>
      </c>
      <c r="H469" s="143"/>
      <c r="I469" s="143"/>
      <c r="J469" s="143"/>
      <c r="K469" s="10" t="s">
        <v>123</v>
      </c>
    </row>
    <row r="470" spans="2:11" s="1" customFormat="1" ht="27.75" customHeight="1">
      <c r="B470" s="3"/>
      <c r="C470" s="10" t="str">
        <f>K466</f>
        <v>LIT_MODE</v>
      </c>
      <c r="D470" s="144" t="s">
        <v>293</v>
      </c>
      <c r="E470" s="144"/>
      <c r="F470" s="13"/>
      <c r="G470" s="144"/>
      <c r="H470" s="144"/>
      <c r="I470" s="144"/>
      <c r="J470" s="144"/>
      <c r="K470" s="10" t="s">
        <v>262</v>
      </c>
    </row>
    <row r="471" spans="2:11" s="1" customFormat="1" ht="35.25" customHeight="1">
      <c r="B471" s="3"/>
      <c r="C471" s="10" t="str">
        <f>H466</f>
        <v>LIT_MODE_TRIM[2:0]</v>
      </c>
      <c r="D471" s="144" t="s">
        <v>294</v>
      </c>
      <c r="E471" s="144"/>
      <c r="F471" s="13"/>
      <c r="G471" s="144" t="s">
        <v>295</v>
      </c>
      <c r="H471" s="144"/>
      <c r="I471" s="144"/>
      <c r="J471" s="144"/>
      <c r="K471" s="10" t="s">
        <v>296</v>
      </c>
    </row>
    <row r="472" spans="2:11" s="1" customFormat="1" ht="53.25" customHeight="1">
      <c r="B472" s="3"/>
      <c r="C472" s="10" t="str">
        <f>D466</f>
        <v>LIT_MODE_CONT[3:0]</v>
      </c>
      <c r="D472" s="144" t="s">
        <v>297</v>
      </c>
      <c r="E472" s="144"/>
      <c r="F472" s="13"/>
      <c r="G472" s="144" t="s">
        <v>298</v>
      </c>
      <c r="H472" s="144"/>
      <c r="I472" s="144"/>
      <c r="J472" s="144"/>
      <c r="K472" s="10" t="s">
        <v>299</v>
      </c>
    </row>
    <row r="473" spans="2:11" s="1" customFormat="1"/>
    <row r="474" spans="2:11" s="1" customFormat="1" ht="12.75" customHeight="1">
      <c r="B474" s="5"/>
      <c r="C474" s="149" t="s">
        <v>300</v>
      </c>
      <c r="D474" s="149"/>
      <c r="E474" s="149"/>
      <c r="F474" s="149"/>
      <c r="G474" s="149"/>
      <c r="H474" s="149"/>
      <c r="I474" s="149"/>
      <c r="J474" s="149"/>
      <c r="K474" s="149"/>
    </row>
    <row r="475" spans="2:11" s="1" customFormat="1">
      <c r="B475" s="5"/>
      <c r="C475" s="6" t="s">
        <v>120</v>
      </c>
      <c r="D475" s="7">
        <v>7</v>
      </c>
      <c r="E475" s="7">
        <v>6</v>
      </c>
      <c r="F475" s="7">
        <v>5</v>
      </c>
      <c r="G475" s="7">
        <v>4</v>
      </c>
      <c r="H475" s="7">
        <v>3</v>
      </c>
      <c r="I475" s="7">
        <v>2</v>
      </c>
      <c r="J475" s="7">
        <v>1</v>
      </c>
      <c r="K475" s="7">
        <v>0</v>
      </c>
    </row>
    <row r="476" spans="2:11" s="1" customFormat="1" ht="13.5" customHeight="1">
      <c r="B476" s="5"/>
      <c r="C476" s="8" t="s">
        <v>6</v>
      </c>
      <c r="D476" s="23" t="s">
        <v>121</v>
      </c>
      <c r="E476" s="131" t="s">
        <v>301</v>
      </c>
      <c r="F476" s="117"/>
      <c r="G476" s="117"/>
      <c r="H476" s="117"/>
      <c r="I476" s="117"/>
      <c r="J476" s="117"/>
      <c r="K476" s="118"/>
    </row>
    <row r="477" spans="2:11" s="1" customFormat="1">
      <c r="B477" s="5" t="str">
        <f>CONCATENATE(D477,E477,F477,G477,H477,I477,J477,K477)</f>
        <v>-0100010</v>
      </c>
      <c r="C477" s="8" t="s">
        <v>123</v>
      </c>
      <c r="D477" s="9" t="s">
        <v>124</v>
      </c>
      <c r="E477" s="9">
        <v>0</v>
      </c>
      <c r="F477" s="9">
        <v>1</v>
      </c>
      <c r="G477" s="9">
        <v>0</v>
      </c>
      <c r="H477" s="9">
        <v>0</v>
      </c>
      <c r="I477" s="9">
        <v>0</v>
      </c>
      <c r="J477" s="9">
        <v>1</v>
      </c>
      <c r="K477" s="9">
        <v>0</v>
      </c>
    </row>
    <row r="478" spans="2:11" s="1" customFormat="1">
      <c r="B478" s="5"/>
      <c r="C478" s="102"/>
      <c r="D478" s="102"/>
      <c r="E478" s="102"/>
      <c r="F478" s="102"/>
      <c r="G478" s="102"/>
      <c r="H478" s="102"/>
      <c r="I478" s="102"/>
      <c r="J478" s="102"/>
      <c r="K478" s="102"/>
    </row>
    <row r="479" spans="2:11" s="1" customFormat="1" ht="13.5">
      <c r="B479" s="3"/>
      <c r="C479" s="10" t="s">
        <v>6</v>
      </c>
      <c r="D479" s="143" t="s">
        <v>125</v>
      </c>
      <c r="E479" s="143"/>
      <c r="F479" s="10" t="s">
        <v>126</v>
      </c>
      <c r="G479" s="143" t="s">
        <v>127</v>
      </c>
      <c r="H479" s="143"/>
      <c r="I479" s="143"/>
      <c r="J479" s="143"/>
      <c r="K479" s="10" t="s">
        <v>123</v>
      </c>
    </row>
    <row r="480" spans="2:11" s="1" customFormat="1" ht="13.5">
      <c r="B480" s="3"/>
      <c r="C480" s="10" t="str">
        <f>E476</f>
        <v>ISEN_OUT_TRIM[6:0]</v>
      </c>
      <c r="D480" s="144" t="s">
        <v>302</v>
      </c>
      <c r="E480" s="144"/>
      <c r="F480" s="13"/>
      <c r="G480" s="144"/>
      <c r="H480" s="144"/>
      <c r="I480" s="144"/>
      <c r="J480" s="144"/>
      <c r="K480" s="10" t="s">
        <v>303</v>
      </c>
    </row>
    <row r="481" spans="2:11" s="1" customFormat="1"/>
    <row r="482" spans="2:11" s="1" customFormat="1" ht="12.75" customHeight="1">
      <c r="B482" s="5"/>
      <c r="C482" s="149" t="s">
        <v>304</v>
      </c>
      <c r="D482" s="149"/>
      <c r="E482" s="149"/>
      <c r="F482" s="149"/>
      <c r="G482" s="149"/>
      <c r="H482" s="149"/>
      <c r="I482" s="149"/>
      <c r="J482" s="149"/>
      <c r="K482" s="149"/>
    </row>
    <row r="483" spans="2:11" s="1" customFormat="1">
      <c r="B483" s="5"/>
      <c r="C483" s="6" t="s">
        <v>120</v>
      </c>
      <c r="D483" s="7">
        <v>7</v>
      </c>
      <c r="E483" s="7">
        <v>6</v>
      </c>
      <c r="F483" s="7">
        <v>5</v>
      </c>
      <c r="G483" s="7">
        <v>4</v>
      </c>
      <c r="H483" s="7">
        <v>3</v>
      </c>
      <c r="I483" s="7">
        <v>2</v>
      </c>
      <c r="J483" s="7">
        <v>1</v>
      </c>
      <c r="K483" s="7">
        <v>0</v>
      </c>
    </row>
    <row r="484" spans="2:11" s="1" customFormat="1" ht="13.5" customHeight="1">
      <c r="B484" s="5"/>
      <c r="C484" s="8" t="s">
        <v>6</v>
      </c>
      <c r="D484" s="23" t="s">
        <v>121</v>
      </c>
      <c r="E484" s="23" t="s">
        <v>121</v>
      </c>
      <c r="F484" s="56" t="s">
        <v>121</v>
      </c>
      <c r="G484" s="56" t="s">
        <v>121</v>
      </c>
      <c r="H484" s="56" t="s">
        <v>121</v>
      </c>
      <c r="I484" s="117" t="s">
        <v>1144</v>
      </c>
      <c r="J484" s="118"/>
      <c r="K484" s="56" t="s">
        <v>1143</v>
      </c>
    </row>
    <row r="485" spans="2:11" s="1" customFormat="1">
      <c r="B485" s="5" t="str">
        <f>CONCATENATE(D485,E485,F485,G485,H485,I485,J485,K485)</f>
        <v>-----000</v>
      </c>
      <c r="C485" s="8" t="s">
        <v>123</v>
      </c>
      <c r="D485" s="9" t="s">
        <v>124</v>
      </c>
      <c r="E485" s="9" t="s">
        <v>124</v>
      </c>
      <c r="F485" s="58" t="s">
        <v>124</v>
      </c>
      <c r="G485" s="58" t="s">
        <v>124</v>
      </c>
      <c r="H485" s="58" t="s">
        <v>124</v>
      </c>
      <c r="I485" s="9">
        <v>0</v>
      </c>
      <c r="J485" s="9">
        <v>0</v>
      </c>
      <c r="K485" s="9">
        <v>0</v>
      </c>
    </row>
    <row r="486" spans="2:11" s="1" customFormat="1">
      <c r="B486" s="5"/>
      <c r="C486" s="102"/>
      <c r="D486" s="102"/>
      <c r="E486" s="102"/>
      <c r="F486" s="102"/>
      <c r="G486" s="102"/>
      <c r="H486" s="102"/>
      <c r="I486" s="102"/>
      <c r="J486" s="102"/>
      <c r="K486" s="102"/>
    </row>
    <row r="487" spans="2:11" s="1" customFormat="1" ht="13.5">
      <c r="B487" s="3"/>
      <c r="C487" s="10" t="s">
        <v>6</v>
      </c>
      <c r="D487" s="143" t="s">
        <v>125</v>
      </c>
      <c r="E487" s="143"/>
      <c r="F487" s="10" t="s">
        <v>126</v>
      </c>
      <c r="G487" s="143" t="s">
        <v>127</v>
      </c>
      <c r="H487" s="143"/>
      <c r="I487" s="143"/>
      <c r="J487" s="143"/>
      <c r="K487" s="10" t="s">
        <v>123</v>
      </c>
    </row>
    <row r="488" spans="2:11" s="1" customFormat="1" ht="13.5">
      <c r="B488" s="3"/>
      <c r="C488" s="10" t="str">
        <f>K484</f>
        <v>LDOFET_CP_EN</v>
      </c>
      <c r="D488" s="144" t="s">
        <v>1145</v>
      </c>
      <c r="E488" s="144"/>
      <c r="F488" s="13"/>
      <c r="G488" s="144"/>
      <c r="H488" s="144"/>
      <c r="I488" s="144"/>
      <c r="J488" s="144"/>
      <c r="K488" s="10" t="s">
        <v>305</v>
      </c>
    </row>
    <row r="489" spans="2:11" s="1" customFormat="1" ht="13.5">
      <c r="B489" s="3"/>
      <c r="C489" s="52" t="str">
        <f>I484</f>
        <v>LDOFET_CP_CLK[1:0]</v>
      </c>
      <c r="D489" s="144" t="s">
        <v>1146</v>
      </c>
      <c r="E489" s="144"/>
      <c r="F489" s="53"/>
      <c r="G489" s="144" t="s">
        <v>1147</v>
      </c>
      <c r="H489" s="144"/>
      <c r="I489" s="144"/>
      <c r="J489" s="144"/>
      <c r="K489" s="52" t="s">
        <v>305</v>
      </c>
    </row>
    <row r="490" spans="2:11" s="1" customFormat="1"/>
    <row r="491" spans="2:11" s="1" customFormat="1" ht="12.75" customHeight="1">
      <c r="B491" s="5"/>
      <c r="C491" s="149" t="s">
        <v>306</v>
      </c>
      <c r="D491" s="149"/>
      <c r="E491" s="149"/>
      <c r="F491" s="149"/>
      <c r="G491" s="149"/>
      <c r="H491" s="149"/>
      <c r="I491" s="149"/>
      <c r="J491" s="149"/>
      <c r="K491" s="149"/>
    </row>
    <row r="492" spans="2:11" s="1" customFormat="1">
      <c r="B492" s="5"/>
      <c r="C492" s="6" t="s">
        <v>120</v>
      </c>
      <c r="D492" s="7">
        <v>7</v>
      </c>
      <c r="E492" s="7">
        <v>6</v>
      </c>
      <c r="F492" s="7">
        <v>5</v>
      </c>
      <c r="G492" s="7">
        <v>4</v>
      </c>
      <c r="H492" s="7">
        <v>3</v>
      </c>
      <c r="I492" s="7">
        <v>2</v>
      </c>
      <c r="J492" s="7">
        <v>1</v>
      </c>
      <c r="K492" s="7">
        <v>0</v>
      </c>
    </row>
    <row r="493" spans="2:11" s="1" customFormat="1" ht="13.5" customHeight="1">
      <c r="B493" s="5"/>
      <c r="C493" s="8" t="s">
        <v>6</v>
      </c>
      <c r="D493" s="23" t="s">
        <v>121</v>
      </c>
      <c r="E493" s="23" t="s">
        <v>121</v>
      </c>
      <c r="F493" s="56" t="s">
        <v>121</v>
      </c>
      <c r="G493" s="117" t="s">
        <v>1148</v>
      </c>
      <c r="H493" s="117"/>
      <c r="I493" s="117"/>
      <c r="J493" s="117"/>
      <c r="K493" s="118"/>
    </row>
    <row r="494" spans="2:11" s="1" customFormat="1">
      <c r="B494" s="5" t="str">
        <f>CONCATENATE(D494,E494,F494,G494,H494,I494,J494,K494)</f>
        <v>---11000</v>
      </c>
      <c r="C494" s="8" t="s">
        <v>123</v>
      </c>
      <c r="D494" s="9" t="s">
        <v>124</v>
      </c>
      <c r="E494" s="9" t="s">
        <v>124</v>
      </c>
      <c r="F494" s="58" t="s">
        <v>124</v>
      </c>
      <c r="G494" s="9">
        <v>1</v>
      </c>
      <c r="H494" s="9">
        <v>1</v>
      </c>
      <c r="I494" s="9">
        <v>0</v>
      </c>
      <c r="J494" s="9">
        <v>0</v>
      </c>
      <c r="K494" s="9">
        <v>0</v>
      </c>
    </row>
    <row r="495" spans="2:11" s="1" customFormat="1">
      <c r="B495" s="5"/>
      <c r="C495" s="102"/>
      <c r="D495" s="102"/>
      <c r="E495" s="102"/>
      <c r="F495" s="102"/>
      <c r="G495" s="102"/>
      <c r="H495" s="102"/>
      <c r="I495" s="102"/>
      <c r="J495" s="102"/>
      <c r="K495" s="102"/>
    </row>
    <row r="496" spans="2:11" s="1" customFormat="1" ht="13.5">
      <c r="B496" s="3"/>
      <c r="C496" s="10" t="s">
        <v>6</v>
      </c>
      <c r="D496" s="143" t="s">
        <v>125</v>
      </c>
      <c r="E496" s="143"/>
      <c r="F496" s="10" t="s">
        <v>126</v>
      </c>
      <c r="G496" s="143" t="s">
        <v>127</v>
      </c>
      <c r="H496" s="143"/>
      <c r="I496" s="143"/>
      <c r="J496" s="143"/>
      <c r="K496" s="10" t="s">
        <v>123</v>
      </c>
    </row>
    <row r="497" spans="2:11" s="1" customFormat="1" ht="13.5">
      <c r="B497" s="3"/>
      <c r="C497" s="10" t="str">
        <f>G493</f>
        <v>MLDO_ILIM_CONT[4:0]</v>
      </c>
      <c r="D497" s="144" t="s">
        <v>1150</v>
      </c>
      <c r="E497" s="144"/>
      <c r="F497" s="13"/>
      <c r="G497" s="144" t="s">
        <v>1151</v>
      </c>
      <c r="H497" s="144"/>
      <c r="I497" s="144"/>
      <c r="J497" s="144"/>
      <c r="K497" s="10" t="s">
        <v>1149</v>
      </c>
    </row>
    <row r="498" spans="2:11" s="1" customFormat="1"/>
    <row r="499" spans="2:11" s="1" customFormat="1" ht="12.75" customHeight="1">
      <c r="B499" s="5"/>
      <c r="C499" s="149" t="s">
        <v>307</v>
      </c>
      <c r="D499" s="149"/>
      <c r="E499" s="149"/>
      <c r="F499" s="149"/>
      <c r="G499" s="149"/>
      <c r="H499" s="149"/>
      <c r="I499" s="149"/>
      <c r="J499" s="149"/>
      <c r="K499" s="149"/>
    </row>
    <row r="500" spans="2:11" s="1" customFormat="1">
      <c r="B500" s="5"/>
      <c r="C500" s="6" t="s">
        <v>120</v>
      </c>
      <c r="D500" s="7">
        <v>7</v>
      </c>
      <c r="E500" s="7">
        <v>6</v>
      </c>
      <c r="F500" s="7">
        <v>5</v>
      </c>
      <c r="G500" s="7">
        <v>4</v>
      </c>
      <c r="H500" s="7">
        <v>3</v>
      </c>
      <c r="I500" s="7">
        <v>2</v>
      </c>
      <c r="J500" s="7">
        <v>1</v>
      </c>
      <c r="K500" s="7">
        <v>0</v>
      </c>
    </row>
    <row r="501" spans="2:11" s="1" customFormat="1" ht="13.5" customHeight="1">
      <c r="B501" s="5"/>
      <c r="C501" s="8" t="s">
        <v>6</v>
      </c>
      <c r="D501" s="23" t="s">
        <v>121</v>
      </c>
      <c r="E501" s="23" t="s">
        <v>121</v>
      </c>
      <c r="F501" s="23" t="s">
        <v>121</v>
      </c>
      <c r="G501" s="23" t="s">
        <v>121</v>
      </c>
      <c r="H501" s="23" t="s">
        <v>121</v>
      </c>
      <c r="I501" s="23" t="s">
        <v>121</v>
      </c>
      <c r="J501" s="23" t="s">
        <v>121</v>
      </c>
      <c r="K501" s="23" t="s">
        <v>308</v>
      </c>
    </row>
    <row r="502" spans="2:11" s="1" customFormat="1">
      <c r="B502" s="5" t="str">
        <f>CONCATENATE(D502,E502,F502,G502,H502,I502,J502,K502)</f>
        <v>-------0</v>
      </c>
      <c r="C502" s="8" t="s">
        <v>123</v>
      </c>
      <c r="D502" s="9" t="s">
        <v>124</v>
      </c>
      <c r="E502" s="9" t="s">
        <v>124</v>
      </c>
      <c r="F502" s="9" t="s">
        <v>124</v>
      </c>
      <c r="G502" s="9" t="s">
        <v>124</v>
      </c>
      <c r="H502" s="9" t="s">
        <v>124</v>
      </c>
      <c r="I502" s="9" t="s">
        <v>124</v>
      </c>
      <c r="J502" s="9" t="s">
        <v>124</v>
      </c>
      <c r="K502" s="9">
        <v>0</v>
      </c>
    </row>
    <row r="503" spans="2:11" s="1" customFormat="1">
      <c r="B503" s="5"/>
      <c r="C503" s="102"/>
      <c r="D503" s="102"/>
      <c r="E503" s="102"/>
      <c r="F503" s="102"/>
      <c r="G503" s="102"/>
      <c r="H503" s="102"/>
      <c r="I503" s="102"/>
      <c r="J503" s="102"/>
      <c r="K503" s="102"/>
    </row>
    <row r="504" spans="2:11" s="1" customFormat="1" ht="13.5">
      <c r="B504" s="3"/>
      <c r="C504" s="10" t="s">
        <v>6</v>
      </c>
      <c r="D504" s="143" t="s">
        <v>125</v>
      </c>
      <c r="E504" s="143"/>
      <c r="F504" s="10" t="s">
        <v>126</v>
      </c>
      <c r="G504" s="143" t="s">
        <v>127</v>
      </c>
      <c r="H504" s="143"/>
      <c r="I504" s="143"/>
      <c r="J504" s="143"/>
      <c r="K504" s="10" t="s">
        <v>123</v>
      </c>
    </row>
    <row r="505" spans="2:11" s="1" customFormat="1" ht="27" customHeight="1">
      <c r="B505" s="3"/>
      <c r="C505" s="10" t="str">
        <f>K501</f>
        <v>ISEN2_PEN</v>
      </c>
      <c r="D505" s="144" t="s">
        <v>309</v>
      </c>
      <c r="E505" s="144"/>
      <c r="F505" s="13"/>
      <c r="G505" s="144"/>
      <c r="H505" s="144"/>
      <c r="I505" s="144"/>
      <c r="J505" s="144"/>
      <c r="K505" s="10" t="s">
        <v>262</v>
      </c>
    </row>
    <row r="506" spans="2:11" s="1" customFormat="1"/>
    <row r="507" spans="2:11" s="1" customFormat="1" ht="12.75" customHeight="1">
      <c r="B507" s="5"/>
      <c r="C507" s="149" t="s">
        <v>310</v>
      </c>
      <c r="D507" s="149"/>
      <c r="E507" s="149"/>
      <c r="F507" s="149"/>
      <c r="G507" s="149"/>
      <c r="H507" s="149"/>
      <c r="I507" s="149"/>
      <c r="J507" s="149"/>
      <c r="K507" s="149"/>
    </row>
    <row r="508" spans="2:11" s="1" customFormat="1">
      <c r="B508" s="5"/>
      <c r="C508" s="6" t="s">
        <v>120</v>
      </c>
      <c r="D508" s="7">
        <v>7</v>
      </c>
      <c r="E508" s="7">
        <v>6</v>
      </c>
      <c r="F508" s="7">
        <v>5</v>
      </c>
      <c r="G508" s="7">
        <v>4</v>
      </c>
      <c r="H508" s="7">
        <v>3</v>
      </c>
      <c r="I508" s="7">
        <v>2</v>
      </c>
      <c r="J508" s="7">
        <v>1</v>
      </c>
      <c r="K508" s="7">
        <v>0</v>
      </c>
    </row>
    <row r="509" spans="2:11" s="1" customFormat="1" ht="13.5" customHeight="1">
      <c r="B509" s="5"/>
      <c r="C509" s="8" t="s">
        <v>6</v>
      </c>
      <c r="D509" s="23" t="s">
        <v>1158</v>
      </c>
      <c r="E509" s="131" t="s">
        <v>1161</v>
      </c>
      <c r="F509" s="118"/>
      <c r="G509" s="131" t="s">
        <v>1265</v>
      </c>
      <c r="H509" s="117"/>
      <c r="I509" s="117"/>
      <c r="J509" s="117"/>
      <c r="K509" s="118"/>
    </row>
    <row r="510" spans="2:11" s="1" customFormat="1">
      <c r="B510" s="5" t="str">
        <f>CONCATENATE(D510,E510,F510,G510,H510,I510,J510,K510)</f>
        <v>00000000</v>
      </c>
      <c r="C510" s="8" t="s">
        <v>123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</row>
    <row r="511" spans="2:11" s="1" customFormat="1">
      <c r="B511" s="5"/>
      <c r="C511" s="102"/>
      <c r="D511" s="102"/>
      <c r="E511" s="102"/>
      <c r="F511" s="102"/>
      <c r="G511" s="102"/>
      <c r="H511" s="102"/>
      <c r="I511" s="102"/>
      <c r="J511" s="102"/>
      <c r="K511" s="102"/>
    </row>
    <row r="512" spans="2:11" s="1" customFormat="1" ht="13.5">
      <c r="B512" s="3"/>
      <c r="C512" s="52" t="s">
        <v>6</v>
      </c>
      <c r="D512" s="143" t="s">
        <v>125</v>
      </c>
      <c r="E512" s="143"/>
      <c r="F512" s="52" t="s">
        <v>126</v>
      </c>
      <c r="G512" s="143" t="s">
        <v>127</v>
      </c>
      <c r="H512" s="143"/>
      <c r="I512" s="143"/>
      <c r="J512" s="143"/>
      <c r="K512" s="52" t="s">
        <v>123</v>
      </c>
    </row>
    <row r="513" spans="2:11" s="1" customFormat="1" ht="24.75" customHeight="1">
      <c r="B513" s="3"/>
      <c r="C513" s="52" t="str">
        <f>E509</f>
        <v>MLDO_COMP_R[1:0]</v>
      </c>
      <c r="D513" s="144" t="s">
        <v>1162</v>
      </c>
      <c r="E513" s="144"/>
      <c r="F513" s="53"/>
      <c r="G513" s="144" t="s">
        <v>1163</v>
      </c>
      <c r="H513" s="144"/>
      <c r="I513" s="144"/>
      <c r="J513" s="144"/>
      <c r="K513" s="52" t="s">
        <v>262</v>
      </c>
    </row>
    <row r="514" spans="2:11" s="1" customFormat="1" ht="24.75" customHeight="1">
      <c r="B514" s="3"/>
      <c r="C514" s="52" t="str">
        <f>D509</f>
        <v>MLDO_WB_EN</v>
      </c>
      <c r="D514" s="144" t="s">
        <v>1159</v>
      </c>
      <c r="E514" s="144"/>
      <c r="F514" s="53"/>
      <c r="G514" s="144" t="s">
        <v>1160</v>
      </c>
      <c r="H514" s="144"/>
      <c r="I514" s="144"/>
      <c r="J514" s="144"/>
      <c r="K514" s="52" t="s">
        <v>262</v>
      </c>
    </row>
    <row r="515" spans="2:11" s="1" customFormat="1" ht="24.75" customHeight="1">
      <c r="B515" s="3"/>
      <c r="C515" s="52" t="str">
        <f>G509</f>
        <v>ISEN2_OFFCON[4:0]</v>
      </c>
      <c r="D515" s="144"/>
      <c r="E515" s="144"/>
      <c r="F515" s="53"/>
      <c r="G515" s="144"/>
      <c r="H515" s="144"/>
      <c r="I515" s="144"/>
      <c r="J515" s="144"/>
      <c r="K515" s="52" t="s">
        <v>262</v>
      </c>
    </row>
    <row r="516" spans="2:11" s="1" customFormat="1"/>
    <row r="517" spans="2:11" s="1" customFormat="1" ht="12.75" customHeight="1">
      <c r="B517" s="5"/>
      <c r="C517" s="149" t="s">
        <v>311</v>
      </c>
      <c r="D517" s="149"/>
      <c r="E517" s="149"/>
      <c r="F517" s="149"/>
      <c r="G517" s="149"/>
      <c r="H517" s="149"/>
      <c r="I517" s="149"/>
      <c r="J517" s="149"/>
      <c r="K517" s="149"/>
    </row>
    <row r="518" spans="2:11" s="1" customFormat="1">
      <c r="B518" s="5"/>
      <c r="C518" s="6" t="s">
        <v>120</v>
      </c>
      <c r="D518" s="7">
        <v>7</v>
      </c>
      <c r="E518" s="7">
        <v>6</v>
      </c>
      <c r="F518" s="7">
        <v>5</v>
      </c>
      <c r="G518" s="7">
        <v>4</v>
      </c>
      <c r="H518" s="7">
        <v>3</v>
      </c>
      <c r="I518" s="7">
        <v>2</v>
      </c>
      <c r="J518" s="7">
        <v>1</v>
      </c>
      <c r="K518" s="7">
        <v>0</v>
      </c>
    </row>
    <row r="519" spans="2:11" s="1" customFormat="1" ht="25.5">
      <c r="B519" s="5"/>
      <c r="C519" s="8" t="s">
        <v>6</v>
      </c>
      <c r="D519" s="23" t="s">
        <v>121</v>
      </c>
      <c r="E519" s="23" t="s">
        <v>121</v>
      </c>
      <c r="F519" s="23" t="s">
        <v>121</v>
      </c>
      <c r="G519" s="23" t="s">
        <v>121</v>
      </c>
      <c r="H519" s="131" t="s">
        <v>1156</v>
      </c>
      <c r="I519" s="118"/>
      <c r="J519" s="56" t="s">
        <v>1155</v>
      </c>
      <c r="K519" s="57" t="s">
        <v>1152</v>
      </c>
    </row>
    <row r="520" spans="2:11" s="1" customFormat="1">
      <c r="B520" s="5" t="str">
        <f>CONCATENATE(D520,E520,F520,G520,H520,I520,J520,K520)</f>
        <v>----0000</v>
      </c>
      <c r="C520" s="8" t="s">
        <v>123</v>
      </c>
      <c r="D520" s="9" t="s">
        <v>124</v>
      </c>
      <c r="E520" s="9" t="s">
        <v>124</v>
      </c>
      <c r="F520" s="9" t="s">
        <v>124</v>
      </c>
      <c r="G520" s="9" t="s">
        <v>124</v>
      </c>
      <c r="H520" s="58">
        <v>0</v>
      </c>
      <c r="I520" s="58">
        <v>0</v>
      </c>
      <c r="J520" s="58">
        <v>0</v>
      </c>
      <c r="K520" s="9">
        <v>0</v>
      </c>
    </row>
    <row r="521" spans="2:11" s="1" customFormat="1">
      <c r="B521" s="5"/>
      <c r="C521" s="102"/>
      <c r="D521" s="102"/>
      <c r="E521" s="102"/>
      <c r="F521" s="102"/>
      <c r="G521" s="102"/>
      <c r="H521" s="102"/>
      <c r="I521" s="102"/>
      <c r="J521" s="102"/>
      <c r="K521" s="102"/>
    </row>
    <row r="522" spans="2:11" s="1" customFormat="1" ht="13.5">
      <c r="B522" s="3"/>
      <c r="C522" s="52" t="s">
        <v>6</v>
      </c>
      <c r="D522" s="143" t="s">
        <v>125</v>
      </c>
      <c r="E522" s="143"/>
      <c r="F522" s="52" t="s">
        <v>126</v>
      </c>
      <c r="G522" s="143" t="s">
        <v>127</v>
      </c>
      <c r="H522" s="143"/>
      <c r="I522" s="143"/>
      <c r="J522" s="143"/>
      <c r="K522" s="52" t="s">
        <v>123</v>
      </c>
    </row>
    <row r="523" spans="2:11" s="1" customFormat="1" ht="24.75" customHeight="1">
      <c r="B523" s="3"/>
      <c r="C523" s="52" t="str">
        <f>K519</f>
        <v>MLDO_ISEN_CHOP_EN</v>
      </c>
      <c r="D523" s="144" t="s">
        <v>1153</v>
      </c>
      <c r="E523" s="144"/>
      <c r="F523" s="53"/>
      <c r="G523" s="144"/>
      <c r="H523" s="144"/>
      <c r="I523" s="144"/>
      <c r="J523" s="144"/>
      <c r="K523" s="52" t="s">
        <v>262</v>
      </c>
    </row>
    <row r="524" spans="2:11" s="1" customFormat="1" ht="24.75" customHeight="1">
      <c r="B524" s="3"/>
      <c r="C524" s="52" t="str">
        <f>J519</f>
        <v>MLDO_ISEN_CHOP_CLK_EN</v>
      </c>
      <c r="D524" s="144" t="s">
        <v>1154</v>
      </c>
      <c r="E524" s="144"/>
      <c r="F524" s="53"/>
      <c r="G524" s="144"/>
      <c r="H524" s="144"/>
      <c r="I524" s="144"/>
      <c r="J524" s="144"/>
      <c r="K524" s="52" t="s">
        <v>262</v>
      </c>
    </row>
    <row r="525" spans="2:11" s="1" customFormat="1" ht="24.75" customHeight="1">
      <c r="B525" s="3"/>
      <c r="C525" s="52" t="str">
        <f>H519</f>
        <v>MLDO_ISEN_CHOP_CLK[1:0]</v>
      </c>
      <c r="D525" s="144" t="s">
        <v>1157</v>
      </c>
      <c r="E525" s="144"/>
      <c r="F525" s="53"/>
      <c r="G525" s="144" t="s">
        <v>1147</v>
      </c>
      <c r="H525" s="144"/>
      <c r="I525" s="144"/>
      <c r="J525" s="144"/>
      <c r="K525" s="52" t="s">
        <v>262</v>
      </c>
    </row>
    <row r="526" spans="2:11" s="1" customFormat="1"/>
    <row r="527" spans="2:11" s="1" customFormat="1" ht="12.75" customHeight="1">
      <c r="B527" s="5"/>
      <c r="C527" s="150" t="s">
        <v>312</v>
      </c>
      <c r="D527" s="150"/>
      <c r="E527" s="150"/>
      <c r="F527" s="150"/>
      <c r="G527" s="150"/>
      <c r="H527" s="150"/>
      <c r="I527" s="150"/>
      <c r="J527" s="150"/>
      <c r="K527" s="150"/>
    </row>
    <row r="528" spans="2:11" s="1" customFormat="1">
      <c r="B528" s="5"/>
      <c r="C528" s="6" t="s">
        <v>120</v>
      </c>
      <c r="D528" s="7">
        <v>7</v>
      </c>
      <c r="E528" s="7">
        <v>6</v>
      </c>
      <c r="F528" s="7">
        <v>5</v>
      </c>
      <c r="G528" s="7">
        <v>4</v>
      </c>
      <c r="H528" s="7">
        <v>3</v>
      </c>
      <c r="I528" s="7">
        <v>2</v>
      </c>
      <c r="J528" s="7">
        <v>1</v>
      </c>
      <c r="K528" s="7">
        <v>0</v>
      </c>
    </row>
    <row r="529" spans="2:11" s="1" customFormat="1" ht="13.5" customHeight="1">
      <c r="B529" s="5"/>
      <c r="C529" s="8" t="s">
        <v>6</v>
      </c>
      <c r="D529" s="131" t="s">
        <v>1170</v>
      </c>
      <c r="E529" s="117"/>
      <c r="F529" s="117"/>
      <c r="G529" s="117"/>
      <c r="H529" s="117"/>
      <c r="I529" s="117"/>
      <c r="J529" s="117"/>
      <c r="K529" s="118"/>
    </row>
    <row r="530" spans="2:11" s="1" customFormat="1">
      <c r="B530" s="5" t="str">
        <f>CONCATENATE(D530,E530,F530,G530,H530,I530,J530,K530)</f>
        <v>00000000</v>
      </c>
      <c r="C530" s="8" t="s">
        <v>123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</row>
    <row r="531" spans="2:11" s="1" customFormat="1"/>
    <row r="532" spans="2:11" s="1" customFormat="1" ht="12.75" customHeight="1">
      <c r="B532" s="5"/>
      <c r="C532" s="150" t="s">
        <v>313</v>
      </c>
      <c r="D532" s="150"/>
      <c r="E532" s="150"/>
      <c r="F532" s="150"/>
      <c r="G532" s="150"/>
      <c r="H532" s="150"/>
      <c r="I532" s="150"/>
      <c r="J532" s="150"/>
      <c r="K532" s="150"/>
    </row>
    <row r="533" spans="2:11" s="1" customFormat="1">
      <c r="B533" s="5"/>
      <c r="C533" s="6" t="s">
        <v>120</v>
      </c>
      <c r="D533" s="7">
        <v>7</v>
      </c>
      <c r="E533" s="7">
        <v>6</v>
      </c>
      <c r="F533" s="7">
        <v>5</v>
      </c>
      <c r="G533" s="7">
        <v>4</v>
      </c>
      <c r="H533" s="7">
        <v>3</v>
      </c>
      <c r="I533" s="7">
        <v>2</v>
      </c>
      <c r="J533" s="7">
        <v>1</v>
      </c>
      <c r="K533" s="7">
        <v>0</v>
      </c>
    </row>
    <row r="534" spans="2:11" s="1" customFormat="1" ht="13.5" customHeight="1">
      <c r="B534" s="5"/>
      <c r="C534" s="8" t="s">
        <v>6</v>
      </c>
      <c r="D534" s="131" t="s">
        <v>314</v>
      </c>
      <c r="E534" s="117"/>
      <c r="F534" s="117"/>
      <c r="G534" s="118"/>
      <c r="H534" s="131" t="s">
        <v>1171</v>
      </c>
      <c r="I534" s="117"/>
      <c r="J534" s="117"/>
      <c r="K534" s="118"/>
    </row>
    <row r="535" spans="2:11" s="1" customFormat="1">
      <c r="B535" s="5" t="str">
        <f>CONCATENATE(D535,E535,F535,G535,H535,I535,J535,K535)</f>
        <v>00000000</v>
      </c>
      <c r="C535" s="8" t="s">
        <v>123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</row>
    <row r="536" spans="2:11" s="1" customFormat="1"/>
    <row r="537" spans="2:11" s="1" customFormat="1" ht="12.75" customHeight="1">
      <c r="B537" s="5"/>
      <c r="C537" s="150" t="s">
        <v>315</v>
      </c>
      <c r="D537" s="150"/>
      <c r="E537" s="150"/>
      <c r="F537" s="150"/>
      <c r="G537" s="150"/>
      <c r="H537" s="150"/>
      <c r="I537" s="150"/>
      <c r="J537" s="150"/>
      <c r="K537" s="150"/>
    </row>
    <row r="538" spans="2:11" s="1" customFormat="1">
      <c r="B538" s="5"/>
      <c r="C538" s="6" t="s">
        <v>120</v>
      </c>
      <c r="D538" s="7">
        <v>7</v>
      </c>
      <c r="E538" s="7">
        <v>6</v>
      </c>
      <c r="F538" s="7">
        <v>5</v>
      </c>
      <c r="G538" s="7">
        <v>4</v>
      </c>
      <c r="H538" s="7">
        <v>3</v>
      </c>
      <c r="I538" s="7">
        <v>2</v>
      </c>
      <c r="J538" s="7">
        <v>1</v>
      </c>
      <c r="K538" s="7">
        <v>0</v>
      </c>
    </row>
    <row r="539" spans="2:11" s="1" customFormat="1" ht="13.5" customHeight="1">
      <c r="B539" s="5"/>
      <c r="C539" s="8" t="s">
        <v>6</v>
      </c>
      <c r="D539" s="23" t="s">
        <v>121</v>
      </c>
      <c r="E539" s="23" t="s">
        <v>316</v>
      </c>
      <c r="F539" s="23" t="s">
        <v>317</v>
      </c>
      <c r="G539" s="131" t="s">
        <v>318</v>
      </c>
      <c r="H539" s="118"/>
      <c r="I539" s="131" t="s">
        <v>319</v>
      </c>
      <c r="J539" s="117"/>
      <c r="K539" s="118"/>
    </row>
    <row r="540" spans="2:11" s="1" customFormat="1">
      <c r="B540" s="5" t="str">
        <f>CONCATENATE(D540,E540,F540,G540,H540,I540,J540,K540)</f>
        <v>-0000000</v>
      </c>
      <c r="C540" s="8" t="s">
        <v>123</v>
      </c>
      <c r="D540" s="9" t="s">
        <v>124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</row>
    <row r="541" spans="2:11" s="1" customFormat="1"/>
    <row r="542" spans="2:11" s="65" customFormat="1" ht="12.75" customHeight="1">
      <c r="B542" s="64"/>
      <c r="C542" s="151" t="s">
        <v>1068</v>
      </c>
      <c r="D542" s="151"/>
      <c r="E542" s="151"/>
      <c r="F542" s="151"/>
      <c r="G542" s="151"/>
      <c r="H542" s="151"/>
      <c r="I542" s="151"/>
      <c r="J542" s="151"/>
      <c r="K542" s="151"/>
    </row>
    <row r="543" spans="2:11" s="1" customFormat="1">
      <c r="B543" s="5"/>
      <c r="C543" s="6" t="s">
        <v>120</v>
      </c>
      <c r="D543" s="7">
        <v>7</v>
      </c>
      <c r="E543" s="7">
        <v>6</v>
      </c>
      <c r="F543" s="7">
        <v>5</v>
      </c>
      <c r="G543" s="7">
        <v>4</v>
      </c>
      <c r="H543" s="7">
        <v>3</v>
      </c>
      <c r="I543" s="7">
        <v>2</v>
      </c>
      <c r="J543" s="7">
        <v>1</v>
      </c>
      <c r="K543" s="7">
        <v>0</v>
      </c>
    </row>
    <row r="544" spans="2:11" s="1" customFormat="1" ht="13.5" customHeight="1">
      <c r="B544" s="5"/>
      <c r="C544" s="8" t="s">
        <v>6</v>
      </c>
      <c r="D544" s="23" t="s">
        <v>121</v>
      </c>
      <c r="E544" s="23" t="s">
        <v>1179</v>
      </c>
      <c r="F544" s="23" t="s">
        <v>1176</v>
      </c>
      <c r="G544" s="23" t="s">
        <v>121</v>
      </c>
      <c r="H544" s="23" t="s">
        <v>121</v>
      </c>
      <c r="I544" s="23" t="s">
        <v>1177</v>
      </c>
      <c r="J544" s="23" t="s">
        <v>1060</v>
      </c>
      <c r="K544" s="23" t="s">
        <v>1059</v>
      </c>
    </row>
    <row r="545" spans="2:11" s="1" customFormat="1">
      <c r="B545" s="5" t="str">
        <f>CONCATENATE(D545,E545,F545,G545,H545,I545,J545,K545)</f>
        <v>--0--001</v>
      </c>
      <c r="C545" s="8" t="s">
        <v>123</v>
      </c>
      <c r="D545" s="69" t="s">
        <v>1081</v>
      </c>
      <c r="E545" s="69" t="s">
        <v>1081</v>
      </c>
      <c r="F545" s="9">
        <v>0</v>
      </c>
      <c r="G545" s="69" t="s">
        <v>1081</v>
      </c>
      <c r="H545" s="69" t="s">
        <v>1081</v>
      </c>
      <c r="I545" s="9">
        <v>0</v>
      </c>
      <c r="J545" s="9">
        <v>0</v>
      </c>
      <c r="K545" s="9">
        <v>1</v>
      </c>
    </row>
    <row r="546" spans="2:11" s="1" customFormat="1">
      <c r="B546" s="5"/>
      <c r="C546" s="102"/>
      <c r="D546" s="102"/>
      <c r="E546" s="102"/>
      <c r="F546" s="102"/>
      <c r="G546" s="102"/>
      <c r="H546" s="102"/>
      <c r="I546" s="102"/>
      <c r="J546" s="102"/>
      <c r="K546" s="102"/>
    </row>
    <row r="547" spans="2:11" s="1" customFormat="1" ht="13.5">
      <c r="B547" s="3"/>
      <c r="C547" s="52" t="s">
        <v>6</v>
      </c>
      <c r="D547" s="143" t="s">
        <v>125</v>
      </c>
      <c r="E547" s="143"/>
      <c r="F547" s="52" t="s">
        <v>126</v>
      </c>
      <c r="G547" s="143" t="s">
        <v>127</v>
      </c>
      <c r="H547" s="143"/>
      <c r="I547" s="143"/>
      <c r="J547" s="143"/>
      <c r="K547" s="52" t="s">
        <v>123</v>
      </c>
    </row>
    <row r="548" spans="2:11" s="1" customFormat="1" ht="24.75" customHeight="1">
      <c r="B548" s="3"/>
      <c r="C548" s="52" t="str">
        <f>K544</f>
        <v>PEN_PROT</v>
      </c>
      <c r="D548" s="144" t="s">
        <v>1183</v>
      </c>
      <c r="E548" s="144"/>
      <c r="F548" s="53"/>
      <c r="G548" s="144" t="s">
        <v>1184</v>
      </c>
      <c r="H548" s="144"/>
      <c r="I548" s="144"/>
      <c r="J548" s="144"/>
      <c r="K548" s="52" t="s">
        <v>262</v>
      </c>
    </row>
    <row r="549" spans="2:11" s="1" customFormat="1" ht="24.75" customHeight="1">
      <c r="B549" s="3"/>
      <c r="C549" s="52" t="str">
        <f>J544</f>
        <v>SDET_EN</v>
      </c>
      <c r="D549" s="144" t="s">
        <v>1178</v>
      </c>
      <c r="E549" s="144"/>
      <c r="F549" s="53"/>
      <c r="G549" s="144" t="s">
        <v>1185</v>
      </c>
      <c r="H549" s="144"/>
      <c r="I549" s="144"/>
      <c r="J549" s="144"/>
      <c r="K549" s="52" t="s">
        <v>262</v>
      </c>
    </row>
    <row r="550" spans="2:11" s="1" customFormat="1" ht="24.75" customHeight="1">
      <c r="B550" s="3"/>
      <c r="C550" s="52" t="str">
        <f>I544</f>
        <v>SDET_MASK</v>
      </c>
      <c r="D550" s="144" t="s">
        <v>1181</v>
      </c>
      <c r="E550" s="144"/>
      <c r="F550" s="53"/>
      <c r="G550" s="144" t="s">
        <v>1182</v>
      </c>
      <c r="H550" s="144"/>
      <c r="I550" s="144"/>
      <c r="J550" s="144"/>
      <c r="K550" s="52" t="s">
        <v>262</v>
      </c>
    </row>
    <row r="551" spans="2:11" s="1" customFormat="1" ht="24.75" customHeight="1">
      <c r="B551" s="3"/>
      <c r="C551" s="52" t="str">
        <f>F544</f>
        <v>OVP_OUT</v>
      </c>
      <c r="D551" s="144"/>
      <c r="E551" s="144"/>
      <c r="F551" s="53"/>
      <c r="G551" s="144"/>
      <c r="H551" s="144"/>
      <c r="I551" s="144"/>
      <c r="J551" s="144"/>
      <c r="K551" s="52" t="s">
        <v>262</v>
      </c>
    </row>
    <row r="552" spans="2:11" s="1" customFormat="1" ht="29.25" customHeight="1">
      <c r="B552" s="3"/>
      <c r="C552" s="52" t="str">
        <f>E544</f>
        <v>MLDO_SHORT_DET</v>
      </c>
      <c r="D552" s="144" t="s">
        <v>1178</v>
      </c>
      <c r="E552" s="144"/>
      <c r="F552" s="53"/>
      <c r="G552" s="144" t="s">
        <v>1180</v>
      </c>
      <c r="H552" s="144"/>
      <c r="I552" s="144"/>
      <c r="J552" s="144"/>
      <c r="K552" s="52" t="s">
        <v>262</v>
      </c>
    </row>
    <row r="553" spans="2:11" s="1" customFormat="1"/>
    <row r="554" spans="2:11" s="65" customFormat="1" ht="12.75" customHeight="1">
      <c r="B554" s="64"/>
      <c r="C554" s="151" t="s">
        <v>1067</v>
      </c>
      <c r="D554" s="151"/>
      <c r="E554" s="151"/>
      <c r="F554" s="151"/>
      <c r="G554" s="151"/>
      <c r="H554" s="151"/>
      <c r="I554" s="151"/>
      <c r="J554" s="151"/>
      <c r="K554" s="151"/>
    </row>
    <row r="555" spans="2:11" s="1" customFormat="1">
      <c r="B555" s="5"/>
      <c r="C555" s="6" t="s">
        <v>120</v>
      </c>
      <c r="D555" s="7">
        <v>7</v>
      </c>
      <c r="E555" s="7">
        <v>6</v>
      </c>
      <c r="F555" s="7">
        <v>5</v>
      </c>
      <c r="G555" s="7">
        <v>4</v>
      </c>
      <c r="H555" s="7">
        <v>3</v>
      </c>
      <c r="I555" s="7">
        <v>2</v>
      </c>
      <c r="J555" s="7">
        <v>1</v>
      </c>
      <c r="K555" s="7">
        <v>0</v>
      </c>
    </row>
    <row r="556" spans="2:11" s="1" customFormat="1" ht="13.5" customHeight="1">
      <c r="B556" s="5"/>
      <c r="C556" s="8" t="s">
        <v>6</v>
      </c>
      <c r="D556" s="131" t="s">
        <v>1271</v>
      </c>
      <c r="E556" s="117"/>
      <c r="F556" s="117"/>
      <c r="G556" s="118"/>
      <c r="H556" s="131" t="s">
        <v>1062</v>
      </c>
      <c r="I556" s="118"/>
      <c r="J556" s="131" t="s">
        <v>1061</v>
      </c>
      <c r="K556" s="118"/>
    </row>
    <row r="557" spans="2:11" s="1" customFormat="1">
      <c r="B557" s="5" t="str">
        <f>CONCATENATE(D557,E557,F557,G557,H557,I557,J557,K557)</f>
        <v>11110101</v>
      </c>
      <c r="C557" s="8" t="s">
        <v>123</v>
      </c>
      <c r="D557" s="9">
        <v>1</v>
      </c>
      <c r="E557" s="44">
        <v>1</v>
      </c>
      <c r="F557" s="44">
        <v>1</v>
      </c>
      <c r="G557" s="44">
        <v>1</v>
      </c>
      <c r="H557" s="9">
        <v>0</v>
      </c>
      <c r="I557" s="9">
        <v>1</v>
      </c>
      <c r="J557" s="9">
        <v>0</v>
      </c>
      <c r="K557" s="9">
        <v>1</v>
      </c>
    </row>
    <row r="558" spans="2:11" s="1" customFormat="1">
      <c r="B558" s="5"/>
      <c r="C558" s="102"/>
      <c r="D558" s="102"/>
      <c r="E558" s="102"/>
      <c r="F558" s="102"/>
      <c r="G558" s="102"/>
      <c r="H558" s="102"/>
      <c r="I558" s="102"/>
      <c r="J558" s="102"/>
      <c r="K558" s="102"/>
    </row>
    <row r="559" spans="2:11" s="1" customFormat="1" ht="13.5">
      <c r="B559" s="3"/>
      <c r="C559" s="52" t="s">
        <v>6</v>
      </c>
      <c r="D559" s="143" t="s">
        <v>125</v>
      </c>
      <c r="E559" s="143"/>
      <c r="F559" s="52" t="s">
        <v>126</v>
      </c>
      <c r="G559" s="143" t="s">
        <v>127</v>
      </c>
      <c r="H559" s="143"/>
      <c r="I559" s="143"/>
      <c r="J559" s="143"/>
      <c r="K559" s="52" t="s">
        <v>123</v>
      </c>
    </row>
    <row r="560" spans="2:11" s="1" customFormat="1" ht="24.75" customHeight="1">
      <c r="B560" s="3"/>
      <c r="C560" s="52" t="str">
        <f>J556</f>
        <v>SDET_TRIM[1:0]</v>
      </c>
      <c r="D560" s="144" t="s">
        <v>1186</v>
      </c>
      <c r="E560" s="144"/>
      <c r="F560" s="53"/>
      <c r="G560" s="144" t="s">
        <v>1187</v>
      </c>
      <c r="H560" s="144"/>
      <c r="I560" s="144"/>
      <c r="J560" s="144"/>
      <c r="K560" s="52" t="s">
        <v>262</v>
      </c>
    </row>
    <row r="561" spans="2:11" s="1" customFormat="1" ht="24.75" customHeight="1">
      <c r="B561" s="3"/>
      <c r="C561" s="52" t="str">
        <f>H556</f>
        <v>SDET_TRIMH[1:0]</v>
      </c>
      <c r="D561" s="144" t="s">
        <v>1188</v>
      </c>
      <c r="E561" s="144"/>
      <c r="F561" s="53"/>
      <c r="G561" s="144" t="s">
        <v>1189</v>
      </c>
      <c r="H561" s="144"/>
      <c r="I561" s="144"/>
      <c r="J561" s="144"/>
      <c r="K561" s="52" t="s">
        <v>262</v>
      </c>
    </row>
    <row r="562" spans="2:11" s="1" customFormat="1" ht="24.75" customHeight="1">
      <c r="B562" s="3"/>
      <c r="C562" s="52" t="str">
        <f>D556</f>
        <v>SDET_CNT[3:0]</v>
      </c>
      <c r="D562" s="144" t="s">
        <v>1190</v>
      </c>
      <c r="E562" s="144"/>
      <c r="F562" s="53"/>
      <c r="G562" s="144" t="s">
        <v>1191</v>
      </c>
      <c r="H562" s="144"/>
      <c r="I562" s="144"/>
      <c r="J562" s="144"/>
      <c r="K562" s="52" t="s">
        <v>1192</v>
      </c>
    </row>
    <row r="563" spans="2:11" s="1" customFormat="1"/>
    <row r="564" spans="2:11" s="1" customFormat="1" ht="12.75" customHeight="1">
      <c r="B564" s="5"/>
      <c r="C564" s="151" t="s">
        <v>1066</v>
      </c>
      <c r="D564" s="151"/>
      <c r="E564" s="151"/>
      <c r="F564" s="151"/>
      <c r="G564" s="151"/>
      <c r="H564" s="151"/>
      <c r="I564" s="151"/>
      <c r="J564" s="151"/>
      <c r="K564" s="151"/>
    </row>
    <row r="565" spans="2:11" s="1" customFormat="1">
      <c r="B565" s="5"/>
      <c r="C565" s="6" t="s">
        <v>120</v>
      </c>
      <c r="D565" s="7">
        <v>7</v>
      </c>
      <c r="E565" s="7">
        <v>6</v>
      </c>
      <c r="F565" s="7">
        <v>5</v>
      </c>
      <c r="G565" s="7">
        <v>4</v>
      </c>
      <c r="H565" s="7">
        <v>3</v>
      </c>
      <c r="I565" s="7">
        <v>2</v>
      </c>
      <c r="J565" s="7">
        <v>1</v>
      </c>
      <c r="K565" s="7">
        <v>0</v>
      </c>
    </row>
    <row r="566" spans="2:11" s="1" customFormat="1" ht="13.5" customHeight="1">
      <c r="B566" s="5"/>
      <c r="C566" s="8" t="s">
        <v>6</v>
      </c>
      <c r="D566" s="23" t="s">
        <v>121</v>
      </c>
      <c r="E566" s="23" t="s">
        <v>121</v>
      </c>
      <c r="F566" s="131" t="s">
        <v>1272</v>
      </c>
      <c r="G566" s="117"/>
      <c r="H566" s="118"/>
      <c r="I566" s="131" t="s">
        <v>1064</v>
      </c>
      <c r="J566" s="117"/>
      <c r="K566" s="118"/>
    </row>
    <row r="567" spans="2:11" s="1" customFormat="1">
      <c r="B567" s="5" t="str">
        <f>CONCATENATE(D567,E567,F567,G567,H567,I567,J567,K567)</f>
        <v>--011011</v>
      </c>
      <c r="C567" s="8" t="s">
        <v>123</v>
      </c>
      <c r="D567" s="9" t="s">
        <v>124</v>
      </c>
      <c r="E567" s="9" t="s">
        <v>124</v>
      </c>
      <c r="F567" s="9">
        <v>0</v>
      </c>
      <c r="G567" s="9">
        <v>1</v>
      </c>
      <c r="H567" s="9">
        <v>1</v>
      </c>
      <c r="I567" s="9">
        <v>0</v>
      </c>
      <c r="J567" s="9">
        <v>1</v>
      </c>
      <c r="K567" s="9">
        <v>1</v>
      </c>
    </row>
    <row r="568" spans="2:11" s="1" customFormat="1">
      <c r="B568" s="5"/>
      <c r="C568" s="102"/>
      <c r="D568" s="102"/>
      <c r="E568" s="102"/>
      <c r="F568" s="102"/>
      <c r="G568" s="102"/>
      <c r="H568" s="102"/>
      <c r="I568" s="102"/>
      <c r="J568" s="102"/>
      <c r="K568" s="102"/>
    </row>
    <row r="569" spans="2:11" s="1" customFormat="1" ht="13.5">
      <c r="B569" s="3"/>
      <c r="C569" s="10" t="s">
        <v>6</v>
      </c>
      <c r="D569" s="143" t="s">
        <v>125</v>
      </c>
      <c r="E569" s="143"/>
      <c r="F569" s="10" t="s">
        <v>126</v>
      </c>
      <c r="G569" s="143" t="s">
        <v>127</v>
      </c>
      <c r="H569" s="143"/>
      <c r="I569" s="143"/>
      <c r="J569" s="143"/>
      <c r="K569" s="10" t="s">
        <v>123</v>
      </c>
    </row>
    <row r="570" spans="2:11" s="1" customFormat="1" ht="13.5">
      <c r="B570" s="3"/>
      <c r="C570" s="10" t="str">
        <f>I566</f>
        <v>TRIM_OVP_H[3:0]</v>
      </c>
      <c r="D570" s="144" t="s">
        <v>320</v>
      </c>
      <c r="E570" s="144"/>
      <c r="F570" s="13"/>
      <c r="G570" s="144" t="s">
        <v>321</v>
      </c>
      <c r="H570" s="144"/>
      <c r="I570" s="144"/>
      <c r="J570" s="144"/>
      <c r="K570" s="10" t="s">
        <v>1196</v>
      </c>
    </row>
    <row r="571" spans="2:11" s="1" customFormat="1" ht="13.5">
      <c r="B571" s="3"/>
      <c r="C571" s="10" t="str">
        <f>F566</f>
        <v>TRIM_OVP_L[3:0]</v>
      </c>
      <c r="D571" s="144" t="s">
        <v>322</v>
      </c>
      <c r="E571" s="144"/>
      <c r="F571" s="13"/>
      <c r="G571" s="144" t="s">
        <v>323</v>
      </c>
      <c r="H571" s="144"/>
      <c r="I571" s="144"/>
      <c r="J571" s="144"/>
      <c r="K571" s="10" t="s">
        <v>1196</v>
      </c>
    </row>
    <row r="572" spans="2:11" s="1" customFormat="1">
      <c r="B572" s="3"/>
    </row>
    <row r="573" spans="2:11" s="1" customFormat="1">
      <c r="B573" s="47" t="s">
        <v>1063</v>
      </c>
      <c r="C573" s="151" t="s">
        <v>1065</v>
      </c>
      <c r="D573" s="151"/>
      <c r="E573" s="151"/>
      <c r="F573" s="151"/>
      <c r="G573" s="151"/>
      <c r="H573" s="151"/>
      <c r="I573" s="151"/>
      <c r="J573" s="151"/>
      <c r="K573" s="151"/>
    </row>
    <row r="574" spans="2:11" s="1" customFormat="1" ht="12.75" customHeight="1">
      <c r="B574" s="5"/>
      <c r="C574" s="6" t="s">
        <v>120</v>
      </c>
      <c r="D574" s="7">
        <v>7</v>
      </c>
      <c r="E574" s="7">
        <v>6</v>
      </c>
      <c r="F574" s="7">
        <v>5</v>
      </c>
      <c r="G574" s="7">
        <v>4</v>
      </c>
      <c r="H574" s="7">
        <v>3</v>
      </c>
      <c r="I574" s="7">
        <v>2</v>
      </c>
      <c r="J574" s="7">
        <v>1</v>
      </c>
      <c r="K574" s="7">
        <v>0</v>
      </c>
    </row>
    <row r="575" spans="2:11" s="1" customFormat="1" ht="16.5" customHeight="1">
      <c r="B575" s="5"/>
      <c r="C575" s="8" t="s">
        <v>6</v>
      </c>
      <c r="D575" s="131" t="s">
        <v>1194</v>
      </c>
      <c r="E575" s="117"/>
      <c r="F575" s="117"/>
      <c r="G575" s="118"/>
      <c r="H575" s="142" t="s">
        <v>1193</v>
      </c>
      <c r="I575" s="142"/>
      <c r="J575" s="142"/>
      <c r="K575" s="142"/>
    </row>
    <row r="576" spans="2:11" s="1" customFormat="1" ht="13.5" customHeight="1">
      <c r="B576" s="5"/>
      <c r="C576" s="8" t="s">
        <v>123</v>
      </c>
      <c r="D576" s="44">
        <v>0</v>
      </c>
      <c r="E576" s="44">
        <v>0</v>
      </c>
      <c r="F576" s="44">
        <v>0</v>
      </c>
      <c r="G576" s="44">
        <v>0</v>
      </c>
      <c r="H576" s="44">
        <v>0</v>
      </c>
      <c r="I576" s="44">
        <v>0</v>
      </c>
      <c r="J576" s="44">
        <v>0</v>
      </c>
      <c r="K576" s="44">
        <v>0</v>
      </c>
    </row>
    <row r="577" spans="2:11" s="1" customFormat="1">
      <c r="B577" s="5"/>
      <c r="C577" s="102"/>
      <c r="D577" s="102"/>
      <c r="E577" s="102"/>
      <c r="F577" s="102"/>
      <c r="G577" s="102"/>
      <c r="H577" s="102"/>
      <c r="I577" s="102"/>
      <c r="J577" s="102"/>
      <c r="K577" s="102"/>
    </row>
    <row r="578" spans="2:11" s="1" customFormat="1" ht="13.5">
      <c r="B578" s="3"/>
      <c r="C578" s="52" t="s">
        <v>6</v>
      </c>
      <c r="D578" s="143" t="s">
        <v>125</v>
      </c>
      <c r="E578" s="143"/>
      <c r="F578" s="52" t="s">
        <v>126</v>
      </c>
      <c r="G578" s="143" t="s">
        <v>127</v>
      </c>
      <c r="H578" s="143"/>
      <c r="I578" s="143"/>
      <c r="J578" s="143"/>
      <c r="K578" s="52" t="s">
        <v>123</v>
      </c>
    </row>
    <row r="579" spans="2:11" s="1" customFormat="1" ht="25.5" customHeight="1">
      <c r="B579" s="3"/>
      <c r="C579" s="52" t="str">
        <f>H575</f>
        <v>INTR_PROT_CLR[3:0]</v>
      </c>
      <c r="D579" s="144" t="s">
        <v>1198</v>
      </c>
      <c r="E579" s="144"/>
      <c r="F579" s="53"/>
      <c r="G579" s="144" t="s">
        <v>1199</v>
      </c>
      <c r="H579" s="144"/>
      <c r="I579" s="144"/>
      <c r="J579" s="144"/>
      <c r="K579" s="52" t="s">
        <v>1195</v>
      </c>
    </row>
    <row r="580" spans="2:11" s="1" customFormat="1" ht="13.5">
      <c r="B580" s="3"/>
      <c r="C580" s="52" t="str">
        <f>D575</f>
        <v>INTR_PROT_EN[7:4]</v>
      </c>
      <c r="D580" s="144"/>
      <c r="E580" s="144"/>
      <c r="F580" s="53"/>
      <c r="G580" s="144" t="s">
        <v>1197</v>
      </c>
      <c r="H580" s="144"/>
      <c r="I580" s="144"/>
      <c r="J580" s="144"/>
      <c r="K580" s="52" t="s">
        <v>299</v>
      </c>
    </row>
    <row r="581" spans="2:11" s="1" customFormat="1">
      <c r="B581" s="5" t="str">
        <f>CONCATENATE(D585,E585,F585,G585,H585,I585,J585,K585)</f>
        <v>00000000</v>
      </c>
    </row>
    <row r="582" spans="2:11" s="1" customFormat="1">
      <c r="C582" s="152" t="s">
        <v>324</v>
      </c>
      <c r="D582" s="152"/>
      <c r="E582" s="152"/>
      <c r="F582" s="152"/>
      <c r="G582" s="152"/>
      <c r="H582" s="152"/>
      <c r="I582" s="152"/>
      <c r="J582" s="152"/>
      <c r="K582" s="152"/>
    </row>
    <row r="583" spans="2:11" s="1" customFormat="1" ht="12.75" customHeight="1">
      <c r="B583" s="5"/>
      <c r="C583" s="6" t="s">
        <v>120</v>
      </c>
      <c r="D583" s="7">
        <v>7</v>
      </c>
      <c r="E583" s="7">
        <v>6</v>
      </c>
      <c r="F583" s="7">
        <v>5</v>
      </c>
      <c r="G583" s="7">
        <v>4</v>
      </c>
      <c r="H583" s="7">
        <v>3</v>
      </c>
      <c r="I583" s="7">
        <v>2</v>
      </c>
      <c r="J583" s="7">
        <v>1</v>
      </c>
      <c r="K583" s="7">
        <v>0</v>
      </c>
    </row>
    <row r="584" spans="2:11" s="1" customFormat="1">
      <c r="B584" s="5"/>
      <c r="C584" s="8" t="s">
        <v>6</v>
      </c>
      <c r="D584" s="23" t="s">
        <v>325</v>
      </c>
      <c r="E584" s="131" t="s">
        <v>326</v>
      </c>
      <c r="F584" s="118"/>
      <c r="G584" s="131" t="s">
        <v>327</v>
      </c>
      <c r="H584" s="117"/>
      <c r="I584" s="117"/>
      <c r="J584" s="117"/>
      <c r="K584" s="118"/>
    </row>
    <row r="585" spans="2:11" s="1" customFormat="1" ht="13.5" customHeight="1">
      <c r="B585" s="5"/>
      <c r="C585" s="8" t="s">
        <v>123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</row>
    <row r="586" spans="2:11" s="1" customFormat="1">
      <c r="B586" s="5" t="str">
        <f>CONCATENATE(D590,E590,F590,G590,H590,I590,J590,K590)</f>
        <v>00000000</v>
      </c>
    </row>
    <row r="587" spans="2:11" s="1" customFormat="1">
      <c r="C587" s="152" t="s">
        <v>328</v>
      </c>
      <c r="D587" s="152"/>
      <c r="E587" s="152"/>
      <c r="F587" s="152"/>
      <c r="G587" s="152"/>
      <c r="H587" s="152"/>
      <c r="I587" s="152"/>
      <c r="J587" s="152"/>
      <c r="K587" s="152"/>
    </row>
    <row r="588" spans="2:11" s="1" customFormat="1" ht="12.75" customHeight="1">
      <c r="B588" s="5"/>
      <c r="C588" s="6" t="s">
        <v>120</v>
      </c>
      <c r="D588" s="7">
        <v>7</v>
      </c>
      <c r="E588" s="7">
        <v>6</v>
      </c>
      <c r="F588" s="7">
        <v>5</v>
      </c>
      <c r="G588" s="7">
        <v>4</v>
      </c>
      <c r="H588" s="7">
        <v>3</v>
      </c>
      <c r="I588" s="7">
        <v>2</v>
      </c>
      <c r="J588" s="7">
        <v>1</v>
      </c>
      <c r="K588" s="7">
        <v>0</v>
      </c>
    </row>
    <row r="589" spans="2:11" s="1" customFormat="1">
      <c r="B589" s="5"/>
      <c r="C589" s="8" t="s">
        <v>6</v>
      </c>
      <c r="D589" s="23" t="s">
        <v>329</v>
      </c>
      <c r="E589" s="131" t="s">
        <v>330</v>
      </c>
      <c r="F589" s="118"/>
      <c r="G589" s="131" t="s">
        <v>331</v>
      </c>
      <c r="H589" s="117"/>
      <c r="I589" s="117"/>
      <c r="J589" s="117"/>
      <c r="K589" s="118"/>
    </row>
    <row r="590" spans="2:11" s="1" customFormat="1" ht="13.5" customHeight="1">
      <c r="B590" s="5"/>
      <c r="C590" s="8" t="s">
        <v>123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</row>
    <row r="591" spans="2:11" s="1" customFormat="1">
      <c r="B591" s="5" t="str">
        <f>CONCATENATE(D595,E595,F595,G595,H595,I595,J595,K595)</f>
        <v>00000000</v>
      </c>
    </row>
    <row r="592" spans="2:11" s="1" customFormat="1">
      <c r="C592" s="152" t="s">
        <v>332</v>
      </c>
      <c r="D592" s="152"/>
      <c r="E592" s="152"/>
      <c r="F592" s="152"/>
      <c r="G592" s="152"/>
      <c r="H592" s="152"/>
      <c r="I592" s="152"/>
      <c r="J592" s="152"/>
      <c r="K592" s="152"/>
    </row>
    <row r="593" spans="2:11" s="1" customFormat="1" ht="12.75" customHeight="1">
      <c r="B593" s="5"/>
      <c r="C593" s="6" t="s">
        <v>120</v>
      </c>
      <c r="D593" s="7">
        <v>7</v>
      </c>
      <c r="E593" s="7">
        <v>6</v>
      </c>
      <c r="F593" s="7">
        <v>5</v>
      </c>
      <c r="G593" s="7">
        <v>4</v>
      </c>
      <c r="H593" s="7">
        <v>3</v>
      </c>
      <c r="I593" s="7">
        <v>2</v>
      </c>
      <c r="J593" s="7">
        <v>1</v>
      </c>
      <c r="K593" s="7">
        <v>0</v>
      </c>
    </row>
    <row r="594" spans="2:11" s="1" customFormat="1">
      <c r="B594" s="5"/>
      <c r="C594" s="8" t="s">
        <v>6</v>
      </c>
      <c r="D594" s="23" t="s">
        <v>333</v>
      </c>
      <c r="E594" s="131" t="s">
        <v>334</v>
      </c>
      <c r="F594" s="118"/>
      <c r="G594" s="131" t="s">
        <v>335</v>
      </c>
      <c r="H594" s="117"/>
      <c r="I594" s="117"/>
      <c r="J594" s="117"/>
      <c r="K594" s="118"/>
    </row>
    <row r="595" spans="2:11" s="1" customFormat="1" ht="13.5" customHeight="1">
      <c r="B595" s="5"/>
      <c r="C595" s="8" t="s">
        <v>123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</row>
    <row r="596" spans="2:11" s="1" customFormat="1">
      <c r="B596" s="5" t="str">
        <f>CONCATENATE(D600,E600,F600,G600,H600,I600,J600,K600)</f>
        <v>00000000</v>
      </c>
    </row>
    <row r="597" spans="2:11">
      <c r="C597" s="152" t="s">
        <v>336</v>
      </c>
      <c r="D597" s="152"/>
      <c r="E597" s="152"/>
      <c r="F597" s="152"/>
      <c r="G597" s="152"/>
      <c r="H597" s="152"/>
      <c r="I597" s="152"/>
      <c r="J597" s="152"/>
      <c r="K597" s="152"/>
    </row>
    <row r="598" spans="2:11" s="1" customFormat="1">
      <c r="B598" s="3"/>
      <c r="C598" s="6" t="s">
        <v>120</v>
      </c>
      <c r="D598" s="7">
        <v>7</v>
      </c>
      <c r="E598" s="7">
        <v>6</v>
      </c>
      <c r="F598" s="7">
        <v>5</v>
      </c>
      <c r="G598" s="7">
        <v>4</v>
      </c>
      <c r="H598" s="7">
        <v>3</v>
      </c>
      <c r="I598" s="7">
        <v>2</v>
      </c>
      <c r="J598" s="7">
        <v>1</v>
      </c>
      <c r="K598" s="7">
        <v>0</v>
      </c>
    </row>
    <row r="599" spans="2:11" s="1" customFormat="1" ht="13.5" customHeight="1">
      <c r="B599" s="3"/>
      <c r="C599" s="8" t="s">
        <v>6</v>
      </c>
      <c r="D599" s="23" t="s">
        <v>337</v>
      </c>
      <c r="E599" s="131" t="s">
        <v>338</v>
      </c>
      <c r="F599" s="118"/>
      <c r="G599" s="131" t="s">
        <v>339</v>
      </c>
      <c r="H599" s="117"/>
      <c r="I599" s="117"/>
      <c r="J599" s="117"/>
      <c r="K599" s="118"/>
    </row>
    <row r="600" spans="2:11" s="1" customFormat="1">
      <c r="B600" s="3"/>
      <c r="C600" s="8" t="s">
        <v>123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</row>
    <row r="601" spans="2:11" s="1" customFormat="1">
      <c r="B601" s="3"/>
      <c r="C601" s="2"/>
      <c r="D601" s="2"/>
      <c r="E601" s="2"/>
      <c r="F601" s="2"/>
      <c r="G601" s="2"/>
      <c r="H601" s="2"/>
      <c r="I601" s="2"/>
      <c r="J601" s="2"/>
      <c r="K601" s="2"/>
    </row>
    <row r="602" spans="2:11" s="1" customFormat="1" ht="13.5">
      <c r="B602" s="3"/>
      <c r="C602" s="10" t="s">
        <v>6</v>
      </c>
      <c r="D602" s="143" t="s">
        <v>125</v>
      </c>
      <c r="E602" s="143"/>
      <c r="F602" s="10" t="s">
        <v>126</v>
      </c>
      <c r="G602" s="143" t="s">
        <v>127</v>
      </c>
      <c r="H602" s="143"/>
      <c r="I602" s="143"/>
      <c r="J602" s="143"/>
      <c r="K602" s="10" t="s">
        <v>123</v>
      </c>
    </row>
    <row r="603" spans="2:11" s="1" customFormat="1" ht="13.5">
      <c r="B603" s="3"/>
      <c r="C603" s="167" t="s">
        <v>340</v>
      </c>
      <c r="D603" s="158" t="s">
        <v>341</v>
      </c>
      <c r="E603" s="159"/>
      <c r="F603" s="13" t="s">
        <v>342</v>
      </c>
      <c r="G603" s="144" t="s">
        <v>343</v>
      </c>
      <c r="H603" s="144"/>
      <c r="I603" s="144"/>
      <c r="J603" s="144"/>
      <c r="K603" s="156"/>
    </row>
    <row r="604" spans="2:11" s="1" customFormat="1" ht="13.5">
      <c r="B604" s="3"/>
      <c r="C604" s="156"/>
      <c r="D604" s="160"/>
      <c r="E604" s="161"/>
      <c r="F604" s="13" t="s">
        <v>344</v>
      </c>
      <c r="G604" s="144" t="s">
        <v>345</v>
      </c>
      <c r="H604" s="144"/>
      <c r="I604" s="144"/>
      <c r="J604" s="144"/>
      <c r="K604" s="156"/>
    </row>
    <row r="605" spans="2:11" s="1" customFormat="1" ht="13.5">
      <c r="B605" s="3"/>
      <c r="C605" s="156"/>
      <c r="D605" s="160"/>
      <c r="E605" s="161"/>
      <c r="F605" s="13" t="s">
        <v>346</v>
      </c>
      <c r="G605" s="144" t="s">
        <v>347</v>
      </c>
      <c r="H605" s="144"/>
      <c r="I605" s="144"/>
      <c r="J605" s="144"/>
      <c r="K605" s="156"/>
    </row>
    <row r="606" spans="2:11" s="1" customFormat="1" ht="13.5">
      <c r="B606" s="3"/>
      <c r="C606" s="156"/>
      <c r="D606" s="160"/>
      <c r="E606" s="161"/>
      <c r="F606" s="13" t="s">
        <v>348</v>
      </c>
      <c r="G606" s="144" t="s">
        <v>349</v>
      </c>
      <c r="H606" s="144"/>
      <c r="I606" s="144"/>
      <c r="J606" s="144"/>
      <c r="K606" s="156"/>
    </row>
    <row r="607" spans="2:11" s="1" customFormat="1" ht="13.5">
      <c r="B607" s="3"/>
      <c r="C607" s="156"/>
      <c r="D607" s="160"/>
      <c r="E607" s="161"/>
      <c r="F607" s="13" t="s">
        <v>350</v>
      </c>
      <c r="G607" s="144" t="s">
        <v>351</v>
      </c>
      <c r="H607" s="144"/>
      <c r="I607" s="144"/>
      <c r="J607" s="144"/>
      <c r="K607" s="156"/>
    </row>
    <row r="608" spans="2:11" s="1" customFormat="1" ht="13.5">
      <c r="B608" s="3"/>
      <c r="C608" s="156"/>
      <c r="D608" s="160"/>
      <c r="E608" s="161"/>
      <c r="F608" s="13" t="s">
        <v>352</v>
      </c>
      <c r="G608" s="144" t="s">
        <v>353</v>
      </c>
      <c r="H608" s="144"/>
      <c r="I608" s="144"/>
      <c r="J608" s="144"/>
      <c r="K608" s="156"/>
    </row>
    <row r="609" spans="2:11" s="1" customFormat="1" ht="13.5">
      <c r="B609" s="3"/>
      <c r="C609" s="156"/>
      <c r="D609" s="160"/>
      <c r="E609" s="161"/>
      <c r="F609" s="13" t="s">
        <v>354</v>
      </c>
      <c r="G609" s="144" t="s">
        <v>355</v>
      </c>
      <c r="H609" s="144"/>
      <c r="I609" s="144"/>
      <c r="J609" s="144"/>
      <c r="K609" s="156"/>
    </row>
    <row r="610" spans="2:11" s="1" customFormat="1" ht="13.5">
      <c r="B610" s="3"/>
      <c r="C610" s="156"/>
      <c r="D610" s="160"/>
      <c r="E610" s="161"/>
      <c r="F610" s="13" t="s">
        <v>356</v>
      </c>
      <c r="G610" s="144" t="s">
        <v>357</v>
      </c>
      <c r="H610" s="144"/>
      <c r="I610" s="144"/>
      <c r="J610" s="144"/>
      <c r="K610" s="156"/>
    </row>
    <row r="611" spans="2:11" s="1" customFormat="1" ht="13.5">
      <c r="B611" s="3"/>
      <c r="C611" s="156"/>
      <c r="D611" s="160"/>
      <c r="E611" s="161"/>
      <c r="F611" s="13" t="s">
        <v>358</v>
      </c>
      <c r="G611" s="144" t="s">
        <v>273</v>
      </c>
      <c r="H611" s="144"/>
      <c r="I611" s="144"/>
      <c r="J611" s="144"/>
      <c r="K611" s="156"/>
    </row>
    <row r="612" spans="2:11" s="1" customFormat="1" ht="13.5">
      <c r="B612" s="3"/>
      <c r="C612" s="156"/>
      <c r="D612" s="160"/>
      <c r="E612" s="161"/>
      <c r="F612" s="13" t="s">
        <v>359</v>
      </c>
      <c r="G612" s="144" t="s">
        <v>360</v>
      </c>
      <c r="H612" s="144"/>
      <c r="I612" s="144"/>
      <c r="J612" s="144"/>
      <c r="K612" s="156"/>
    </row>
    <row r="613" spans="2:11" s="1" customFormat="1" ht="13.5">
      <c r="B613" s="3"/>
      <c r="C613" s="156"/>
      <c r="D613" s="160"/>
      <c r="E613" s="161"/>
      <c r="F613" s="13" t="s">
        <v>361</v>
      </c>
      <c r="G613" s="144" t="s">
        <v>362</v>
      </c>
      <c r="H613" s="144"/>
      <c r="I613" s="144"/>
      <c r="J613" s="144"/>
      <c r="K613" s="156"/>
    </row>
    <row r="614" spans="2:11" s="1" customFormat="1" ht="13.5">
      <c r="B614" s="3"/>
      <c r="C614" s="156"/>
      <c r="D614" s="160"/>
      <c r="E614" s="161"/>
      <c r="F614" s="13" t="s">
        <v>363</v>
      </c>
      <c r="G614" s="144" t="s">
        <v>364</v>
      </c>
      <c r="H614" s="144"/>
      <c r="I614" s="144"/>
      <c r="J614" s="144"/>
      <c r="K614" s="156"/>
    </row>
    <row r="615" spans="2:11" s="1" customFormat="1" ht="13.5">
      <c r="B615" s="3"/>
      <c r="C615" s="156"/>
      <c r="D615" s="160"/>
      <c r="E615" s="161"/>
      <c r="F615" s="13" t="s">
        <v>365</v>
      </c>
      <c r="G615" s="144" t="s">
        <v>366</v>
      </c>
      <c r="H615" s="144"/>
      <c r="I615" s="144"/>
      <c r="J615" s="144"/>
      <c r="K615" s="156"/>
    </row>
    <row r="616" spans="2:11" s="1" customFormat="1" ht="13.5">
      <c r="B616" s="3"/>
      <c r="C616" s="156"/>
      <c r="D616" s="160"/>
      <c r="E616" s="161"/>
      <c r="F616" s="13" t="s">
        <v>367</v>
      </c>
      <c r="G616" s="144" t="s">
        <v>368</v>
      </c>
      <c r="H616" s="144"/>
      <c r="I616" s="144"/>
      <c r="J616" s="144"/>
      <c r="K616" s="156"/>
    </row>
    <row r="617" spans="2:11" s="1" customFormat="1" ht="13.5">
      <c r="B617" s="3"/>
      <c r="C617" s="156"/>
      <c r="D617" s="160"/>
      <c r="E617" s="161"/>
      <c r="F617" s="13" t="s">
        <v>369</v>
      </c>
      <c r="G617" s="144" t="s">
        <v>370</v>
      </c>
      <c r="H617" s="144"/>
      <c r="I617" s="144"/>
      <c r="J617" s="144"/>
      <c r="K617" s="156"/>
    </row>
    <row r="618" spans="2:11" s="1" customFormat="1" ht="13.5">
      <c r="B618" s="3"/>
      <c r="C618" s="156"/>
      <c r="D618" s="160"/>
      <c r="E618" s="161"/>
      <c r="F618" s="13" t="s">
        <v>371</v>
      </c>
      <c r="G618" s="144" t="s">
        <v>372</v>
      </c>
      <c r="H618" s="144"/>
      <c r="I618" s="144"/>
      <c r="J618" s="144"/>
      <c r="K618" s="156"/>
    </row>
    <row r="619" spans="2:11" s="1" customFormat="1" ht="13.5">
      <c r="B619" s="3"/>
      <c r="C619" s="156"/>
      <c r="D619" s="160"/>
      <c r="E619" s="161"/>
      <c r="F619" s="13" t="s">
        <v>373</v>
      </c>
      <c r="G619" s="144" t="s">
        <v>374</v>
      </c>
      <c r="H619" s="144"/>
      <c r="I619" s="144"/>
      <c r="J619" s="144"/>
      <c r="K619" s="156"/>
    </row>
    <row r="620" spans="2:11" s="1" customFormat="1" ht="13.5">
      <c r="B620" s="3"/>
      <c r="C620" s="156"/>
      <c r="D620" s="160"/>
      <c r="E620" s="161"/>
      <c r="F620" s="13" t="s">
        <v>375</v>
      </c>
      <c r="G620" s="144" t="s">
        <v>376</v>
      </c>
      <c r="H620" s="144"/>
      <c r="I620" s="144"/>
      <c r="J620" s="144"/>
      <c r="K620" s="156"/>
    </row>
    <row r="621" spans="2:11" s="1" customFormat="1" ht="13.5">
      <c r="B621" s="3"/>
      <c r="C621" s="156"/>
      <c r="D621" s="160"/>
      <c r="E621" s="161"/>
      <c r="F621" s="13" t="s">
        <v>377</v>
      </c>
      <c r="G621" s="144" t="s">
        <v>378</v>
      </c>
      <c r="H621" s="144"/>
      <c r="I621" s="144"/>
      <c r="J621" s="144"/>
      <c r="K621" s="156"/>
    </row>
    <row r="622" spans="2:11" s="1" customFormat="1" ht="13.5">
      <c r="B622" s="3"/>
      <c r="C622" s="156"/>
      <c r="D622" s="160"/>
      <c r="E622" s="161"/>
      <c r="F622" s="13" t="s">
        <v>379</v>
      </c>
      <c r="G622" s="144" t="s">
        <v>380</v>
      </c>
      <c r="H622" s="144"/>
      <c r="I622" s="144"/>
      <c r="J622" s="144"/>
      <c r="K622" s="156"/>
    </row>
    <row r="623" spans="2:11" s="1" customFormat="1" ht="13.5">
      <c r="B623" s="3"/>
      <c r="C623" s="156"/>
      <c r="D623" s="160"/>
      <c r="E623" s="161"/>
      <c r="F623" s="13" t="s">
        <v>381</v>
      </c>
      <c r="G623" s="144" t="s">
        <v>382</v>
      </c>
      <c r="H623" s="144"/>
      <c r="I623" s="144"/>
      <c r="J623" s="144"/>
      <c r="K623" s="156"/>
    </row>
    <row r="624" spans="2:11" s="1" customFormat="1" ht="13.5">
      <c r="B624" s="3"/>
      <c r="C624" s="156"/>
      <c r="D624" s="160"/>
      <c r="E624" s="161"/>
      <c r="F624" s="13" t="s">
        <v>383</v>
      </c>
      <c r="G624" s="144" t="s">
        <v>384</v>
      </c>
      <c r="H624" s="144"/>
      <c r="I624" s="144"/>
      <c r="J624" s="144"/>
      <c r="K624" s="156"/>
    </row>
    <row r="625" spans="2:11" s="1" customFormat="1" ht="13.5">
      <c r="B625" s="3"/>
      <c r="C625" s="156"/>
      <c r="D625" s="160"/>
      <c r="E625" s="161"/>
      <c r="F625" s="13" t="s">
        <v>385</v>
      </c>
      <c r="G625" s="144" t="s">
        <v>386</v>
      </c>
      <c r="H625" s="144"/>
      <c r="I625" s="144"/>
      <c r="J625" s="144"/>
      <c r="K625" s="156"/>
    </row>
    <row r="626" spans="2:11" s="1" customFormat="1" ht="13.5">
      <c r="B626" s="3"/>
      <c r="C626" s="156"/>
      <c r="D626" s="160"/>
      <c r="E626" s="161"/>
      <c r="F626" s="13" t="s">
        <v>387</v>
      </c>
      <c r="G626" s="144" t="s">
        <v>388</v>
      </c>
      <c r="H626" s="144"/>
      <c r="I626" s="144"/>
      <c r="J626" s="144"/>
      <c r="K626" s="156"/>
    </row>
    <row r="627" spans="2:11" s="1" customFormat="1" ht="13.5">
      <c r="B627" s="3"/>
      <c r="C627" s="156"/>
      <c r="D627" s="160"/>
      <c r="E627" s="161"/>
      <c r="F627" s="13" t="s">
        <v>389</v>
      </c>
      <c r="G627" s="144" t="s">
        <v>390</v>
      </c>
      <c r="H627" s="144"/>
      <c r="I627" s="144"/>
      <c r="J627" s="144"/>
      <c r="K627" s="156"/>
    </row>
    <row r="628" spans="2:11" s="1" customFormat="1" ht="12.75" customHeight="1">
      <c r="B628" s="3"/>
      <c r="C628" s="156"/>
      <c r="D628" s="160"/>
      <c r="E628" s="161"/>
      <c r="F628" s="13" t="s">
        <v>391</v>
      </c>
      <c r="G628" s="144" t="s">
        <v>392</v>
      </c>
      <c r="H628" s="144"/>
      <c r="I628" s="144"/>
      <c r="J628" s="144"/>
      <c r="K628" s="156"/>
    </row>
    <row r="629" spans="2:11" s="1" customFormat="1" ht="12.75" customHeight="1">
      <c r="B629" s="5"/>
      <c r="C629" s="156"/>
      <c r="D629" s="160"/>
      <c r="E629" s="161"/>
      <c r="F629" s="13" t="s">
        <v>393</v>
      </c>
      <c r="G629" s="144" t="s">
        <v>394</v>
      </c>
      <c r="H629" s="144"/>
      <c r="I629" s="144"/>
      <c r="J629" s="144"/>
      <c r="K629" s="156"/>
    </row>
    <row r="630" spans="2:11" s="1" customFormat="1" ht="13.5">
      <c r="B630" s="5"/>
      <c r="C630" s="156"/>
      <c r="D630" s="160"/>
      <c r="E630" s="161"/>
      <c r="F630" s="13" t="s">
        <v>395</v>
      </c>
      <c r="G630" s="144" t="s">
        <v>396</v>
      </c>
      <c r="H630" s="144"/>
      <c r="I630" s="144"/>
      <c r="J630" s="144"/>
      <c r="K630" s="156"/>
    </row>
    <row r="631" spans="2:11" s="1" customFormat="1" ht="13.5" customHeight="1">
      <c r="B631" s="5"/>
      <c r="C631" s="157"/>
      <c r="D631" s="162"/>
      <c r="E631" s="163"/>
      <c r="F631" s="13" t="s">
        <v>397</v>
      </c>
      <c r="G631" s="153" t="s">
        <v>398</v>
      </c>
      <c r="H631" s="154"/>
      <c r="I631" s="154"/>
      <c r="J631" s="155"/>
      <c r="K631" s="157"/>
    </row>
    <row r="632" spans="2:11" s="1" customFormat="1">
      <c r="B632" s="5" t="str">
        <f>CONCATENATE(D636,E636,F636,G636,H636,I636,J636,K636)</f>
        <v>--000000</v>
      </c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2:11" s="1" customFormat="1">
      <c r="B633" s="5"/>
      <c r="C633" s="148" t="s">
        <v>399</v>
      </c>
      <c r="D633" s="148"/>
      <c r="E633" s="148"/>
      <c r="F633" s="148"/>
      <c r="G633" s="148"/>
      <c r="H633" s="148"/>
      <c r="I633" s="148"/>
      <c r="J633" s="148"/>
      <c r="K633" s="148"/>
    </row>
    <row r="634" spans="2:11" s="1" customFormat="1">
      <c r="B634" s="3"/>
      <c r="C634" s="6" t="s">
        <v>120</v>
      </c>
      <c r="D634" s="7">
        <v>7</v>
      </c>
      <c r="E634" s="7">
        <v>6</v>
      </c>
      <c r="F634" s="7">
        <v>5</v>
      </c>
      <c r="G634" s="7">
        <v>4</v>
      </c>
      <c r="H634" s="7">
        <v>3</v>
      </c>
      <c r="I634" s="7">
        <v>2</v>
      </c>
      <c r="J634" s="7">
        <v>1</v>
      </c>
      <c r="K634" s="7">
        <v>0</v>
      </c>
    </row>
    <row r="635" spans="2:11" s="1" customFormat="1">
      <c r="B635" s="3"/>
      <c r="C635" s="8" t="s">
        <v>6</v>
      </c>
      <c r="D635" s="23" t="s">
        <v>121</v>
      </c>
      <c r="E635" s="23" t="s">
        <v>121</v>
      </c>
      <c r="F635" s="23" t="s">
        <v>121</v>
      </c>
      <c r="G635" s="23" t="s">
        <v>1270</v>
      </c>
      <c r="H635" s="142" t="s">
        <v>1269</v>
      </c>
      <c r="I635" s="142"/>
      <c r="J635" s="142"/>
      <c r="K635" s="142"/>
    </row>
    <row r="636" spans="2:11" s="1" customFormat="1">
      <c r="B636" s="3"/>
      <c r="C636" s="8" t="s">
        <v>123</v>
      </c>
      <c r="D636" s="9" t="s">
        <v>124</v>
      </c>
      <c r="E636" s="9" t="s">
        <v>124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</row>
    <row r="637" spans="2:11">
      <c r="C637" s="102"/>
      <c r="D637" s="102"/>
      <c r="E637" s="102"/>
      <c r="F637" s="102"/>
      <c r="G637" s="102"/>
      <c r="H637" s="102"/>
      <c r="I637" s="102"/>
      <c r="J637" s="102"/>
      <c r="K637" s="102"/>
    </row>
    <row r="638" spans="2:11" s="1" customFormat="1" ht="12.75" customHeight="1">
      <c r="B638" s="5"/>
      <c r="C638" s="10" t="s">
        <v>6</v>
      </c>
      <c r="D638" s="143" t="s">
        <v>125</v>
      </c>
      <c r="E638" s="143"/>
      <c r="F638" s="10" t="s">
        <v>126</v>
      </c>
      <c r="G638" s="143" t="s">
        <v>127</v>
      </c>
      <c r="H638" s="143"/>
      <c r="I638" s="143"/>
      <c r="J638" s="143"/>
      <c r="K638" s="10" t="s">
        <v>123</v>
      </c>
    </row>
    <row r="639" spans="2:11" s="1" customFormat="1" ht="13.5">
      <c r="B639" s="5"/>
      <c r="C639" s="10" t="str">
        <f>G635</f>
        <v>ANA_TEST_PEN</v>
      </c>
      <c r="D639" s="144" t="s">
        <v>400</v>
      </c>
      <c r="E639" s="144"/>
      <c r="F639" s="13">
        <v>0</v>
      </c>
      <c r="G639" s="144"/>
      <c r="H639" s="144"/>
      <c r="I639" s="144"/>
      <c r="J639" s="144"/>
      <c r="K639" s="10" t="s">
        <v>262</v>
      </c>
    </row>
    <row r="640" spans="2:11" s="1" customFormat="1" ht="27" customHeight="1">
      <c r="B640" s="5"/>
      <c r="C640" s="10" t="str">
        <f>H635</f>
        <v>ANA_TEST_CTRL[3:0]</v>
      </c>
      <c r="D640" s="144" t="s">
        <v>401</v>
      </c>
      <c r="E640" s="144"/>
      <c r="F640" s="13"/>
      <c r="G640" s="144" t="s">
        <v>1266</v>
      </c>
      <c r="H640" s="144"/>
      <c r="I640" s="144"/>
      <c r="J640" s="144"/>
      <c r="K640" s="10" t="s">
        <v>299</v>
      </c>
    </row>
    <row r="641" spans="1:11" s="1" customFormat="1">
      <c r="B641" s="5" t="str">
        <f>CONCATENATE(D645,E645,F645,G645,H645,I645,J645,K645)</f>
        <v>00000000</v>
      </c>
      <c r="C641" s="2"/>
      <c r="D641" s="2"/>
      <c r="E641" s="2"/>
      <c r="F641" s="2"/>
      <c r="G641" s="2"/>
      <c r="H641" s="2"/>
      <c r="I641" s="2"/>
      <c r="J641" s="2"/>
      <c r="K641" s="2"/>
    </row>
    <row r="642" spans="1:11">
      <c r="C642" s="148" t="s">
        <v>1325</v>
      </c>
      <c r="D642" s="148"/>
      <c r="E642" s="148"/>
      <c r="F642" s="148"/>
      <c r="G642" s="148"/>
      <c r="H642" s="148"/>
      <c r="I642" s="148"/>
      <c r="J642" s="148"/>
      <c r="K642" s="148"/>
    </row>
    <row r="643" spans="1:11">
      <c r="B643" s="3"/>
      <c r="C643" s="6" t="s">
        <v>120</v>
      </c>
      <c r="D643" s="7">
        <v>7</v>
      </c>
      <c r="E643" s="7">
        <v>6</v>
      </c>
      <c r="F643" s="7">
        <v>5</v>
      </c>
      <c r="G643" s="7">
        <v>4</v>
      </c>
      <c r="H643" s="7">
        <v>3</v>
      </c>
      <c r="I643" s="7">
        <v>2</v>
      </c>
      <c r="J643" s="7">
        <v>1</v>
      </c>
      <c r="K643" s="7">
        <v>0</v>
      </c>
    </row>
    <row r="644" spans="1:11">
      <c r="C644" s="8" t="s">
        <v>6</v>
      </c>
      <c r="D644" s="131" t="s">
        <v>402</v>
      </c>
      <c r="E644" s="117"/>
      <c r="F644" s="117"/>
      <c r="G644" s="117"/>
      <c r="H644" s="117"/>
      <c r="I644" s="117"/>
      <c r="J644" s="117"/>
      <c r="K644" s="118"/>
    </row>
    <row r="645" spans="1:11">
      <c r="C645" s="8" t="s">
        <v>123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</row>
    <row r="646" spans="1:11" s="73" customFormat="1">
      <c r="B646" s="74" t="s">
        <v>1026</v>
      </c>
    </row>
    <row r="647" spans="1:11" s="73" customFormat="1" ht="13.5">
      <c r="A647" s="65"/>
      <c r="B647" s="64"/>
      <c r="C647" s="75" t="s">
        <v>6</v>
      </c>
      <c r="D647" s="98" t="s">
        <v>125</v>
      </c>
      <c r="E647" s="98"/>
      <c r="F647" s="75" t="s">
        <v>126</v>
      </c>
      <c r="G647" s="98" t="s">
        <v>127</v>
      </c>
      <c r="H647" s="98"/>
      <c r="I647" s="98"/>
      <c r="J647" s="98"/>
      <c r="K647" s="75" t="s">
        <v>123</v>
      </c>
    </row>
    <row r="648" spans="1:11" s="73" customFormat="1" ht="62.25" customHeight="1">
      <c r="A648" s="65"/>
      <c r="B648" s="64"/>
      <c r="C648" s="75" t="str">
        <f>D644</f>
        <v>RSVD_CTRL[7:0]</v>
      </c>
      <c r="D648" s="99"/>
      <c r="E648" s="99"/>
      <c r="F648" s="76"/>
      <c r="G648" s="99" t="s">
        <v>1329</v>
      </c>
      <c r="H648" s="99"/>
      <c r="I648" s="99"/>
      <c r="J648" s="99"/>
      <c r="K648" s="75" t="s">
        <v>262</v>
      </c>
    </row>
    <row r="649" spans="1:11" s="1" customFormat="1">
      <c r="B649" s="5" t="str">
        <f>CONCATENATE(D653,E653,F653,G653,H653,I653,J653,K653)</f>
        <v>00000000</v>
      </c>
      <c r="C649" s="2"/>
      <c r="D649" s="2"/>
      <c r="E649" s="2"/>
      <c r="F649" s="2"/>
      <c r="G649" s="2"/>
      <c r="H649" s="2"/>
      <c r="I649" s="2"/>
      <c r="J649" s="2"/>
      <c r="K649" s="2"/>
    </row>
    <row r="650" spans="1:11">
      <c r="C650" s="148" t="s">
        <v>1326</v>
      </c>
      <c r="D650" s="148"/>
      <c r="E650" s="148"/>
      <c r="F650" s="148"/>
      <c r="G650" s="148"/>
      <c r="H650" s="148"/>
      <c r="I650" s="148"/>
      <c r="J650" s="148"/>
      <c r="K650" s="148"/>
    </row>
    <row r="651" spans="1:11">
      <c r="B651" s="3"/>
      <c r="C651" s="6" t="s">
        <v>120</v>
      </c>
      <c r="D651" s="7">
        <v>7</v>
      </c>
      <c r="E651" s="7">
        <v>6</v>
      </c>
      <c r="F651" s="7">
        <v>5</v>
      </c>
      <c r="G651" s="7">
        <v>4</v>
      </c>
      <c r="H651" s="7">
        <v>3</v>
      </c>
      <c r="I651" s="7">
        <v>2</v>
      </c>
      <c r="J651" s="7">
        <v>1</v>
      </c>
      <c r="K651" s="7">
        <v>0</v>
      </c>
    </row>
    <row r="652" spans="1:11">
      <c r="C652" s="8" t="s">
        <v>6</v>
      </c>
      <c r="D652" s="131" t="s">
        <v>1327</v>
      </c>
      <c r="E652" s="117"/>
      <c r="F652" s="117"/>
      <c r="G652" s="117"/>
      <c r="H652" s="117"/>
      <c r="I652" s="117"/>
      <c r="J652" s="117"/>
      <c r="K652" s="118"/>
    </row>
    <row r="653" spans="1:11">
      <c r="C653" s="8" t="s">
        <v>123</v>
      </c>
      <c r="D653" s="93">
        <v>0</v>
      </c>
      <c r="E653" s="93">
        <v>0</v>
      </c>
      <c r="F653" s="93">
        <v>0</v>
      </c>
      <c r="G653" s="93">
        <v>0</v>
      </c>
      <c r="H653" s="93">
        <v>0</v>
      </c>
      <c r="I653" s="93">
        <v>0</v>
      </c>
      <c r="J653" s="93">
        <v>0</v>
      </c>
      <c r="K653" s="93">
        <v>0</v>
      </c>
    </row>
    <row r="654" spans="1:11" s="73" customFormat="1">
      <c r="B654" s="74" t="s">
        <v>1026</v>
      </c>
    </row>
    <row r="655" spans="1:11" s="73" customFormat="1" ht="13.5">
      <c r="A655" s="65"/>
      <c r="B655" s="64"/>
      <c r="C655" s="91" t="s">
        <v>6</v>
      </c>
      <c r="D655" s="98" t="s">
        <v>125</v>
      </c>
      <c r="E655" s="98"/>
      <c r="F655" s="91" t="s">
        <v>126</v>
      </c>
      <c r="G655" s="98" t="s">
        <v>127</v>
      </c>
      <c r="H655" s="98"/>
      <c r="I655" s="98"/>
      <c r="J655" s="98"/>
      <c r="K655" s="91" t="s">
        <v>123</v>
      </c>
    </row>
    <row r="656" spans="1:11" s="73" customFormat="1" ht="25.5" customHeight="1">
      <c r="A656" s="65"/>
      <c r="B656" s="64"/>
      <c r="C656" s="91" t="str">
        <f>D652</f>
        <v>RSVD_CTRL[15:8]</v>
      </c>
      <c r="D656" s="99"/>
      <c r="E656" s="99"/>
      <c r="F656" s="92"/>
      <c r="G656" s="99" t="s">
        <v>1328</v>
      </c>
      <c r="H656" s="99"/>
      <c r="I656" s="99"/>
      <c r="J656" s="99"/>
      <c r="K656" s="91" t="s">
        <v>262</v>
      </c>
    </row>
    <row r="657" spans="1:11" s="73" customFormat="1">
      <c r="A657" s="65"/>
      <c r="B657" s="64" t="str">
        <f>CONCATENATE(D661,E661,F661,G661,H661,I661,J661,K661)</f>
        <v>------00</v>
      </c>
    </row>
    <row r="658" spans="1:11" s="73" customFormat="1">
      <c r="B658" s="74" t="s">
        <v>1026</v>
      </c>
      <c r="C658" s="100" t="s">
        <v>1027</v>
      </c>
      <c r="D658" s="100"/>
      <c r="E658" s="100"/>
      <c r="F658" s="100"/>
      <c r="G658" s="100"/>
      <c r="H658" s="100"/>
      <c r="I658" s="100"/>
      <c r="J658" s="100"/>
      <c r="K658" s="100"/>
    </row>
    <row r="659" spans="1:11" s="73" customFormat="1">
      <c r="B659" s="65"/>
      <c r="C659" s="77" t="s">
        <v>120</v>
      </c>
      <c r="D659" s="78">
        <v>7</v>
      </c>
      <c r="E659" s="78">
        <v>6</v>
      </c>
      <c r="F659" s="78">
        <v>5</v>
      </c>
      <c r="G659" s="78">
        <v>4</v>
      </c>
      <c r="H659" s="78">
        <v>3</v>
      </c>
      <c r="I659" s="78">
        <v>2</v>
      </c>
      <c r="J659" s="78">
        <v>1</v>
      </c>
      <c r="K659" s="78">
        <v>0</v>
      </c>
    </row>
    <row r="660" spans="1:11" s="73" customFormat="1">
      <c r="C660" s="79" t="s">
        <v>6</v>
      </c>
      <c r="D660" s="56" t="s">
        <v>121</v>
      </c>
      <c r="E660" s="56" t="s">
        <v>121</v>
      </c>
      <c r="F660" s="56" t="s">
        <v>121</v>
      </c>
      <c r="G660" s="56" t="s">
        <v>121</v>
      </c>
      <c r="H660" s="56" t="s">
        <v>121</v>
      </c>
      <c r="I660" s="56" t="s">
        <v>121</v>
      </c>
      <c r="J660" s="96" t="s">
        <v>1261</v>
      </c>
      <c r="K660" s="97"/>
    </row>
    <row r="661" spans="1:11" s="73" customFormat="1">
      <c r="B661" s="64" t="str">
        <f>CONCATENATE(D665,E665,F665,G665,H665,I665,J665,K665)</f>
        <v/>
      </c>
      <c r="C661" s="79" t="s">
        <v>123</v>
      </c>
      <c r="D661" s="80" t="s">
        <v>1081</v>
      </c>
      <c r="E661" s="80" t="s">
        <v>1081</v>
      </c>
      <c r="F661" s="80" t="s">
        <v>1081</v>
      </c>
      <c r="G661" s="80" t="s">
        <v>1081</v>
      </c>
      <c r="H661" s="80" t="s">
        <v>1081</v>
      </c>
      <c r="I661" s="80" t="s">
        <v>1081</v>
      </c>
      <c r="J661" s="66">
        <v>0</v>
      </c>
      <c r="K661" s="66">
        <v>0</v>
      </c>
    </row>
    <row r="662" spans="1:11" s="73" customFormat="1">
      <c r="B662" s="74" t="s">
        <v>1026</v>
      </c>
    </row>
    <row r="663" spans="1:11" s="73" customFormat="1" ht="13.5">
      <c r="A663" s="65"/>
      <c r="B663" s="64"/>
      <c r="C663" s="75" t="s">
        <v>6</v>
      </c>
      <c r="D663" s="98" t="s">
        <v>125</v>
      </c>
      <c r="E663" s="98"/>
      <c r="F663" s="75" t="s">
        <v>126</v>
      </c>
      <c r="G663" s="98" t="s">
        <v>127</v>
      </c>
      <c r="H663" s="98"/>
      <c r="I663" s="98"/>
      <c r="J663" s="98"/>
      <c r="K663" s="75" t="s">
        <v>123</v>
      </c>
    </row>
    <row r="664" spans="1:11" s="73" customFormat="1" ht="13.5">
      <c r="A664" s="65"/>
      <c r="B664" s="64"/>
      <c r="C664" s="75" t="str">
        <f>J660</f>
        <v>OTP_R/W_CTRL[1:0]</v>
      </c>
      <c r="D664" s="99" t="s">
        <v>1262</v>
      </c>
      <c r="E664" s="99"/>
      <c r="F664" s="76"/>
      <c r="G664" s="99" t="s">
        <v>1263</v>
      </c>
      <c r="H664" s="99"/>
      <c r="I664" s="99"/>
      <c r="J664" s="99"/>
      <c r="K664" s="75" t="s">
        <v>262</v>
      </c>
    </row>
    <row r="665" spans="1:11" s="73" customFormat="1">
      <c r="A665" s="65"/>
      <c r="B665" s="64" t="str">
        <f>CONCATENATE(D669,E669,F669,G669,H669,I669,J669,K669)</f>
        <v>-------0</v>
      </c>
    </row>
    <row r="666" spans="1:11" s="73" customFormat="1">
      <c r="C666" s="100" t="s">
        <v>1028</v>
      </c>
      <c r="D666" s="100"/>
      <c r="E666" s="100"/>
      <c r="F666" s="100"/>
      <c r="G666" s="100"/>
      <c r="H666" s="100"/>
      <c r="I666" s="100"/>
      <c r="J666" s="100"/>
      <c r="K666" s="100"/>
    </row>
    <row r="667" spans="1:11" s="73" customFormat="1">
      <c r="B667" s="65"/>
      <c r="C667" s="77" t="s">
        <v>120</v>
      </c>
      <c r="D667" s="78">
        <v>7</v>
      </c>
      <c r="E667" s="78">
        <v>6</v>
      </c>
      <c r="F667" s="78">
        <v>5</v>
      </c>
      <c r="G667" s="78">
        <v>4</v>
      </c>
      <c r="H667" s="78">
        <v>3</v>
      </c>
      <c r="I667" s="78">
        <v>2</v>
      </c>
      <c r="J667" s="78">
        <v>1</v>
      </c>
      <c r="K667" s="78">
        <v>0</v>
      </c>
    </row>
    <row r="668" spans="1:11" s="73" customFormat="1">
      <c r="C668" s="79" t="s">
        <v>6</v>
      </c>
      <c r="D668" s="56" t="s">
        <v>121</v>
      </c>
      <c r="E668" s="56" t="s">
        <v>121</v>
      </c>
      <c r="F668" s="56" t="s">
        <v>121</v>
      </c>
      <c r="G668" s="56" t="s">
        <v>121</v>
      </c>
      <c r="H668" s="56" t="s">
        <v>121</v>
      </c>
      <c r="I668" s="56" t="s">
        <v>121</v>
      </c>
      <c r="J668" s="56" t="s">
        <v>121</v>
      </c>
      <c r="K668" s="81" t="s">
        <v>1034</v>
      </c>
    </row>
    <row r="669" spans="1:11" s="73" customFormat="1">
      <c r="C669" s="79" t="s">
        <v>123</v>
      </c>
      <c r="D669" s="80" t="s">
        <v>1081</v>
      </c>
      <c r="E669" s="80" t="s">
        <v>1081</v>
      </c>
      <c r="F669" s="80" t="s">
        <v>1081</v>
      </c>
      <c r="G669" s="80" t="s">
        <v>1081</v>
      </c>
      <c r="H669" s="80" t="s">
        <v>1081</v>
      </c>
      <c r="I669" s="80" t="s">
        <v>1081</v>
      </c>
      <c r="J669" s="80" t="s">
        <v>1081</v>
      </c>
      <c r="K669" s="66">
        <v>0</v>
      </c>
    </row>
    <row r="670" spans="1:11" s="73" customFormat="1">
      <c r="B670" s="74" t="s">
        <v>1026</v>
      </c>
    </row>
    <row r="671" spans="1:11" s="73" customFormat="1" ht="13.5">
      <c r="A671" s="65"/>
      <c r="B671" s="64"/>
      <c r="C671" s="75" t="s">
        <v>6</v>
      </c>
      <c r="D671" s="98" t="s">
        <v>125</v>
      </c>
      <c r="E671" s="98"/>
      <c r="F671" s="75" t="s">
        <v>126</v>
      </c>
      <c r="G671" s="98" t="s">
        <v>127</v>
      </c>
      <c r="H671" s="98"/>
      <c r="I671" s="98"/>
      <c r="J671" s="98"/>
      <c r="K671" s="75" t="s">
        <v>123</v>
      </c>
    </row>
    <row r="672" spans="1:11" s="73" customFormat="1" ht="13.5">
      <c r="A672" s="65"/>
      <c r="B672" s="64"/>
      <c r="C672" s="75" t="str">
        <f>K668</f>
        <v>VPP_CTRL[0]</v>
      </c>
      <c r="D672" s="99" t="s">
        <v>1029</v>
      </c>
      <c r="E672" s="99"/>
      <c r="F672" s="76"/>
      <c r="G672" s="99"/>
      <c r="H672" s="99"/>
      <c r="I672" s="99"/>
      <c r="J672" s="99"/>
      <c r="K672" s="75" t="s">
        <v>262</v>
      </c>
    </row>
    <row r="673" spans="1:11" s="73" customFormat="1">
      <c r="A673" s="65"/>
      <c r="B673" s="64" t="str">
        <f>CONCATENATE(D677,E677,F677,G677,H677,I677,J677,K677)</f>
        <v>00000000</v>
      </c>
    </row>
    <row r="674" spans="1:11" s="73" customFormat="1">
      <c r="C674" s="100" t="s">
        <v>1030</v>
      </c>
      <c r="D674" s="100"/>
      <c r="E674" s="100"/>
      <c r="F674" s="100"/>
      <c r="G674" s="100"/>
      <c r="H674" s="100"/>
      <c r="I674" s="100"/>
      <c r="J674" s="100"/>
      <c r="K674" s="100"/>
    </row>
    <row r="675" spans="1:11" s="73" customFormat="1">
      <c r="B675" s="65"/>
      <c r="C675" s="77" t="s">
        <v>120</v>
      </c>
      <c r="D675" s="78">
        <v>7</v>
      </c>
      <c r="E675" s="78">
        <v>6</v>
      </c>
      <c r="F675" s="78">
        <v>5</v>
      </c>
      <c r="G675" s="78">
        <v>4</v>
      </c>
      <c r="H675" s="78">
        <v>3</v>
      </c>
      <c r="I675" s="78">
        <v>2</v>
      </c>
      <c r="J675" s="78">
        <v>1</v>
      </c>
      <c r="K675" s="78">
        <v>0</v>
      </c>
    </row>
    <row r="676" spans="1:11" s="73" customFormat="1">
      <c r="C676" s="79" t="s">
        <v>6</v>
      </c>
      <c r="D676" s="95" t="s">
        <v>1033</v>
      </c>
      <c r="E676" s="96"/>
      <c r="F676" s="96"/>
      <c r="G676" s="96"/>
      <c r="H676" s="96"/>
      <c r="I676" s="96"/>
      <c r="J676" s="96"/>
      <c r="K676" s="97"/>
    </row>
    <row r="677" spans="1:11" s="73" customFormat="1">
      <c r="C677" s="79" t="s">
        <v>123</v>
      </c>
      <c r="D677" s="66">
        <v>0</v>
      </c>
      <c r="E677" s="66">
        <v>0</v>
      </c>
      <c r="F677" s="66">
        <v>0</v>
      </c>
      <c r="G677" s="66">
        <v>0</v>
      </c>
      <c r="H677" s="66">
        <v>0</v>
      </c>
      <c r="I677" s="66">
        <v>0</v>
      </c>
      <c r="J677" s="66">
        <v>0</v>
      </c>
      <c r="K677" s="66">
        <v>0</v>
      </c>
    </row>
    <row r="678" spans="1:11" s="73" customFormat="1">
      <c r="B678" s="74" t="s">
        <v>1026</v>
      </c>
    </row>
    <row r="679" spans="1:11" s="73" customFormat="1" ht="13.5">
      <c r="A679" s="65"/>
      <c r="B679" s="64"/>
      <c r="C679" s="75" t="s">
        <v>6</v>
      </c>
      <c r="D679" s="98" t="s">
        <v>125</v>
      </c>
      <c r="E679" s="98"/>
      <c r="F679" s="75" t="s">
        <v>126</v>
      </c>
      <c r="G679" s="98" t="s">
        <v>1032</v>
      </c>
      <c r="H679" s="98"/>
      <c r="I679" s="98"/>
      <c r="J679" s="98"/>
      <c r="K679" s="75" t="s">
        <v>123</v>
      </c>
    </row>
    <row r="680" spans="1:11" s="73" customFormat="1" ht="13.5">
      <c r="A680" s="65"/>
      <c r="B680" s="64"/>
      <c r="C680" s="75" t="str">
        <f>D676</f>
        <v>OTP_ADDR[6:0]</v>
      </c>
      <c r="D680" s="99" t="s">
        <v>1031</v>
      </c>
      <c r="E680" s="99"/>
      <c r="F680" s="76"/>
      <c r="G680" s="99"/>
      <c r="H680" s="99"/>
      <c r="I680" s="99"/>
      <c r="J680" s="99"/>
      <c r="K680" s="75" t="s">
        <v>262</v>
      </c>
    </row>
    <row r="681" spans="1:11" s="73" customFormat="1">
      <c r="A681" s="65"/>
      <c r="B681" s="64" t="str">
        <f>CONCATENATE(D685,E685,F685,G685,H685,I685,J685,K685)</f>
        <v>00000000</v>
      </c>
    </row>
    <row r="682" spans="1:11" s="73" customFormat="1">
      <c r="C682" s="100" t="s">
        <v>1049</v>
      </c>
      <c r="D682" s="100"/>
      <c r="E682" s="100"/>
      <c r="F682" s="100"/>
      <c r="G682" s="100"/>
      <c r="H682" s="100"/>
      <c r="I682" s="100"/>
      <c r="J682" s="100"/>
      <c r="K682" s="100"/>
    </row>
    <row r="683" spans="1:11" s="73" customFormat="1">
      <c r="B683" s="65"/>
      <c r="C683" s="77" t="s">
        <v>120</v>
      </c>
      <c r="D683" s="78">
        <v>7</v>
      </c>
      <c r="E683" s="78">
        <v>6</v>
      </c>
      <c r="F683" s="78">
        <v>5</v>
      </c>
      <c r="G683" s="78">
        <v>4</v>
      </c>
      <c r="H683" s="78">
        <v>3</v>
      </c>
      <c r="I683" s="78">
        <v>2</v>
      </c>
      <c r="J683" s="78">
        <v>1</v>
      </c>
      <c r="K683" s="78">
        <v>0</v>
      </c>
    </row>
    <row r="684" spans="1:11" s="73" customFormat="1">
      <c r="C684" s="79" t="s">
        <v>6</v>
      </c>
      <c r="D684" s="95" t="s">
        <v>1035</v>
      </c>
      <c r="E684" s="96"/>
      <c r="F684" s="96"/>
      <c r="G684" s="96"/>
      <c r="H684" s="96"/>
      <c r="I684" s="96"/>
      <c r="J684" s="96"/>
      <c r="K684" s="97"/>
    </row>
    <row r="685" spans="1:11" s="73" customFormat="1">
      <c r="C685" s="79" t="s">
        <v>123</v>
      </c>
      <c r="D685" s="66">
        <v>0</v>
      </c>
      <c r="E685" s="66">
        <v>0</v>
      </c>
      <c r="F685" s="66">
        <v>0</v>
      </c>
      <c r="G685" s="66">
        <v>0</v>
      </c>
      <c r="H685" s="66">
        <v>0</v>
      </c>
      <c r="I685" s="66">
        <v>0</v>
      </c>
      <c r="J685" s="66">
        <v>0</v>
      </c>
      <c r="K685" s="66">
        <v>0</v>
      </c>
    </row>
    <row r="686" spans="1:11" s="73" customFormat="1">
      <c r="B686" s="74" t="s">
        <v>1026</v>
      </c>
    </row>
    <row r="687" spans="1:11" s="73" customFormat="1" ht="13.5">
      <c r="A687" s="65"/>
      <c r="B687" s="64"/>
      <c r="C687" s="75" t="s">
        <v>6</v>
      </c>
      <c r="D687" s="98" t="s">
        <v>125</v>
      </c>
      <c r="E687" s="98"/>
      <c r="F687" s="75" t="s">
        <v>126</v>
      </c>
      <c r="G687" s="98" t="s">
        <v>127</v>
      </c>
      <c r="H687" s="98"/>
      <c r="I687" s="98"/>
      <c r="J687" s="98"/>
      <c r="K687" s="75" t="s">
        <v>123</v>
      </c>
    </row>
    <row r="688" spans="1:11" s="73" customFormat="1" ht="13.5">
      <c r="A688" s="65"/>
      <c r="B688" s="64"/>
      <c r="C688" s="75" t="str">
        <f>D684</f>
        <v>OTP_DATA[7:0]</v>
      </c>
      <c r="D688" s="99" t="s">
        <v>1036</v>
      </c>
      <c r="E688" s="99"/>
      <c r="F688" s="76"/>
      <c r="G688" s="99"/>
      <c r="H688" s="99"/>
      <c r="I688" s="99"/>
      <c r="J688" s="99"/>
      <c r="K688" s="75" t="s">
        <v>262</v>
      </c>
    </row>
    <row r="689" spans="1:11" s="73" customFormat="1">
      <c r="A689" s="65"/>
      <c r="B689" s="64" t="str">
        <f>CONCATENATE(D693,E693,F693,G693,H693,I693,J693,K693)</f>
        <v>00000000</v>
      </c>
    </row>
    <row r="690" spans="1:11" s="73" customFormat="1">
      <c r="C690" s="100" t="s">
        <v>1050</v>
      </c>
      <c r="D690" s="100"/>
      <c r="E690" s="100"/>
      <c r="F690" s="100"/>
      <c r="G690" s="100"/>
      <c r="H690" s="100"/>
      <c r="I690" s="100"/>
      <c r="J690" s="100"/>
      <c r="K690" s="100"/>
    </row>
    <row r="691" spans="1:11" s="73" customFormat="1">
      <c r="B691" s="65"/>
      <c r="C691" s="77" t="s">
        <v>120</v>
      </c>
      <c r="D691" s="78">
        <v>7</v>
      </c>
      <c r="E691" s="78">
        <v>6</v>
      </c>
      <c r="F691" s="78">
        <v>5</v>
      </c>
      <c r="G691" s="78">
        <v>4</v>
      </c>
      <c r="H691" s="78">
        <v>3</v>
      </c>
      <c r="I691" s="78">
        <v>2</v>
      </c>
      <c r="J691" s="78">
        <v>1</v>
      </c>
      <c r="K691" s="78">
        <v>0</v>
      </c>
    </row>
    <row r="692" spans="1:11" s="73" customFormat="1">
      <c r="C692" s="79" t="s">
        <v>6</v>
      </c>
      <c r="D692" s="95" t="s">
        <v>1038</v>
      </c>
      <c r="E692" s="96"/>
      <c r="F692" s="96"/>
      <c r="G692" s="96"/>
      <c r="H692" s="96"/>
      <c r="I692" s="96"/>
      <c r="J692" s="96"/>
      <c r="K692" s="97"/>
    </row>
    <row r="693" spans="1:11" s="73" customFormat="1">
      <c r="C693" s="79" t="s">
        <v>123</v>
      </c>
      <c r="D693" s="66">
        <v>0</v>
      </c>
      <c r="E693" s="66">
        <v>0</v>
      </c>
      <c r="F693" s="66">
        <v>0</v>
      </c>
      <c r="G693" s="66">
        <v>0</v>
      </c>
      <c r="H693" s="66">
        <v>0</v>
      </c>
      <c r="I693" s="66">
        <v>0</v>
      </c>
      <c r="J693" s="66">
        <v>0</v>
      </c>
      <c r="K693" s="66">
        <v>0</v>
      </c>
    </row>
    <row r="694" spans="1:11" s="73" customFormat="1">
      <c r="B694" s="74" t="s">
        <v>1026</v>
      </c>
    </row>
    <row r="695" spans="1:11" s="73" customFormat="1" ht="13.5">
      <c r="A695" s="65"/>
      <c r="B695" s="64"/>
      <c r="C695" s="75" t="s">
        <v>6</v>
      </c>
      <c r="D695" s="98" t="s">
        <v>125</v>
      </c>
      <c r="E695" s="98"/>
      <c r="F695" s="75" t="s">
        <v>126</v>
      </c>
      <c r="G695" s="98" t="s">
        <v>127</v>
      </c>
      <c r="H695" s="98"/>
      <c r="I695" s="98"/>
      <c r="J695" s="98"/>
      <c r="K695" s="75" t="s">
        <v>123</v>
      </c>
    </row>
    <row r="696" spans="1:11" s="73" customFormat="1" ht="13.5">
      <c r="A696" s="65"/>
      <c r="B696" s="64"/>
      <c r="C696" s="75" t="str">
        <f>D692</f>
        <v>OTP_READ_CTRL1[7:0]</v>
      </c>
      <c r="D696" s="99" t="s">
        <v>1037</v>
      </c>
      <c r="E696" s="99"/>
      <c r="F696" s="76"/>
      <c r="G696" s="99"/>
      <c r="H696" s="99"/>
      <c r="I696" s="99"/>
      <c r="J696" s="99"/>
      <c r="K696" s="75" t="s">
        <v>262</v>
      </c>
    </row>
    <row r="697" spans="1:11" s="73" customFormat="1">
      <c r="A697" s="65"/>
      <c r="B697" s="64" t="str">
        <f>CONCATENATE(D701,E701,F701,G701,H701,I701,J701,K701)</f>
        <v>00000000</v>
      </c>
    </row>
    <row r="698" spans="1:11" s="73" customFormat="1">
      <c r="C698" s="100" t="s">
        <v>1051</v>
      </c>
      <c r="D698" s="100"/>
      <c r="E698" s="100"/>
      <c r="F698" s="100"/>
      <c r="G698" s="100"/>
      <c r="H698" s="100"/>
      <c r="I698" s="100"/>
      <c r="J698" s="100"/>
      <c r="K698" s="100"/>
    </row>
    <row r="699" spans="1:11" s="73" customFormat="1">
      <c r="B699" s="65"/>
      <c r="C699" s="77" t="s">
        <v>120</v>
      </c>
      <c r="D699" s="78">
        <v>7</v>
      </c>
      <c r="E699" s="78">
        <v>6</v>
      </c>
      <c r="F699" s="78">
        <v>5</v>
      </c>
      <c r="G699" s="78">
        <v>4</v>
      </c>
      <c r="H699" s="78">
        <v>3</v>
      </c>
      <c r="I699" s="78">
        <v>2</v>
      </c>
      <c r="J699" s="78">
        <v>1</v>
      </c>
      <c r="K699" s="78">
        <v>0</v>
      </c>
    </row>
    <row r="700" spans="1:11" s="73" customFormat="1">
      <c r="C700" s="79" t="s">
        <v>6</v>
      </c>
      <c r="D700" s="95" t="s">
        <v>1039</v>
      </c>
      <c r="E700" s="96"/>
      <c r="F700" s="96"/>
      <c r="G700" s="96"/>
      <c r="H700" s="96"/>
      <c r="I700" s="96"/>
      <c r="J700" s="96"/>
      <c r="K700" s="97"/>
    </row>
    <row r="701" spans="1:11" s="73" customFormat="1">
      <c r="C701" s="79" t="s">
        <v>123</v>
      </c>
      <c r="D701" s="66">
        <v>0</v>
      </c>
      <c r="E701" s="66">
        <v>0</v>
      </c>
      <c r="F701" s="66">
        <v>0</v>
      </c>
      <c r="G701" s="66">
        <v>0</v>
      </c>
      <c r="H701" s="66">
        <v>0</v>
      </c>
      <c r="I701" s="66">
        <v>0</v>
      </c>
      <c r="J701" s="66">
        <v>0</v>
      </c>
      <c r="K701" s="66">
        <v>0</v>
      </c>
    </row>
    <row r="702" spans="1:11" s="73" customFormat="1">
      <c r="B702" s="74" t="s">
        <v>1026</v>
      </c>
    </row>
    <row r="703" spans="1:11" s="73" customFormat="1" ht="13.5">
      <c r="A703" s="65"/>
      <c r="B703" s="64"/>
      <c r="C703" s="75" t="s">
        <v>6</v>
      </c>
      <c r="D703" s="98" t="s">
        <v>125</v>
      </c>
      <c r="E703" s="98"/>
      <c r="F703" s="75" t="s">
        <v>126</v>
      </c>
      <c r="G703" s="98" t="s">
        <v>127</v>
      </c>
      <c r="H703" s="98"/>
      <c r="I703" s="98"/>
      <c r="J703" s="98"/>
      <c r="K703" s="75" t="s">
        <v>123</v>
      </c>
    </row>
    <row r="704" spans="1:11" s="73" customFormat="1" ht="13.5">
      <c r="A704" s="65"/>
      <c r="B704" s="64"/>
      <c r="C704" s="75" t="str">
        <f>D700</f>
        <v>OTP_READ_CTRL2[7:0]</v>
      </c>
      <c r="D704" s="99" t="s">
        <v>1040</v>
      </c>
      <c r="E704" s="99"/>
      <c r="F704" s="76"/>
      <c r="G704" s="99"/>
      <c r="H704" s="99"/>
      <c r="I704" s="99"/>
      <c r="J704" s="99"/>
      <c r="K704" s="75" t="s">
        <v>262</v>
      </c>
    </row>
    <row r="705" spans="1:11" s="73" customFormat="1">
      <c r="A705" s="65"/>
      <c r="B705" s="64" t="str">
        <f>CONCATENATE(D709,E709,F709,G709,H709,I709,J709,K709)</f>
        <v>00000000</v>
      </c>
    </row>
    <row r="706" spans="1:11" s="73" customFormat="1">
      <c r="C706" s="100" t="s">
        <v>1052</v>
      </c>
      <c r="D706" s="100"/>
      <c r="E706" s="100"/>
      <c r="F706" s="100"/>
      <c r="G706" s="100"/>
      <c r="H706" s="100"/>
      <c r="I706" s="100"/>
      <c r="J706" s="100"/>
      <c r="K706" s="100"/>
    </row>
    <row r="707" spans="1:11" s="73" customFormat="1">
      <c r="B707" s="65"/>
      <c r="C707" s="77" t="s">
        <v>120</v>
      </c>
      <c r="D707" s="78">
        <v>7</v>
      </c>
      <c r="E707" s="78">
        <v>6</v>
      </c>
      <c r="F707" s="78">
        <v>5</v>
      </c>
      <c r="G707" s="78">
        <v>4</v>
      </c>
      <c r="H707" s="78">
        <v>3</v>
      </c>
      <c r="I707" s="78">
        <v>2</v>
      </c>
      <c r="J707" s="78">
        <v>1</v>
      </c>
      <c r="K707" s="78">
        <v>0</v>
      </c>
    </row>
    <row r="708" spans="1:11" s="73" customFormat="1">
      <c r="C708" s="79" t="s">
        <v>6</v>
      </c>
      <c r="D708" s="95" t="s">
        <v>1041</v>
      </c>
      <c r="E708" s="96"/>
      <c r="F708" s="96"/>
      <c r="G708" s="96"/>
      <c r="H708" s="96"/>
      <c r="I708" s="96"/>
      <c r="J708" s="96"/>
      <c r="K708" s="97"/>
    </row>
    <row r="709" spans="1:11" s="73" customFormat="1">
      <c r="C709" s="79" t="s">
        <v>123</v>
      </c>
      <c r="D709" s="66">
        <v>0</v>
      </c>
      <c r="E709" s="66">
        <v>0</v>
      </c>
      <c r="F709" s="66">
        <v>0</v>
      </c>
      <c r="G709" s="66">
        <v>0</v>
      </c>
      <c r="H709" s="66">
        <v>0</v>
      </c>
      <c r="I709" s="66">
        <v>0</v>
      </c>
      <c r="J709" s="66">
        <v>0</v>
      </c>
      <c r="K709" s="66">
        <v>0</v>
      </c>
    </row>
    <row r="710" spans="1:11" s="73" customFormat="1">
      <c r="B710" s="74" t="s">
        <v>1026</v>
      </c>
    </row>
    <row r="711" spans="1:11" s="73" customFormat="1" ht="13.5">
      <c r="A711" s="65"/>
      <c r="B711" s="64"/>
      <c r="C711" s="75" t="s">
        <v>6</v>
      </c>
      <c r="D711" s="98" t="s">
        <v>125</v>
      </c>
      <c r="E711" s="98"/>
      <c r="F711" s="75" t="s">
        <v>126</v>
      </c>
      <c r="G711" s="98" t="s">
        <v>127</v>
      </c>
      <c r="H711" s="98"/>
      <c r="I711" s="98"/>
      <c r="J711" s="98"/>
      <c r="K711" s="75" t="s">
        <v>123</v>
      </c>
    </row>
    <row r="712" spans="1:11" s="73" customFormat="1" ht="13.5">
      <c r="A712" s="65"/>
      <c r="B712" s="64"/>
      <c r="C712" s="75" t="str">
        <f>D708</f>
        <v>OTP_READ_CTRL3[7:0]</v>
      </c>
      <c r="D712" s="99" t="s">
        <v>1042</v>
      </c>
      <c r="E712" s="99"/>
      <c r="F712" s="76"/>
      <c r="G712" s="99"/>
      <c r="H712" s="99"/>
      <c r="I712" s="99"/>
      <c r="J712" s="99"/>
      <c r="K712" s="75" t="s">
        <v>262</v>
      </c>
    </row>
    <row r="713" spans="1:11" s="73" customFormat="1">
      <c r="A713" s="65"/>
      <c r="B713" s="64" t="str">
        <f>CONCATENATE(D717,E717,F717,G717,H717,I717,J717,K717)</f>
        <v>00000000</v>
      </c>
    </row>
    <row r="714" spans="1:11" s="73" customFormat="1">
      <c r="C714" s="100" t="s">
        <v>1053</v>
      </c>
      <c r="D714" s="100"/>
      <c r="E714" s="100"/>
      <c r="F714" s="100"/>
      <c r="G714" s="100"/>
      <c r="H714" s="100"/>
      <c r="I714" s="100"/>
      <c r="J714" s="100"/>
      <c r="K714" s="100"/>
    </row>
    <row r="715" spans="1:11" s="73" customFormat="1">
      <c r="B715" s="65"/>
      <c r="C715" s="77" t="s">
        <v>120</v>
      </c>
      <c r="D715" s="78">
        <v>7</v>
      </c>
      <c r="E715" s="78">
        <v>6</v>
      </c>
      <c r="F715" s="78">
        <v>5</v>
      </c>
      <c r="G715" s="78">
        <v>4</v>
      </c>
      <c r="H715" s="78">
        <v>3</v>
      </c>
      <c r="I715" s="78">
        <v>2</v>
      </c>
      <c r="J715" s="78">
        <v>1</v>
      </c>
      <c r="K715" s="78">
        <v>0</v>
      </c>
    </row>
    <row r="716" spans="1:11" s="73" customFormat="1">
      <c r="C716" s="79" t="s">
        <v>6</v>
      </c>
      <c r="D716" s="95" t="s">
        <v>1043</v>
      </c>
      <c r="E716" s="96"/>
      <c r="F716" s="96"/>
      <c r="G716" s="96"/>
      <c r="H716" s="96"/>
      <c r="I716" s="96"/>
      <c r="J716" s="96"/>
      <c r="K716" s="97"/>
    </row>
    <row r="717" spans="1:11" s="73" customFormat="1">
      <c r="C717" s="79" t="s">
        <v>123</v>
      </c>
      <c r="D717" s="66">
        <v>0</v>
      </c>
      <c r="E717" s="66">
        <v>0</v>
      </c>
      <c r="F717" s="66">
        <v>0</v>
      </c>
      <c r="G717" s="66">
        <v>0</v>
      </c>
      <c r="H717" s="66">
        <v>0</v>
      </c>
      <c r="I717" s="66">
        <v>0</v>
      </c>
      <c r="J717" s="66">
        <v>0</v>
      </c>
      <c r="K717" s="66">
        <v>0</v>
      </c>
    </row>
    <row r="718" spans="1:11" s="73" customFormat="1">
      <c r="B718" s="74" t="s">
        <v>1026</v>
      </c>
    </row>
    <row r="719" spans="1:11" s="73" customFormat="1" ht="13.5">
      <c r="A719" s="65"/>
      <c r="B719" s="64"/>
      <c r="C719" s="75" t="s">
        <v>6</v>
      </c>
      <c r="D719" s="98" t="s">
        <v>125</v>
      </c>
      <c r="E719" s="98"/>
      <c r="F719" s="75" t="s">
        <v>126</v>
      </c>
      <c r="G719" s="98" t="s">
        <v>127</v>
      </c>
      <c r="H719" s="98"/>
      <c r="I719" s="98"/>
      <c r="J719" s="98"/>
      <c r="K719" s="75" t="s">
        <v>123</v>
      </c>
    </row>
    <row r="720" spans="1:11" s="73" customFormat="1" ht="13.5">
      <c r="A720" s="65"/>
      <c r="B720" s="64"/>
      <c r="C720" s="75" t="str">
        <f>D716</f>
        <v>OTP_WRITE_CTRL1[7:0]</v>
      </c>
      <c r="D720" s="99" t="s">
        <v>1044</v>
      </c>
      <c r="E720" s="99"/>
      <c r="F720" s="76"/>
      <c r="G720" s="99"/>
      <c r="H720" s="99"/>
      <c r="I720" s="99"/>
      <c r="J720" s="99"/>
      <c r="K720" s="75" t="s">
        <v>262</v>
      </c>
    </row>
    <row r="721" spans="1:11" s="73" customFormat="1">
      <c r="A721" s="65"/>
      <c r="B721" s="64" t="str">
        <f>CONCATENATE(D725,E725,F725,G725,H725,I725,J725,K725)</f>
        <v>00000000</v>
      </c>
    </row>
    <row r="722" spans="1:11" s="73" customFormat="1">
      <c r="C722" s="100" t="s">
        <v>1054</v>
      </c>
      <c r="D722" s="100"/>
      <c r="E722" s="100"/>
      <c r="F722" s="100"/>
      <c r="G722" s="100"/>
      <c r="H722" s="100"/>
      <c r="I722" s="100"/>
      <c r="J722" s="100"/>
      <c r="K722" s="100"/>
    </row>
    <row r="723" spans="1:11" s="73" customFormat="1">
      <c r="B723" s="65"/>
      <c r="C723" s="77" t="s">
        <v>120</v>
      </c>
      <c r="D723" s="78">
        <v>7</v>
      </c>
      <c r="E723" s="78">
        <v>6</v>
      </c>
      <c r="F723" s="78">
        <v>5</v>
      </c>
      <c r="G723" s="78">
        <v>4</v>
      </c>
      <c r="H723" s="78">
        <v>3</v>
      </c>
      <c r="I723" s="78">
        <v>2</v>
      </c>
      <c r="J723" s="78">
        <v>1</v>
      </c>
      <c r="K723" s="78">
        <v>0</v>
      </c>
    </row>
    <row r="724" spans="1:11" s="73" customFormat="1">
      <c r="C724" s="79" t="s">
        <v>6</v>
      </c>
      <c r="D724" s="95" t="s">
        <v>1045</v>
      </c>
      <c r="E724" s="96"/>
      <c r="F724" s="96"/>
      <c r="G724" s="96"/>
      <c r="H724" s="96"/>
      <c r="I724" s="96"/>
      <c r="J724" s="96"/>
      <c r="K724" s="97"/>
    </row>
    <row r="725" spans="1:11" s="73" customFormat="1">
      <c r="C725" s="79" t="s">
        <v>123</v>
      </c>
      <c r="D725" s="66">
        <v>0</v>
      </c>
      <c r="E725" s="66">
        <v>0</v>
      </c>
      <c r="F725" s="66">
        <v>0</v>
      </c>
      <c r="G725" s="66">
        <v>0</v>
      </c>
      <c r="H725" s="66">
        <v>0</v>
      </c>
      <c r="I725" s="66">
        <v>0</v>
      </c>
      <c r="J725" s="66">
        <v>0</v>
      </c>
      <c r="K725" s="66">
        <v>0</v>
      </c>
    </row>
    <row r="726" spans="1:11" s="73" customFormat="1">
      <c r="B726" s="74" t="s">
        <v>1026</v>
      </c>
    </row>
    <row r="727" spans="1:11" s="73" customFormat="1" ht="13.5">
      <c r="A727" s="65"/>
      <c r="B727" s="64"/>
      <c r="C727" s="75" t="s">
        <v>6</v>
      </c>
      <c r="D727" s="98" t="s">
        <v>125</v>
      </c>
      <c r="E727" s="98"/>
      <c r="F727" s="75" t="s">
        <v>126</v>
      </c>
      <c r="G727" s="98" t="s">
        <v>127</v>
      </c>
      <c r="H727" s="98"/>
      <c r="I727" s="98"/>
      <c r="J727" s="98"/>
      <c r="K727" s="75" t="s">
        <v>123</v>
      </c>
    </row>
    <row r="728" spans="1:11" s="73" customFormat="1" ht="13.5">
      <c r="A728" s="65"/>
      <c r="B728" s="64"/>
      <c r="C728" s="75" t="str">
        <f>D724</f>
        <v>OTP_WRITE_CTRL2[7:0]</v>
      </c>
      <c r="D728" s="99" t="s">
        <v>1046</v>
      </c>
      <c r="E728" s="99"/>
      <c r="F728" s="76"/>
      <c r="G728" s="99"/>
      <c r="H728" s="99"/>
      <c r="I728" s="99"/>
      <c r="J728" s="99"/>
      <c r="K728" s="75" t="s">
        <v>262</v>
      </c>
    </row>
    <row r="729" spans="1:11" s="73" customFormat="1">
      <c r="A729" s="65"/>
      <c r="B729" s="64" t="str">
        <f>CONCATENATE(D733,E733,F733,G733,H733,I733,J733,K733)</f>
        <v>00000000</v>
      </c>
    </row>
    <row r="730" spans="1:11" s="73" customFormat="1">
      <c r="C730" s="100" t="s">
        <v>1055</v>
      </c>
      <c r="D730" s="100"/>
      <c r="E730" s="100"/>
      <c r="F730" s="100"/>
      <c r="G730" s="100"/>
      <c r="H730" s="100"/>
      <c r="I730" s="100"/>
      <c r="J730" s="100"/>
      <c r="K730" s="100"/>
    </row>
    <row r="731" spans="1:11" s="73" customFormat="1">
      <c r="B731" s="65"/>
      <c r="C731" s="77" t="s">
        <v>120</v>
      </c>
      <c r="D731" s="78">
        <v>7</v>
      </c>
      <c r="E731" s="78">
        <v>6</v>
      </c>
      <c r="F731" s="78">
        <v>5</v>
      </c>
      <c r="G731" s="78">
        <v>4</v>
      </c>
      <c r="H731" s="78">
        <v>3</v>
      </c>
      <c r="I731" s="78">
        <v>2</v>
      </c>
      <c r="J731" s="78">
        <v>1</v>
      </c>
      <c r="K731" s="78">
        <v>0</v>
      </c>
    </row>
    <row r="732" spans="1:11" s="73" customFormat="1">
      <c r="C732" s="79" t="s">
        <v>6</v>
      </c>
      <c r="D732" s="95" t="s">
        <v>1047</v>
      </c>
      <c r="E732" s="96"/>
      <c r="F732" s="96"/>
      <c r="G732" s="96"/>
      <c r="H732" s="96"/>
      <c r="I732" s="96"/>
      <c r="J732" s="96"/>
      <c r="K732" s="97"/>
    </row>
    <row r="733" spans="1:11" s="73" customFormat="1">
      <c r="C733" s="79" t="s">
        <v>123</v>
      </c>
      <c r="D733" s="66">
        <v>0</v>
      </c>
      <c r="E733" s="66">
        <v>0</v>
      </c>
      <c r="F733" s="66">
        <v>0</v>
      </c>
      <c r="G733" s="66">
        <v>0</v>
      </c>
      <c r="H733" s="66">
        <v>0</v>
      </c>
      <c r="I733" s="66">
        <v>0</v>
      </c>
      <c r="J733" s="66">
        <v>0</v>
      </c>
      <c r="K733" s="66">
        <v>0</v>
      </c>
    </row>
    <row r="734" spans="1:11" s="73" customFormat="1"/>
    <row r="735" spans="1:11" s="73" customFormat="1" ht="13.5">
      <c r="C735" s="75" t="s">
        <v>6</v>
      </c>
      <c r="D735" s="98" t="s">
        <v>125</v>
      </c>
      <c r="E735" s="98"/>
      <c r="F735" s="75" t="s">
        <v>126</v>
      </c>
      <c r="G735" s="98" t="s">
        <v>127</v>
      </c>
      <c r="H735" s="98"/>
      <c r="I735" s="98"/>
      <c r="J735" s="98"/>
      <c r="K735" s="75" t="s">
        <v>123</v>
      </c>
    </row>
    <row r="736" spans="1:11" s="73" customFormat="1" ht="13.5">
      <c r="C736" s="75" t="str">
        <f>D732</f>
        <v>OTP_WRITE_CTRL3[7:0]</v>
      </c>
      <c r="D736" s="99" t="s">
        <v>1048</v>
      </c>
      <c r="E736" s="99"/>
      <c r="F736" s="76"/>
      <c r="G736" s="99"/>
      <c r="H736" s="99"/>
      <c r="I736" s="99"/>
      <c r="J736" s="99"/>
      <c r="K736" s="75" t="s">
        <v>262</v>
      </c>
    </row>
    <row r="737" s="73" customFormat="1"/>
  </sheetData>
  <mergeCells count="654">
    <mergeCell ref="C537:K537"/>
    <mergeCell ref="D552:E552"/>
    <mergeCell ref="C650:K650"/>
    <mergeCell ref="D652:K652"/>
    <mergeCell ref="D655:E655"/>
    <mergeCell ref="G655:J655"/>
    <mergeCell ref="D656:E656"/>
    <mergeCell ref="G656:J656"/>
    <mergeCell ref="G75:J75"/>
    <mergeCell ref="C558:K558"/>
    <mergeCell ref="D559:E559"/>
    <mergeCell ref="G559:J559"/>
    <mergeCell ref="D560:E560"/>
    <mergeCell ref="G560:J560"/>
    <mergeCell ref="D561:E561"/>
    <mergeCell ref="G561:J561"/>
    <mergeCell ref="H383:K383"/>
    <mergeCell ref="D383:G383"/>
    <mergeCell ref="D387:E387"/>
    <mergeCell ref="G387:J387"/>
    <mergeCell ref="D388:E388"/>
    <mergeCell ref="G388:J388"/>
    <mergeCell ref="C360:C361"/>
    <mergeCell ref="D360:E361"/>
    <mergeCell ref="J70:K70"/>
    <mergeCell ref="H70:I70"/>
    <mergeCell ref="D76:E76"/>
    <mergeCell ref="G76:J76"/>
    <mergeCell ref="D77:E77"/>
    <mergeCell ref="G77:J77"/>
    <mergeCell ref="F70:G70"/>
    <mergeCell ref="D70:E70"/>
    <mergeCell ref="G552:J552"/>
    <mergeCell ref="D396:E396"/>
    <mergeCell ref="G396:J396"/>
    <mergeCell ref="D529:K529"/>
    <mergeCell ref="D514:E514"/>
    <mergeCell ref="G378:J378"/>
    <mergeCell ref="D379:E379"/>
    <mergeCell ref="G379:J379"/>
    <mergeCell ref="C381:K381"/>
    <mergeCell ref="C385:K385"/>
    <mergeCell ref="D386:E386"/>
    <mergeCell ref="G386:J386"/>
    <mergeCell ref="C372:K372"/>
    <mergeCell ref="D374:G374"/>
    <mergeCell ref="H374:K374"/>
    <mergeCell ref="C376:K376"/>
    <mergeCell ref="C59:K59"/>
    <mergeCell ref="C63:K63"/>
    <mergeCell ref="D64:E64"/>
    <mergeCell ref="G64:J64"/>
    <mergeCell ref="D66:E66"/>
    <mergeCell ref="G66:J66"/>
    <mergeCell ref="I441:K441"/>
    <mergeCell ref="F400:K400"/>
    <mergeCell ref="D403:E403"/>
    <mergeCell ref="G403:J403"/>
    <mergeCell ref="D404:E404"/>
    <mergeCell ref="G404:J404"/>
    <mergeCell ref="D425:E425"/>
    <mergeCell ref="G425:J425"/>
    <mergeCell ref="C72:K72"/>
    <mergeCell ref="D73:E73"/>
    <mergeCell ref="G73:J73"/>
    <mergeCell ref="D74:E74"/>
    <mergeCell ref="G74:J74"/>
    <mergeCell ref="D75:E75"/>
    <mergeCell ref="C390:K390"/>
    <mergeCell ref="D377:E377"/>
    <mergeCell ref="G377:J377"/>
    <mergeCell ref="D378:E378"/>
    <mergeCell ref="D39:E39"/>
    <mergeCell ref="G39:J39"/>
    <mergeCell ref="D40:E40"/>
    <mergeCell ref="G40:J40"/>
    <mergeCell ref="G36:K36"/>
    <mergeCell ref="C42:K42"/>
    <mergeCell ref="D392:K392"/>
    <mergeCell ref="C394:K394"/>
    <mergeCell ref="D395:E395"/>
    <mergeCell ref="G395:J395"/>
    <mergeCell ref="C51:K51"/>
    <mergeCell ref="C55:K55"/>
    <mergeCell ref="D56:E56"/>
    <mergeCell ref="G56:J56"/>
    <mergeCell ref="D57:E57"/>
    <mergeCell ref="G57:J57"/>
    <mergeCell ref="G53:K53"/>
    <mergeCell ref="H61:K61"/>
    <mergeCell ref="D65:E65"/>
    <mergeCell ref="G65:J65"/>
    <mergeCell ref="C68:K68"/>
    <mergeCell ref="F365:I365"/>
    <mergeCell ref="D370:E370"/>
    <mergeCell ref="G370:J370"/>
    <mergeCell ref="C28:K28"/>
    <mergeCell ref="D29:E29"/>
    <mergeCell ref="G29:J29"/>
    <mergeCell ref="G31:J31"/>
    <mergeCell ref="G32:J32"/>
    <mergeCell ref="D31:E31"/>
    <mergeCell ref="D32:E32"/>
    <mergeCell ref="C34:K34"/>
    <mergeCell ref="C38:K38"/>
    <mergeCell ref="G30:J30"/>
    <mergeCell ref="G360:J360"/>
    <mergeCell ref="K360:K361"/>
    <mergeCell ref="G361:J361"/>
    <mergeCell ref="C367:K367"/>
    <mergeCell ref="D368:E368"/>
    <mergeCell ref="G368:J368"/>
    <mergeCell ref="D369:E369"/>
    <mergeCell ref="G369:J369"/>
    <mergeCell ref="C352:K352"/>
    <mergeCell ref="D354:G354"/>
    <mergeCell ref="H354:K354"/>
    <mergeCell ref="D357:E357"/>
    <mergeCell ref="G357:J357"/>
    <mergeCell ref="C358:C359"/>
    <mergeCell ref="D358:E359"/>
    <mergeCell ref="G358:J358"/>
    <mergeCell ref="K358:K359"/>
    <mergeCell ref="G359:J359"/>
    <mergeCell ref="D346:E346"/>
    <mergeCell ref="G346:J346"/>
    <mergeCell ref="C347:C348"/>
    <mergeCell ref="D347:E348"/>
    <mergeCell ref="G347:J347"/>
    <mergeCell ref="K347:K348"/>
    <mergeCell ref="G348:J348"/>
    <mergeCell ref="C349:C350"/>
    <mergeCell ref="D349:E350"/>
    <mergeCell ref="G349:J349"/>
    <mergeCell ref="K349:K350"/>
    <mergeCell ref="G350:J350"/>
    <mergeCell ref="C642:K642"/>
    <mergeCell ref="D644:K644"/>
    <mergeCell ref="D647:E647"/>
    <mergeCell ref="G647:J647"/>
    <mergeCell ref="D648:E648"/>
    <mergeCell ref="G648:J648"/>
    <mergeCell ref="C8:C9"/>
    <mergeCell ref="C10:C11"/>
    <mergeCell ref="C12:C13"/>
    <mergeCell ref="C21:C22"/>
    <mergeCell ref="C85:C86"/>
    <mergeCell ref="C94:C95"/>
    <mergeCell ref="C103:C110"/>
    <mergeCell ref="C118:C121"/>
    <mergeCell ref="C122:C123"/>
    <mergeCell ref="C157:C160"/>
    <mergeCell ref="C168:C172"/>
    <mergeCell ref="C603:C631"/>
    <mergeCell ref="K8:K9"/>
    <mergeCell ref="K10:K11"/>
    <mergeCell ref="C314:K314"/>
    <mergeCell ref="C318:K318"/>
    <mergeCell ref="D319:E319"/>
    <mergeCell ref="G319:J319"/>
    <mergeCell ref="G631:J631"/>
    <mergeCell ref="C633:K633"/>
    <mergeCell ref="H635:K635"/>
    <mergeCell ref="C637:K637"/>
    <mergeCell ref="D638:E638"/>
    <mergeCell ref="G638:J638"/>
    <mergeCell ref="D639:E639"/>
    <mergeCell ref="G639:J639"/>
    <mergeCell ref="D640:E640"/>
    <mergeCell ref="G640:J640"/>
    <mergeCell ref="K603:K631"/>
    <mergeCell ref="D603:E631"/>
    <mergeCell ref="G622:J622"/>
    <mergeCell ref="G623:J623"/>
    <mergeCell ref="G624:J624"/>
    <mergeCell ref="G625:J625"/>
    <mergeCell ref="G626:J626"/>
    <mergeCell ref="G627:J627"/>
    <mergeCell ref="G628:J628"/>
    <mergeCell ref="G629:J629"/>
    <mergeCell ref="G630:J630"/>
    <mergeCell ref="G613:J613"/>
    <mergeCell ref="G614:J614"/>
    <mergeCell ref="G615:J615"/>
    <mergeCell ref="G617:J617"/>
    <mergeCell ref="G618:J618"/>
    <mergeCell ref="G619:J619"/>
    <mergeCell ref="G620:J620"/>
    <mergeCell ref="G621:J621"/>
    <mergeCell ref="G604:J604"/>
    <mergeCell ref="G605:J605"/>
    <mergeCell ref="G606:J606"/>
    <mergeCell ref="G607:J607"/>
    <mergeCell ref="G608:J608"/>
    <mergeCell ref="G609:J609"/>
    <mergeCell ref="G610:J610"/>
    <mergeCell ref="G611:J611"/>
    <mergeCell ref="G612:J612"/>
    <mergeCell ref="E594:F594"/>
    <mergeCell ref="G594:K594"/>
    <mergeCell ref="C597:K597"/>
    <mergeCell ref="E599:F599"/>
    <mergeCell ref="G599:K599"/>
    <mergeCell ref="D602:E602"/>
    <mergeCell ref="G602:J602"/>
    <mergeCell ref="G603:J603"/>
    <mergeCell ref="G616:J616"/>
    <mergeCell ref="E584:F584"/>
    <mergeCell ref="G584:K584"/>
    <mergeCell ref="C587:K587"/>
    <mergeCell ref="E589:F589"/>
    <mergeCell ref="G589:K589"/>
    <mergeCell ref="C573:K573"/>
    <mergeCell ref="H575:K575"/>
    <mergeCell ref="D575:G575"/>
    <mergeCell ref="C592:K592"/>
    <mergeCell ref="C577:K577"/>
    <mergeCell ref="D578:E578"/>
    <mergeCell ref="G578:J578"/>
    <mergeCell ref="D579:E579"/>
    <mergeCell ref="G579:J579"/>
    <mergeCell ref="D580:E580"/>
    <mergeCell ref="G580:J580"/>
    <mergeCell ref="D569:E569"/>
    <mergeCell ref="G569:J569"/>
    <mergeCell ref="D556:G556"/>
    <mergeCell ref="D570:E570"/>
    <mergeCell ref="G570:J570"/>
    <mergeCell ref="D571:E571"/>
    <mergeCell ref="G571:J571"/>
    <mergeCell ref="C582:K582"/>
    <mergeCell ref="D562:E562"/>
    <mergeCell ref="G562:J562"/>
    <mergeCell ref="H556:I556"/>
    <mergeCell ref="J556:K556"/>
    <mergeCell ref="C564:K564"/>
    <mergeCell ref="F566:H566"/>
    <mergeCell ref="I566:K566"/>
    <mergeCell ref="C511:K511"/>
    <mergeCell ref="D512:E512"/>
    <mergeCell ref="G512:J512"/>
    <mergeCell ref="D513:E513"/>
    <mergeCell ref="G513:J513"/>
    <mergeCell ref="D515:E515"/>
    <mergeCell ref="G515:J515"/>
    <mergeCell ref="G514:J514"/>
    <mergeCell ref="C568:K568"/>
    <mergeCell ref="G539:H539"/>
    <mergeCell ref="I539:K539"/>
    <mergeCell ref="C542:K542"/>
    <mergeCell ref="C554:K554"/>
    <mergeCell ref="D547:E547"/>
    <mergeCell ref="G547:J547"/>
    <mergeCell ref="D548:E548"/>
    <mergeCell ref="G548:J548"/>
    <mergeCell ref="D549:E549"/>
    <mergeCell ref="G549:J549"/>
    <mergeCell ref="C546:K546"/>
    <mergeCell ref="D550:E550"/>
    <mergeCell ref="G550:J550"/>
    <mergeCell ref="D551:E551"/>
    <mergeCell ref="G551:J551"/>
    <mergeCell ref="C517:K517"/>
    <mergeCell ref="C527:K527"/>
    <mergeCell ref="C532:K532"/>
    <mergeCell ref="D534:G534"/>
    <mergeCell ref="H534:K534"/>
    <mergeCell ref="C521:K521"/>
    <mergeCell ref="D522:E522"/>
    <mergeCell ref="G522:J522"/>
    <mergeCell ref="D523:E523"/>
    <mergeCell ref="G523:J523"/>
    <mergeCell ref="D524:E524"/>
    <mergeCell ref="G524:J524"/>
    <mergeCell ref="D525:E525"/>
    <mergeCell ref="G525:J525"/>
    <mergeCell ref="H519:I519"/>
    <mergeCell ref="E509:F509"/>
    <mergeCell ref="C486:K486"/>
    <mergeCell ref="D487:E487"/>
    <mergeCell ref="G487:J487"/>
    <mergeCell ref="D488:E488"/>
    <mergeCell ref="G488:J488"/>
    <mergeCell ref="C491:K491"/>
    <mergeCell ref="C495:K495"/>
    <mergeCell ref="D496:E496"/>
    <mergeCell ref="G496:J496"/>
    <mergeCell ref="D489:E489"/>
    <mergeCell ref="G489:J489"/>
    <mergeCell ref="G493:K493"/>
    <mergeCell ref="D497:E497"/>
    <mergeCell ref="G497:J497"/>
    <mergeCell ref="C499:K499"/>
    <mergeCell ref="C503:K503"/>
    <mergeCell ref="D504:E504"/>
    <mergeCell ref="G504:J504"/>
    <mergeCell ref="D505:E505"/>
    <mergeCell ref="G505:J505"/>
    <mergeCell ref="C507:K507"/>
    <mergeCell ref="G509:K509"/>
    <mergeCell ref="C474:K474"/>
    <mergeCell ref="E476:K476"/>
    <mergeCell ref="C478:K478"/>
    <mergeCell ref="D479:E479"/>
    <mergeCell ref="G479:J479"/>
    <mergeCell ref="D480:E480"/>
    <mergeCell ref="G480:J480"/>
    <mergeCell ref="C482:K482"/>
    <mergeCell ref="I484:J484"/>
    <mergeCell ref="C468:K468"/>
    <mergeCell ref="D469:E469"/>
    <mergeCell ref="G469:J469"/>
    <mergeCell ref="D470:E470"/>
    <mergeCell ref="G470:J470"/>
    <mergeCell ref="D471:E471"/>
    <mergeCell ref="G471:J471"/>
    <mergeCell ref="D472:E472"/>
    <mergeCell ref="G472:J472"/>
    <mergeCell ref="C456:K456"/>
    <mergeCell ref="I458:K458"/>
    <mergeCell ref="C460:K460"/>
    <mergeCell ref="D461:E461"/>
    <mergeCell ref="G461:J461"/>
    <mergeCell ref="D462:E462"/>
    <mergeCell ref="G462:J462"/>
    <mergeCell ref="C464:K464"/>
    <mergeCell ref="D466:G466"/>
    <mergeCell ref="H466:J466"/>
    <mergeCell ref="D446:E446"/>
    <mergeCell ref="G446:J446"/>
    <mergeCell ref="C448:K448"/>
    <mergeCell ref="D450:K450"/>
    <mergeCell ref="C452:K452"/>
    <mergeCell ref="D453:E453"/>
    <mergeCell ref="G453:J453"/>
    <mergeCell ref="D454:E454"/>
    <mergeCell ref="G454:J454"/>
    <mergeCell ref="C439:K439"/>
    <mergeCell ref="G441:H441"/>
    <mergeCell ref="C443:K443"/>
    <mergeCell ref="D444:E444"/>
    <mergeCell ref="G444:J444"/>
    <mergeCell ref="D445:E445"/>
    <mergeCell ref="G445:J445"/>
    <mergeCell ref="D433:E433"/>
    <mergeCell ref="G433:J433"/>
    <mergeCell ref="D434:E434"/>
    <mergeCell ref="G434:J434"/>
    <mergeCell ref="D435:E435"/>
    <mergeCell ref="G435:J435"/>
    <mergeCell ref="D436:E436"/>
    <mergeCell ref="G436:J436"/>
    <mergeCell ref="D437:E437"/>
    <mergeCell ref="G437:J437"/>
    <mergeCell ref="H408:K408"/>
    <mergeCell ref="C411:K411"/>
    <mergeCell ref="H413:K413"/>
    <mergeCell ref="C419:K419"/>
    <mergeCell ref="C427:K427"/>
    <mergeCell ref="D429:G429"/>
    <mergeCell ref="C431:K431"/>
    <mergeCell ref="D432:E432"/>
    <mergeCell ref="G432:J432"/>
    <mergeCell ref="D421:K421"/>
    <mergeCell ref="C415:K415"/>
    <mergeCell ref="D416:E416"/>
    <mergeCell ref="G416:J416"/>
    <mergeCell ref="D417:E417"/>
    <mergeCell ref="G417:J417"/>
    <mergeCell ref="C423:K423"/>
    <mergeCell ref="D424:E424"/>
    <mergeCell ref="G424:J424"/>
    <mergeCell ref="C398:K398"/>
    <mergeCell ref="C406:K406"/>
    <mergeCell ref="C402:K402"/>
    <mergeCell ref="D311:K311"/>
    <mergeCell ref="D320:E320"/>
    <mergeCell ref="G320:J320"/>
    <mergeCell ref="D321:E321"/>
    <mergeCell ref="G321:J321"/>
    <mergeCell ref="D322:E322"/>
    <mergeCell ref="G322:J322"/>
    <mergeCell ref="D323:E323"/>
    <mergeCell ref="G323:J323"/>
    <mergeCell ref="D324:E324"/>
    <mergeCell ref="G324:J324"/>
    <mergeCell ref="D316:G316"/>
    <mergeCell ref="H328:K328"/>
    <mergeCell ref="C331:K331"/>
    <mergeCell ref="C363:K363"/>
    <mergeCell ref="C326:K326"/>
    <mergeCell ref="G333:K333"/>
    <mergeCell ref="C336:K336"/>
    <mergeCell ref="C341:K341"/>
    <mergeCell ref="D343:G343"/>
    <mergeCell ref="H343:K343"/>
    <mergeCell ref="C299:K299"/>
    <mergeCell ref="C294:K294"/>
    <mergeCell ref="D296:K296"/>
    <mergeCell ref="D301:K301"/>
    <mergeCell ref="C304:K304"/>
    <mergeCell ref="D306:K306"/>
    <mergeCell ref="C309:K309"/>
    <mergeCell ref="H281:K281"/>
    <mergeCell ref="C283:K283"/>
    <mergeCell ref="C284:K284"/>
    <mergeCell ref="D286:K286"/>
    <mergeCell ref="C288:K288"/>
    <mergeCell ref="C289:K289"/>
    <mergeCell ref="H291:K291"/>
    <mergeCell ref="D266:K266"/>
    <mergeCell ref="C268:K268"/>
    <mergeCell ref="C269:K269"/>
    <mergeCell ref="H271:K271"/>
    <mergeCell ref="C273:K273"/>
    <mergeCell ref="C274:K274"/>
    <mergeCell ref="D276:K276"/>
    <mergeCell ref="C278:K278"/>
    <mergeCell ref="C279:K279"/>
    <mergeCell ref="H251:K251"/>
    <mergeCell ref="C253:K253"/>
    <mergeCell ref="C254:K254"/>
    <mergeCell ref="D256:K256"/>
    <mergeCell ref="C258:K258"/>
    <mergeCell ref="C259:K259"/>
    <mergeCell ref="H261:K261"/>
    <mergeCell ref="C263:K263"/>
    <mergeCell ref="C264:K264"/>
    <mergeCell ref="D236:K236"/>
    <mergeCell ref="C238:K238"/>
    <mergeCell ref="C239:K239"/>
    <mergeCell ref="H241:K241"/>
    <mergeCell ref="C243:K243"/>
    <mergeCell ref="C244:K244"/>
    <mergeCell ref="D246:K246"/>
    <mergeCell ref="C248:K248"/>
    <mergeCell ref="C249:K249"/>
    <mergeCell ref="H221:K221"/>
    <mergeCell ref="C223:K223"/>
    <mergeCell ref="C224:K224"/>
    <mergeCell ref="D226:K226"/>
    <mergeCell ref="C228:K228"/>
    <mergeCell ref="C229:K229"/>
    <mergeCell ref="H231:K231"/>
    <mergeCell ref="C233:K233"/>
    <mergeCell ref="C234:K234"/>
    <mergeCell ref="D206:K206"/>
    <mergeCell ref="C208:K208"/>
    <mergeCell ref="C209:K209"/>
    <mergeCell ref="H211:K211"/>
    <mergeCell ref="C213:K213"/>
    <mergeCell ref="C214:K214"/>
    <mergeCell ref="D216:K216"/>
    <mergeCell ref="C218:K218"/>
    <mergeCell ref="C219:K219"/>
    <mergeCell ref="H191:K191"/>
    <mergeCell ref="C193:K193"/>
    <mergeCell ref="C194:K194"/>
    <mergeCell ref="D196:K196"/>
    <mergeCell ref="C198:K198"/>
    <mergeCell ref="C199:K199"/>
    <mergeCell ref="H201:K201"/>
    <mergeCell ref="C203:K203"/>
    <mergeCell ref="C204:K204"/>
    <mergeCell ref="D176:K176"/>
    <mergeCell ref="C178:K178"/>
    <mergeCell ref="C179:K179"/>
    <mergeCell ref="H181:K181"/>
    <mergeCell ref="C183:K183"/>
    <mergeCell ref="C184:K184"/>
    <mergeCell ref="D186:K186"/>
    <mergeCell ref="C188:K188"/>
    <mergeCell ref="C189:K189"/>
    <mergeCell ref="C166:K166"/>
    <mergeCell ref="D167:E167"/>
    <mergeCell ref="G167:J167"/>
    <mergeCell ref="G168:J168"/>
    <mergeCell ref="G169:J169"/>
    <mergeCell ref="G170:J170"/>
    <mergeCell ref="G171:J171"/>
    <mergeCell ref="G172:J172"/>
    <mergeCell ref="C174:K174"/>
    <mergeCell ref="K168:K172"/>
    <mergeCell ref="D168:E172"/>
    <mergeCell ref="D156:E156"/>
    <mergeCell ref="G156:J156"/>
    <mergeCell ref="G157:J157"/>
    <mergeCell ref="G158:J158"/>
    <mergeCell ref="G159:J159"/>
    <mergeCell ref="G160:J160"/>
    <mergeCell ref="C162:K162"/>
    <mergeCell ref="F164:H164"/>
    <mergeCell ref="I164:K164"/>
    <mergeCell ref="K157:K160"/>
    <mergeCell ref="D157:E160"/>
    <mergeCell ref="D145:K145"/>
    <mergeCell ref="C147:K147"/>
    <mergeCell ref="D148:E148"/>
    <mergeCell ref="G148:J148"/>
    <mergeCell ref="D149:E149"/>
    <mergeCell ref="G149:J149"/>
    <mergeCell ref="C151:K151"/>
    <mergeCell ref="J153:K153"/>
    <mergeCell ref="C155:K155"/>
    <mergeCell ref="J132:K132"/>
    <mergeCell ref="C135:K135"/>
    <mergeCell ref="D137:K137"/>
    <mergeCell ref="C139:K139"/>
    <mergeCell ref="D140:E140"/>
    <mergeCell ref="G140:J140"/>
    <mergeCell ref="D141:E141"/>
    <mergeCell ref="G141:J141"/>
    <mergeCell ref="C143:K143"/>
    <mergeCell ref="G118:J118"/>
    <mergeCell ref="G119:J119"/>
    <mergeCell ref="G120:J120"/>
    <mergeCell ref="G121:J121"/>
    <mergeCell ref="G122:J122"/>
    <mergeCell ref="G123:J123"/>
    <mergeCell ref="C125:K125"/>
    <mergeCell ref="D127:K127"/>
    <mergeCell ref="C130:K130"/>
    <mergeCell ref="K118:K121"/>
    <mergeCell ref="K122:K123"/>
    <mergeCell ref="D118:E121"/>
    <mergeCell ref="D122:E123"/>
    <mergeCell ref="G106:J106"/>
    <mergeCell ref="G107:J107"/>
    <mergeCell ref="G108:J108"/>
    <mergeCell ref="G109:J109"/>
    <mergeCell ref="G110:J110"/>
    <mergeCell ref="C112:K112"/>
    <mergeCell ref="H114:K114"/>
    <mergeCell ref="C116:K116"/>
    <mergeCell ref="D117:E117"/>
    <mergeCell ref="G117:J117"/>
    <mergeCell ref="K103:K110"/>
    <mergeCell ref="D103:E110"/>
    <mergeCell ref="G95:J95"/>
    <mergeCell ref="C97:K97"/>
    <mergeCell ref="D99:K99"/>
    <mergeCell ref="C101:K101"/>
    <mergeCell ref="D102:E102"/>
    <mergeCell ref="G102:J102"/>
    <mergeCell ref="G103:J103"/>
    <mergeCell ref="G104:J104"/>
    <mergeCell ref="G105:J105"/>
    <mergeCell ref="K94:K95"/>
    <mergeCell ref="D94:E95"/>
    <mergeCell ref="D84:E84"/>
    <mergeCell ref="G84:J84"/>
    <mergeCell ref="G85:J85"/>
    <mergeCell ref="G86:J86"/>
    <mergeCell ref="C88:K88"/>
    <mergeCell ref="C92:K92"/>
    <mergeCell ref="D93:E93"/>
    <mergeCell ref="G93:J93"/>
    <mergeCell ref="G94:J94"/>
    <mergeCell ref="K85:K86"/>
    <mergeCell ref="D85:E86"/>
    <mergeCell ref="G13:J13"/>
    <mergeCell ref="C15:K15"/>
    <mergeCell ref="C19:K19"/>
    <mergeCell ref="D20:E20"/>
    <mergeCell ref="G20:J20"/>
    <mergeCell ref="G21:J21"/>
    <mergeCell ref="G22:J22"/>
    <mergeCell ref="C79:K79"/>
    <mergeCell ref="C83:K83"/>
    <mergeCell ref="K12:K13"/>
    <mergeCell ref="K21:K22"/>
    <mergeCell ref="D12:E13"/>
    <mergeCell ref="D21:E22"/>
    <mergeCell ref="C46:K46"/>
    <mergeCell ref="D47:E47"/>
    <mergeCell ref="G47:J47"/>
    <mergeCell ref="D48:E48"/>
    <mergeCell ref="G48:J48"/>
    <mergeCell ref="H44:K44"/>
    <mergeCell ref="D49:E49"/>
    <mergeCell ref="G49:J49"/>
    <mergeCell ref="D44:G44"/>
    <mergeCell ref="D30:E30"/>
    <mergeCell ref="C24:K24"/>
    <mergeCell ref="C2:K2"/>
    <mergeCell ref="C6:K6"/>
    <mergeCell ref="D7:E7"/>
    <mergeCell ref="G7:J7"/>
    <mergeCell ref="G8:J8"/>
    <mergeCell ref="G9:J9"/>
    <mergeCell ref="G10:J10"/>
    <mergeCell ref="G11:J11"/>
    <mergeCell ref="G12:J12"/>
    <mergeCell ref="D8:E9"/>
    <mergeCell ref="D10:E11"/>
    <mergeCell ref="C658:K658"/>
    <mergeCell ref="D663:E663"/>
    <mergeCell ref="G663:J663"/>
    <mergeCell ref="D664:E664"/>
    <mergeCell ref="G664:J664"/>
    <mergeCell ref="C666:K666"/>
    <mergeCell ref="D671:E671"/>
    <mergeCell ref="G671:J671"/>
    <mergeCell ref="J660:K660"/>
    <mergeCell ref="D672:E672"/>
    <mergeCell ref="G672:J672"/>
    <mergeCell ref="C674:K674"/>
    <mergeCell ref="D676:K676"/>
    <mergeCell ref="D679:E679"/>
    <mergeCell ref="G679:J679"/>
    <mergeCell ref="D680:E680"/>
    <mergeCell ref="G680:J680"/>
    <mergeCell ref="C682:K682"/>
    <mergeCell ref="D684:K684"/>
    <mergeCell ref="D687:E687"/>
    <mergeCell ref="G687:J687"/>
    <mergeCell ref="D688:E688"/>
    <mergeCell ref="G688:J688"/>
    <mergeCell ref="C690:K690"/>
    <mergeCell ref="D692:K692"/>
    <mergeCell ref="D695:E695"/>
    <mergeCell ref="G695:J695"/>
    <mergeCell ref="D719:E719"/>
    <mergeCell ref="G719:J719"/>
    <mergeCell ref="D696:E696"/>
    <mergeCell ref="G696:J696"/>
    <mergeCell ref="C698:K698"/>
    <mergeCell ref="D700:K700"/>
    <mergeCell ref="D703:E703"/>
    <mergeCell ref="G703:J703"/>
    <mergeCell ref="D704:E704"/>
    <mergeCell ref="G704:J704"/>
    <mergeCell ref="C706:K706"/>
    <mergeCell ref="D708:K708"/>
    <mergeCell ref="D711:E711"/>
    <mergeCell ref="G711:J711"/>
    <mergeCell ref="D712:E712"/>
    <mergeCell ref="G712:J712"/>
    <mergeCell ref="C714:K714"/>
    <mergeCell ref="D716:K716"/>
    <mergeCell ref="D732:K732"/>
    <mergeCell ref="D735:E735"/>
    <mergeCell ref="G735:J735"/>
    <mergeCell ref="D736:E736"/>
    <mergeCell ref="G736:J736"/>
    <mergeCell ref="D720:E720"/>
    <mergeCell ref="G720:J720"/>
    <mergeCell ref="C722:K722"/>
    <mergeCell ref="D724:K724"/>
    <mergeCell ref="D727:E727"/>
    <mergeCell ref="G727:J727"/>
    <mergeCell ref="D728:E728"/>
    <mergeCell ref="G728:J728"/>
    <mergeCell ref="C730:K730"/>
  </mergeCells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13"/>
  <sheetViews>
    <sheetView showGridLines="0" topLeftCell="B148" zoomScale="85" zoomScaleNormal="85" workbookViewId="0">
      <selection activeCell="G72" sqref="G72:J72"/>
    </sheetView>
  </sheetViews>
  <sheetFormatPr defaultColWidth="10.77734375" defaultRowHeight="12.75"/>
  <cols>
    <col min="1" max="2" width="10.77734375" style="2"/>
    <col min="3" max="3" width="17.33203125" style="2" customWidth="1"/>
    <col min="4" max="11" width="14.3320312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 ht="12.75" customHeight="1">
      <c r="B2" s="5"/>
      <c r="C2" s="169" t="s">
        <v>403</v>
      </c>
      <c r="D2" s="170"/>
      <c r="E2" s="170"/>
      <c r="F2" s="170"/>
      <c r="G2" s="170"/>
      <c r="H2" s="170"/>
      <c r="I2" s="170"/>
      <c r="J2" s="170"/>
      <c r="K2" s="171"/>
    </row>
    <row r="3" spans="2:11" s="1" customFormat="1">
      <c r="B3" s="5"/>
      <c r="C3" s="6" t="s">
        <v>120</v>
      </c>
      <c r="D3" s="7">
        <v>7</v>
      </c>
      <c r="E3" s="7">
        <v>6</v>
      </c>
      <c r="F3" s="7">
        <v>5</v>
      </c>
      <c r="G3" s="7">
        <v>4</v>
      </c>
      <c r="H3" s="7">
        <v>3</v>
      </c>
      <c r="I3" s="7">
        <v>2</v>
      </c>
      <c r="J3" s="7">
        <v>1</v>
      </c>
      <c r="K3" s="7">
        <v>0</v>
      </c>
    </row>
    <row r="4" spans="2:11" s="1" customFormat="1" ht="13.5" customHeight="1">
      <c r="B4" s="5"/>
      <c r="C4" s="8" t="s">
        <v>6</v>
      </c>
      <c r="D4" s="9" t="s">
        <v>404</v>
      </c>
      <c r="E4" s="9" t="s">
        <v>405</v>
      </c>
      <c r="F4" s="9" t="s">
        <v>406</v>
      </c>
      <c r="G4" s="9" t="s">
        <v>407</v>
      </c>
      <c r="H4" s="9" t="s">
        <v>408</v>
      </c>
      <c r="I4" s="9" t="s">
        <v>409</v>
      </c>
      <c r="J4" s="9" t="s">
        <v>410</v>
      </c>
      <c r="K4" s="9" t="s">
        <v>411</v>
      </c>
    </row>
    <row r="5" spans="2:11" s="1" customFormat="1">
      <c r="B5" s="5" t="str">
        <f>CONCATENATE(D5,E5,F5,G5,H5,I5,J5,K5)</f>
        <v>00000000</v>
      </c>
      <c r="C5" s="8" t="s">
        <v>123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7" spans="2:11" s="1" customFormat="1" ht="12.75" customHeight="1">
      <c r="B7" s="5"/>
      <c r="C7" s="169" t="s">
        <v>412</v>
      </c>
      <c r="D7" s="170"/>
      <c r="E7" s="170"/>
      <c r="F7" s="170"/>
      <c r="G7" s="170"/>
      <c r="H7" s="170"/>
      <c r="I7" s="170"/>
      <c r="J7" s="170"/>
      <c r="K7" s="171"/>
    </row>
    <row r="8" spans="2:11" s="1" customFormat="1">
      <c r="B8" s="5"/>
      <c r="C8" s="6" t="s">
        <v>120</v>
      </c>
      <c r="D8" s="7">
        <v>7</v>
      </c>
      <c r="E8" s="7">
        <v>6</v>
      </c>
      <c r="F8" s="7">
        <v>5</v>
      </c>
      <c r="G8" s="7">
        <v>4</v>
      </c>
      <c r="H8" s="7">
        <v>3</v>
      </c>
      <c r="I8" s="7">
        <v>2</v>
      </c>
      <c r="J8" s="7">
        <v>1</v>
      </c>
      <c r="K8" s="7">
        <v>0</v>
      </c>
    </row>
    <row r="9" spans="2:11" s="1" customFormat="1" ht="13.5" customHeight="1">
      <c r="B9" s="5"/>
      <c r="C9" s="8" t="s">
        <v>6</v>
      </c>
      <c r="D9" s="9" t="s">
        <v>121</v>
      </c>
      <c r="E9" s="9" t="s">
        <v>121</v>
      </c>
      <c r="F9" s="9" t="s">
        <v>121</v>
      </c>
      <c r="G9" s="9" t="s">
        <v>121</v>
      </c>
      <c r="H9" s="9" t="s">
        <v>121</v>
      </c>
      <c r="I9" s="131" t="s">
        <v>413</v>
      </c>
      <c r="J9" s="118"/>
      <c r="K9" s="9" t="s">
        <v>414</v>
      </c>
    </row>
    <row r="10" spans="2:11" s="1" customFormat="1">
      <c r="B10" s="5" t="str">
        <f>CONCATENATE(D10,E10,F10,G10,H10,I10,J10,K10)</f>
        <v>-----000</v>
      </c>
      <c r="C10" s="8" t="s">
        <v>123</v>
      </c>
      <c r="D10" s="9" t="s">
        <v>124</v>
      </c>
      <c r="E10" s="9" t="s">
        <v>124</v>
      </c>
      <c r="F10" s="9" t="s">
        <v>124</v>
      </c>
      <c r="G10" s="9" t="s">
        <v>124</v>
      </c>
      <c r="H10" s="9" t="s">
        <v>124</v>
      </c>
      <c r="I10" s="9">
        <v>0</v>
      </c>
      <c r="J10" s="9">
        <v>0</v>
      </c>
      <c r="K10" s="9">
        <v>0</v>
      </c>
    </row>
    <row r="12" spans="2:11" s="1" customFormat="1" ht="12.75" customHeight="1">
      <c r="B12" s="5"/>
      <c r="C12" s="169" t="s">
        <v>415</v>
      </c>
      <c r="D12" s="170"/>
      <c r="E12" s="170"/>
      <c r="F12" s="170"/>
      <c r="G12" s="170"/>
      <c r="H12" s="170"/>
      <c r="I12" s="170"/>
      <c r="J12" s="170"/>
      <c r="K12" s="171"/>
    </row>
    <row r="13" spans="2:11" s="1" customFormat="1">
      <c r="B13" s="5"/>
      <c r="C13" s="6" t="s">
        <v>120</v>
      </c>
      <c r="D13" s="7">
        <v>7</v>
      </c>
      <c r="E13" s="7">
        <v>6</v>
      </c>
      <c r="F13" s="7">
        <v>5</v>
      </c>
      <c r="G13" s="7">
        <v>4</v>
      </c>
      <c r="H13" s="7">
        <v>3</v>
      </c>
      <c r="I13" s="7">
        <v>2</v>
      </c>
      <c r="J13" s="7">
        <v>1</v>
      </c>
      <c r="K13" s="7">
        <v>0</v>
      </c>
    </row>
    <row r="14" spans="2:11" s="1" customFormat="1" ht="13.5" customHeight="1">
      <c r="B14" s="5"/>
      <c r="C14" s="8" t="s">
        <v>6</v>
      </c>
      <c r="D14" s="9" t="s">
        <v>404</v>
      </c>
      <c r="E14" s="9" t="s">
        <v>405</v>
      </c>
      <c r="F14" s="9" t="s">
        <v>406</v>
      </c>
      <c r="G14" s="9" t="s">
        <v>407</v>
      </c>
      <c r="H14" s="9" t="s">
        <v>408</v>
      </c>
      <c r="I14" s="9" t="s">
        <v>409</v>
      </c>
      <c r="J14" s="9" t="s">
        <v>410</v>
      </c>
      <c r="K14" s="9" t="s">
        <v>411</v>
      </c>
    </row>
    <row r="15" spans="2:11" s="1" customFormat="1">
      <c r="B15" s="5" t="str">
        <f>CONCATENATE(D15,E15,F15,G15,H15,I15,J15,K15)</f>
        <v>00000000</v>
      </c>
      <c r="C15" s="8" t="s">
        <v>123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7" spans="2:11" s="1" customFormat="1" ht="13.5">
      <c r="B17" s="3"/>
      <c r="C17" s="10" t="s">
        <v>6</v>
      </c>
      <c r="D17" s="143" t="s">
        <v>125</v>
      </c>
      <c r="E17" s="143"/>
      <c r="F17" s="10" t="s">
        <v>126</v>
      </c>
      <c r="G17" s="143" t="s">
        <v>127</v>
      </c>
      <c r="H17" s="143"/>
      <c r="I17" s="143"/>
      <c r="J17" s="143"/>
      <c r="K17" s="10" t="s">
        <v>123</v>
      </c>
    </row>
    <row r="18" spans="2:11" s="1" customFormat="1" ht="13.5" customHeight="1">
      <c r="B18" s="3"/>
      <c r="C18" s="16" t="s">
        <v>411</v>
      </c>
      <c r="D18" s="172" t="s">
        <v>416</v>
      </c>
      <c r="E18" s="172"/>
      <c r="F18" s="13"/>
      <c r="G18" s="153" t="s">
        <v>417</v>
      </c>
      <c r="H18" s="154"/>
      <c r="I18" s="154"/>
      <c r="J18" s="155"/>
      <c r="K18" s="16" t="s">
        <v>135</v>
      </c>
    </row>
    <row r="19" spans="2:11" s="1" customFormat="1" ht="13.5" customHeight="1">
      <c r="B19" s="3"/>
      <c r="C19" s="16" t="s">
        <v>410</v>
      </c>
      <c r="D19" s="172" t="s">
        <v>418</v>
      </c>
      <c r="E19" s="172"/>
      <c r="F19" s="13"/>
      <c r="G19" s="144" t="s">
        <v>419</v>
      </c>
      <c r="H19" s="144"/>
      <c r="I19" s="144"/>
      <c r="J19" s="144"/>
      <c r="K19" s="16" t="s">
        <v>135</v>
      </c>
    </row>
    <row r="20" spans="2:11" s="1" customFormat="1" ht="13.5" customHeight="1">
      <c r="B20" s="3"/>
      <c r="C20" s="16" t="s">
        <v>409</v>
      </c>
      <c r="D20" s="172" t="s">
        <v>420</v>
      </c>
      <c r="E20" s="172"/>
      <c r="F20" s="13"/>
      <c r="G20" s="144" t="s">
        <v>421</v>
      </c>
      <c r="H20" s="144"/>
      <c r="I20" s="144"/>
      <c r="J20" s="144"/>
      <c r="K20" s="16" t="s">
        <v>135</v>
      </c>
    </row>
    <row r="21" spans="2:11" s="1" customFormat="1" ht="13.5" customHeight="1">
      <c r="B21" s="3"/>
      <c r="C21" s="16" t="s">
        <v>408</v>
      </c>
      <c r="D21" s="172" t="s">
        <v>422</v>
      </c>
      <c r="E21" s="172"/>
      <c r="F21" s="13"/>
      <c r="G21" s="144" t="s">
        <v>423</v>
      </c>
      <c r="H21" s="154"/>
      <c r="I21" s="154"/>
      <c r="J21" s="155"/>
      <c r="K21" s="16" t="s">
        <v>135</v>
      </c>
    </row>
    <row r="22" spans="2:11" s="1" customFormat="1" ht="13.5" customHeight="1">
      <c r="B22" s="3"/>
      <c r="C22" s="16" t="s">
        <v>407</v>
      </c>
      <c r="D22" s="172" t="s">
        <v>424</v>
      </c>
      <c r="E22" s="172"/>
      <c r="F22" s="13"/>
      <c r="G22" s="153" t="s">
        <v>425</v>
      </c>
      <c r="H22" s="154"/>
      <c r="I22" s="154"/>
      <c r="J22" s="155"/>
      <c r="K22" s="16" t="s">
        <v>135</v>
      </c>
    </row>
    <row r="23" spans="2:11" s="1" customFormat="1" ht="13.5" customHeight="1">
      <c r="B23" s="3"/>
      <c r="C23" s="16" t="s">
        <v>406</v>
      </c>
      <c r="D23" s="172" t="s">
        <v>426</v>
      </c>
      <c r="E23" s="172"/>
      <c r="F23" s="13"/>
      <c r="G23" s="153" t="s">
        <v>427</v>
      </c>
      <c r="H23" s="154"/>
      <c r="I23" s="154"/>
      <c r="J23" s="155"/>
      <c r="K23" s="16" t="s">
        <v>135</v>
      </c>
    </row>
    <row r="24" spans="2:11" s="1" customFormat="1" ht="13.5" customHeight="1">
      <c r="B24" s="3"/>
      <c r="C24" s="16" t="s">
        <v>405</v>
      </c>
      <c r="D24" s="172" t="s">
        <v>428</v>
      </c>
      <c r="E24" s="172"/>
      <c r="F24" s="13"/>
      <c r="G24" s="153" t="s">
        <v>429</v>
      </c>
      <c r="H24" s="154"/>
      <c r="I24" s="154"/>
      <c r="J24" s="155"/>
      <c r="K24" s="16" t="s">
        <v>135</v>
      </c>
    </row>
    <row r="25" spans="2:11" s="1" customFormat="1" ht="13.5" customHeight="1">
      <c r="B25" s="3"/>
      <c r="C25" s="16" t="s">
        <v>404</v>
      </c>
      <c r="D25" s="172" t="s">
        <v>430</v>
      </c>
      <c r="E25" s="172"/>
      <c r="F25" s="13"/>
      <c r="G25" s="153" t="s">
        <v>431</v>
      </c>
      <c r="H25" s="154"/>
      <c r="I25" s="154"/>
      <c r="J25" s="155"/>
      <c r="K25" s="16" t="s">
        <v>135</v>
      </c>
    </row>
    <row r="26" spans="2:11" s="1" customFormat="1" ht="12.75" customHeight="1">
      <c r="B26" s="3"/>
      <c r="C26" s="17"/>
      <c r="D26" s="17"/>
      <c r="E26" s="17"/>
      <c r="F26" s="17"/>
      <c r="G26" s="17"/>
      <c r="H26" s="17"/>
      <c r="I26" s="17"/>
      <c r="J26" s="17"/>
      <c r="K26" s="17"/>
    </row>
    <row r="27" spans="2:11" s="1" customFormat="1" ht="12.75" customHeight="1">
      <c r="B27" s="5"/>
      <c r="C27" s="169" t="s">
        <v>432</v>
      </c>
      <c r="D27" s="170"/>
      <c r="E27" s="170"/>
      <c r="F27" s="170"/>
      <c r="G27" s="170"/>
      <c r="H27" s="170"/>
      <c r="I27" s="170"/>
      <c r="J27" s="170"/>
      <c r="K27" s="171"/>
    </row>
    <row r="28" spans="2:11" s="1" customFormat="1">
      <c r="B28" s="5"/>
      <c r="C28" s="6" t="s">
        <v>120</v>
      </c>
      <c r="D28" s="7">
        <v>7</v>
      </c>
      <c r="E28" s="7">
        <v>6</v>
      </c>
      <c r="F28" s="7">
        <v>5</v>
      </c>
      <c r="G28" s="7">
        <v>4</v>
      </c>
      <c r="H28" s="7">
        <v>3</v>
      </c>
      <c r="I28" s="7">
        <v>2</v>
      </c>
      <c r="J28" s="7">
        <v>1</v>
      </c>
      <c r="K28" s="7">
        <v>0</v>
      </c>
    </row>
    <row r="29" spans="2:11" s="1" customFormat="1" ht="13.5" customHeight="1">
      <c r="B29" s="5"/>
      <c r="C29" s="8" t="s">
        <v>6</v>
      </c>
      <c r="D29" s="9" t="s">
        <v>121</v>
      </c>
      <c r="E29" s="9" t="s">
        <v>121</v>
      </c>
      <c r="F29" s="9" t="s">
        <v>1057</v>
      </c>
      <c r="G29" s="9" t="s">
        <v>121</v>
      </c>
      <c r="H29" s="9" t="s">
        <v>121</v>
      </c>
      <c r="I29" s="131" t="s">
        <v>433</v>
      </c>
      <c r="J29" s="118"/>
      <c r="K29" s="9" t="s">
        <v>414</v>
      </c>
    </row>
    <row r="30" spans="2:11" s="1" customFormat="1">
      <c r="B30" s="5" t="str">
        <f>CONCATENATE(D30,E30,F30,G30,H30,I30,J30,K30)</f>
        <v>-----000</v>
      </c>
      <c r="C30" s="8" t="s">
        <v>123</v>
      </c>
      <c r="D30" s="9" t="s">
        <v>124</v>
      </c>
      <c r="E30" s="9" t="s">
        <v>124</v>
      </c>
      <c r="F30" s="9" t="s">
        <v>124</v>
      </c>
      <c r="G30" s="9" t="s">
        <v>124</v>
      </c>
      <c r="H30" s="9" t="s">
        <v>124</v>
      </c>
      <c r="I30" s="9">
        <v>0</v>
      </c>
      <c r="J30" s="9">
        <v>0</v>
      </c>
      <c r="K30" s="9">
        <v>0</v>
      </c>
    </row>
    <row r="32" spans="2:11" s="1" customFormat="1" ht="13.5">
      <c r="B32" s="3"/>
      <c r="C32" s="10" t="s">
        <v>6</v>
      </c>
      <c r="D32" s="143" t="s">
        <v>125</v>
      </c>
      <c r="E32" s="143"/>
      <c r="F32" s="10" t="s">
        <v>126</v>
      </c>
      <c r="G32" s="143" t="s">
        <v>127</v>
      </c>
      <c r="H32" s="143"/>
      <c r="I32" s="143"/>
      <c r="J32" s="143"/>
      <c r="K32" s="10" t="s">
        <v>123</v>
      </c>
    </row>
    <row r="33" spans="2:11" s="1" customFormat="1" ht="13.5" customHeight="1">
      <c r="B33" s="3"/>
      <c r="C33" s="16" t="s">
        <v>414</v>
      </c>
      <c r="D33" s="172" t="s">
        <v>434</v>
      </c>
      <c r="E33" s="172"/>
      <c r="F33" s="13"/>
      <c r="G33" s="153" t="s">
        <v>435</v>
      </c>
      <c r="H33" s="154"/>
      <c r="I33" s="154"/>
      <c r="J33" s="155"/>
      <c r="K33" s="16" t="s">
        <v>135</v>
      </c>
    </row>
    <row r="34" spans="2:11" s="1" customFormat="1" ht="13.5" customHeight="1">
      <c r="B34" s="3"/>
      <c r="C34" s="16" t="s">
        <v>436</v>
      </c>
      <c r="D34" s="172" t="s">
        <v>437</v>
      </c>
      <c r="E34" s="172"/>
      <c r="F34" s="13"/>
      <c r="G34" s="144" t="s">
        <v>438</v>
      </c>
      <c r="H34" s="144"/>
      <c r="I34" s="144"/>
      <c r="J34" s="144"/>
      <c r="K34" s="16" t="s">
        <v>135</v>
      </c>
    </row>
    <row r="35" spans="2:11" s="1" customFormat="1" ht="13.5" customHeight="1">
      <c r="B35" s="3"/>
      <c r="C35" s="16" t="s">
        <v>439</v>
      </c>
      <c r="D35" s="172" t="s">
        <v>440</v>
      </c>
      <c r="E35" s="172"/>
      <c r="F35" s="13"/>
      <c r="G35" s="144" t="s">
        <v>441</v>
      </c>
      <c r="H35" s="144"/>
      <c r="I35" s="144"/>
      <c r="J35" s="144"/>
      <c r="K35" s="16" t="s">
        <v>135</v>
      </c>
    </row>
    <row r="37" spans="2:11" s="1" customFormat="1" ht="12.75" customHeight="1">
      <c r="B37" s="5"/>
      <c r="C37" s="173" t="s">
        <v>442</v>
      </c>
      <c r="D37" s="174"/>
      <c r="E37" s="174"/>
      <c r="F37" s="174"/>
      <c r="G37" s="174"/>
      <c r="H37" s="174"/>
      <c r="I37" s="174"/>
      <c r="J37" s="174"/>
      <c r="K37" s="175"/>
    </row>
    <row r="38" spans="2:11" s="1" customFormat="1">
      <c r="B38" s="5"/>
      <c r="C38" s="6" t="s">
        <v>120</v>
      </c>
      <c r="D38" s="7">
        <v>7</v>
      </c>
      <c r="E38" s="7">
        <v>6</v>
      </c>
      <c r="F38" s="7">
        <v>5</v>
      </c>
      <c r="G38" s="7">
        <v>4</v>
      </c>
      <c r="H38" s="7">
        <v>3</v>
      </c>
      <c r="I38" s="7">
        <v>2</v>
      </c>
      <c r="J38" s="7">
        <v>1</v>
      </c>
      <c r="K38" s="7">
        <v>0</v>
      </c>
    </row>
    <row r="39" spans="2:11" s="1" customFormat="1" ht="13.5" customHeight="1">
      <c r="B39" s="5"/>
      <c r="C39" s="8" t="s">
        <v>6</v>
      </c>
      <c r="D39" s="9" t="s">
        <v>121</v>
      </c>
      <c r="E39" s="9" t="s">
        <v>121</v>
      </c>
      <c r="F39" s="9" t="s">
        <v>121</v>
      </c>
      <c r="G39" s="9" t="s">
        <v>121</v>
      </c>
      <c r="H39" s="9" t="s">
        <v>121</v>
      </c>
      <c r="I39" s="9" t="s">
        <v>121</v>
      </c>
      <c r="J39" s="131" t="s">
        <v>443</v>
      </c>
      <c r="K39" s="118"/>
    </row>
    <row r="40" spans="2:11" s="1" customFormat="1">
      <c r="B40" s="5" t="str">
        <f>CONCATENATE(D40,E40,F40,G40,H40,I40,J40,K40)</f>
        <v>------00</v>
      </c>
      <c r="C40" s="8" t="s">
        <v>123</v>
      </c>
      <c r="D40" s="9" t="s">
        <v>124</v>
      </c>
      <c r="E40" s="9" t="s">
        <v>124</v>
      </c>
      <c r="F40" s="9" t="s">
        <v>124</v>
      </c>
      <c r="G40" s="9" t="s">
        <v>124</v>
      </c>
      <c r="H40" s="9" t="s">
        <v>124</v>
      </c>
      <c r="I40" s="9" t="s">
        <v>124</v>
      </c>
      <c r="J40" s="9">
        <v>0</v>
      </c>
      <c r="K40" s="9">
        <v>0</v>
      </c>
    </row>
    <row r="42" spans="2:11" s="1" customFormat="1" ht="13.5">
      <c r="B42" s="3"/>
      <c r="C42" s="10" t="s">
        <v>6</v>
      </c>
      <c r="D42" s="143" t="s">
        <v>125</v>
      </c>
      <c r="E42" s="143"/>
      <c r="F42" s="10" t="s">
        <v>126</v>
      </c>
      <c r="G42" s="143" t="s">
        <v>127</v>
      </c>
      <c r="H42" s="143"/>
      <c r="I42" s="143"/>
      <c r="J42" s="143"/>
      <c r="K42" s="10" t="s">
        <v>123</v>
      </c>
    </row>
    <row r="43" spans="2:11" s="1" customFormat="1" ht="13.5" customHeight="1">
      <c r="B43" s="3"/>
      <c r="C43" s="16" t="s">
        <v>444</v>
      </c>
      <c r="D43" s="172" t="s">
        <v>445</v>
      </c>
      <c r="E43" s="172"/>
      <c r="F43" s="13" t="s">
        <v>147</v>
      </c>
      <c r="G43" s="144" t="s">
        <v>446</v>
      </c>
      <c r="H43" s="144"/>
      <c r="I43" s="144"/>
      <c r="J43" s="144"/>
      <c r="K43" s="16" t="s">
        <v>135</v>
      </c>
    </row>
    <row r="44" spans="2:11" s="1" customFormat="1" ht="13.5" customHeight="1">
      <c r="B44" s="3"/>
      <c r="C44" s="16" t="s">
        <v>447</v>
      </c>
      <c r="D44" s="172" t="s">
        <v>448</v>
      </c>
      <c r="E44" s="172"/>
      <c r="F44" s="13" t="s">
        <v>147</v>
      </c>
      <c r="G44" s="144" t="s">
        <v>449</v>
      </c>
      <c r="H44" s="144"/>
      <c r="I44" s="144"/>
      <c r="J44" s="144"/>
      <c r="K44" s="16" t="s">
        <v>135</v>
      </c>
    </row>
    <row r="45" spans="2:11" s="1" customFormat="1" ht="12.75" customHeight="1">
      <c r="B45" s="3"/>
      <c r="C45" s="17"/>
      <c r="D45" s="17"/>
      <c r="E45" s="17"/>
      <c r="F45" s="17"/>
      <c r="G45" s="17"/>
      <c r="H45" s="17"/>
      <c r="I45" s="17"/>
      <c r="J45" s="17"/>
      <c r="K45" s="17"/>
    </row>
    <row r="46" spans="2:11" s="1" customFormat="1" ht="12.75" customHeight="1">
      <c r="B46" s="5"/>
      <c r="C46" s="173" t="s">
        <v>450</v>
      </c>
      <c r="D46" s="174"/>
      <c r="E46" s="174"/>
      <c r="F46" s="174"/>
      <c r="G46" s="174"/>
      <c r="H46" s="174"/>
      <c r="I46" s="174"/>
      <c r="J46" s="174"/>
      <c r="K46" s="175"/>
    </row>
    <row r="47" spans="2:11" s="1" customFormat="1">
      <c r="B47" s="5"/>
      <c r="C47" s="6" t="s">
        <v>120</v>
      </c>
      <c r="D47" s="7">
        <v>7</v>
      </c>
      <c r="E47" s="7">
        <v>6</v>
      </c>
      <c r="F47" s="7">
        <v>5</v>
      </c>
      <c r="G47" s="7">
        <v>4</v>
      </c>
      <c r="H47" s="7">
        <v>3</v>
      </c>
      <c r="I47" s="7">
        <v>2</v>
      </c>
      <c r="J47" s="7">
        <v>1</v>
      </c>
      <c r="K47" s="7">
        <v>0</v>
      </c>
    </row>
    <row r="48" spans="2:11" s="1" customFormat="1" ht="13.5" customHeight="1">
      <c r="B48" s="5"/>
      <c r="C48" s="8" t="s">
        <v>6</v>
      </c>
      <c r="D48" s="176" t="s">
        <v>451</v>
      </c>
      <c r="E48" s="102"/>
      <c r="F48" s="102"/>
      <c r="G48" s="102"/>
      <c r="H48" s="102"/>
      <c r="I48" s="102"/>
      <c r="J48" s="102"/>
      <c r="K48" s="177"/>
    </row>
    <row r="49" spans="2:11" s="1" customFormat="1">
      <c r="B49" s="5" t="str">
        <f>CONCATENATE(D49,E49,F49,G49,H49,I49,J49,K49)</f>
        <v/>
      </c>
      <c r="C49" s="8" t="s">
        <v>123</v>
      </c>
      <c r="D49" s="9"/>
      <c r="E49" s="9"/>
      <c r="F49" s="9"/>
      <c r="G49" s="9"/>
      <c r="H49" s="9"/>
      <c r="I49" s="9"/>
      <c r="J49" s="9"/>
      <c r="K49" s="9"/>
    </row>
    <row r="51" spans="2:11" s="1" customFormat="1" ht="12.75" customHeight="1">
      <c r="B51" s="5"/>
      <c r="C51" s="173" t="s">
        <v>452</v>
      </c>
      <c r="D51" s="174"/>
      <c r="E51" s="174"/>
      <c r="F51" s="174"/>
      <c r="G51" s="174"/>
      <c r="H51" s="174"/>
      <c r="I51" s="174"/>
      <c r="J51" s="174"/>
      <c r="K51" s="175"/>
    </row>
    <row r="52" spans="2:11" s="1" customFormat="1">
      <c r="B52" s="5"/>
      <c r="C52" s="6" t="s">
        <v>120</v>
      </c>
      <c r="D52" s="7">
        <v>7</v>
      </c>
      <c r="E52" s="7">
        <v>6</v>
      </c>
      <c r="F52" s="7">
        <v>5</v>
      </c>
      <c r="G52" s="7">
        <v>4</v>
      </c>
      <c r="H52" s="7">
        <v>3</v>
      </c>
      <c r="I52" s="7">
        <v>2</v>
      </c>
      <c r="J52" s="7">
        <v>1</v>
      </c>
      <c r="K52" s="7">
        <v>0</v>
      </c>
    </row>
    <row r="53" spans="2:11" s="1" customFormat="1" ht="13.5" customHeight="1">
      <c r="B53" s="5"/>
      <c r="C53" s="8" t="s">
        <v>6</v>
      </c>
      <c r="D53" s="176" t="s">
        <v>453</v>
      </c>
      <c r="E53" s="102"/>
      <c r="F53" s="102"/>
      <c r="G53" s="102"/>
      <c r="H53" s="102"/>
      <c r="I53" s="102"/>
      <c r="J53" s="102"/>
      <c r="K53" s="177"/>
    </row>
    <row r="54" spans="2:11" s="1" customFormat="1">
      <c r="B54" s="5" t="str">
        <f>CONCATENATE(D54,E54,F54,G54,H54,I54,J54,K54)</f>
        <v/>
      </c>
      <c r="C54" s="8" t="s">
        <v>123</v>
      </c>
      <c r="D54" s="9"/>
      <c r="E54" s="9"/>
      <c r="F54" s="9"/>
      <c r="G54" s="9"/>
      <c r="H54" s="9"/>
      <c r="I54" s="9"/>
      <c r="J54" s="9"/>
      <c r="K54" s="9"/>
    </row>
    <row r="56" spans="2:11" s="1" customFormat="1" ht="13.5">
      <c r="B56" s="3"/>
      <c r="C56" s="10" t="s">
        <v>6</v>
      </c>
      <c r="D56" s="143" t="s">
        <v>125</v>
      </c>
      <c r="E56" s="143"/>
      <c r="F56" s="10" t="s">
        <v>126</v>
      </c>
      <c r="G56" s="143" t="s">
        <v>127</v>
      </c>
      <c r="H56" s="143"/>
      <c r="I56" s="143"/>
      <c r="J56" s="143"/>
      <c r="K56" s="10" t="s">
        <v>123</v>
      </c>
    </row>
    <row r="57" spans="2:11" s="1" customFormat="1" ht="13.5" customHeight="1">
      <c r="B57" s="3"/>
      <c r="C57" s="16" t="s">
        <v>454</v>
      </c>
      <c r="D57" s="172" t="s">
        <v>455</v>
      </c>
      <c r="E57" s="172"/>
      <c r="F57" s="18" t="s">
        <v>456</v>
      </c>
      <c r="G57" s="104" t="s">
        <v>457</v>
      </c>
      <c r="H57" s="104"/>
      <c r="I57" s="104"/>
      <c r="J57" s="104"/>
      <c r="K57" s="19" t="s">
        <v>458</v>
      </c>
    </row>
    <row r="58" spans="2:11" s="1" customFormat="1" ht="12.75" customHeight="1">
      <c r="B58" s="3"/>
      <c r="C58" s="17"/>
      <c r="D58" s="17"/>
      <c r="E58" s="17"/>
      <c r="F58" s="17"/>
      <c r="G58" s="17"/>
      <c r="H58" s="17"/>
      <c r="I58" s="17"/>
      <c r="J58" s="17"/>
      <c r="K58" s="17"/>
    </row>
    <row r="59" spans="2:11" s="1" customFormat="1" ht="12.75" customHeight="1">
      <c r="B59" s="5"/>
      <c r="C59" s="173" t="s">
        <v>459</v>
      </c>
      <c r="D59" s="174"/>
      <c r="E59" s="174"/>
      <c r="F59" s="174"/>
      <c r="G59" s="174"/>
      <c r="H59" s="174"/>
      <c r="I59" s="174"/>
      <c r="J59" s="174"/>
      <c r="K59" s="175"/>
    </row>
    <row r="60" spans="2:11" s="1" customFormat="1">
      <c r="B60" s="5"/>
      <c r="C60" s="6" t="s">
        <v>120</v>
      </c>
      <c r="D60" s="7">
        <v>7</v>
      </c>
      <c r="E60" s="7">
        <v>6</v>
      </c>
      <c r="F60" s="7">
        <v>5</v>
      </c>
      <c r="G60" s="7">
        <v>4</v>
      </c>
      <c r="H60" s="7">
        <v>3</v>
      </c>
      <c r="I60" s="7">
        <v>2</v>
      </c>
      <c r="J60" s="7">
        <v>1</v>
      </c>
      <c r="K60" s="7">
        <v>0</v>
      </c>
    </row>
    <row r="61" spans="2:11" s="1" customFormat="1" ht="13.5" customHeight="1">
      <c r="B61" s="5"/>
      <c r="C61" s="8" t="s">
        <v>6</v>
      </c>
      <c r="D61" s="9" t="s">
        <v>121</v>
      </c>
      <c r="E61" s="9" t="s">
        <v>121</v>
      </c>
      <c r="F61" s="9" t="s">
        <v>121</v>
      </c>
      <c r="G61" s="176" t="s">
        <v>460</v>
      </c>
      <c r="H61" s="102"/>
      <c r="I61" s="102"/>
      <c r="J61" s="102"/>
      <c r="K61" s="177"/>
    </row>
    <row r="62" spans="2:11" s="1" customFormat="1">
      <c r="B62" s="5" t="str">
        <f>CONCATENATE(D62,E62,F62,G62,H62,I62,J62,K62)</f>
        <v>---00000</v>
      </c>
      <c r="C62" s="8" t="s">
        <v>123</v>
      </c>
      <c r="D62" s="9" t="s">
        <v>124</v>
      </c>
      <c r="E62" s="9" t="s">
        <v>124</v>
      </c>
      <c r="F62" s="9" t="s">
        <v>124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</row>
    <row r="64" spans="2:11" s="1" customFormat="1" ht="13.5">
      <c r="B64" s="3"/>
      <c r="C64" s="10" t="s">
        <v>6</v>
      </c>
      <c r="D64" s="143" t="s">
        <v>125</v>
      </c>
      <c r="E64" s="143"/>
      <c r="F64" s="10" t="s">
        <v>126</v>
      </c>
      <c r="G64" s="143" t="s">
        <v>127</v>
      </c>
      <c r="H64" s="143"/>
      <c r="I64" s="143"/>
      <c r="J64" s="143"/>
      <c r="K64" s="10" t="s">
        <v>123</v>
      </c>
    </row>
    <row r="65" spans="2:11" s="1" customFormat="1" ht="13.5" customHeight="1">
      <c r="B65" s="3"/>
      <c r="C65" s="16" t="s">
        <v>461</v>
      </c>
      <c r="D65" s="178" t="s">
        <v>462</v>
      </c>
      <c r="E65" s="179"/>
      <c r="F65" s="16"/>
      <c r="G65" s="178" t="s">
        <v>463</v>
      </c>
      <c r="H65" s="180"/>
      <c r="I65" s="180"/>
      <c r="J65" s="179"/>
      <c r="K65" s="16" t="s">
        <v>464</v>
      </c>
    </row>
    <row r="66" spans="2:11" s="1" customFormat="1" ht="12.75" customHeight="1">
      <c r="B66" s="3"/>
      <c r="C66" s="17"/>
      <c r="D66" s="17"/>
      <c r="E66" s="17"/>
      <c r="F66" s="17"/>
      <c r="G66" s="17"/>
      <c r="H66" s="17"/>
      <c r="I66" s="17"/>
      <c r="J66" s="17"/>
      <c r="K66" s="17"/>
    </row>
    <row r="67" spans="2:11" s="1" customFormat="1" ht="12.75" customHeight="1">
      <c r="B67" s="5"/>
      <c r="C67" s="173" t="s">
        <v>465</v>
      </c>
      <c r="D67" s="174"/>
      <c r="E67" s="174"/>
      <c r="F67" s="174"/>
      <c r="G67" s="174"/>
      <c r="H67" s="174"/>
      <c r="I67" s="174"/>
      <c r="J67" s="174"/>
      <c r="K67" s="175"/>
    </row>
    <row r="68" spans="2:11" s="1" customFormat="1">
      <c r="B68" s="5"/>
      <c r="C68" s="6" t="s">
        <v>120</v>
      </c>
      <c r="D68" s="7">
        <v>7</v>
      </c>
      <c r="E68" s="7">
        <v>6</v>
      </c>
      <c r="F68" s="7">
        <v>5</v>
      </c>
      <c r="G68" s="7">
        <v>4</v>
      </c>
      <c r="H68" s="7">
        <v>3</v>
      </c>
      <c r="I68" s="7">
        <v>2</v>
      </c>
      <c r="J68" s="7">
        <v>1</v>
      </c>
      <c r="K68" s="7">
        <v>0</v>
      </c>
    </row>
    <row r="69" spans="2:11" s="1" customFormat="1" ht="13.5" customHeight="1">
      <c r="B69" s="5"/>
      <c r="C69" s="8" t="s">
        <v>6</v>
      </c>
      <c r="D69" s="176" t="s">
        <v>466</v>
      </c>
      <c r="E69" s="102"/>
      <c r="F69" s="102"/>
      <c r="G69" s="102"/>
      <c r="H69" s="102"/>
      <c r="I69" s="102"/>
      <c r="J69" s="102"/>
      <c r="K69" s="177"/>
    </row>
    <row r="70" spans="2:11" s="1" customFormat="1">
      <c r="B70" s="5" t="str">
        <f>CONCATENATE(D70,E70,F70,G70,H70,I70,J70,K70)</f>
        <v>00000000</v>
      </c>
      <c r="C70" s="8" t="s">
        <v>123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</row>
    <row r="72" spans="2:11" s="1" customFormat="1" ht="13.5">
      <c r="B72" s="3"/>
      <c r="C72" s="10" t="s">
        <v>6</v>
      </c>
      <c r="D72" s="143" t="s">
        <v>125</v>
      </c>
      <c r="E72" s="143"/>
      <c r="F72" s="10" t="s">
        <v>126</v>
      </c>
      <c r="G72" s="143" t="s">
        <v>127</v>
      </c>
      <c r="H72" s="143"/>
      <c r="I72" s="143"/>
      <c r="J72" s="143"/>
      <c r="K72" s="10" t="s">
        <v>123</v>
      </c>
    </row>
    <row r="73" spans="2:11" s="1" customFormat="1" ht="13.5" customHeight="1">
      <c r="B73" s="3"/>
      <c r="C73" s="16" t="s">
        <v>467</v>
      </c>
      <c r="D73" s="178" t="s">
        <v>468</v>
      </c>
      <c r="E73" s="179"/>
      <c r="F73" s="16"/>
      <c r="G73" s="178" t="s">
        <v>469</v>
      </c>
      <c r="H73" s="180"/>
      <c r="I73" s="180"/>
      <c r="J73" s="179"/>
      <c r="K73" s="16" t="s">
        <v>470</v>
      </c>
    </row>
    <row r="74" spans="2:11" s="1" customFormat="1" ht="12.75" customHeight="1">
      <c r="B74" s="3"/>
      <c r="C74" s="17"/>
      <c r="D74" s="17"/>
      <c r="E74" s="17"/>
      <c r="F74" s="17"/>
      <c r="G74" s="17"/>
      <c r="H74" s="17"/>
      <c r="I74" s="17"/>
      <c r="J74" s="17"/>
      <c r="K74" s="17"/>
    </row>
    <row r="75" spans="2:11" s="1" customFormat="1" ht="12.75" customHeight="1">
      <c r="B75" s="5"/>
      <c r="C75" s="173" t="s">
        <v>471</v>
      </c>
      <c r="D75" s="174"/>
      <c r="E75" s="174"/>
      <c r="F75" s="174"/>
      <c r="G75" s="174"/>
      <c r="H75" s="174"/>
      <c r="I75" s="174"/>
      <c r="J75" s="174"/>
      <c r="K75" s="175"/>
    </row>
    <row r="76" spans="2:11" s="1" customFormat="1">
      <c r="B76" s="5"/>
      <c r="C76" s="6" t="s">
        <v>120</v>
      </c>
      <c r="D76" s="7">
        <v>7</v>
      </c>
      <c r="E76" s="7">
        <v>6</v>
      </c>
      <c r="F76" s="7">
        <v>5</v>
      </c>
      <c r="G76" s="7">
        <v>4</v>
      </c>
      <c r="H76" s="7">
        <v>3</v>
      </c>
      <c r="I76" s="7">
        <v>2</v>
      </c>
      <c r="J76" s="7">
        <v>1</v>
      </c>
      <c r="K76" s="7">
        <v>0</v>
      </c>
    </row>
    <row r="77" spans="2:11" s="1" customFormat="1" ht="13.5" customHeight="1">
      <c r="B77" s="5"/>
      <c r="C77" s="8" t="s">
        <v>6</v>
      </c>
      <c r="D77" s="176" t="s">
        <v>472</v>
      </c>
      <c r="E77" s="102"/>
      <c r="F77" s="102"/>
      <c r="G77" s="102"/>
      <c r="H77" s="102"/>
      <c r="I77" s="102"/>
      <c r="J77" s="102"/>
      <c r="K77" s="177"/>
    </row>
    <row r="78" spans="2:11" s="1" customFormat="1">
      <c r="B78" s="5" t="str">
        <f>CONCATENATE(D78,E78,F78,G78,H78,I78,J78,K78)</f>
        <v>00000000</v>
      </c>
      <c r="C78" s="8" t="s">
        <v>123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</row>
    <row r="80" spans="2:11" s="1" customFormat="1" ht="12.75" customHeight="1">
      <c r="B80" s="5"/>
      <c r="C80" s="173" t="s">
        <v>473</v>
      </c>
      <c r="D80" s="174"/>
      <c r="E80" s="174"/>
      <c r="F80" s="174"/>
      <c r="G80" s="174"/>
      <c r="H80" s="174"/>
      <c r="I80" s="174"/>
      <c r="J80" s="174"/>
      <c r="K80" s="175"/>
    </row>
    <row r="81" spans="2:11" s="1" customFormat="1">
      <c r="B81" s="5"/>
      <c r="C81" s="6" t="s">
        <v>120</v>
      </c>
      <c r="D81" s="7">
        <v>7</v>
      </c>
      <c r="E81" s="7">
        <v>6</v>
      </c>
      <c r="F81" s="7">
        <v>5</v>
      </c>
      <c r="G81" s="7">
        <v>4</v>
      </c>
      <c r="H81" s="7">
        <v>3</v>
      </c>
      <c r="I81" s="7">
        <v>2</v>
      </c>
      <c r="J81" s="7">
        <v>1</v>
      </c>
      <c r="K81" s="7">
        <v>0</v>
      </c>
    </row>
    <row r="82" spans="2:11" s="1" customFormat="1" ht="13.5" customHeight="1">
      <c r="B82" s="5"/>
      <c r="C82" s="8" t="s">
        <v>6</v>
      </c>
      <c r="D82" s="176" t="s">
        <v>474</v>
      </c>
      <c r="E82" s="102"/>
      <c r="F82" s="102"/>
      <c r="G82" s="102"/>
      <c r="H82" s="102"/>
      <c r="I82" s="102"/>
      <c r="J82" s="102"/>
      <c r="K82" s="177"/>
    </row>
    <row r="83" spans="2:11" s="1" customFormat="1">
      <c r="B83" s="5" t="str">
        <f>CONCATENATE(D83,E83,F83,G83,H83,I83,J83,K83)</f>
        <v>00000000</v>
      </c>
      <c r="C83" s="8" t="s">
        <v>123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</row>
    <row r="85" spans="2:11" s="1" customFormat="1" ht="12.75" customHeight="1">
      <c r="B85" s="5"/>
      <c r="C85" s="173" t="s">
        <v>475</v>
      </c>
      <c r="D85" s="174"/>
      <c r="E85" s="174"/>
      <c r="F85" s="174"/>
      <c r="G85" s="174"/>
      <c r="H85" s="174"/>
      <c r="I85" s="174"/>
      <c r="J85" s="174"/>
      <c r="K85" s="175"/>
    </row>
    <row r="86" spans="2:11" s="1" customFormat="1">
      <c r="B86" s="5"/>
      <c r="C86" s="6" t="s">
        <v>120</v>
      </c>
      <c r="D86" s="7">
        <v>7</v>
      </c>
      <c r="E86" s="7">
        <v>6</v>
      </c>
      <c r="F86" s="7">
        <v>5</v>
      </c>
      <c r="G86" s="7">
        <v>4</v>
      </c>
      <c r="H86" s="7">
        <v>3</v>
      </c>
      <c r="I86" s="7">
        <v>2</v>
      </c>
      <c r="J86" s="7">
        <v>1</v>
      </c>
      <c r="K86" s="7">
        <v>0</v>
      </c>
    </row>
    <row r="87" spans="2:11" s="1" customFormat="1" ht="13.5" customHeight="1">
      <c r="B87" s="5"/>
      <c r="C87" s="8" t="s">
        <v>6</v>
      </c>
      <c r="D87" s="176" t="s">
        <v>476</v>
      </c>
      <c r="E87" s="102"/>
      <c r="F87" s="102"/>
      <c r="G87" s="102"/>
      <c r="H87" s="102"/>
      <c r="I87" s="102"/>
      <c r="J87" s="102"/>
      <c r="K87" s="177"/>
    </row>
    <row r="88" spans="2:11" s="1" customFormat="1">
      <c r="B88" s="5" t="str">
        <f>CONCATENATE(D88,E88,F88,G88,H88,I88,J88,K88)</f>
        <v>00000000</v>
      </c>
      <c r="C88" s="8" t="s">
        <v>123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</row>
    <row r="90" spans="2:11" s="1" customFormat="1" ht="12.75" customHeight="1">
      <c r="B90" s="5"/>
      <c r="C90" s="173" t="s">
        <v>477</v>
      </c>
      <c r="D90" s="174"/>
      <c r="E90" s="174"/>
      <c r="F90" s="174"/>
      <c r="G90" s="174"/>
      <c r="H90" s="174"/>
      <c r="I90" s="174"/>
      <c r="J90" s="174"/>
      <c r="K90" s="175"/>
    </row>
    <row r="91" spans="2:11" s="1" customFormat="1">
      <c r="B91" s="5"/>
      <c r="C91" s="6" t="s">
        <v>120</v>
      </c>
      <c r="D91" s="7">
        <v>7</v>
      </c>
      <c r="E91" s="7">
        <v>6</v>
      </c>
      <c r="F91" s="7">
        <v>5</v>
      </c>
      <c r="G91" s="7">
        <v>4</v>
      </c>
      <c r="H91" s="7">
        <v>3</v>
      </c>
      <c r="I91" s="7">
        <v>2</v>
      </c>
      <c r="J91" s="7">
        <v>1</v>
      </c>
      <c r="K91" s="7">
        <v>0</v>
      </c>
    </row>
    <row r="92" spans="2:11" s="1" customFormat="1" ht="13.5" customHeight="1">
      <c r="B92" s="5"/>
      <c r="C92" s="8" t="s">
        <v>6</v>
      </c>
      <c r="D92" s="176" t="s">
        <v>478</v>
      </c>
      <c r="E92" s="102"/>
      <c r="F92" s="102"/>
      <c r="G92" s="102"/>
      <c r="H92" s="102"/>
      <c r="I92" s="102"/>
      <c r="J92" s="102"/>
      <c r="K92" s="177"/>
    </row>
    <row r="93" spans="2:11" s="1" customFormat="1">
      <c r="B93" s="5" t="str">
        <f>CONCATENATE(D93,E93,F93,G93,H93,I93,J93,K93)</f>
        <v>00000000</v>
      </c>
      <c r="C93" s="8" t="s">
        <v>123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</row>
    <row r="95" spans="2:11" s="1" customFormat="1" ht="12.75" customHeight="1">
      <c r="B95" s="5"/>
      <c r="C95" s="173" t="s">
        <v>479</v>
      </c>
      <c r="D95" s="174"/>
      <c r="E95" s="174"/>
      <c r="F95" s="174"/>
      <c r="G95" s="174"/>
      <c r="H95" s="174"/>
      <c r="I95" s="174"/>
      <c r="J95" s="174"/>
      <c r="K95" s="175"/>
    </row>
    <row r="96" spans="2:11" s="1" customFormat="1">
      <c r="B96" s="5"/>
      <c r="C96" s="6" t="s">
        <v>120</v>
      </c>
      <c r="D96" s="7">
        <v>7</v>
      </c>
      <c r="E96" s="7">
        <v>6</v>
      </c>
      <c r="F96" s="7">
        <v>5</v>
      </c>
      <c r="G96" s="7">
        <v>4</v>
      </c>
      <c r="H96" s="7">
        <v>3</v>
      </c>
      <c r="I96" s="7">
        <v>2</v>
      </c>
      <c r="J96" s="7">
        <v>1</v>
      </c>
      <c r="K96" s="7">
        <v>0</v>
      </c>
    </row>
    <row r="97" spans="2:11" s="1" customFormat="1" ht="13.5" customHeight="1">
      <c r="B97" s="5"/>
      <c r="C97" s="8" t="s">
        <v>6</v>
      </c>
      <c r="D97" s="176" t="s">
        <v>480</v>
      </c>
      <c r="E97" s="102"/>
      <c r="F97" s="102"/>
      <c r="G97" s="102"/>
      <c r="H97" s="102"/>
      <c r="I97" s="102"/>
      <c r="J97" s="102"/>
      <c r="K97" s="177"/>
    </row>
    <row r="98" spans="2:11" s="1" customFormat="1">
      <c r="B98" s="5" t="str">
        <f>CONCATENATE(D98,E98,F98,G98,H98,I98,J98,K98)</f>
        <v>00000000</v>
      </c>
      <c r="C98" s="8" t="s">
        <v>123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</row>
    <row r="100" spans="2:11" s="1" customFormat="1" ht="12.75" customHeight="1">
      <c r="B100" s="5"/>
      <c r="C100" s="173" t="s">
        <v>481</v>
      </c>
      <c r="D100" s="174"/>
      <c r="E100" s="174"/>
      <c r="F100" s="174"/>
      <c r="G100" s="174"/>
      <c r="H100" s="174"/>
      <c r="I100" s="174"/>
      <c r="J100" s="174"/>
      <c r="K100" s="175"/>
    </row>
    <row r="101" spans="2:11" s="1" customFormat="1">
      <c r="B101" s="5"/>
      <c r="C101" s="6" t="s">
        <v>120</v>
      </c>
      <c r="D101" s="7">
        <v>7</v>
      </c>
      <c r="E101" s="7">
        <v>6</v>
      </c>
      <c r="F101" s="7">
        <v>5</v>
      </c>
      <c r="G101" s="7">
        <v>4</v>
      </c>
      <c r="H101" s="7">
        <v>3</v>
      </c>
      <c r="I101" s="7">
        <v>2</v>
      </c>
      <c r="J101" s="7">
        <v>1</v>
      </c>
      <c r="K101" s="7">
        <v>0</v>
      </c>
    </row>
    <row r="102" spans="2:11" s="1" customFormat="1" ht="13.5" customHeight="1">
      <c r="B102" s="5"/>
      <c r="C102" s="8" t="s">
        <v>6</v>
      </c>
      <c r="D102" s="176" t="s">
        <v>482</v>
      </c>
      <c r="E102" s="102"/>
      <c r="F102" s="102"/>
      <c r="G102" s="102"/>
      <c r="H102" s="102"/>
      <c r="I102" s="102"/>
      <c r="J102" s="102"/>
      <c r="K102" s="177"/>
    </row>
    <row r="103" spans="2:11" s="1" customFormat="1">
      <c r="B103" s="5" t="str">
        <f>CONCATENATE(D103,E103,F103,G103,H103,I103,J103,K103)</f>
        <v>00000000</v>
      </c>
      <c r="C103" s="8" t="s">
        <v>123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</row>
    <row r="105" spans="2:11" s="1" customFormat="1" ht="12.75" customHeight="1">
      <c r="B105" s="5"/>
      <c r="C105" s="173" t="s">
        <v>483</v>
      </c>
      <c r="D105" s="174"/>
      <c r="E105" s="174"/>
      <c r="F105" s="174"/>
      <c r="G105" s="174"/>
      <c r="H105" s="174"/>
      <c r="I105" s="174"/>
      <c r="J105" s="174"/>
      <c r="K105" s="175"/>
    </row>
    <row r="106" spans="2:11" s="1" customFormat="1">
      <c r="B106" s="5"/>
      <c r="C106" s="6" t="s">
        <v>120</v>
      </c>
      <c r="D106" s="7">
        <v>7</v>
      </c>
      <c r="E106" s="7">
        <v>6</v>
      </c>
      <c r="F106" s="7">
        <v>5</v>
      </c>
      <c r="G106" s="7">
        <v>4</v>
      </c>
      <c r="H106" s="7">
        <v>3</v>
      </c>
      <c r="I106" s="7">
        <v>2</v>
      </c>
      <c r="J106" s="7">
        <v>1</v>
      </c>
      <c r="K106" s="7">
        <v>0</v>
      </c>
    </row>
    <row r="107" spans="2:11" s="1" customFormat="1" ht="13.5" customHeight="1">
      <c r="B107" s="5"/>
      <c r="C107" s="8" t="s">
        <v>6</v>
      </c>
      <c r="D107" s="176" t="s">
        <v>484</v>
      </c>
      <c r="E107" s="102"/>
      <c r="F107" s="102"/>
      <c r="G107" s="102"/>
      <c r="H107" s="102"/>
      <c r="I107" s="102"/>
      <c r="J107" s="102"/>
      <c r="K107" s="177"/>
    </row>
    <row r="108" spans="2:11" s="1" customFormat="1">
      <c r="B108" s="5" t="str">
        <f>CONCATENATE(D108,E108,F108,G108,H108,I108,J108,K108)</f>
        <v>00000000</v>
      </c>
      <c r="C108" s="8" t="s">
        <v>123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</row>
    <row r="110" spans="2:11" s="1" customFormat="1" ht="12.75" customHeight="1">
      <c r="B110" s="5"/>
      <c r="C110" s="173" t="s">
        <v>485</v>
      </c>
      <c r="D110" s="174"/>
      <c r="E110" s="174"/>
      <c r="F110" s="174"/>
      <c r="G110" s="174"/>
      <c r="H110" s="174"/>
      <c r="I110" s="174"/>
      <c r="J110" s="174"/>
      <c r="K110" s="175"/>
    </row>
    <row r="111" spans="2:11" s="1" customFormat="1">
      <c r="B111" s="5"/>
      <c r="C111" s="6" t="s">
        <v>120</v>
      </c>
      <c r="D111" s="7">
        <v>7</v>
      </c>
      <c r="E111" s="7">
        <v>6</v>
      </c>
      <c r="F111" s="7">
        <v>5</v>
      </c>
      <c r="G111" s="7">
        <v>4</v>
      </c>
      <c r="H111" s="7">
        <v>3</v>
      </c>
      <c r="I111" s="7">
        <v>2</v>
      </c>
      <c r="J111" s="7">
        <v>1</v>
      </c>
      <c r="K111" s="7">
        <v>0</v>
      </c>
    </row>
    <row r="112" spans="2:11" s="1" customFormat="1" ht="13.5" customHeight="1">
      <c r="B112" s="5"/>
      <c r="C112" s="8" t="s">
        <v>6</v>
      </c>
      <c r="D112" s="176" t="s">
        <v>486</v>
      </c>
      <c r="E112" s="102"/>
      <c r="F112" s="102"/>
      <c r="G112" s="102"/>
      <c r="H112" s="102"/>
      <c r="I112" s="102"/>
      <c r="J112" s="102"/>
      <c r="K112" s="177"/>
    </row>
    <row r="113" spans="2:11" s="1" customFormat="1">
      <c r="B113" s="5" t="str">
        <f>CONCATENATE(D113,E113,F113,G113,H113,I113,J113,K113)</f>
        <v>00000000</v>
      </c>
      <c r="C113" s="8" t="s">
        <v>123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</row>
    <row r="115" spans="2:11" s="1" customFormat="1" ht="12.75" customHeight="1">
      <c r="B115" s="5"/>
      <c r="C115" s="173" t="s">
        <v>487</v>
      </c>
      <c r="D115" s="174"/>
      <c r="E115" s="174"/>
      <c r="F115" s="174"/>
      <c r="G115" s="174"/>
      <c r="H115" s="174"/>
      <c r="I115" s="174"/>
      <c r="J115" s="174"/>
      <c r="K115" s="175"/>
    </row>
    <row r="116" spans="2:11" s="1" customFormat="1">
      <c r="B116" s="5"/>
      <c r="C116" s="6" t="s">
        <v>120</v>
      </c>
      <c r="D116" s="7">
        <v>7</v>
      </c>
      <c r="E116" s="7">
        <v>6</v>
      </c>
      <c r="F116" s="7">
        <v>5</v>
      </c>
      <c r="G116" s="7">
        <v>4</v>
      </c>
      <c r="H116" s="7">
        <v>3</v>
      </c>
      <c r="I116" s="7">
        <v>2</v>
      </c>
      <c r="J116" s="7">
        <v>1</v>
      </c>
      <c r="K116" s="7">
        <v>0</v>
      </c>
    </row>
    <row r="117" spans="2:11" s="1" customFormat="1" ht="13.5" customHeight="1">
      <c r="B117" s="5"/>
      <c r="C117" s="8" t="s">
        <v>6</v>
      </c>
      <c r="D117" s="176" t="s">
        <v>488</v>
      </c>
      <c r="E117" s="102"/>
      <c r="F117" s="102"/>
      <c r="G117" s="102"/>
      <c r="H117" s="102"/>
      <c r="I117" s="102"/>
      <c r="J117" s="102"/>
      <c r="K117" s="177"/>
    </row>
    <row r="118" spans="2:11" s="1" customFormat="1">
      <c r="B118" s="5" t="str">
        <f>CONCATENATE(D118,E118,F118,G118,H118,I118,J118,K118)</f>
        <v>00000000</v>
      </c>
      <c r="C118" s="8" t="s">
        <v>123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</row>
    <row r="120" spans="2:11" s="1" customFormat="1" ht="12.75" customHeight="1">
      <c r="B120" s="5"/>
      <c r="C120" s="173" t="s">
        <v>489</v>
      </c>
      <c r="D120" s="174"/>
      <c r="E120" s="174"/>
      <c r="F120" s="174"/>
      <c r="G120" s="174"/>
      <c r="H120" s="174"/>
      <c r="I120" s="174"/>
      <c r="J120" s="174"/>
      <c r="K120" s="175"/>
    </row>
    <row r="121" spans="2:11" s="1" customFormat="1">
      <c r="B121" s="5"/>
      <c r="C121" s="6" t="s">
        <v>120</v>
      </c>
      <c r="D121" s="7">
        <v>7</v>
      </c>
      <c r="E121" s="7">
        <v>6</v>
      </c>
      <c r="F121" s="7">
        <v>5</v>
      </c>
      <c r="G121" s="7">
        <v>4</v>
      </c>
      <c r="H121" s="7">
        <v>3</v>
      </c>
      <c r="I121" s="7">
        <v>2</v>
      </c>
      <c r="J121" s="7">
        <v>1</v>
      </c>
      <c r="K121" s="7">
        <v>0</v>
      </c>
    </row>
    <row r="122" spans="2:11" s="1" customFormat="1" ht="13.5" customHeight="1">
      <c r="B122" s="5"/>
      <c r="C122" s="8" t="s">
        <v>6</v>
      </c>
      <c r="D122" s="176" t="s">
        <v>490</v>
      </c>
      <c r="E122" s="102"/>
      <c r="F122" s="102"/>
      <c r="G122" s="102"/>
      <c r="H122" s="102"/>
      <c r="I122" s="102"/>
      <c r="J122" s="102"/>
      <c r="K122" s="177"/>
    </row>
    <row r="123" spans="2:11" s="1" customFormat="1">
      <c r="B123" s="5" t="str">
        <f>CONCATENATE(D123,E123,F123,G123,H123,I123,J123,K123)</f>
        <v>00000000</v>
      </c>
      <c r="C123" s="8" t="s">
        <v>123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</row>
    <row r="125" spans="2:11" s="1" customFormat="1" ht="12.75" customHeight="1">
      <c r="B125" s="5"/>
      <c r="C125" s="173" t="s">
        <v>491</v>
      </c>
      <c r="D125" s="174"/>
      <c r="E125" s="174"/>
      <c r="F125" s="174"/>
      <c r="G125" s="174"/>
      <c r="H125" s="174"/>
      <c r="I125" s="174"/>
      <c r="J125" s="174"/>
      <c r="K125" s="175"/>
    </row>
    <row r="126" spans="2:11" s="1" customFormat="1">
      <c r="B126" s="5"/>
      <c r="C126" s="6" t="s">
        <v>120</v>
      </c>
      <c r="D126" s="7">
        <v>7</v>
      </c>
      <c r="E126" s="7">
        <v>6</v>
      </c>
      <c r="F126" s="7">
        <v>5</v>
      </c>
      <c r="G126" s="7">
        <v>4</v>
      </c>
      <c r="H126" s="7">
        <v>3</v>
      </c>
      <c r="I126" s="7">
        <v>2</v>
      </c>
      <c r="J126" s="7">
        <v>1</v>
      </c>
      <c r="K126" s="7">
        <v>0</v>
      </c>
    </row>
    <row r="127" spans="2:11" s="1" customFormat="1" ht="13.5" customHeight="1">
      <c r="B127" s="5"/>
      <c r="C127" s="8" t="s">
        <v>6</v>
      </c>
      <c r="D127" s="176" t="s">
        <v>492</v>
      </c>
      <c r="E127" s="102"/>
      <c r="F127" s="102"/>
      <c r="G127" s="102"/>
      <c r="H127" s="102"/>
      <c r="I127" s="102"/>
      <c r="J127" s="102"/>
      <c r="K127" s="177"/>
    </row>
    <row r="128" spans="2:11" s="1" customFormat="1">
      <c r="B128" s="5" t="str">
        <f>CONCATENATE(D128,E128,F128,G128,H128,I128,J128,K128)</f>
        <v>00000000</v>
      </c>
      <c r="C128" s="8" t="s">
        <v>123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</row>
    <row r="130" spans="2:11" s="1" customFormat="1" ht="12.75" customHeight="1">
      <c r="B130" s="5"/>
      <c r="C130" s="173" t="s">
        <v>493</v>
      </c>
      <c r="D130" s="174"/>
      <c r="E130" s="174"/>
      <c r="F130" s="174"/>
      <c r="G130" s="174"/>
      <c r="H130" s="174"/>
      <c r="I130" s="174"/>
      <c r="J130" s="174"/>
      <c r="K130" s="175"/>
    </row>
    <row r="131" spans="2:11" s="1" customFormat="1">
      <c r="B131" s="5"/>
      <c r="C131" s="6" t="s">
        <v>120</v>
      </c>
      <c r="D131" s="7">
        <v>7</v>
      </c>
      <c r="E131" s="7">
        <v>6</v>
      </c>
      <c r="F131" s="7">
        <v>5</v>
      </c>
      <c r="G131" s="7">
        <v>4</v>
      </c>
      <c r="H131" s="7">
        <v>3</v>
      </c>
      <c r="I131" s="7">
        <v>2</v>
      </c>
      <c r="J131" s="7">
        <v>1</v>
      </c>
      <c r="K131" s="7">
        <v>0</v>
      </c>
    </row>
    <row r="132" spans="2:11" s="1" customFormat="1" ht="13.5" customHeight="1">
      <c r="B132" s="5"/>
      <c r="C132" s="8" t="s">
        <v>6</v>
      </c>
      <c r="D132" s="176" t="s">
        <v>494</v>
      </c>
      <c r="E132" s="102"/>
      <c r="F132" s="102"/>
      <c r="G132" s="102"/>
      <c r="H132" s="102"/>
      <c r="I132" s="102"/>
      <c r="J132" s="102"/>
      <c r="K132" s="177"/>
    </row>
    <row r="133" spans="2:11" s="1" customFormat="1">
      <c r="B133" s="5" t="str">
        <f>CONCATENATE(D133,E133,F133,G133,H133,I133,J133,K133)</f>
        <v>00000000</v>
      </c>
      <c r="C133" s="8" t="s">
        <v>123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</row>
    <row r="135" spans="2:11" s="1" customFormat="1" ht="12.75" customHeight="1">
      <c r="B135" s="5"/>
      <c r="C135" s="173" t="s">
        <v>495</v>
      </c>
      <c r="D135" s="174"/>
      <c r="E135" s="174"/>
      <c r="F135" s="174"/>
      <c r="G135" s="174"/>
      <c r="H135" s="174"/>
      <c r="I135" s="174"/>
      <c r="J135" s="174"/>
      <c r="K135" s="175"/>
    </row>
    <row r="136" spans="2:11" s="1" customFormat="1">
      <c r="B136" s="5"/>
      <c r="C136" s="6" t="s">
        <v>120</v>
      </c>
      <c r="D136" s="7">
        <v>7</v>
      </c>
      <c r="E136" s="7">
        <v>6</v>
      </c>
      <c r="F136" s="7">
        <v>5</v>
      </c>
      <c r="G136" s="7">
        <v>4</v>
      </c>
      <c r="H136" s="7">
        <v>3</v>
      </c>
      <c r="I136" s="7">
        <v>2</v>
      </c>
      <c r="J136" s="7">
        <v>1</v>
      </c>
      <c r="K136" s="7">
        <v>0</v>
      </c>
    </row>
    <row r="137" spans="2:11" s="1" customFormat="1" ht="13.5" customHeight="1">
      <c r="B137" s="5"/>
      <c r="C137" s="8" t="s">
        <v>6</v>
      </c>
      <c r="D137" s="176" t="s">
        <v>496</v>
      </c>
      <c r="E137" s="102"/>
      <c r="F137" s="102"/>
      <c r="G137" s="102"/>
      <c r="H137" s="102"/>
      <c r="I137" s="102"/>
      <c r="J137" s="102"/>
      <c r="K137" s="177"/>
    </row>
    <row r="138" spans="2:11" s="1" customFormat="1">
      <c r="B138" s="5" t="str">
        <f>CONCATENATE(D138,E138,F138,G138,H138,I138,J138,K138)</f>
        <v>00000000</v>
      </c>
      <c r="C138" s="8" t="s">
        <v>123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</row>
    <row r="140" spans="2:11" s="1" customFormat="1" ht="12.75" customHeight="1">
      <c r="B140" s="5"/>
      <c r="C140" s="173" t="s">
        <v>497</v>
      </c>
      <c r="D140" s="174"/>
      <c r="E140" s="174"/>
      <c r="F140" s="174"/>
      <c r="G140" s="174"/>
      <c r="H140" s="174"/>
      <c r="I140" s="174"/>
      <c r="J140" s="174"/>
      <c r="K140" s="175"/>
    </row>
    <row r="141" spans="2:11" s="1" customFormat="1">
      <c r="B141" s="5"/>
      <c r="C141" s="6" t="s">
        <v>120</v>
      </c>
      <c r="D141" s="7">
        <v>7</v>
      </c>
      <c r="E141" s="7">
        <v>6</v>
      </c>
      <c r="F141" s="7">
        <v>5</v>
      </c>
      <c r="G141" s="7">
        <v>4</v>
      </c>
      <c r="H141" s="7">
        <v>3</v>
      </c>
      <c r="I141" s="7">
        <v>2</v>
      </c>
      <c r="J141" s="7">
        <v>1</v>
      </c>
      <c r="K141" s="7">
        <v>0</v>
      </c>
    </row>
    <row r="142" spans="2:11" s="1" customFormat="1" ht="13.5" customHeight="1">
      <c r="B142" s="5"/>
      <c r="C142" s="8" t="s">
        <v>6</v>
      </c>
      <c r="D142" s="176" t="s">
        <v>498</v>
      </c>
      <c r="E142" s="102"/>
      <c r="F142" s="102"/>
      <c r="G142" s="102"/>
      <c r="H142" s="102"/>
      <c r="I142" s="102"/>
      <c r="J142" s="102"/>
      <c r="K142" s="177"/>
    </row>
    <row r="143" spans="2:11" s="1" customFormat="1">
      <c r="B143" s="5" t="str">
        <f>CONCATENATE(D143,E143,F143,G143,H143,I143,J143,K143)</f>
        <v>00000000</v>
      </c>
      <c r="C143" s="8" t="s">
        <v>123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</row>
    <row r="145" spans="2:11" s="1" customFormat="1" ht="12.75" customHeight="1">
      <c r="B145" s="5"/>
      <c r="C145" s="173" t="s">
        <v>499</v>
      </c>
      <c r="D145" s="174"/>
      <c r="E145" s="174"/>
      <c r="F145" s="174"/>
      <c r="G145" s="174"/>
      <c r="H145" s="174"/>
      <c r="I145" s="174"/>
      <c r="J145" s="174"/>
      <c r="K145" s="175"/>
    </row>
    <row r="146" spans="2:11" s="1" customFormat="1">
      <c r="B146" s="5"/>
      <c r="C146" s="6" t="s">
        <v>120</v>
      </c>
      <c r="D146" s="7">
        <v>7</v>
      </c>
      <c r="E146" s="7">
        <v>6</v>
      </c>
      <c r="F146" s="7">
        <v>5</v>
      </c>
      <c r="G146" s="7">
        <v>4</v>
      </c>
      <c r="H146" s="7">
        <v>3</v>
      </c>
      <c r="I146" s="7">
        <v>2</v>
      </c>
      <c r="J146" s="7">
        <v>1</v>
      </c>
      <c r="K146" s="7">
        <v>0</v>
      </c>
    </row>
    <row r="147" spans="2:11" s="1" customFormat="1" ht="13.5" customHeight="1">
      <c r="B147" s="5"/>
      <c r="C147" s="8" t="s">
        <v>6</v>
      </c>
      <c r="D147" s="176" t="s">
        <v>500</v>
      </c>
      <c r="E147" s="102"/>
      <c r="F147" s="102"/>
      <c r="G147" s="102"/>
      <c r="H147" s="102"/>
      <c r="I147" s="102"/>
      <c r="J147" s="102"/>
      <c r="K147" s="177"/>
    </row>
    <row r="148" spans="2:11" s="1" customFormat="1">
      <c r="B148" s="5" t="str">
        <f>CONCATENATE(D148,E148,F148,G148,H148,I148,J148,K148)</f>
        <v>00000000</v>
      </c>
      <c r="C148" s="8" t="s">
        <v>123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</row>
    <row r="150" spans="2:11" s="1" customFormat="1" ht="12.75" customHeight="1">
      <c r="B150" s="5"/>
      <c r="C150" s="173" t="s">
        <v>501</v>
      </c>
      <c r="D150" s="174"/>
      <c r="E150" s="174"/>
      <c r="F150" s="174"/>
      <c r="G150" s="174"/>
      <c r="H150" s="174"/>
      <c r="I150" s="174"/>
      <c r="J150" s="174"/>
      <c r="K150" s="175"/>
    </row>
    <row r="151" spans="2:11" s="1" customFormat="1">
      <c r="B151" s="5"/>
      <c r="C151" s="6" t="s">
        <v>120</v>
      </c>
      <c r="D151" s="7">
        <v>7</v>
      </c>
      <c r="E151" s="7">
        <v>6</v>
      </c>
      <c r="F151" s="7">
        <v>5</v>
      </c>
      <c r="G151" s="7">
        <v>4</v>
      </c>
      <c r="H151" s="7">
        <v>3</v>
      </c>
      <c r="I151" s="7">
        <v>2</v>
      </c>
      <c r="J151" s="7">
        <v>1</v>
      </c>
      <c r="K151" s="7">
        <v>0</v>
      </c>
    </row>
    <row r="152" spans="2:11" s="1" customFormat="1" ht="13.5" customHeight="1">
      <c r="B152" s="5"/>
      <c r="C152" s="8" t="s">
        <v>6</v>
      </c>
      <c r="D152" s="176" t="s">
        <v>502</v>
      </c>
      <c r="E152" s="102"/>
      <c r="F152" s="102"/>
      <c r="G152" s="102"/>
      <c r="H152" s="102"/>
      <c r="I152" s="102"/>
      <c r="J152" s="102"/>
      <c r="K152" s="177"/>
    </row>
    <row r="153" spans="2:11" s="1" customFormat="1">
      <c r="B153" s="5" t="str">
        <f>CONCATENATE(D153,E153,F153,G153,H153,I153,J153,K153)</f>
        <v>00000000</v>
      </c>
      <c r="C153" s="8" t="s">
        <v>123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</row>
    <row r="155" spans="2:11" s="1" customFormat="1" ht="12.75" customHeight="1">
      <c r="B155" s="5"/>
      <c r="C155" s="173" t="s">
        <v>503</v>
      </c>
      <c r="D155" s="174"/>
      <c r="E155" s="174"/>
      <c r="F155" s="174"/>
      <c r="G155" s="174"/>
      <c r="H155" s="174"/>
      <c r="I155" s="174"/>
      <c r="J155" s="174"/>
      <c r="K155" s="175"/>
    </row>
    <row r="156" spans="2:11" s="1" customFormat="1">
      <c r="B156" s="5"/>
      <c r="C156" s="6" t="s">
        <v>120</v>
      </c>
      <c r="D156" s="7">
        <v>7</v>
      </c>
      <c r="E156" s="7">
        <v>6</v>
      </c>
      <c r="F156" s="7">
        <v>5</v>
      </c>
      <c r="G156" s="7">
        <v>4</v>
      </c>
      <c r="H156" s="7">
        <v>3</v>
      </c>
      <c r="I156" s="7">
        <v>2</v>
      </c>
      <c r="J156" s="7">
        <v>1</v>
      </c>
      <c r="K156" s="7">
        <v>0</v>
      </c>
    </row>
    <row r="157" spans="2:11" s="1" customFormat="1" ht="13.5" customHeight="1">
      <c r="B157" s="5"/>
      <c r="C157" s="8" t="s">
        <v>6</v>
      </c>
      <c r="D157" s="176" t="s">
        <v>504</v>
      </c>
      <c r="E157" s="102"/>
      <c r="F157" s="102"/>
      <c r="G157" s="102"/>
      <c r="H157" s="102"/>
      <c r="I157" s="102"/>
      <c r="J157" s="102"/>
      <c r="K157" s="177"/>
    </row>
    <row r="158" spans="2:11" s="1" customFormat="1">
      <c r="B158" s="5" t="str">
        <f>CONCATENATE(D158,E158,F158,G158,H158,I158,J158,K158)</f>
        <v>00000000</v>
      </c>
      <c r="C158" s="8" t="s">
        <v>123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</row>
    <row r="160" spans="2:11" s="1" customFormat="1" ht="12.75" customHeight="1">
      <c r="B160" s="5"/>
      <c r="C160" s="173" t="s">
        <v>505</v>
      </c>
      <c r="D160" s="174"/>
      <c r="E160" s="174"/>
      <c r="F160" s="174"/>
      <c r="G160" s="174"/>
      <c r="H160" s="174"/>
      <c r="I160" s="174"/>
      <c r="J160" s="174"/>
      <c r="K160" s="175"/>
    </row>
    <row r="161" spans="2:11" s="1" customFormat="1">
      <c r="B161" s="5"/>
      <c r="C161" s="6" t="s">
        <v>120</v>
      </c>
      <c r="D161" s="7">
        <v>7</v>
      </c>
      <c r="E161" s="7">
        <v>6</v>
      </c>
      <c r="F161" s="7">
        <v>5</v>
      </c>
      <c r="G161" s="7">
        <v>4</v>
      </c>
      <c r="H161" s="7">
        <v>3</v>
      </c>
      <c r="I161" s="7">
        <v>2</v>
      </c>
      <c r="J161" s="7">
        <v>1</v>
      </c>
      <c r="K161" s="7">
        <v>0</v>
      </c>
    </row>
    <row r="162" spans="2:11" s="1" customFormat="1" ht="13.5" customHeight="1">
      <c r="B162" s="5"/>
      <c r="C162" s="8" t="s">
        <v>6</v>
      </c>
      <c r="D162" s="176" t="s">
        <v>506</v>
      </c>
      <c r="E162" s="102"/>
      <c r="F162" s="102"/>
      <c r="G162" s="102"/>
      <c r="H162" s="102"/>
      <c r="I162" s="102"/>
      <c r="J162" s="102"/>
      <c r="K162" s="177"/>
    </row>
    <row r="163" spans="2:11" s="1" customFormat="1">
      <c r="B163" s="5" t="str">
        <f>CONCATENATE(D163,E163,F163,G163,H163,I163,J163,K163)</f>
        <v>00000000</v>
      </c>
      <c r="C163" s="8" t="s">
        <v>123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</row>
    <row r="165" spans="2:11" s="1" customFormat="1" ht="12.75" customHeight="1">
      <c r="B165" s="5"/>
      <c r="C165" s="173" t="s">
        <v>507</v>
      </c>
      <c r="D165" s="174"/>
      <c r="E165" s="174"/>
      <c r="F165" s="174"/>
      <c r="G165" s="174"/>
      <c r="H165" s="174"/>
      <c r="I165" s="174"/>
      <c r="J165" s="174"/>
      <c r="K165" s="175"/>
    </row>
    <row r="166" spans="2:11" s="1" customFormat="1">
      <c r="B166" s="5"/>
      <c r="C166" s="6" t="s">
        <v>120</v>
      </c>
      <c r="D166" s="7">
        <v>7</v>
      </c>
      <c r="E166" s="7">
        <v>6</v>
      </c>
      <c r="F166" s="7">
        <v>5</v>
      </c>
      <c r="G166" s="7">
        <v>4</v>
      </c>
      <c r="H166" s="7">
        <v>3</v>
      </c>
      <c r="I166" s="7">
        <v>2</v>
      </c>
      <c r="J166" s="7">
        <v>1</v>
      </c>
      <c r="K166" s="7">
        <v>0</v>
      </c>
    </row>
    <row r="167" spans="2:11" s="1" customFormat="1" ht="13.5" customHeight="1">
      <c r="B167" s="5"/>
      <c r="C167" s="8" t="s">
        <v>6</v>
      </c>
      <c r="D167" s="176" t="s">
        <v>508</v>
      </c>
      <c r="E167" s="102"/>
      <c r="F167" s="102"/>
      <c r="G167" s="102"/>
      <c r="H167" s="102"/>
      <c r="I167" s="102"/>
      <c r="J167" s="102"/>
      <c r="K167" s="177"/>
    </row>
    <row r="168" spans="2:11" s="1" customFormat="1">
      <c r="B168" s="5" t="str">
        <f>CONCATENATE(D168,E168,F168,G168,H168,I168,J168,K168)</f>
        <v>00000000</v>
      </c>
      <c r="C168" s="8" t="s">
        <v>123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</row>
    <row r="170" spans="2:11" s="1" customFormat="1" ht="12.75" customHeight="1">
      <c r="B170" s="5"/>
      <c r="C170" s="173" t="s">
        <v>509</v>
      </c>
      <c r="D170" s="174"/>
      <c r="E170" s="174"/>
      <c r="F170" s="174"/>
      <c r="G170" s="174"/>
      <c r="H170" s="174"/>
      <c r="I170" s="174"/>
      <c r="J170" s="174"/>
      <c r="K170" s="175"/>
    </row>
    <row r="171" spans="2:11" s="1" customFormat="1">
      <c r="B171" s="5"/>
      <c r="C171" s="6" t="s">
        <v>120</v>
      </c>
      <c r="D171" s="7">
        <v>7</v>
      </c>
      <c r="E171" s="7">
        <v>6</v>
      </c>
      <c r="F171" s="7">
        <v>5</v>
      </c>
      <c r="G171" s="7">
        <v>4</v>
      </c>
      <c r="H171" s="7">
        <v>3</v>
      </c>
      <c r="I171" s="7">
        <v>2</v>
      </c>
      <c r="J171" s="7">
        <v>1</v>
      </c>
      <c r="K171" s="7">
        <v>0</v>
      </c>
    </row>
    <row r="172" spans="2:11" s="1" customFormat="1" ht="13.5" customHeight="1">
      <c r="B172" s="5"/>
      <c r="C172" s="8" t="s">
        <v>6</v>
      </c>
      <c r="D172" s="176" t="s">
        <v>510</v>
      </c>
      <c r="E172" s="102"/>
      <c r="F172" s="102"/>
      <c r="G172" s="102"/>
      <c r="H172" s="102"/>
      <c r="I172" s="102"/>
      <c r="J172" s="102"/>
      <c r="K172" s="177"/>
    </row>
    <row r="173" spans="2:11" s="1" customFormat="1">
      <c r="B173" s="5" t="str">
        <f>CONCATENATE(D173,E173,F173,G173,H173,I173,J173,K173)</f>
        <v>00000000</v>
      </c>
      <c r="C173" s="8" t="s">
        <v>123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</row>
    <row r="175" spans="2:11" s="1" customFormat="1" ht="12.75" customHeight="1">
      <c r="B175" s="5"/>
      <c r="C175" s="181" t="s">
        <v>511</v>
      </c>
      <c r="D175" s="182"/>
      <c r="E175" s="182"/>
      <c r="F175" s="182"/>
      <c r="G175" s="182"/>
      <c r="H175" s="182"/>
      <c r="I175" s="182"/>
      <c r="J175" s="182"/>
      <c r="K175" s="183"/>
    </row>
    <row r="176" spans="2:11" s="1" customFormat="1">
      <c r="B176" s="5"/>
      <c r="C176" s="6" t="s">
        <v>120</v>
      </c>
      <c r="D176" s="7">
        <v>7</v>
      </c>
      <c r="E176" s="7">
        <v>6</v>
      </c>
      <c r="F176" s="7">
        <v>5</v>
      </c>
      <c r="G176" s="7">
        <v>4</v>
      </c>
      <c r="H176" s="7">
        <v>3</v>
      </c>
      <c r="I176" s="7">
        <v>2</v>
      </c>
      <c r="J176" s="7">
        <v>1</v>
      </c>
      <c r="K176" s="7">
        <v>0</v>
      </c>
    </row>
    <row r="177" spans="2:11" s="1" customFormat="1" ht="13.5" customHeight="1">
      <c r="B177" s="5"/>
      <c r="C177" s="8" t="s">
        <v>6</v>
      </c>
      <c r="D177" s="9" t="s">
        <v>121</v>
      </c>
      <c r="E177" s="9" t="s">
        <v>121</v>
      </c>
      <c r="F177" s="9" t="s">
        <v>121</v>
      </c>
      <c r="G177" s="9" t="s">
        <v>121</v>
      </c>
      <c r="H177" s="9" t="s">
        <v>121</v>
      </c>
      <c r="I177" s="9" t="s">
        <v>121</v>
      </c>
      <c r="J177" s="176" t="s">
        <v>512</v>
      </c>
      <c r="K177" s="177"/>
    </row>
    <row r="178" spans="2:11" s="1" customFormat="1" ht="13.5" customHeight="1">
      <c r="B178" s="5" t="str">
        <f>CONCATENATE(D178,E178,F178,G178,H178,I178,J178,K178)</f>
        <v>------00</v>
      </c>
      <c r="C178" s="8" t="s">
        <v>123</v>
      </c>
      <c r="D178" s="9" t="s">
        <v>124</v>
      </c>
      <c r="E178" s="9" t="s">
        <v>124</v>
      </c>
      <c r="F178" s="9" t="s">
        <v>124</v>
      </c>
      <c r="G178" s="9" t="s">
        <v>124</v>
      </c>
      <c r="H178" s="9" t="s">
        <v>124</v>
      </c>
      <c r="I178" s="9" t="s">
        <v>124</v>
      </c>
      <c r="J178" s="9">
        <v>0</v>
      </c>
      <c r="K178" s="9">
        <v>0</v>
      </c>
    </row>
    <row r="180" spans="2:11" s="1" customFormat="1" ht="13.5">
      <c r="B180" s="3"/>
      <c r="C180" s="10" t="s">
        <v>6</v>
      </c>
      <c r="D180" s="143" t="s">
        <v>125</v>
      </c>
      <c r="E180" s="143"/>
      <c r="F180" s="10" t="s">
        <v>126</v>
      </c>
      <c r="G180" s="143" t="s">
        <v>127</v>
      </c>
      <c r="H180" s="143"/>
      <c r="I180" s="143"/>
      <c r="J180" s="143"/>
      <c r="K180" s="10" t="s">
        <v>123</v>
      </c>
    </row>
    <row r="181" spans="2:11" s="1" customFormat="1" ht="13.5" customHeight="1">
      <c r="B181" s="3"/>
      <c r="C181" s="16" t="s">
        <v>513</v>
      </c>
      <c r="D181" s="172" t="s">
        <v>514</v>
      </c>
      <c r="E181" s="172"/>
      <c r="F181" s="16" t="s">
        <v>135</v>
      </c>
      <c r="G181" s="144"/>
      <c r="H181" s="144"/>
      <c r="I181" s="144"/>
      <c r="J181" s="144"/>
      <c r="K181" s="16" t="s">
        <v>135</v>
      </c>
    </row>
    <row r="182" spans="2:11" s="1" customFormat="1" ht="13.5" customHeight="1">
      <c r="B182" s="3"/>
      <c r="C182" s="16" t="s">
        <v>515</v>
      </c>
      <c r="D182" s="172" t="s">
        <v>516</v>
      </c>
      <c r="E182" s="172"/>
      <c r="F182" s="13" t="s">
        <v>147</v>
      </c>
      <c r="G182" s="144"/>
      <c r="H182" s="144"/>
      <c r="I182" s="144"/>
      <c r="J182" s="144"/>
      <c r="K182" s="16" t="s">
        <v>135</v>
      </c>
    </row>
    <row r="183" spans="2:11" s="1" customFormat="1" ht="12.75" customHeight="1">
      <c r="B183" s="3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2:11" s="1" customFormat="1" ht="12.75" customHeight="1">
      <c r="B184" s="5"/>
      <c r="C184" s="181" t="s">
        <v>517</v>
      </c>
      <c r="D184" s="182"/>
      <c r="E184" s="182"/>
      <c r="F184" s="182"/>
      <c r="G184" s="182"/>
      <c r="H184" s="182"/>
      <c r="I184" s="182"/>
      <c r="J184" s="182"/>
      <c r="K184" s="183"/>
    </row>
    <row r="185" spans="2:11" s="1" customFormat="1">
      <c r="B185" s="5"/>
      <c r="C185" s="6" t="s">
        <v>120</v>
      </c>
      <c r="D185" s="7">
        <v>7</v>
      </c>
      <c r="E185" s="7">
        <v>6</v>
      </c>
      <c r="F185" s="7">
        <v>5</v>
      </c>
      <c r="G185" s="7">
        <v>4</v>
      </c>
      <c r="H185" s="7">
        <v>3</v>
      </c>
      <c r="I185" s="7">
        <v>2</v>
      </c>
      <c r="J185" s="7">
        <v>1</v>
      </c>
      <c r="K185" s="7">
        <v>0</v>
      </c>
    </row>
    <row r="186" spans="2:11" s="1" customFormat="1" ht="13.5" customHeight="1">
      <c r="B186" s="5"/>
      <c r="C186" s="8" t="s">
        <v>6</v>
      </c>
      <c r="D186" s="176" t="s">
        <v>518</v>
      </c>
      <c r="E186" s="102"/>
      <c r="F186" s="102"/>
      <c r="G186" s="102"/>
      <c r="H186" s="102"/>
      <c r="I186" s="102"/>
      <c r="J186" s="102"/>
      <c r="K186" s="177"/>
    </row>
    <row r="187" spans="2:11" s="1" customFormat="1">
      <c r="B187" s="5" t="str">
        <f>CONCATENATE(D187,E187,F187,G187,H187,I187,J187,K187)</f>
        <v>00000000</v>
      </c>
      <c r="C187" s="8" t="s">
        <v>123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</row>
    <row r="188" spans="2:11" s="1" customFormat="1" ht="13.5">
      <c r="B188" s="3"/>
      <c r="C188" s="10" t="s">
        <v>6</v>
      </c>
      <c r="D188" s="143" t="s">
        <v>125</v>
      </c>
      <c r="E188" s="143"/>
      <c r="F188" s="10" t="s">
        <v>126</v>
      </c>
      <c r="G188" s="143" t="s">
        <v>127</v>
      </c>
      <c r="H188" s="143"/>
      <c r="I188" s="143"/>
      <c r="J188" s="143"/>
      <c r="K188" s="10" t="s">
        <v>123</v>
      </c>
    </row>
    <row r="189" spans="2:11" s="1" customFormat="1" ht="13.5" customHeight="1">
      <c r="B189" s="3"/>
      <c r="C189" s="16" t="s">
        <v>519</v>
      </c>
      <c r="D189" s="172" t="s">
        <v>520</v>
      </c>
      <c r="E189" s="172"/>
      <c r="F189" s="13"/>
      <c r="G189" s="153"/>
      <c r="H189" s="154"/>
      <c r="I189" s="154"/>
      <c r="J189" s="155"/>
      <c r="K189" s="16" t="s">
        <v>470</v>
      </c>
    </row>
    <row r="190" spans="2:11" s="1" customFormat="1" ht="12.75" customHeight="1">
      <c r="B190" s="3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2:11" s="1" customFormat="1" ht="12.75" customHeight="1">
      <c r="B191" s="5"/>
      <c r="C191" s="181" t="s">
        <v>521</v>
      </c>
      <c r="D191" s="182"/>
      <c r="E191" s="182"/>
      <c r="F191" s="182"/>
      <c r="G191" s="182"/>
      <c r="H191" s="182"/>
      <c r="I191" s="182"/>
      <c r="J191" s="182"/>
      <c r="K191" s="183"/>
    </row>
    <row r="192" spans="2:11" s="1" customFormat="1">
      <c r="B192" s="5"/>
      <c r="C192" s="6" t="s">
        <v>120</v>
      </c>
      <c r="D192" s="7">
        <v>7</v>
      </c>
      <c r="E192" s="7">
        <v>6</v>
      </c>
      <c r="F192" s="7">
        <v>5</v>
      </c>
      <c r="G192" s="7">
        <v>4</v>
      </c>
      <c r="H192" s="7">
        <v>3</v>
      </c>
      <c r="I192" s="7">
        <v>2</v>
      </c>
      <c r="J192" s="7">
        <v>1</v>
      </c>
      <c r="K192" s="7">
        <v>0</v>
      </c>
    </row>
    <row r="193" spans="2:11" s="1" customFormat="1" ht="13.5" customHeight="1">
      <c r="B193" s="5"/>
      <c r="C193" s="8" t="s">
        <v>6</v>
      </c>
      <c r="D193" s="184" t="s">
        <v>522</v>
      </c>
      <c r="E193" s="185"/>
      <c r="F193" s="185"/>
      <c r="G193" s="185"/>
      <c r="H193" s="185"/>
      <c r="I193" s="185"/>
      <c r="J193" s="185"/>
      <c r="K193" s="186"/>
    </row>
    <row r="194" spans="2:11" s="1" customFormat="1">
      <c r="B194" s="5" t="str">
        <f>CONCATENATE(D194,E194,F194,G194,H194,I194,J194,K194)</f>
        <v>00100000</v>
      </c>
      <c r="C194" s="8" t="s">
        <v>123</v>
      </c>
      <c r="D194" s="9">
        <v>0</v>
      </c>
      <c r="E194" s="9">
        <v>0</v>
      </c>
      <c r="F194" s="9">
        <v>1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</row>
    <row r="196" spans="2:11" s="1" customFormat="1" ht="13.5">
      <c r="B196" s="3"/>
      <c r="C196" s="10" t="s">
        <v>6</v>
      </c>
      <c r="D196" s="143" t="s">
        <v>125</v>
      </c>
      <c r="E196" s="143"/>
      <c r="F196" s="10" t="s">
        <v>126</v>
      </c>
      <c r="G196" s="143" t="s">
        <v>127</v>
      </c>
      <c r="H196" s="143"/>
      <c r="I196" s="143"/>
      <c r="J196" s="143"/>
      <c r="K196" s="10" t="s">
        <v>123</v>
      </c>
    </row>
    <row r="197" spans="2:11" s="1" customFormat="1" ht="13.5" customHeight="1">
      <c r="B197" s="3"/>
      <c r="C197" s="16" t="s">
        <v>522</v>
      </c>
      <c r="D197" s="172" t="s">
        <v>523</v>
      </c>
      <c r="E197" s="172"/>
      <c r="F197" s="13"/>
      <c r="G197" s="153"/>
      <c r="H197" s="154"/>
      <c r="I197" s="154"/>
      <c r="J197" s="155"/>
      <c r="K197" s="16" t="s">
        <v>524</v>
      </c>
    </row>
    <row r="198" spans="2:11" s="1" customFormat="1" ht="12.75" customHeight="1">
      <c r="B198" s="3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2:11" s="1" customFormat="1" ht="12.75" customHeight="1">
      <c r="B199" s="5"/>
      <c r="C199" s="181" t="s">
        <v>525</v>
      </c>
      <c r="D199" s="182"/>
      <c r="E199" s="182"/>
      <c r="F199" s="182"/>
      <c r="G199" s="182"/>
      <c r="H199" s="182"/>
      <c r="I199" s="182"/>
      <c r="J199" s="182"/>
      <c r="K199" s="183"/>
    </row>
    <row r="200" spans="2:11" s="1" customFormat="1">
      <c r="B200" s="5"/>
      <c r="C200" s="6" t="s">
        <v>120</v>
      </c>
      <c r="D200" s="7">
        <v>7</v>
      </c>
      <c r="E200" s="7">
        <v>6</v>
      </c>
      <c r="F200" s="7">
        <v>5</v>
      </c>
      <c r="G200" s="7">
        <v>4</v>
      </c>
      <c r="H200" s="7">
        <v>3</v>
      </c>
      <c r="I200" s="7">
        <v>2</v>
      </c>
      <c r="J200" s="7">
        <v>1</v>
      </c>
      <c r="K200" s="7">
        <v>0</v>
      </c>
    </row>
    <row r="201" spans="2:11" s="1" customFormat="1" ht="13.5" customHeight="1">
      <c r="B201" s="5"/>
      <c r="C201" s="8" t="s">
        <v>6</v>
      </c>
      <c r="D201" s="9" t="s">
        <v>121</v>
      </c>
      <c r="E201" s="9" t="s">
        <v>121</v>
      </c>
      <c r="F201" s="9" t="s">
        <v>121</v>
      </c>
      <c r="G201" s="9" t="s">
        <v>121</v>
      </c>
      <c r="H201" s="9" t="s">
        <v>121</v>
      </c>
      <c r="I201" s="9" t="s">
        <v>121</v>
      </c>
      <c r="J201" s="176" t="s">
        <v>526</v>
      </c>
      <c r="K201" s="177"/>
    </row>
    <row r="202" spans="2:11" s="1" customFormat="1">
      <c r="B202" s="5" t="str">
        <f>CONCATENATE(D202,E202,F202,G202,H202,I202,J202,K202)</f>
        <v>------00</v>
      </c>
      <c r="C202" s="8" t="s">
        <v>123</v>
      </c>
      <c r="D202" s="9" t="s">
        <v>124</v>
      </c>
      <c r="E202" s="9" t="s">
        <v>124</v>
      </c>
      <c r="F202" s="9" t="s">
        <v>124</v>
      </c>
      <c r="G202" s="9" t="s">
        <v>124</v>
      </c>
      <c r="H202" s="9" t="s">
        <v>124</v>
      </c>
      <c r="I202" s="9" t="s">
        <v>124</v>
      </c>
      <c r="J202" s="9">
        <v>0</v>
      </c>
      <c r="K202" s="9">
        <v>0</v>
      </c>
    </row>
    <row r="204" spans="2:11" s="1" customFormat="1" ht="13.5">
      <c r="B204" s="3"/>
      <c r="C204" s="10" t="s">
        <v>6</v>
      </c>
      <c r="D204" s="143" t="s">
        <v>125</v>
      </c>
      <c r="E204" s="143"/>
      <c r="F204" s="10" t="s">
        <v>126</v>
      </c>
      <c r="G204" s="143" t="s">
        <v>127</v>
      </c>
      <c r="H204" s="143"/>
      <c r="I204" s="143"/>
      <c r="J204" s="143"/>
      <c r="K204" s="10" t="s">
        <v>123</v>
      </c>
    </row>
    <row r="205" spans="2:11" s="1" customFormat="1" ht="13.5" customHeight="1">
      <c r="B205" s="3"/>
      <c r="C205" s="16" t="s">
        <v>527</v>
      </c>
      <c r="D205" s="172" t="s">
        <v>528</v>
      </c>
      <c r="E205" s="172"/>
      <c r="F205" s="13"/>
      <c r="G205" s="153"/>
      <c r="H205" s="154"/>
      <c r="I205" s="154"/>
      <c r="J205" s="155"/>
      <c r="K205" s="16" t="s">
        <v>529</v>
      </c>
    </row>
    <row r="206" spans="2:11" s="1" customFormat="1" ht="12.75" customHeight="1">
      <c r="B206" s="3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2:11" s="1" customFormat="1" ht="12.75" customHeight="1">
      <c r="B207" s="5"/>
      <c r="C207" s="181" t="s">
        <v>530</v>
      </c>
      <c r="D207" s="182"/>
      <c r="E207" s="182"/>
      <c r="F207" s="182"/>
      <c r="G207" s="182"/>
      <c r="H207" s="182"/>
      <c r="I207" s="182"/>
      <c r="J207" s="182"/>
      <c r="K207" s="183"/>
    </row>
    <row r="208" spans="2:11" s="1" customFormat="1">
      <c r="B208" s="5"/>
      <c r="C208" s="6" t="s">
        <v>120</v>
      </c>
      <c r="D208" s="7">
        <v>7</v>
      </c>
      <c r="E208" s="7">
        <v>6</v>
      </c>
      <c r="F208" s="7">
        <v>5</v>
      </c>
      <c r="G208" s="7">
        <v>4</v>
      </c>
      <c r="H208" s="7">
        <v>3</v>
      </c>
      <c r="I208" s="7">
        <v>2</v>
      </c>
      <c r="J208" s="7">
        <v>1</v>
      </c>
      <c r="K208" s="7">
        <v>0</v>
      </c>
    </row>
    <row r="209" spans="2:11" s="1" customFormat="1" ht="13.5" customHeight="1">
      <c r="B209" s="5"/>
      <c r="C209" s="8" t="s">
        <v>6</v>
      </c>
      <c r="D209" s="9" t="s">
        <v>121</v>
      </c>
      <c r="E209" s="9" t="s">
        <v>121</v>
      </c>
      <c r="F209" s="9" t="s">
        <v>121</v>
      </c>
      <c r="G209" s="176" t="s">
        <v>531</v>
      </c>
      <c r="H209" s="102"/>
      <c r="I209" s="20"/>
      <c r="J209" s="20"/>
      <c r="K209" s="21"/>
    </row>
    <row r="210" spans="2:11" s="1" customFormat="1">
      <c r="B210" s="5" t="str">
        <f>CONCATENATE(D210,E210,F210,G210,H210,I210,J210,K210)</f>
        <v>---00000</v>
      </c>
      <c r="C210" s="8" t="s">
        <v>123</v>
      </c>
      <c r="D210" s="9" t="s">
        <v>124</v>
      </c>
      <c r="E210" s="9" t="s">
        <v>124</v>
      </c>
      <c r="F210" s="9" t="s">
        <v>124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</row>
    <row r="212" spans="2:11" s="1" customFormat="1" ht="13.5">
      <c r="B212" s="3"/>
      <c r="C212" s="10" t="s">
        <v>6</v>
      </c>
      <c r="D212" s="143" t="s">
        <v>125</v>
      </c>
      <c r="E212" s="143"/>
      <c r="F212" s="10" t="s">
        <v>126</v>
      </c>
      <c r="G212" s="143" t="s">
        <v>127</v>
      </c>
      <c r="H212" s="143"/>
      <c r="I212" s="143"/>
      <c r="J212" s="143"/>
      <c r="K212" s="10" t="s">
        <v>123</v>
      </c>
    </row>
    <row r="213" spans="2:11" s="1" customFormat="1" ht="13.5" customHeight="1">
      <c r="B213" s="3"/>
      <c r="C213" s="167" t="s">
        <v>532</v>
      </c>
      <c r="D213" s="158" t="s">
        <v>533</v>
      </c>
      <c r="E213" s="159"/>
      <c r="F213" s="167"/>
      <c r="G213" s="158" t="s">
        <v>534</v>
      </c>
      <c r="H213" s="187"/>
      <c r="I213" s="187"/>
      <c r="J213" s="159"/>
      <c r="K213" s="167" t="s">
        <v>535</v>
      </c>
    </row>
    <row r="214" spans="2:11" s="1" customFormat="1" ht="13.5" customHeight="1">
      <c r="B214" s="3"/>
      <c r="C214" s="157"/>
      <c r="D214" s="162"/>
      <c r="E214" s="163"/>
      <c r="F214" s="157"/>
      <c r="G214" s="162"/>
      <c r="H214" s="188"/>
      <c r="I214" s="188"/>
      <c r="J214" s="163"/>
      <c r="K214" s="157"/>
    </row>
    <row r="215" spans="2:11" s="1" customFormat="1" ht="12.75" customHeight="1">
      <c r="B215" s="3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2:11" s="1" customFormat="1" ht="12.75" customHeight="1">
      <c r="B216" s="5"/>
      <c r="C216" s="181" t="s">
        <v>536</v>
      </c>
      <c r="D216" s="182"/>
      <c r="E216" s="182"/>
      <c r="F216" s="182"/>
      <c r="G216" s="182"/>
      <c r="H216" s="182"/>
      <c r="I216" s="182"/>
      <c r="J216" s="182"/>
      <c r="K216" s="183"/>
    </row>
    <row r="217" spans="2:11" s="1" customFormat="1">
      <c r="B217" s="5"/>
      <c r="C217" s="6" t="s">
        <v>120</v>
      </c>
      <c r="D217" s="7">
        <v>7</v>
      </c>
      <c r="E217" s="7">
        <v>6</v>
      </c>
      <c r="F217" s="7">
        <v>5</v>
      </c>
      <c r="G217" s="7">
        <v>4</v>
      </c>
      <c r="H217" s="7">
        <v>3</v>
      </c>
      <c r="I217" s="7">
        <v>2</v>
      </c>
      <c r="J217" s="7">
        <v>1</v>
      </c>
      <c r="K217" s="7">
        <v>0</v>
      </c>
    </row>
    <row r="218" spans="2:11" s="1" customFormat="1" ht="13.5" customHeight="1">
      <c r="B218" s="5"/>
      <c r="C218" s="8" t="s">
        <v>6</v>
      </c>
      <c r="D218" s="176" t="s">
        <v>537</v>
      </c>
      <c r="E218" s="102"/>
      <c r="F218" s="102"/>
      <c r="G218" s="102"/>
      <c r="H218" s="102"/>
      <c r="I218" s="102"/>
      <c r="J218" s="102"/>
      <c r="K218" s="177"/>
    </row>
    <row r="219" spans="2:11" s="1" customFormat="1">
      <c r="B219" s="5" t="str">
        <f>CONCATENATE(D219,E219,F219,G219,H219,I219,J219,K219)</f>
        <v>00000000</v>
      </c>
      <c r="C219" s="8" t="s">
        <v>123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</row>
    <row r="221" spans="2:11" s="1" customFormat="1" ht="13.5">
      <c r="B221" s="3"/>
      <c r="C221" s="10" t="s">
        <v>6</v>
      </c>
      <c r="D221" s="143" t="s">
        <v>125</v>
      </c>
      <c r="E221" s="143"/>
      <c r="F221" s="10" t="s">
        <v>126</v>
      </c>
      <c r="G221" s="143" t="s">
        <v>127</v>
      </c>
      <c r="H221" s="143"/>
      <c r="I221" s="143"/>
      <c r="J221" s="143"/>
      <c r="K221" s="10" t="s">
        <v>123</v>
      </c>
    </row>
    <row r="222" spans="2:11" s="1" customFormat="1" ht="13.5" customHeight="1">
      <c r="B222" s="3"/>
      <c r="C222" s="167" t="s">
        <v>538</v>
      </c>
      <c r="D222" s="158" t="s">
        <v>539</v>
      </c>
      <c r="E222" s="159"/>
      <c r="F222" s="167"/>
      <c r="G222" s="158" t="s">
        <v>540</v>
      </c>
      <c r="H222" s="187"/>
      <c r="I222" s="187"/>
      <c r="J222" s="159"/>
      <c r="K222" s="167" t="s">
        <v>470</v>
      </c>
    </row>
    <row r="223" spans="2:11" s="1" customFormat="1" ht="13.5" customHeight="1">
      <c r="B223" s="3"/>
      <c r="C223" s="157"/>
      <c r="D223" s="162"/>
      <c r="E223" s="163"/>
      <c r="F223" s="157"/>
      <c r="G223" s="162"/>
      <c r="H223" s="188"/>
      <c r="I223" s="188"/>
      <c r="J223" s="163"/>
      <c r="K223" s="157"/>
    </row>
    <row r="224" spans="2:11" s="1" customFormat="1" ht="12.75" customHeight="1">
      <c r="B224" s="3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2:11" s="1" customFormat="1" ht="12.75" customHeight="1">
      <c r="B225" s="5"/>
      <c r="C225" s="181" t="s">
        <v>541</v>
      </c>
      <c r="D225" s="182"/>
      <c r="E225" s="182"/>
      <c r="F225" s="182"/>
      <c r="G225" s="182"/>
      <c r="H225" s="182"/>
      <c r="I225" s="182"/>
      <c r="J225" s="182"/>
      <c r="K225" s="183"/>
    </row>
    <row r="226" spans="2:11" s="1" customFormat="1">
      <c r="B226" s="5"/>
      <c r="C226" s="6" t="s">
        <v>120</v>
      </c>
      <c r="D226" s="7">
        <v>7</v>
      </c>
      <c r="E226" s="7">
        <v>6</v>
      </c>
      <c r="F226" s="7">
        <v>5</v>
      </c>
      <c r="G226" s="7">
        <v>4</v>
      </c>
      <c r="H226" s="7">
        <v>3</v>
      </c>
      <c r="I226" s="7">
        <v>2</v>
      </c>
      <c r="J226" s="7">
        <v>1</v>
      </c>
      <c r="K226" s="7">
        <v>0</v>
      </c>
    </row>
    <row r="227" spans="2:11" s="1" customFormat="1" ht="13.5" customHeight="1">
      <c r="B227" s="5"/>
      <c r="C227" s="8" t="s">
        <v>6</v>
      </c>
      <c r="D227" s="176" t="s">
        <v>542</v>
      </c>
      <c r="E227" s="102"/>
      <c r="F227" s="102"/>
      <c r="G227" s="102"/>
      <c r="H227" s="102"/>
      <c r="I227" s="102"/>
      <c r="J227" s="102"/>
      <c r="K227" s="177"/>
    </row>
    <row r="228" spans="2:11" s="1" customFormat="1">
      <c r="B228" s="5" t="str">
        <f>CONCATENATE(D228,E228,F228,G228,H228,I228,J228,K228)</f>
        <v>00000000</v>
      </c>
      <c r="C228" s="8" t="s">
        <v>123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</row>
    <row r="230" spans="2:11" s="1" customFormat="1" ht="12.75" customHeight="1">
      <c r="B230" s="5"/>
      <c r="C230" s="181" t="s">
        <v>543</v>
      </c>
      <c r="D230" s="182"/>
      <c r="E230" s="182"/>
      <c r="F230" s="182"/>
      <c r="G230" s="182"/>
      <c r="H230" s="182"/>
      <c r="I230" s="182"/>
      <c r="J230" s="182"/>
      <c r="K230" s="183"/>
    </row>
    <row r="231" spans="2:11" s="1" customFormat="1">
      <c r="B231" s="5"/>
      <c r="C231" s="6" t="s">
        <v>120</v>
      </c>
      <c r="D231" s="7">
        <v>7</v>
      </c>
      <c r="E231" s="7">
        <v>6</v>
      </c>
      <c r="F231" s="7">
        <v>5</v>
      </c>
      <c r="G231" s="7">
        <v>4</v>
      </c>
      <c r="H231" s="7">
        <v>3</v>
      </c>
      <c r="I231" s="7">
        <v>2</v>
      </c>
      <c r="J231" s="7">
        <v>1</v>
      </c>
      <c r="K231" s="7">
        <v>0</v>
      </c>
    </row>
    <row r="232" spans="2:11" s="1" customFormat="1" ht="13.5" customHeight="1">
      <c r="B232" s="5"/>
      <c r="C232" s="8" t="s">
        <v>6</v>
      </c>
      <c r="D232" s="176" t="s">
        <v>544</v>
      </c>
      <c r="E232" s="102"/>
      <c r="F232" s="102"/>
      <c r="G232" s="102"/>
      <c r="H232" s="102"/>
      <c r="I232" s="102"/>
      <c r="J232" s="102"/>
      <c r="K232" s="177"/>
    </row>
    <row r="233" spans="2:11" s="1" customFormat="1">
      <c r="B233" s="5" t="str">
        <f>CONCATENATE(D233,E233,F233,G233,H233,I233,J233,K233)</f>
        <v>00000000</v>
      </c>
      <c r="C233" s="8" t="s">
        <v>123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</row>
    <row r="235" spans="2:11" s="1" customFormat="1" ht="12.75" customHeight="1">
      <c r="B235" s="5"/>
      <c r="C235" s="181" t="s">
        <v>545</v>
      </c>
      <c r="D235" s="182"/>
      <c r="E235" s="182"/>
      <c r="F235" s="182"/>
      <c r="G235" s="182"/>
      <c r="H235" s="182"/>
      <c r="I235" s="182"/>
      <c r="J235" s="182"/>
      <c r="K235" s="183"/>
    </row>
    <row r="236" spans="2:11" s="1" customFormat="1">
      <c r="B236" s="5"/>
      <c r="C236" s="6" t="s">
        <v>120</v>
      </c>
      <c r="D236" s="7">
        <v>7</v>
      </c>
      <c r="E236" s="7">
        <v>6</v>
      </c>
      <c r="F236" s="7">
        <v>5</v>
      </c>
      <c r="G236" s="7">
        <v>4</v>
      </c>
      <c r="H236" s="7">
        <v>3</v>
      </c>
      <c r="I236" s="7">
        <v>2</v>
      </c>
      <c r="J236" s="7">
        <v>1</v>
      </c>
      <c r="K236" s="7">
        <v>0</v>
      </c>
    </row>
    <row r="237" spans="2:11" s="1" customFormat="1" ht="13.5" customHeight="1">
      <c r="B237" s="5"/>
      <c r="C237" s="8" t="s">
        <v>6</v>
      </c>
      <c r="D237" s="176" t="s">
        <v>546</v>
      </c>
      <c r="E237" s="102"/>
      <c r="F237" s="102"/>
      <c r="G237" s="102"/>
      <c r="H237" s="102"/>
      <c r="I237" s="102"/>
      <c r="J237" s="102"/>
      <c r="K237" s="177"/>
    </row>
    <row r="238" spans="2:11" s="1" customFormat="1">
      <c r="B238" s="5" t="str">
        <f>CONCATENATE(D238,E238,F238,G238,H238,I238,J238,K238)</f>
        <v>00000000</v>
      </c>
      <c r="C238" s="8" t="s">
        <v>123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</row>
    <row r="240" spans="2:11" s="1" customFormat="1" ht="12.75" customHeight="1">
      <c r="B240" s="5"/>
      <c r="C240" s="181" t="s">
        <v>547</v>
      </c>
      <c r="D240" s="182"/>
      <c r="E240" s="182"/>
      <c r="F240" s="182"/>
      <c r="G240" s="182"/>
      <c r="H240" s="182"/>
      <c r="I240" s="182"/>
      <c r="J240" s="182"/>
      <c r="K240" s="183"/>
    </row>
    <row r="241" spans="2:11" s="1" customFormat="1">
      <c r="B241" s="5"/>
      <c r="C241" s="6" t="s">
        <v>120</v>
      </c>
      <c r="D241" s="7">
        <v>7</v>
      </c>
      <c r="E241" s="7">
        <v>6</v>
      </c>
      <c r="F241" s="7">
        <v>5</v>
      </c>
      <c r="G241" s="7">
        <v>4</v>
      </c>
      <c r="H241" s="7">
        <v>3</v>
      </c>
      <c r="I241" s="7">
        <v>2</v>
      </c>
      <c r="J241" s="7">
        <v>1</v>
      </c>
      <c r="K241" s="7">
        <v>0</v>
      </c>
    </row>
    <row r="242" spans="2:11" s="1" customFormat="1" ht="13.5" customHeight="1">
      <c r="B242" s="5"/>
      <c r="C242" s="8" t="s">
        <v>6</v>
      </c>
      <c r="D242" s="176" t="s">
        <v>548</v>
      </c>
      <c r="E242" s="102"/>
      <c r="F242" s="102"/>
      <c r="G242" s="102"/>
      <c r="H242" s="102"/>
      <c r="I242" s="102"/>
      <c r="J242" s="102"/>
      <c r="K242" s="177"/>
    </row>
    <row r="243" spans="2:11" s="1" customFormat="1">
      <c r="B243" s="5" t="str">
        <f>CONCATENATE(D243,E243,F243,G243,H243,I243,J243,K243)</f>
        <v>00000000</v>
      </c>
      <c r="C243" s="8" t="s">
        <v>123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</row>
    <row r="245" spans="2:11" s="1" customFormat="1" ht="12.75" customHeight="1">
      <c r="B245" s="5"/>
      <c r="C245" s="181" t="s">
        <v>549</v>
      </c>
      <c r="D245" s="182"/>
      <c r="E245" s="182"/>
      <c r="F245" s="182"/>
      <c r="G245" s="182"/>
      <c r="H245" s="182"/>
      <c r="I245" s="182"/>
      <c r="J245" s="182"/>
      <c r="K245" s="183"/>
    </row>
    <row r="246" spans="2:11" s="1" customFormat="1">
      <c r="B246" s="5"/>
      <c r="C246" s="6" t="s">
        <v>120</v>
      </c>
      <c r="D246" s="7">
        <v>7</v>
      </c>
      <c r="E246" s="7">
        <v>6</v>
      </c>
      <c r="F246" s="7">
        <v>5</v>
      </c>
      <c r="G246" s="7">
        <v>4</v>
      </c>
      <c r="H246" s="7">
        <v>3</v>
      </c>
      <c r="I246" s="7">
        <v>2</v>
      </c>
      <c r="J246" s="7">
        <v>1</v>
      </c>
      <c r="K246" s="7">
        <v>0</v>
      </c>
    </row>
    <row r="247" spans="2:11" s="1" customFormat="1" ht="13.5" customHeight="1">
      <c r="B247" s="5"/>
      <c r="C247" s="8" t="s">
        <v>6</v>
      </c>
      <c r="D247" s="176" t="s">
        <v>550</v>
      </c>
      <c r="E247" s="102"/>
      <c r="F247" s="102"/>
      <c r="G247" s="102"/>
      <c r="H247" s="102"/>
      <c r="I247" s="102"/>
      <c r="J247" s="102"/>
      <c r="K247" s="177"/>
    </row>
    <row r="248" spans="2:11" s="1" customFormat="1">
      <c r="B248" s="5" t="str">
        <f>CONCATENATE(D248,E248,F248,G248,H248,I248,J248,K248)</f>
        <v>00000000</v>
      </c>
      <c r="C248" s="8" t="s">
        <v>123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</row>
    <row r="250" spans="2:11" s="1" customFormat="1" ht="12.75" customHeight="1">
      <c r="B250" s="5"/>
      <c r="C250" s="181" t="s">
        <v>551</v>
      </c>
      <c r="D250" s="182"/>
      <c r="E250" s="182"/>
      <c r="F250" s="182"/>
      <c r="G250" s="182"/>
      <c r="H250" s="182"/>
      <c r="I250" s="182"/>
      <c r="J250" s="182"/>
      <c r="K250" s="183"/>
    </row>
    <row r="251" spans="2:11" s="1" customFormat="1">
      <c r="B251" s="5"/>
      <c r="C251" s="6" t="s">
        <v>120</v>
      </c>
      <c r="D251" s="7">
        <v>7</v>
      </c>
      <c r="E251" s="7">
        <v>6</v>
      </c>
      <c r="F251" s="7">
        <v>5</v>
      </c>
      <c r="G251" s="7">
        <v>4</v>
      </c>
      <c r="H251" s="7">
        <v>3</v>
      </c>
      <c r="I251" s="7">
        <v>2</v>
      </c>
      <c r="J251" s="7">
        <v>1</v>
      </c>
      <c r="K251" s="7">
        <v>0</v>
      </c>
    </row>
    <row r="252" spans="2:11" s="1" customFormat="1" ht="13.5" customHeight="1">
      <c r="B252" s="5"/>
      <c r="C252" s="8" t="s">
        <v>6</v>
      </c>
      <c r="D252" s="176" t="s">
        <v>552</v>
      </c>
      <c r="E252" s="102"/>
      <c r="F252" s="102"/>
      <c r="G252" s="102"/>
      <c r="H252" s="102"/>
      <c r="I252" s="102"/>
      <c r="J252" s="102"/>
      <c r="K252" s="177"/>
    </row>
    <row r="253" spans="2:11" s="1" customFormat="1">
      <c r="B253" s="5" t="str">
        <f>CONCATENATE(D253,E253,F253,G253,H253,I253,J253,K253)</f>
        <v>00000000</v>
      </c>
      <c r="C253" s="8" t="s">
        <v>123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</row>
    <row r="255" spans="2:11" s="1" customFormat="1" ht="12.75" customHeight="1">
      <c r="B255" s="5"/>
      <c r="C255" s="181" t="s">
        <v>553</v>
      </c>
      <c r="D255" s="182"/>
      <c r="E255" s="182"/>
      <c r="F255" s="182"/>
      <c r="G255" s="182"/>
      <c r="H255" s="182"/>
      <c r="I255" s="182"/>
      <c r="J255" s="182"/>
      <c r="K255" s="183"/>
    </row>
    <row r="256" spans="2:11" s="1" customFormat="1">
      <c r="B256" s="5"/>
      <c r="C256" s="6" t="s">
        <v>120</v>
      </c>
      <c r="D256" s="7">
        <v>7</v>
      </c>
      <c r="E256" s="7">
        <v>6</v>
      </c>
      <c r="F256" s="7">
        <v>5</v>
      </c>
      <c r="G256" s="7">
        <v>4</v>
      </c>
      <c r="H256" s="7">
        <v>3</v>
      </c>
      <c r="I256" s="7">
        <v>2</v>
      </c>
      <c r="J256" s="7">
        <v>1</v>
      </c>
      <c r="K256" s="7">
        <v>0</v>
      </c>
    </row>
    <row r="257" spans="2:11" s="1" customFormat="1" ht="13.5" customHeight="1">
      <c r="B257" s="5"/>
      <c r="C257" s="8" t="s">
        <v>6</v>
      </c>
      <c r="D257" s="176" t="s">
        <v>554</v>
      </c>
      <c r="E257" s="102"/>
      <c r="F257" s="102"/>
      <c r="G257" s="102"/>
      <c r="H257" s="102"/>
      <c r="I257" s="102"/>
      <c r="J257" s="102"/>
      <c r="K257" s="177"/>
    </row>
    <row r="258" spans="2:11" s="1" customFormat="1">
      <c r="B258" s="5" t="str">
        <f>CONCATENATE(D258,E258,F258,G258,H258,I258,J258,K258)</f>
        <v>00000000</v>
      </c>
      <c r="C258" s="8" t="s">
        <v>123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</row>
    <row r="260" spans="2:11" s="1" customFormat="1" ht="12.75" customHeight="1">
      <c r="B260" s="5"/>
      <c r="C260" s="181" t="s">
        <v>555</v>
      </c>
      <c r="D260" s="182"/>
      <c r="E260" s="182"/>
      <c r="F260" s="182"/>
      <c r="G260" s="182"/>
      <c r="H260" s="182"/>
      <c r="I260" s="182"/>
      <c r="J260" s="182"/>
      <c r="K260" s="183"/>
    </row>
    <row r="261" spans="2:11" s="1" customFormat="1">
      <c r="B261" s="5"/>
      <c r="C261" s="6" t="s">
        <v>120</v>
      </c>
      <c r="D261" s="7">
        <v>7</v>
      </c>
      <c r="E261" s="7">
        <v>6</v>
      </c>
      <c r="F261" s="7">
        <v>5</v>
      </c>
      <c r="G261" s="7">
        <v>4</v>
      </c>
      <c r="H261" s="7">
        <v>3</v>
      </c>
      <c r="I261" s="7">
        <v>2</v>
      </c>
      <c r="J261" s="7">
        <v>1</v>
      </c>
      <c r="K261" s="7">
        <v>0</v>
      </c>
    </row>
    <row r="262" spans="2:11" s="1" customFormat="1" ht="13.5" customHeight="1">
      <c r="B262" s="5"/>
      <c r="C262" s="8" t="s">
        <v>6</v>
      </c>
      <c r="D262" s="176" t="s">
        <v>556</v>
      </c>
      <c r="E262" s="102"/>
      <c r="F262" s="102"/>
      <c r="G262" s="102"/>
      <c r="H262" s="102"/>
      <c r="I262" s="102"/>
      <c r="J262" s="102"/>
      <c r="K262" s="177"/>
    </row>
    <row r="263" spans="2:11" s="1" customFormat="1">
      <c r="B263" s="5" t="str">
        <f>CONCATENATE(D263,E263,F263,G263,H263,I263,J263,K263)</f>
        <v>00000000</v>
      </c>
      <c r="C263" s="8" t="s">
        <v>123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</row>
    <row r="265" spans="2:11" s="1" customFormat="1" ht="12.75" customHeight="1">
      <c r="B265" s="5"/>
      <c r="C265" s="181" t="s">
        <v>557</v>
      </c>
      <c r="D265" s="182"/>
      <c r="E265" s="182"/>
      <c r="F265" s="182"/>
      <c r="G265" s="182"/>
      <c r="H265" s="182"/>
      <c r="I265" s="182"/>
      <c r="J265" s="182"/>
      <c r="K265" s="183"/>
    </row>
    <row r="266" spans="2:11" s="1" customFormat="1">
      <c r="B266" s="5"/>
      <c r="C266" s="6" t="s">
        <v>120</v>
      </c>
      <c r="D266" s="7">
        <v>7</v>
      </c>
      <c r="E266" s="7">
        <v>6</v>
      </c>
      <c r="F266" s="7">
        <v>5</v>
      </c>
      <c r="G266" s="7">
        <v>4</v>
      </c>
      <c r="H266" s="7">
        <v>3</v>
      </c>
      <c r="I266" s="7">
        <v>2</v>
      </c>
      <c r="J266" s="7">
        <v>1</v>
      </c>
      <c r="K266" s="7">
        <v>0</v>
      </c>
    </row>
    <row r="267" spans="2:11" s="1" customFormat="1" ht="13.5" customHeight="1">
      <c r="B267" s="5"/>
      <c r="C267" s="8" t="s">
        <v>6</v>
      </c>
      <c r="D267" s="176" t="s">
        <v>558</v>
      </c>
      <c r="E267" s="102"/>
      <c r="F267" s="102"/>
      <c r="G267" s="102"/>
      <c r="H267" s="102"/>
      <c r="I267" s="102"/>
      <c r="J267" s="102"/>
      <c r="K267" s="177"/>
    </row>
    <row r="268" spans="2:11" s="1" customFormat="1">
      <c r="B268" s="5" t="str">
        <f>CONCATENATE(D268,E268,F268,G268,H268,I268,J268,K268)</f>
        <v>00000000</v>
      </c>
      <c r="C268" s="8" t="s">
        <v>123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</row>
    <row r="270" spans="2:11" s="1" customFormat="1" ht="12.75" customHeight="1">
      <c r="B270" s="5"/>
      <c r="C270" s="181" t="s">
        <v>559</v>
      </c>
      <c r="D270" s="182"/>
      <c r="E270" s="182"/>
      <c r="F270" s="182"/>
      <c r="G270" s="182"/>
      <c r="H270" s="182"/>
      <c r="I270" s="182"/>
      <c r="J270" s="182"/>
      <c r="K270" s="183"/>
    </row>
    <row r="271" spans="2:11" s="1" customFormat="1">
      <c r="B271" s="5"/>
      <c r="C271" s="6" t="s">
        <v>120</v>
      </c>
      <c r="D271" s="7">
        <v>7</v>
      </c>
      <c r="E271" s="7">
        <v>6</v>
      </c>
      <c r="F271" s="7">
        <v>5</v>
      </c>
      <c r="G271" s="7">
        <v>4</v>
      </c>
      <c r="H271" s="7">
        <v>3</v>
      </c>
      <c r="I271" s="7">
        <v>2</v>
      </c>
      <c r="J271" s="7">
        <v>1</v>
      </c>
      <c r="K271" s="7">
        <v>0</v>
      </c>
    </row>
    <row r="272" spans="2:11" s="1" customFormat="1" ht="13.5" customHeight="1">
      <c r="B272" s="5"/>
      <c r="C272" s="8" t="s">
        <v>6</v>
      </c>
      <c r="D272" s="176" t="s">
        <v>560</v>
      </c>
      <c r="E272" s="102"/>
      <c r="F272" s="102"/>
      <c r="G272" s="102"/>
      <c r="H272" s="102"/>
      <c r="I272" s="102"/>
      <c r="J272" s="102"/>
      <c r="K272" s="177"/>
    </row>
    <row r="273" spans="2:11" s="1" customFormat="1">
      <c r="B273" s="5" t="str">
        <f>CONCATENATE(D273,E273,F273,G273,H273,I273,J273,K273)</f>
        <v>00000000</v>
      </c>
      <c r="C273" s="8" t="s">
        <v>123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</row>
    <row r="275" spans="2:11" s="1" customFormat="1" ht="12.75" customHeight="1">
      <c r="B275" s="5"/>
      <c r="C275" s="181" t="s">
        <v>561</v>
      </c>
      <c r="D275" s="182"/>
      <c r="E275" s="182"/>
      <c r="F275" s="182"/>
      <c r="G275" s="182"/>
      <c r="H275" s="182"/>
      <c r="I275" s="182"/>
      <c r="J275" s="182"/>
      <c r="K275" s="183"/>
    </row>
    <row r="276" spans="2:11" s="1" customFormat="1">
      <c r="B276" s="5"/>
      <c r="C276" s="6" t="s">
        <v>120</v>
      </c>
      <c r="D276" s="7">
        <v>7</v>
      </c>
      <c r="E276" s="7">
        <v>6</v>
      </c>
      <c r="F276" s="7">
        <v>5</v>
      </c>
      <c r="G276" s="7">
        <v>4</v>
      </c>
      <c r="H276" s="7">
        <v>3</v>
      </c>
      <c r="I276" s="7">
        <v>2</v>
      </c>
      <c r="J276" s="7">
        <v>1</v>
      </c>
      <c r="K276" s="7">
        <v>0</v>
      </c>
    </row>
    <row r="277" spans="2:11" s="1" customFormat="1" ht="13.5" customHeight="1">
      <c r="B277" s="5"/>
      <c r="C277" s="8" t="s">
        <v>6</v>
      </c>
      <c r="D277" s="176" t="s">
        <v>562</v>
      </c>
      <c r="E277" s="102"/>
      <c r="F277" s="102"/>
      <c r="G277" s="102"/>
      <c r="H277" s="102"/>
      <c r="I277" s="102"/>
      <c r="J277" s="102"/>
      <c r="K277" s="177"/>
    </row>
    <row r="278" spans="2:11" s="1" customFormat="1">
      <c r="B278" s="5" t="str">
        <f>CONCATENATE(D278,E278,F278,G278,H278,I278,J278,K278)</f>
        <v>00000000</v>
      </c>
      <c r="C278" s="8" t="s">
        <v>123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</row>
    <row r="280" spans="2:11" s="1" customFormat="1" ht="12.75" customHeight="1">
      <c r="B280" s="5"/>
      <c r="C280" s="181" t="s">
        <v>563</v>
      </c>
      <c r="D280" s="182"/>
      <c r="E280" s="182"/>
      <c r="F280" s="182"/>
      <c r="G280" s="182"/>
      <c r="H280" s="182"/>
      <c r="I280" s="182"/>
      <c r="J280" s="182"/>
      <c r="K280" s="183"/>
    </row>
    <row r="281" spans="2:11" s="1" customFormat="1">
      <c r="B281" s="5"/>
      <c r="C281" s="6" t="s">
        <v>120</v>
      </c>
      <c r="D281" s="7">
        <v>7</v>
      </c>
      <c r="E281" s="7">
        <v>6</v>
      </c>
      <c r="F281" s="7">
        <v>5</v>
      </c>
      <c r="G281" s="7">
        <v>4</v>
      </c>
      <c r="H281" s="7">
        <v>3</v>
      </c>
      <c r="I281" s="7">
        <v>2</v>
      </c>
      <c r="J281" s="7">
        <v>1</v>
      </c>
      <c r="K281" s="7">
        <v>0</v>
      </c>
    </row>
    <row r="282" spans="2:11" s="1" customFormat="1" ht="13.5" customHeight="1">
      <c r="B282" s="5"/>
      <c r="C282" s="8" t="s">
        <v>6</v>
      </c>
      <c r="D282" s="176" t="s">
        <v>564</v>
      </c>
      <c r="E282" s="102"/>
      <c r="F282" s="102"/>
      <c r="G282" s="102"/>
      <c r="H282" s="102"/>
      <c r="I282" s="102"/>
      <c r="J282" s="102"/>
      <c r="K282" s="177"/>
    </row>
    <row r="283" spans="2:11" s="1" customFormat="1">
      <c r="B283" s="5" t="str">
        <f>CONCATENATE(D283,E283,F283,G283,H283,I283,J283,K283)</f>
        <v>00000000</v>
      </c>
      <c r="C283" s="8" t="s">
        <v>123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</row>
    <row r="285" spans="2:11" s="1" customFormat="1" ht="12.75" customHeight="1">
      <c r="B285" s="5"/>
      <c r="C285" s="181" t="s">
        <v>565</v>
      </c>
      <c r="D285" s="182"/>
      <c r="E285" s="182"/>
      <c r="F285" s="182"/>
      <c r="G285" s="182"/>
      <c r="H285" s="182"/>
      <c r="I285" s="182"/>
      <c r="J285" s="182"/>
      <c r="K285" s="183"/>
    </row>
    <row r="286" spans="2:11" s="1" customFormat="1">
      <c r="B286" s="5"/>
      <c r="C286" s="6" t="s">
        <v>120</v>
      </c>
      <c r="D286" s="7">
        <v>7</v>
      </c>
      <c r="E286" s="7">
        <v>6</v>
      </c>
      <c r="F286" s="7">
        <v>5</v>
      </c>
      <c r="G286" s="7">
        <v>4</v>
      </c>
      <c r="H286" s="7">
        <v>3</v>
      </c>
      <c r="I286" s="7">
        <v>2</v>
      </c>
      <c r="J286" s="7">
        <v>1</v>
      </c>
      <c r="K286" s="7">
        <v>0</v>
      </c>
    </row>
    <row r="287" spans="2:11" s="1" customFormat="1" ht="13.5" customHeight="1">
      <c r="B287" s="5"/>
      <c r="C287" s="8" t="s">
        <v>6</v>
      </c>
      <c r="D287" s="9" t="s">
        <v>121</v>
      </c>
      <c r="E287" s="9" t="s">
        <v>121</v>
      </c>
      <c r="F287" s="9" t="s">
        <v>121</v>
      </c>
      <c r="G287" s="9" t="s">
        <v>121</v>
      </c>
      <c r="H287" s="9" t="s">
        <v>121</v>
      </c>
      <c r="I287" s="9" t="s">
        <v>121</v>
      </c>
      <c r="J287" s="9" t="s">
        <v>121</v>
      </c>
      <c r="K287" s="11" t="s">
        <v>566</v>
      </c>
    </row>
    <row r="288" spans="2:11" s="1" customFormat="1">
      <c r="B288" s="5" t="str">
        <f>CONCATENATE(D288,E288,F288,G288,H288,I288,J288,K288)</f>
        <v>-------0</v>
      </c>
      <c r="C288" s="8" t="s">
        <v>123</v>
      </c>
      <c r="D288" s="9" t="s">
        <v>124</v>
      </c>
      <c r="E288" s="9" t="s">
        <v>124</v>
      </c>
      <c r="F288" s="9" t="s">
        <v>124</v>
      </c>
      <c r="G288" s="9" t="s">
        <v>124</v>
      </c>
      <c r="H288" s="9" t="s">
        <v>124</v>
      </c>
      <c r="I288" s="9" t="s">
        <v>124</v>
      </c>
      <c r="J288" s="9" t="s">
        <v>124</v>
      </c>
      <c r="K288" s="9">
        <v>0</v>
      </c>
    </row>
    <row r="290" spans="2:11" s="1" customFormat="1" ht="12.75" customHeight="1">
      <c r="B290" s="5"/>
      <c r="C290" s="181" t="s">
        <v>567</v>
      </c>
      <c r="D290" s="182"/>
      <c r="E290" s="182"/>
      <c r="F290" s="182"/>
      <c r="G290" s="182"/>
      <c r="H290" s="182"/>
      <c r="I290" s="182"/>
      <c r="J290" s="182"/>
      <c r="K290" s="183"/>
    </row>
    <row r="291" spans="2:11" s="1" customFormat="1">
      <c r="B291" s="5"/>
      <c r="C291" s="6" t="s">
        <v>120</v>
      </c>
      <c r="D291" s="7">
        <v>7</v>
      </c>
      <c r="E291" s="7">
        <v>6</v>
      </c>
      <c r="F291" s="7">
        <v>5</v>
      </c>
      <c r="G291" s="7">
        <v>4</v>
      </c>
      <c r="H291" s="7">
        <v>3</v>
      </c>
      <c r="I291" s="7">
        <v>2</v>
      </c>
      <c r="J291" s="7">
        <v>1</v>
      </c>
      <c r="K291" s="7">
        <v>0</v>
      </c>
    </row>
    <row r="292" spans="2:11" s="1" customFormat="1" ht="13.5" customHeight="1">
      <c r="B292" s="5"/>
      <c r="C292" s="8" t="s">
        <v>6</v>
      </c>
      <c r="D292" s="9" t="s">
        <v>121</v>
      </c>
      <c r="E292" s="9" t="s">
        <v>121</v>
      </c>
      <c r="F292" s="9" t="s">
        <v>121</v>
      </c>
      <c r="G292" s="9" t="s">
        <v>121</v>
      </c>
      <c r="H292" s="9" t="s">
        <v>121</v>
      </c>
      <c r="I292" s="9" t="s">
        <v>121</v>
      </c>
      <c r="J292" s="102" t="s">
        <v>568</v>
      </c>
      <c r="K292" s="177"/>
    </row>
    <row r="293" spans="2:11" s="1" customFormat="1">
      <c r="B293" s="5" t="str">
        <f>CONCATENATE(D293,E293,F293,G293,H293,I293,J293,K293)</f>
        <v>------00</v>
      </c>
      <c r="C293" s="8" t="s">
        <v>123</v>
      </c>
      <c r="D293" s="9" t="s">
        <v>124</v>
      </c>
      <c r="E293" s="9" t="s">
        <v>124</v>
      </c>
      <c r="F293" s="9" t="s">
        <v>124</v>
      </c>
      <c r="G293" s="9" t="s">
        <v>124</v>
      </c>
      <c r="H293" s="9" t="s">
        <v>124</v>
      </c>
      <c r="I293" s="9" t="s">
        <v>124</v>
      </c>
      <c r="J293" s="9">
        <v>0</v>
      </c>
      <c r="K293" s="9">
        <v>0</v>
      </c>
    </row>
    <row r="295" spans="2:11" s="1" customFormat="1" ht="12.75" customHeight="1">
      <c r="B295" s="5"/>
      <c r="C295" s="181" t="s">
        <v>569</v>
      </c>
      <c r="D295" s="182"/>
      <c r="E295" s="182"/>
      <c r="F295" s="182"/>
      <c r="G295" s="182"/>
      <c r="H295" s="182"/>
      <c r="I295" s="182"/>
      <c r="J295" s="182"/>
      <c r="K295" s="183"/>
    </row>
    <row r="296" spans="2:11" s="1" customFormat="1">
      <c r="B296" s="5"/>
      <c r="C296" s="6" t="s">
        <v>120</v>
      </c>
      <c r="D296" s="7">
        <v>7</v>
      </c>
      <c r="E296" s="7">
        <v>6</v>
      </c>
      <c r="F296" s="7">
        <v>5</v>
      </c>
      <c r="G296" s="7">
        <v>4</v>
      </c>
      <c r="H296" s="7">
        <v>3</v>
      </c>
      <c r="I296" s="7">
        <v>2</v>
      </c>
      <c r="J296" s="7">
        <v>1</v>
      </c>
      <c r="K296" s="7">
        <v>0</v>
      </c>
    </row>
    <row r="297" spans="2:11" s="1" customFormat="1" ht="13.5" customHeight="1">
      <c r="B297" s="5"/>
      <c r="C297" s="8" t="s">
        <v>6</v>
      </c>
      <c r="D297" s="9" t="s">
        <v>121</v>
      </c>
      <c r="E297" s="9" t="s">
        <v>121</v>
      </c>
      <c r="F297" s="9" t="s">
        <v>121</v>
      </c>
      <c r="G297" s="9" t="s">
        <v>121</v>
      </c>
      <c r="H297" s="176" t="s">
        <v>570</v>
      </c>
      <c r="I297" s="102"/>
      <c r="J297" s="102"/>
      <c r="K297" s="177"/>
    </row>
    <row r="298" spans="2:11" s="1" customFormat="1">
      <c r="B298" s="5" t="str">
        <f>CONCATENATE(D298,E298,F298,G298,H298,I298,J298,K298)</f>
        <v>----1111</v>
      </c>
      <c r="C298" s="8" t="s">
        <v>123</v>
      </c>
      <c r="D298" s="9" t="s">
        <v>124</v>
      </c>
      <c r="E298" s="9" t="s">
        <v>124</v>
      </c>
      <c r="F298" s="9" t="s">
        <v>124</v>
      </c>
      <c r="G298" s="9" t="s">
        <v>124</v>
      </c>
      <c r="H298" s="9">
        <v>1</v>
      </c>
      <c r="I298" s="9">
        <v>1</v>
      </c>
      <c r="J298" s="9">
        <v>1</v>
      </c>
      <c r="K298" s="9">
        <v>1</v>
      </c>
    </row>
    <row r="300" spans="2:11" s="1" customFormat="1" ht="12.75" customHeight="1">
      <c r="B300" s="5"/>
      <c r="C300" s="181" t="s">
        <v>571</v>
      </c>
      <c r="D300" s="182"/>
      <c r="E300" s="182"/>
      <c r="F300" s="182"/>
      <c r="G300" s="182"/>
      <c r="H300" s="182"/>
      <c r="I300" s="182"/>
      <c r="J300" s="182"/>
      <c r="K300" s="183"/>
    </row>
    <row r="301" spans="2:11" s="1" customFormat="1">
      <c r="B301" s="5"/>
      <c r="C301" s="6" t="s">
        <v>120</v>
      </c>
      <c r="D301" s="7">
        <v>7</v>
      </c>
      <c r="E301" s="7">
        <v>6</v>
      </c>
      <c r="F301" s="7">
        <v>5</v>
      </c>
      <c r="G301" s="7">
        <v>4</v>
      </c>
      <c r="H301" s="7">
        <v>3</v>
      </c>
      <c r="I301" s="7">
        <v>2</v>
      </c>
      <c r="J301" s="7">
        <v>1</v>
      </c>
      <c r="K301" s="7">
        <v>0</v>
      </c>
    </row>
    <row r="302" spans="2:11" s="1" customFormat="1" ht="13.5" customHeight="1">
      <c r="B302" s="5"/>
      <c r="C302" s="8" t="s">
        <v>6</v>
      </c>
      <c r="D302" s="176" t="s">
        <v>572</v>
      </c>
      <c r="E302" s="102"/>
      <c r="F302" s="102"/>
      <c r="G302" s="102"/>
      <c r="H302" s="102"/>
      <c r="I302" s="102"/>
      <c r="J302" s="102"/>
      <c r="K302" s="177"/>
    </row>
    <row r="303" spans="2:11" s="1" customFormat="1">
      <c r="B303" s="5" t="str">
        <f>CONCATENATE(D303,E303,F303,G303,H303,I303,J303,K303)</f>
        <v>00000000</v>
      </c>
      <c r="C303" s="8" t="s">
        <v>123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</row>
    <row r="305" spans="2:11" s="1" customFormat="1" ht="12.75" customHeight="1">
      <c r="B305" s="5"/>
      <c r="C305" s="181" t="s">
        <v>573</v>
      </c>
      <c r="D305" s="182"/>
      <c r="E305" s="182"/>
      <c r="F305" s="182"/>
      <c r="G305" s="182"/>
      <c r="H305" s="182"/>
      <c r="I305" s="182"/>
      <c r="J305" s="182"/>
      <c r="K305" s="183"/>
    </row>
    <row r="306" spans="2:11" s="1" customFormat="1">
      <c r="B306" s="5"/>
      <c r="C306" s="6" t="s">
        <v>120</v>
      </c>
      <c r="D306" s="7">
        <v>7</v>
      </c>
      <c r="E306" s="7">
        <v>6</v>
      </c>
      <c r="F306" s="7">
        <v>5</v>
      </c>
      <c r="G306" s="7">
        <v>4</v>
      </c>
      <c r="H306" s="7">
        <v>3</v>
      </c>
      <c r="I306" s="7">
        <v>2</v>
      </c>
      <c r="J306" s="7">
        <v>1</v>
      </c>
      <c r="K306" s="7">
        <v>0</v>
      </c>
    </row>
    <row r="307" spans="2:11" s="1" customFormat="1" ht="13.5" customHeight="1">
      <c r="B307" s="5"/>
      <c r="C307" s="8" t="s">
        <v>6</v>
      </c>
      <c r="D307" s="176" t="s">
        <v>574</v>
      </c>
      <c r="E307" s="102"/>
      <c r="F307" s="102"/>
      <c r="G307" s="102"/>
      <c r="H307" s="102"/>
      <c r="I307" s="102"/>
      <c r="J307" s="102"/>
      <c r="K307" s="177"/>
    </row>
    <row r="308" spans="2:11" s="1" customFormat="1">
      <c r="B308" s="5" t="str">
        <f>CONCATENATE(D308,E308,F308,G308,H308,I308,J308,K308)</f>
        <v>00000000</v>
      </c>
      <c r="C308" s="8" t="s">
        <v>123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</row>
    <row r="310" spans="2:11" s="1" customFormat="1" ht="12.75" customHeight="1">
      <c r="B310" s="5"/>
      <c r="C310" s="181" t="s">
        <v>575</v>
      </c>
      <c r="D310" s="182"/>
      <c r="E310" s="182"/>
      <c r="F310" s="182"/>
      <c r="G310" s="182"/>
      <c r="H310" s="182"/>
      <c r="I310" s="182"/>
      <c r="J310" s="182"/>
      <c r="K310" s="183"/>
    </row>
    <row r="311" spans="2:11" s="1" customFormat="1">
      <c r="B311" s="5"/>
      <c r="C311" s="6" t="s">
        <v>120</v>
      </c>
      <c r="D311" s="7">
        <v>7</v>
      </c>
      <c r="E311" s="7">
        <v>6</v>
      </c>
      <c r="F311" s="7">
        <v>5</v>
      </c>
      <c r="G311" s="7">
        <v>4</v>
      </c>
      <c r="H311" s="7">
        <v>3</v>
      </c>
      <c r="I311" s="7">
        <v>2</v>
      </c>
      <c r="J311" s="7">
        <v>1</v>
      </c>
      <c r="K311" s="7">
        <v>0</v>
      </c>
    </row>
    <row r="312" spans="2:11" s="1" customFormat="1" ht="13.5" customHeight="1">
      <c r="B312" s="5"/>
      <c r="C312" s="8" t="s">
        <v>6</v>
      </c>
      <c r="D312" s="176" t="s">
        <v>576</v>
      </c>
      <c r="E312" s="102"/>
      <c r="F312" s="102"/>
      <c r="G312" s="102"/>
      <c r="H312" s="102"/>
      <c r="I312" s="102"/>
      <c r="J312" s="102"/>
      <c r="K312" s="177"/>
    </row>
    <row r="313" spans="2:11" s="1" customFormat="1">
      <c r="B313" s="5" t="str">
        <f>CONCATENATE(D313,E313,F313,G313,H313,I313,J313,K313)</f>
        <v>00000000</v>
      </c>
      <c r="C313" s="8" t="s">
        <v>123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</row>
  </sheetData>
  <mergeCells count="179">
    <mergeCell ref="C295:K295"/>
    <mergeCell ref="H297:K297"/>
    <mergeCell ref="C300:K300"/>
    <mergeCell ref="D302:K302"/>
    <mergeCell ref="C305:K305"/>
    <mergeCell ref="D307:K307"/>
    <mergeCell ref="C310:K310"/>
    <mergeCell ref="D312:K312"/>
    <mergeCell ref="C213:C214"/>
    <mergeCell ref="C222:C223"/>
    <mergeCell ref="F213:F214"/>
    <mergeCell ref="F222:F223"/>
    <mergeCell ref="K213:K214"/>
    <mergeCell ref="K222:K223"/>
    <mergeCell ref="D213:E214"/>
    <mergeCell ref="G213:J214"/>
    <mergeCell ref="D222:E223"/>
    <mergeCell ref="G222:J223"/>
    <mergeCell ref="C270:K270"/>
    <mergeCell ref="D272:K272"/>
    <mergeCell ref="C275:K275"/>
    <mergeCell ref="D277:K277"/>
    <mergeCell ref="C280:K280"/>
    <mergeCell ref="D282:K282"/>
    <mergeCell ref="C285:K285"/>
    <mergeCell ref="C290:K290"/>
    <mergeCell ref="J292:K292"/>
    <mergeCell ref="D247:K247"/>
    <mergeCell ref="C250:K250"/>
    <mergeCell ref="D252:K252"/>
    <mergeCell ref="C255:K255"/>
    <mergeCell ref="D257:K257"/>
    <mergeCell ref="C260:K260"/>
    <mergeCell ref="D262:K262"/>
    <mergeCell ref="C265:K265"/>
    <mergeCell ref="D267:K267"/>
    <mergeCell ref="C225:K225"/>
    <mergeCell ref="D227:K227"/>
    <mergeCell ref="C230:K230"/>
    <mergeCell ref="D232:K232"/>
    <mergeCell ref="C235:K235"/>
    <mergeCell ref="D237:K237"/>
    <mergeCell ref="C240:K240"/>
    <mergeCell ref="D242:K242"/>
    <mergeCell ref="C245:K245"/>
    <mergeCell ref="D205:E205"/>
    <mergeCell ref="G205:J205"/>
    <mergeCell ref="C207:K207"/>
    <mergeCell ref="G209:H209"/>
    <mergeCell ref="D212:E212"/>
    <mergeCell ref="G212:J212"/>
    <mergeCell ref="C216:K216"/>
    <mergeCell ref="D218:K218"/>
    <mergeCell ref="D221:E221"/>
    <mergeCell ref="G221:J221"/>
    <mergeCell ref="C191:K191"/>
    <mergeCell ref="D193:K193"/>
    <mergeCell ref="D196:E196"/>
    <mergeCell ref="G196:J196"/>
    <mergeCell ref="D197:E197"/>
    <mergeCell ref="G197:J197"/>
    <mergeCell ref="C199:K199"/>
    <mergeCell ref="J201:K201"/>
    <mergeCell ref="D204:E204"/>
    <mergeCell ref="G204:J204"/>
    <mergeCell ref="D181:E181"/>
    <mergeCell ref="G181:J181"/>
    <mergeCell ref="D182:E182"/>
    <mergeCell ref="G182:J182"/>
    <mergeCell ref="C184:K184"/>
    <mergeCell ref="D186:K186"/>
    <mergeCell ref="D188:E188"/>
    <mergeCell ref="G188:J188"/>
    <mergeCell ref="D189:E189"/>
    <mergeCell ref="G189:J189"/>
    <mergeCell ref="C160:K160"/>
    <mergeCell ref="D162:K162"/>
    <mergeCell ref="C165:K165"/>
    <mergeCell ref="D167:K167"/>
    <mergeCell ref="C170:K170"/>
    <mergeCell ref="D172:K172"/>
    <mergeCell ref="C175:K175"/>
    <mergeCell ref="J177:K177"/>
    <mergeCell ref="D180:E180"/>
    <mergeCell ref="G180:J180"/>
    <mergeCell ref="D137:K137"/>
    <mergeCell ref="C140:K140"/>
    <mergeCell ref="D142:K142"/>
    <mergeCell ref="C145:K145"/>
    <mergeCell ref="D147:K147"/>
    <mergeCell ref="C150:K150"/>
    <mergeCell ref="D152:K152"/>
    <mergeCell ref="C155:K155"/>
    <mergeCell ref="D157:K157"/>
    <mergeCell ref="C115:K115"/>
    <mergeCell ref="D117:K117"/>
    <mergeCell ref="C120:K120"/>
    <mergeCell ref="D122:K122"/>
    <mergeCell ref="C125:K125"/>
    <mergeCell ref="D127:K127"/>
    <mergeCell ref="C130:K130"/>
    <mergeCell ref="D132:K132"/>
    <mergeCell ref="C135:K135"/>
    <mergeCell ref="D92:K92"/>
    <mergeCell ref="C95:K95"/>
    <mergeCell ref="D97:K97"/>
    <mergeCell ref="C100:K100"/>
    <mergeCell ref="D102:K102"/>
    <mergeCell ref="C105:K105"/>
    <mergeCell ref="D107:K107"/>
    <mergeCell ref="C110:K110"/>
    <mergeCell ref="D112:K112"/>
    <mergeCell ref="D73:E73"/>
    <mergeCell ref="G73:J73"/>
    <mergeCell ref="C75:K75"/>
    <mergeCell ref="D77:K77"/>
    <mergeCell ref="C80:K80"/>
    <mergeCell ref="D82:K82"/>
    <mergeCell ref="C85:K85"/>
    <mergeCell ref="D87:K87"/>
    <mergeCell ref="C90:K90"/>
    <mergeCell ref="G61:K61"/>
    <mergeCell ref="D64:E64"/>
    <mergeCell ref="G64:J64"/>
    <mergeCell ref="D65:E65"/>
    <mergeCell ref="G65:J65"/>
    <mergeCell ref="C67:K67"/>
    <mergeCell ref="D69:K69"/>
    <mergeCell ref="D72:E72"/>
    <mergeCell ref="G72:J72"/>
    <mergeCell ref="C46:K46"/>
    <mergeCell ref="D48:K48"/>
    <mergeCell ref="C51:K51"/>
    <mergeCell ref="D53:K53"/>
    <mergeCell ref="D56:E56"/>
    <mergeCell ref="G56:J56"/>
    <mergeCell ref="D57:E57"/>
    <mergeCell ref="G57:J57"/>
    <mergeCell ref="C59:K59"/>
    <mergeCell ref="D35:E35"/>
    <mergeCell ref="G35:J35"/>
    <mergeCell ref="C37:K37"/>
    <mergeCell ref="J39:K39"/>
    <mergeCell ref="D42:E42"/>
    <mergeCell ref="G42:J42"/>
    <mergeCell ref="D43:E43"/>
    <mergeCell ref="G43:J43"/>
    <mergeCell ref="D44:E44"/>
    <mergeCell ref="G44:J44"/>
    <mergeCell ref="D25:E25"/>
    <mergeCell ref="G25:J25"/>
    <mergeCell ref="C27:K27"/>
    <mergeCell ref="I29:J29"/>
    <mergeCell ref="D32:E32"/>
    <mergeCell ref="G32:J32"/>
    <mergeCell ref="D33:E33"/>
    <mergeCell ref="G33:J33"/>
    <mergeCell ref="D34:E34"/>
    <mergeCell ref="G34:J34"/>
    <mergeCell ref="D20:E20"/>
    <mergeCell ref="G20:J20"/>
    <mergeCell ref="D21:E21"/>
    <mergeCell ref="G21:J21"/>
    <mergeCell ref="D22:E22"/>
    <mergeCell ref="G22:J22"/>
    <mergeCell ref="D23:E23"/>
    <mergeCell ref="G23:J23"/>
    <mergeCell ref="D24:E24"/>
    <mergeCell ref="G24:J24"/>
    <mergeCell ref="C2:K2"/>
    <mergeCell ref="C7:K7"/>
    <mergeCell ref="I9:J9"/>
    <mergeCell ref="C12:K12"/>
    <mergeCell ref="D17:E17"/>
    <mergeCell ref="G17:J17"/>
    <mergeCell ref="D18:E18"/>
    <mergeCell ref="G18:J18"/>
    <mergeCell ref="D19:E19"/>
    <mergeCell ref="G19:J19"/>
  </mergeCells>
  <phoneticPr fontId="1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98"/>
  <sheetViews>
    <sheetView showGridLines="0" topLeftCell="A154" zoomScaleNormal="100" workbookViewId="0">
      <selection activeCell="B485" sqref="B485"/>
    </sheetView>
  </sheetViews>
  <sheetFormatPr defaultColWidth="10.77734375" defaultRowHeight="12.75"/>
  <cols>
    <col min="1" max="2" width="10.77734375" style="2"/>
    <col min="3" max="3" width="17.33203125" style="2" customWidth="1"/>
    <col min="4" max="10" width="14.33203125" style="2" customWidth="1"/>
    <col min="11" max="11" width="16.2187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 ht="12.75" customHeight="1">
      <c r="B2" s="5"/>
      <c r="C2" s="169" t="s">
        <v>577</v>
      </c>
      <c r="D2" s="170"/>
      <c r="E2" s="170"/>
      <c r="F2" s="170"/>
      <c r="G2" s="170"/>
      <c r="H2" s="170"/>
      <c r="I2" s="170"/>
      <c r="J2" s="170"/>
      <c r="K2" s="171"/>
    </row>
    <row r="3" spans="2:11" s="1" customFormat="1">
      <c r="B3" s="5"/>
      <c r="C3" s="6" t="s">
        <v>120</v>
      </c>
      <c r="D3" s="7">
        <v>7</v>
      </c>
      <c r="E3" s="7">
        <v>6</v>
      </c>
      <c r="F3" s="7">
        <v>5</v>
      </c>
      <c r="G3" s="7">
        <v>4</v>
      </c>
      <c r="H3" s="7">
        <v>3</v>
      </c>
      <c r="I3" s="7">
        <v>2</v>
      </c>
      <c r="J3" s="7">
        <v>1</v>
      </c>
      <c r="K3" s="7">
        <v>0</v>
      </c>
    </row>
    <row r="4" spans="2:11" s="1" customFormat="1" ht="13.5" customHeight="1">
      <c r="B4" s="5"/>
      <c r="C4" s="8" t="s">
        <v>6</v>
      </c>
      <c r="D4" s="176" t="s">
        <v>578</v>
      </c>
      <c r="E4" s="102"/>
      <c r="F4" s="102"/>
      <c r="G4" s="102"/>
      <c r="H4" s="102"/>
      <c r="I4" s="102"/>
      <c r="J4" s="102"/>
      <c r="K4" s="177"/>
    </row>
    <row r="5" spans="2:11" s="1" customFormat="1">
      <c r="B5" s="5" t="str">
        <f>CONCATENATE(D5,E5,F5,G5,H5,I5,J5,K5)</f>
        <v>00000000</v>
      </c>
      <c r="C5" s="8" t="s">
        <v>123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7" spans="2:11" s="1" customFormat="1" ht="12.75" customHeight="1">
      <c r="B7" s="5"/>
      <c r="C7" s="169" t="s">
        <v>579</v>
      </c>
      <c r="D7" s="170"/>
      <c r="E7" s="170"/>
      <c r="F7" s="170"/>
      <c r="G7" s="170"/>
      <c r="H7" s="170"/>
      <c r="I7" s="170"/>
      <c r="J7" s="170"/>
      <c r="K7" s="171"/>
    </row>
    <row r="8" spans="2:11" s="1" customFormat="1">
      <c r="B8" s="5"/>
      <c r="C8" s="6" t="s">
        <v>120</v>
      </c>
      <c r="D8" s="7">
        <v>7</v>
      </c>
      <c r="E8" s="7">
        <v>6</v>
      </c>
      <c r="F8" s="7">
        <v>5</v>
      </c>
      <c r="G8" s="7">
        <v>4</v>
      </c>
      <c r="H8" s="7">
        <v>3</v>
      </c>
      <c r="I8" s="7">
        <v>2</v>
      </c>
      <c r="J8" s="7">
        <v>1</v>
      </c>
      <c r="K8" s="7">
        <v>0</v>
      </c>
    </row>
    <row r="9" spans="2:11" s="1" customFormat="1" ht="13.5" customHeight="1">
      <c r="B9" s="5"/>
      <c r="C9" s="8" t="s">
        <v>6</v>
      </c>
      <c r="D9" s="9" t="s">
        <v>121</v>
      </c>
      <c r="E9" s="9" t="s">
        <v>121</v>
      </c>
      <c r="F9" s="9" t="s">
        <v>121</v>
      </c>
      <c r="G9" s="9" t="s">
        <v>121</v>
      </c>
      <c r="H9" s="176" t="s">
        <v>580</v>
      </c>
      <c r="I9" s="102"/>
      <c r="J9" s="102"/>
      <c r="K9" s="177"/>
    </row>
    <row r="10" spans="2:11" s="1" customFormat="1">
      <c r="B10" s="5" t="str">
        <f>CONCATENATE(D10,E10,F10,G10,H10,I10,J10,K10)</f>
        <v>----0000</v>
      </c>
      <c r="C10" s="8" t="s">
        <v>123</v>
      </c>
      <c r="D10" s="9" t="s">
        <v>124</v>
      </c>
      <c r="E10" s="9" t="s">
        <v>124</v>
      </c>
      <c r="F10" s="9" t="s">
        <v>124</v>
      </c>
      <c r="G10" s="9" t="s">
        <v>124</v>
      </c>
      <c r="H10" s="9">
        <v>0</v>
      </c>
      <c r="I10" s="9">
        <v>0</v>
      </c>
      <c r="J10" s="9">
        <v>0</v>
      </c>
      <c r="K10" s="9">
        <v>0</v>
      </c>
    </row>
    <row r="12" spans="2:11" s="1" customFormat="1" ht="12.75" customHeight="1">
      <c r="B12" s="5"/>
      <c r="C12" s="169" t="s">
        <v>581</v>
      </c>
      <c r="D12" s="170"/>
      <c r="E12" s="170"/>
      <c r="F12" s="170"/>
      <c r="G12" s="170"/>
      <c r="H12" s="170"/>
      <c r="I12" s="170"/>
      <c r="J12" s="170"/>
      <c r="K12" s="171"/>
    </row>
    <row r="13" spans="2:11" s="1" customFormat="1">
      <c r="B13" s="5"/>
      <c r="C13" s="6" t="s">
        <v>120</v>
      </c>
      <c r="D13" s="7">
        <v>7</v>
      </c>
      <c r="E13" s="7">
        <v>6</v>
      </c>
      <c r="F13" s="7">
        <v>5</v>
      </c>
      <c r="G13" s="7">
        <v>4</v>
      </c>
      <c r="H13" s="7">
        <v>3</v>
      </c>
      <c r="I13" s="7">
        <v>2</v>
      </c>
      <c r="J13" s="7">
        <v>1</v>
      </c>
      <c r="K13" s="7">
        <v>0</v>
      </c>
    </row>
    <row r="14" spans="2:11" s="1" customFormat="1" ht="13.5" customHeight="1">
      <c r="B14" s="5"/>
      <c r="C14" s="8" t="s">
        <v>6</v>
      </c>
      <c r="D14" s="9" t="s">
        <v>121</v>
      </c>
      <c r="E14" s="9" t="s">
        <v>121</v>
      </c>
      <c r="F14" s="9" t="s">
        <v>121</v>
      </c>
      <c r="G14" s="9" t="s">
        <v>121</v>
      </c>
      <c r="H14" s="9" t="s">
        <v>121</v>
      </c>
      <c r="I14" s="9" t="s">
        <v>121</v>
      </c>
      <c r="J14" s="9" t="s">
        <v>121</v>
      </c>
      <c r="K14" s="9" t="s">
        <v>582</v>
      </c>
    </row>
    <row r="15" spans="2:11" s="1" customFormat="1">
      <c r="B15" s="5" t="str">
        <f>CONCATENATE(D15,E15,F15,G15,H15,I15,J15,K15)</f>
        <v>-------0</v>
      </c>
      <c r="C15" s="8" t="s">
        <v>123</v>
      </c>
      <c r="D15" s="9" t="s">
        <v>124</v>
      </c>
      <c r="E15" s="9" t="s">
        <v>124</v>
      </c>
      <c r="F15" s="9" t="s">
        <v>124</v>
      </c>
      <c r="G15" s="9" t="s">
        <v>124</v>
      </c>
      <c r="H15" s="9" t="s">
        <v>124</v>
      </c>
      <c r="I15" s="9" t="s">
        <v>124</v>
      </c>
      <c r="J15" s="9" t="s">
        <v>124</v>
      </c>
      <c r="K15" s="9">
        <v>0</v>
      </c>
    </row>
    <row r="17" spans="2:11" s="1" customFormat="1" ht="12.75" customHeight="1">
      <c r="B17" s="5"/>
      <c r="C17" s="169" t="s">
        <v>583</v>
      </c>
      <c r="D17" s="170"/>
      <c r="E17" s="170"/>
      <c r="F17" s="170"/>
      <c r="G17" s="170"/>
      <c r="H17" s="170"/>
      <c r="I17" s="170"/>
      <c r="J17" s="170"/>
      <c r="K17" s="171"/>
    </row>
    <row r="18" spans="2:11" s="1" customFormat="1">
      <c r="B18" s="5"/>
      <c r="C18" s="6" t="s">
        <v>120</v>
      </c>
      <c r="D18" s="7">
        <v>7</v>
      </c>
      <c r="E18" s="7">
        <v>6</v>
      </c>
      <c r="F18" s="7">
        <v>5</v>
      </c>
      <c r="G18" s="7">
        <v>4</v>
      </c>
      <c r="H18" s="7">
        <v>3</v>
      </c>
      <c r="I18" s="7">
        <v>2</v>
      </c>
      <c r="J18" s="7">
        <v>1</v>
      </c>
      <c r="K18" s="7">
        <v>0</v>
      </c>
    </row>
    <row r="19" spans="2:11" s="1" customFormat="1" ht="13.5" customHeight="1">
      <c r="B19" s="5"/>
      <c r="C19" s="8" t="s">
        <v>6</v>
      </c>
      <c r="D19" s="9" t="s">
        <v>121</v>
      </c>
      <c r="E19" s="9" t="s">
        <v>121</v>
      </c>
      <c r="F19" s="9" t="s">
        <v>121</v>
      </c>
      <c r="G19" s="9" t="s">
        <v>121</v>
      </c>
      <c r="H19" s="9" t="s">
        <v>121</v>
      </c>
      <c r="I19" s="9" t="s">
        <v>121</v>
      </c>
      <c r="J19" s="9" t="s">
        <v>121</v>
      </c>
      <c r="K19" s="9" t="s">
        <v>584</v>
      </c>
    </row>
    <row r="20" spans="2:11" s="1" customFormat="1">
      <c r="B20" s="5" t="str">
        <f>CONCATENATE(D20,E20,F20,G20,H20,I20,J20,K20)</f>
        <v>-------0</v>
      </c>
      <c r="C20" s="8" t="s">
        <v>123</v>
      </c>
      <c r="D20" s="9" t="s">
        <v>124</v>
      </c>
      <c r="E20" s="9" t="s">
        <v>124</v>
      </c>
      <c r="F20" s="9" t="s">
        <v>124</v>
      </c>
      <c r="G20" s="9" t="s">
        <v>124</v>
      </c>
      <c r="H20" s="9" t="s">
        <v>124</v>
      </c>
      <c r="I20" s="9" t="s">
        <v>124</v>
      </c>
      <c r="J20" s="9" t="s">
        <v>124</v>
      </c>
      <c r="K20" s="9">
        <v>0</v>
      </c>
    </row>
    <row r="22" spans="2:11" s="1" customFormat="1" ht="12.75" customHeight="1">
      <c r="B22" s="5"/>
      <c r="C22" s="169" t="s">
        <v>585</v>
      </c>
      <c r="D22" s="170"/>
      <c r="E22" s="170"/>
      <c r="F22" s="170"/>
      <c r="G22" s="170"/>
      <c r="H22" s="170"/>
      <c r="I22" s="170"/>
      <c r="J22" s="170"/>
      <c r="K22" s="171"/>
    </row>
    <row r="23" spans="2:11" s="1" customFormat="1">
      <c r="B23" s="5"/>
      <c r="C23" s="6" t="s">
        <v>120</v>
      </c>
      <c r="D23" s="7">
        <v>7</v>
      </c>
      <c r="E23" s="7">
        <v>6</v>
      </c>
      <c r="F23" s="7">
        <v>5</v>
      </c>
      <c r="G23" s="7">
        <v>4</v>
      </c>
      <c r="H23" s="7">
        <v>3</v>
      </c>
      <c r="I23" s="7">
        <v>2</v>
      </c>
      <c r="J23" s="7">
        <v>1</v>
      </c>
      <c r="K23" s="7">
        <v>0</v>
      </c>
    </row>
    <row r="24" spans="2:11" s="1" customFormat="1" ht="13.5" customHeight="1">
      <c r="B24" s="5"/>
      <c r="C24" s="8" t="s">
        <v>6</v>
      </c>
      <c r="D24" s="9" t="s">
        <v>121</v>
      </c>
      <c r="E24" s="9" t="s">
        <v>121</v>
      </c>
      <c r="F24" s="9" t="s">
        <v>121</v>
      </c>
      <c r="G24" s="9" t="s">
        <v>121</v>
      </c>
      <c r="H24" s="9" t="s">
        <v>121</v>
      </c>
      <c r="I24" s="9" t="s">
        <v>121</v>
      </c>
      <c r="J24" s="9" t="s">
        <v>121</v>
      </c>
      <c r="K24" s="9" t="s">
        <v>586</v>
      </c>
    </row>
    <row r="25" spans="2:11" s="1" customFormat="1">
      <c r="B25" s="5" t="str">
        <f>CONCATENATE(D25,E25,F25,G25,H25,I25,J25,K25)</f>
        <v>-------0</v>
      </c>
      <c r="C25" s="8" t="s">
        <v>123</v>
      </c>
      <c r="D25" s="9" t="s">
        <v>124</v>
      </c>
      <c r="E25" s="9" t="s">
        <v>124</v>
      </c>
      <c r="F25" s="9" t="s">
        <v>124</v>
      </c>
      <c r="G25" s="9" t="s">
        <v>124</v>
      </c>
      <c r="H25" s="9" t="s">
        <v>124</v>
      </c>
      <c r="I25" s="9" t="s">
        <v>124</v>
      </c>
      <c r="J25" s="9" t="s">
        <v>124</v>
      </c>
      <c r="K25" s="9">
        <v>0</v>
      </c>
    </row>
    <row r="27" spans="2:11" s="1" customFormat="1" ht="12.75" customHeight="1">
      <c r="B27" s="5"/>
      <c r="C27" s="169" t="s">
        <v>587</v>
      </c>
      <c r="D27" s="170"/>
      <c r="E27" s="170"/>
      <c r="F27" s="170"/>
      <c r="G27" s="170"/>
      <c r="H27" s="170"/>
      <c r="I27" s="170"/>
      <c r="J27" s="170"/>
      <c r="K27" s="171"/>
    </row>
    <row r="28" spans="2:11" s="1" customFormat="1">
      <c r="B28" s="5"/>
      <c r="C28" s="6" t="s">
        <v>120</v>
      </c>
      <c r="D28" s="7">
        <v>7</v>
      </c>
      <c r="E28" s="7">
        <v>6</v>
      </c>
      <c r="F28" s="7">
        <v>5</v>
      </c>
      <c r="G28" s="7">
        <v>4</v>
      </c>
      <c r="H28" s="7">
        <v>3</v>
      </c>
      <c r="I28" s="7">
        <v>2</v>
      </c>
      <c r="J28" s="7">
        <v>1</v>
      </c>
      <c r="K28" s="7">
        <v>0</v>
      </c>
    </row>
    <row r="29" spans="2:11" s="1" customFormat="1" ht="13.5" customHeight="1">
      <c r="B29" s="5"/>
      <c r="C29" s="8" t="s">
        <v>6</v>
      </c>
      <c r="D29" s="9" t="s">
        <v>121</v>
      </c>
      <c r="E29" s="9" t="s">
        <v>121</v>
      </c>
      <c r="F29" s="9" t="s">
        <v>121</v>
      </c>
      <c r="G29" s="9" t="s">
        <v>121</v>
      </c>
      <c r="H29" s="9" t="s">
        <v>121</v>
      </c>
      <c r="I29" s="9" t="s">
        <v>121</v>
      </c>
      <c r="J29" s="9" t="s">
        <v>121</v>
      </c>
      <c r="K29" s="9" t="s">
        <v>588</v>
      </c>
    </row>
    <row r="30" spans="2:11" s="1" customFormat="1">
      <c r="B30" s="5" t="str">
        <f>CONCATENATE(D30,E30,F30,G30,H30,I30,J30,K30)</f>
        <v>-------0</v>
      </c>
      <c r="C30" s="8" t="s">
        <v>123</v>
      </c>
      <c r="D30" s="9" t="s">
        <v>124</v>
      </c>
      <c r="E30" s="9" t="s">
        <v>124</v>
      </c>
      <c r="F30" s="9" t="s">
        <v>124</v>
      </c>
      <c r="G30" s="9" t="s">
        <v>124</v>
      </c>
      <c r="H30" s="9" t="s">
        <v>124</v>
      </c>
      <c r="I30" s="9" t="s">
        <v>124</v>
      </c>
      <c r="J30" s="9" t="s">
        <v>124</v>
      </c>
      <c r="K30" s="9">
        <v>0</v>
      </c>
    </row>
    <row r="32" spans="2:11" s="1" customFormat="1" ht="12.75" customHeight="1">
      <c r="B32" s="5"/>
      <c r="C32" s="169" t="s">
        <v>589</v>
      </c>
      <c r="D32" s="170"/>
      <c r="E32" s="170"/>
      <c r="F32" s="170"/>
      <c r="G32" s="170"/>
      <c r="H32" s="170"/>
      <c r="I32" s="170"/>
      <c r="J32" s="170"/>
      <c r="K32" s="171"/>
    </row>
    <row r="33" spans="2:11" s="1" customFormat="1">
      <c r="B33" s="5"/>
      <c r="C33" s="6" t="s">
        <v>120</v>
      </c>
      <c r="D33" s="7">
        <v>7</v>
      </c>
      <c r="E33" s="7">
        <v>6</v>
      </c>
      <c r="F33" s="7">
        <v>5</v>
      </c>
      <c r="G33" s="7">
        <v>4</v>
      </c>
      <c r="H33" s="7">
        <v>3</v>
      </c>
      <c r="I33" s="7">
        <v>2</v>
      </c>
      <c r="J33" s="7">
        <v>1</v>
      </c>
      <c r="K33" s="7">
        <v>0</v>
      </c>
    </row>
    <row r="34" spans="2:11" s="1" customFormat="1" ht="13.5" customHeight="1">
      <c r="B34" s="5"/>
      <c r="C34" s="8" t="s">
        <v>6</v>
      </c>
      <c r="D34" s="176" t="s">
        <v>590</v>
      </c>
      <c r="E34" s="102"/>
      <c r="F34" s="102"/>
      <c r="G34" s="102"/>
      <c r="H34" s="102"/>
      <c r="I34" s="102"/>
      <c r="J34" s="102"/>
      <c r="K34" s="177"/>
    </row>
    <row r="35" spans="2:11" s="1" customFormat="1">
      <c r="B35" s="5" t="str">
        <f>CONCATENATE(D35,E35,F35,G35,H35,I35,J35,K35)</f>
        <v>00000000</v>
      </c>
      <c r="C35" s="8" t="s">
        <v>123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</row>
    <row r="37" spans="2:11" s="1" customFormat="1" ht="12.75" customHeight="1">
      <c r="B37" s="5"/>
      <c r="C37" s="169" t="s">
        <v>591</v>
      </c>
      <c r="D37" s="170"/>
      <c r="E37" s="170"/>
      <c r="F37" s="170"/>
      <c r="G37" s="170"/>
      <c r="H37" s="170"/>
      <c r="I37" s="170"/>
      <c r="J37" s="170"/>
      <c r="K37" s="171"/>
    </row>
    <row r="38" spans="2:11" s="1" customFormat="1">
      <c r="B38" s="5"/>
      <c r="C38" s="6" t="s">
        <v>120</v>
      </c>
      <c r="D38" s="7">
        <v>7</v>
      </c>
      <c r="E38" s="7">
        <v>6</v>
      </c>
      <c r="F38" s="7">
        <v>5</v>
      </c>
      <c r="G38" s="7">
        <v>4</v>
      </c>
      <c r="H38" s="7">
        <v>3</v>
      </c>
      <c r="I38" s="7">
        <v>2</v>
      </c>
      <c r="J38" s="7">
        <v>1</v>
      </c>
      <c r="K38" s="7">
        <v>0</v>
      </c>
    </row>
    <row r="39" spans="2:11" s="1" customFormat="1" ht="13.5" customHeight="1">
      <c r="B39" s="5"/>
      <c r="C39" s="8" t="s">
        <v>6</v>
      </c>
      <c r="D39" s="176" t="s">
        <v>592</v>
      </c>
      <c r="E39" s="102"/>
      <c r="F39" s="102"/>
      <c r="G39" s="102"/>
      <c r="H39" s="102"/>
      <c r="I39" s="102"/>
      <c r="J39" s="102"/>
      <c r="K39" s="177"/>
    </row>
    <row r="40" spans="2:11" s="1" customFormat="1">
      <c r="B40" s="5" t="str">
        <f>CONCATENATE(D40,E40,F40,G40,H40,I40,J40,K40)</f>
        <v>00000000</v>
      </c>
      <c r="C40" s="8" t="s">
        <v>123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  <row r="41" spans="2:11" s="1" customFormat="1">
      <c r="B41" s="5"/>
      <c r="C41" s="14"/>
      <c r="D41" s="15"/>
      <c r="E41" s="15"/>
      <c r="F41" s="15"/>
      <c r="G41" s="15"/>
      <c r="H41" s="15"/>
      <c r="I41" s="15"/>
      <c r="J41" s="15"/>
      <c r="K41" s="15"/>
    </row>
    <row r="42" spans="2:11" s="1" customFormat="1" ht="12.75" customHeight="1">
      <c r="B42" s="5"/>
      <c r="C42" s="169" t="s">
        <v>593</v>
      </c>
      <c r="D42" s="170"/>
      <c r="E42" s="170"/>
      <c r="F42" s="170"/>
      <c r="G42" s="170"/>
      <c r="H42" s="170"/>
      <c r="I42" s="170"/>
      <c r="J42" s="170"/>
      <c r="K42" s="171"/>
    </row>
    <row r="43" spans="2:11" s="1" customFormat="1">
      <c r="B43" s="5"/>
      <c r="C43" s="6" t="s">
        <v>120</v>
      </c>
      <c r="D43" s="7">
        <v>7</v>
      </c>
      <c r="E43" s="7">
        <v>6</v>
      </c>
      <c r="F43" s="7">
        <v>5</v>
      </c>
      <c r="G43" s="7">
        <v>4</v>
      </c>
      <c r="H43" s="7">
        <v>3</v>
      </c>
      <c r="I43" s="7">
        <v>2</v>
      </c>
      <c r="J43" s="7">
        <v>1</v>
      </c>
      <c r="K43" s="7">
        <v>0</v>
      </c>
    </row>
    <row r="44" spans="2:11" s="1" customFormat="1" ht="13.5" customHeight="1">
      <c r="B44" s="5"/>
      <c r="C44" s="8" t="s">
        <v>6</v>
      </c>
      <c r="D44" s="176" t="s">
        <v>594</v>
      </c>
      <c r="E44" s="102"/>
      <c r="F44" s="102"/>
      <c r="G44" s="102"/>
      <c r="H44" s="102"/>
      <c r="I44" s="102"/>
      <c r="J44" s="102"/>
      <c r="K44" s="177"/>
    </row>
    <row r="45" spans="2:11" s="1" customFormat="1">
      <c r="B45" s="5" t="str">
        <f>CONCATENATE(D45,E45,F45,G45,H45,I45,J45,K45)</f>
        <v>00000000</v>
      </c>
      <c r="C45" s="8" t="s">
        <v>123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2:11" s="1" customFormat="1">
      <c r="B46" s="5"/>
      <c r="C46" s="14"/>
      <c r="D46" s="15"/>
      <c r="E46" s="15"/>
      <c r="F46" s="15"/>
      <c r="G46" s="15"/>
      <c r="H46" s="15"/>
      <c r="I46" s="15"/>
      <c r="J46" s="15"/>
      <c r="K46" s="15"/>
    </row>
    <row r="47" spans="2:11" s="1" customFormat="1" ht="12.75" customHeight="1">
      <c r="B47" s="5"/>
      <c r="C47" s="169" t="s">
        <v>595</v>
      </c>
      <c r="D47" s="170"/>
      <c r="E47" s="170"/>
      <c r="F47" s="170"/>
      <c r="G47" s="170"/>
      <c r="H47" s="170"/>
      <c r="I47" s="170"/>
      <c r="J47" s="170"/>
      <c r="K47" s="171"/>
    </row>
    <row r="48" spans="2:11" s="1" customFormat="1">
      <c r="B48" s="5"/>
      <c r="C48" s="6" t="s">
        <v>120</v>
      </c>
      <c r="D48" s="7">
        <v>7</v>
      </c>
      <c r="E48" s="7">
        <v>6</v>
      </c>
      <c r="F48" s="7">
        <v>5</v>
      </c>
      <c r="G48" s="7">
        <v>4</v>
      </c>
      <c r="H48" s="7">
        <v>3</v>
      </c>
      <c r="I48" s="7">
        <v>2</v>
      </c>
      <c r="J48" s="7">
        <v>1</v>
      </c>
      <c r="K48" s="7">
        <v>0</v>
      </c>
    </row>
    <row r="49" spans="2:11" s="1" customFormat="1" ht="13.5" customHeight="1">
      <c r="B49" s="5"/>
      <c r="C49" s="8" t="s">
        <v>6</v>
      </c>
      <c r="D49" s="9" t="s">
        <v>121</v>
      </c>
      <c r="E49" s="9" t="s">
        <v>121</v>
      </c>
      <c r="F49" s="9" t="s">
        <v>121</v>
      </c>
      <c r="G49" s="9" t="s">
        <v>121</v>
      </c>
      <c r="H49" s="9" t="s">
        <v>121</v>
      </c>
      <c r="I49" s="9" t="s">
        <v>121</v>
      </c>
      <c r="J49" s="9" t="s">
        <v>121</v>
      </c>
      <c r="K49" s="9" t="s">
        <v>596</v>
      </c>
    </row>
    <row r="50" spans="2:11" s="1" customFormat="1">
      <c r="B50" s="5" t="str">
        <f>CONCATENATE(D50,E50,F50,G50,H50,I50,J50,K50)</f>
        <v>-------0</v>
      </c>
      <c r="C50" s="8" t="s">
        <v>123</v>
      </c>
      <c r="D50" s="9" t="s">
        <v>124</v>
      </c>
      <c r="E50" s="9" t="s">
        <v>124</v>
      </c>
      <c r="F50" s="9" t="s">
        <v>124</v>
      </c>
      <c r="G50" s="9" t="s">
        <v>124</v>
      </c>
      <c r="H50" s="9" t="s">
        <v>124</v>
      </c>
      <c r="I50" s="9" t="s">
        <v>124</v>
      </c>
      <c r="J50" s="9" t="s">
        <v>124</v>
      </c>
      <c r="K50" s="9">
        <v>0</v>
      </c>
    </row>
    <row r="51" spans="2:11" s="1" customFormat="1">
      <c r="B51" s="5"/>
      <c r="C51" s="14"/>
      <c r="D51" s="15"/>
      <c r="E51" s="15"/>
      <c r="F51" s="15"/>
      <c r="G51" s="15"/>
      <c r="H51" s="15"/>
      <c r="I51" s="15"/>
      <c r="J51" s="15"/>
      <c r="K51" s="15"/>
    </row>
    <row r="52" spans="2:11" s="1" customFormat="1" ht="12.75" customHeight="1">
      <c r="B52" s="5"/>
      <c r="C52" s="169" t="s">
        <v>597</v>
      </c>
      <c r="D52" s="170"/>
      <c r="E52" s="170"/>
      <c r="F52" s="170"/>
      <c r="G52" s="170"/>
      <c r="H52" s="170"/>
      <c r="I52" s="170"/>
      <c r="J52" s="170"/>
      <c r="K52" s="171"/>
    </row>
    <row r="53" spans="2:11" s="1" customFormat="1">
      <c r="B53" s="5"/>
      <c r="C53" s="6" t="s">
        <v>120</v>
      </c>
      <c r="D53" s="7">
        <v>7</v>
      </c>
      <c r="E53" s="7">
        <v>6</v>
      </c>
      <c r="F53" s="7">
        <v>5</v>
      </c>
      <c r="G53" s="7">
        <v>4</v>
      </c>
      <c r="H53" s="7">
        <v>3</v>
      </c>
      <c r="I53" s="7">
        <v>2</v>
      </c>
      <c r="J53" s="7">
        <v>1</v>
      </c>
      <c r="K53" s="7">
        <v>0</v>
      </c>
    </row>
    <row r="54" spans="2:11" s="1" customFormat="1" ht="13.5" customHeight="1">
      <c r="B54" s="5"/>
      <c r="C54" s="8" t="s">
        <v>6</v>
      </c>
      <c r="D54" s="9" t="s">
        <v>121</v>
      </c>
      <c r="E54" s="9" t="s">
        <v>121</v>
      </c>
      <c r="F54" s="9" t="s">
        <v>121</v>
      </c>
      <c r="G54" s="9" t="s">
        <v>121</v>
      </c>
      <c r="H54" s="9" t="s">
        <v>121</v>
      </c>
      <c r="I54" s="176" t="s">
        <v>598</v>
      </c>
      <c r="J54" s="102"/>
      <c r="K54" s="177"/>
    </row>
    <row r="55" spans="2:11" s="1" customFormat="1">
      <c r="B55" s="5" t="str">
        <f>CONCATENATE(D55,E55,F55,G55,H55,I55,J55,K55)</f>
        <v>-----000</v>
      </c>
      <c r="C55" s="8" t="s">
        <v>123</v>
      </c>
      <c r="D55" s="9" t="s">
        <v>124</v>
      </c>
      <c r="E55" s="9" t="s">
        <v>124</v>
      </c>
      <c r="F55" s="9" t="s">
        <v>124</v>
      </c>
      <c r="G55" s="9" t="s">
        <v>124</v>
      </c>
      <c r="H55" s="9" t="s">
        <v>124</v>
      </c>
      <c r="I55" s="9">
        <v>0</v>
      </c>
      <c r="J55" s="9">
        <v>0</v>
      </c>
      <c r="K55" s="9">
        <v>0</v>
      </c>
    </row>
    <row r="56" spans="2:11" s="1" customFormat="1">
      <c r="B56" s="5"/>
      <c r="C56" s="14"/>
      <c r="D56" s="15"/>
      <c r="E56" s="15"/>
      <c r="F56" s="15"/>
      <c r="G56" s="15"/>
      <c r="H56" s="15"/>
      <c r="I56" s="15"/>
      <c r="J56" s="15"/>
      <c r="K56" s="15"/>
    </row>
    <row r="57" spans="2:11" s="1" customFormat="1" ht="12.75" customHeight="1">
      <c r="B57" s="5"/>
      <c r="C57" s="169" t="s">
        <v>599</v>
      </c>
      <c r="D57" s="170"/>
      <c r="E57" s="170"/>
      <c r="F57" s="170"/>
      <c r="G57" s="170"/>
      <c r="H57" s="170"/>
      <c r="I57" s="170"/>
      <c r="J57" s="170"/>
      <c r="K57" s="171"/>
    </row>
    <row r="58" spans="2:11" s="1" customFormat="1">
      <c r="B58" s="5"/>
      <c r="C58" s="6" t="s">
        <v>120</v>
      </c>
      <c r="D58" s="7">
        <v>7</v>
      </c>
      <c r="E58" s="7">
        <v>6</v>
      </c>
      <c r="F58" s="7">
        <v>5</v>
      </c>
      <c r="G58" s="7">
        <v>4</v>
      </c>
      <c r="H58" s="7">
        <v>3</v>
      </c>
      <c r="I58" s="7">
        <v>2</v>
      </c>
      <c r="J58" s="7">
        <v>1</v>
      </c>
      <c r="K58" s="7">
        <v>0</v>
      </c>
    </row>
    <row r="59" spans="2:11" s="1" customFormat="1" ht="13.5" customHeight="1">
      <c r="B59" s="5"/>
      <c r="C59" s="8" t="s">
        <v>6</v>
      </c>
      <c r="D59" s="9" t="s">
        <v>121</v>
      </c>
      <c r="E59" s="9" t="s">
        <v>121</v>
      </c>
      <c r="F59" s="9" t="s">
        <v>121</v>
      </c>
      <c r="G59" s="9" t="s">
        <v>121</v>
      </c>
      <c r="H59" s="9" t="s">
        <v>121</v>
      </c>
      <c r="I59" s="9" t="s">
        <v>121</v>
      </c>
      <c r="J59" s="9" t="s">
        <v>121</v>
      </c>
      <c r="K59" s="9" t="s">
        <v>600</v>
      </c>
    </row>
    <row r="60" spans="2:11" s="1" customFormat="1">
      <c r="B60" s="5" t="str">
        <f>CONCATENATE(D60,E60,F60,G60,H60,I60,J60,K60)</f>
        <v>-------0</v>
      </c>
      <c r="C60" s="8" t="s">
        <v>123</v>
      </c>
      <c r="D60" s="9" t="s">
        <v>124</v>
      </c>
      <c r="E60" s="9" t="s">
        <v>124</v>
      </c>
      <c r="F60" s="9" t="s">
        <v>124</v>
      </c>
      <c r="G60" s="9" t="s">
        <v>124</v>
      </c>
      <c r="H60" s="9" t="s">
        <v>124</v>
      </c>
      <c r="I60" s="9" t="s">
        <v>124</v>
      </c>
      <c r="J60" s="9" t="s">
        <v>124</v>
      </c>
      <c r="K60" s="9">
        <v>0</v>
      </c>
    </row>
    <row r="61" spans="2:11" s="1" customFormat="1">
      <c r="B61" s="5"/>
      <c r="C61" s="14"/>
      <c r="D61" s="15"/>
      <c r="E61" s="15"/>
      <c r="F61" s="15"/>
      <c r="G61" s="15"/>
      <c r="H61" s="15"/>
      <c r="I61" s="15"/>
      <c r="J61" s="15"/>
      <c r="K61" s="15"/>
    </row>
    <row r="62" spans="2:11" s="1" customFormat="1" ht="12.75" customHeight="1">
      <c r="B62" s="5"/>
      <c r="C62" s="169" t="s">
        <v>601</v>
      </c>
      <c r="D62" s="170"/>
      <c r="E62" s="170"/>
      <c r="F62" s="170"/>
      <c r="G62" s="170"/>
      <c r="H62" s="170"/>
      <c r="I62" s="170"/>
      <c r="J62" s="170"/>
      <c r="K62" s="171"/>
    </row>
    <row r="63" spans="2:11" s="1" customFormat="1">
      <c r="B63" s="5"/>
      <c r="C63" s="6" t="s">
        <v>120</v>
      </c>
      <c r="D63" s="7">
        <v>7</v>
      </c>
      <c r="E63" s="7">
        <v>6</v>
      </c>
      <c r="F63" s="7">
        <v>5</v>
      </c>
      <c r="G63" s="7">
        <v>4</v>
      </c>
      <c r="H63" s="7">
        <v>3</v>
      </c>
      <c r="I63" s="7">
        <v>2</v>
      </c>
      <c r="J63" s="7">
        <v>1</v>
      </c>
      <c r="K63" s="7">
        <v>0</v>
      </c>
    </row>
    <row r="64" spans="2:11" s="1" customFormat="1" ht="13.5" customHeight="1">
      <c r="B64" s="5"/>
      <c r="C64" s="8" t="s">
        <v>6</v>
      </c>
      <c r="D64" s="176" t="s">
        <v>602</v>
      </c>
      <c r="E64" s="102"/>
      <c r="F64" s="102"/>
      <c r="G64" s="102"/>
      <c r="H64" s="102"/>
      <c r="I64" s="102"/>
      <c r="J64" s="102"/>
      <c r="K64" s="177"/>
    </row>
    <row r="65" spans="2:11" s="1" customFormat="1">
      <c r="B65" s="5" t="str">
        <f>CONCATENATE(D65,E65,F65,G65,H65,I65,J65,K65)</f>
        <v>00000000</v>
      </c>
      <c r="C65" s="8" t="s">
        <v>123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2:11" s="1" customFormat="1">
      <c r="B66" s="5"/>
      <c r="C66" s="14"/>
      <c r="D66" s="15"/>
      <c r="E66" s="15"/>
      <c r="F66" s="15"/>
      <c r="G66" s="15"/>
      <c r="H66" s="15"/>
      <c r="I66" s="15"/>
      <c r="J66" s="15"/>
      <c r="K66" s="15"/>
    </row>
    <row r="67" spans="2:11" s="1" customFormat="1" ht="12.75" customHeight="1">
      <c r="B67" s="5"/>
      <c r="C67" s="169" t="s">
        <v>603</v>
      </c>
      <c r="D67" s="170"/>
      <c r="E67" s="170"/>
      <c r="F67" s="170"/>
      <c r="G67" s="170"/>
      <c r="H67" s="170"/>
      <c r="I67" s="170"/>
      <c r="J67" s="170"/>
      <c r="K67" s="171"/>
    </row>
    <row r="68" spans="2:11" s="1" customFormat="1">
      <c r="B68" s="5"/>
      <c r="C68" s="6" t="s">
        <v>120</v>
      </c>
      <c r="D68" s="7">
        <v>7</v>
      </c>
      <c r="E68" s="7">
        <v>6</v>
      </c>
      <c r="F68" s="7">
        <v>5</v>
      </c>
      <c r="G68" s="7">
        <v>4</v>
      </c>
      <c r="H68" s="7">
        <v>3</v>
      </c>
      <c r="I68" s="7">
        <v>2</v>
      </c>
      <c r="J68" s="7">
        <v>1</v>
      </c>
      <c r="K68" s="7">
        <v>0</v>
      </c>
    </row>
    <row r="69" spans="2:11" s="1" customFormat="1" ht="13.5" customHeight="1">
      <c r="B69" s="5"/>
      <c r="C69" s="8" t="s">
        <v>6</v>
      </c>
      <c r="D69" s="176" t="s">
        <v>604</v>
      </c>
      <c r="E69" s="102"/>
      <c r="F69" s="102"/>
      <c r="G69" s="102"/>
      <c r="H69" s="102"/>
      <c r="I69" s="102"/>
      <c r="J69" s="102"/>
      <c r="K69" s="177"/>
    </row>
    <row r="70" spans="2:11" s="1" customFormat="1">
      <c r="B70" s="5" t="str">
        <f>CONCATENATE(D70,E70,F70,G70,H70,I70,J70,K70)</f>
        <v>00000000</v>
      </c>
      <c r="C70" s="8" t="s">
        <v>123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</row>
    <row r="71" spans="2:11" s="1" customFormat="1">
      <c r="B71" s="5"/>
      <c r="C71" s="14"/>
      <c r="D71" s="15"/>
      <c r="E71" s="15"/>
      <c r="F71" s="15"/>
      <c r="G71" s="15"/>
      <c r="H71" s="15"/>
      <c r="I71" s="15"/>
      <c r="J71" s="15"/>
      <c r="K71" s="15"/>
    </row>
    <row r="72" spans="2:11" s="1" customFormat="1" ht="12.75" customHeight="1">
      <c r="B72" s="5"/>
      <c r="C72" s="169" t="s">
        <v>605</v>
      </c>
      <c r="D72" s="170"/>
      <c r="E72" s="170"/>
      <c r="F72" s="170"/>
      <c r="G72" s="170"/>
      <c r="H72" s="170"/>
      <c r="I72" s="170"/>
      <c r="J72" s="170"/>
      <c r="K72" s="171"/>
    </row>
    <row r="73" spans="2:11" s="1" customFormat="1">
      <c r="B73" s="5"/>
      <c r="C73" s="6" t="s">
        <v>120</v>
      </c>
      <c r="D73" s="7">
        <v>7</v>
      </c>
      <c r="E73" s="7">
        <v>6</v>
      </c>
      <c r="F73" s="7">
        <v>5</v>
      </c>
      <c r="G73" s="7">
        <v>4</v>
      </c>
      <c r="H73" s="7">
        <v>3</v>
      </c>
      <c r="I73" s="7">
        <v>2</v>
      </c>
      <c r="J73" s="7">
        <v>1</v>
      </c>
      <c r="K73" s="7">
        <v>0</v>
      </c>
    </row>
    <row r="74" spans="2:11" s="1" customFormat="1" ht="13.5" customHeight="1">
      <c r="B74" s="5"/>
      <c r="C74" s="8" t="s">
        <v>6</v>
      </c>
      <c r="D74" s="176" t="s">
        <v>606</v>
      </c>
      <c r="E74" s="102"/>
      <c r="F74" s="102"/>
      <c r="G74" s="102"/>
      <c r="H74" s="102"/>
      <c r="I74" s="102"/>
      <c r="J74" s="102"/>
      <c r="K74" s="177"/>
    </row>
    <row r="75" spans="2:11" s="1" customFormat="1">
      <c r="B75" s="5" t="str">
        <f>CONCATENATE(D75,E75,F75,G75,H75,I75,J75,K75)</f>
        <v>00000000</v>
      </c>
      <c r="C75" s="8" t="s">
        <v>123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</row>
    <row r="76" spans="2:11" s="1" customFormat="1">
      <c r="B76" s="5"/>
      <c r="C76" s="14"/>
      <c r="D76" s="15"/>
      <c r="E76" s="15"/>
      <c r="F76" s="15"/>
      <c r="G76" s="15"/>
      <c r="H76" s="15"/>
      <c r="I76" s="15"/>
      <c r="J76" s="15"/>
      <c r="K76" s="15"/>
    </row>
    <row r="77" spans="2:11" s="1" customFormat="1" ht="12.75" customHeight="1">
      <c r="B77" s="5"/>
      <c r="C77" s="169" t="s">
        <v>607</v>
      </c>
      <c r="D77" s="170"/>
      <c r="E77" s="170"/>
      <c r="F77" s="170"/>
      <c r="G77" s="170"/>
      <c r="H77" s="170"/>
      <c r="I77" s="170"/>
      <c r="J77" s="170"/>
      <c r="K77" s="171"/>
    </row>
    <row r="78" spans="2:11" s="1" customFormat="1">
      <c r="B78" s="5"/>
      <c r="C78" s="6" t="s">
        <v>120</v>
      </c>
      <c r="D78" s="7">
        <v>7</v>
      </c>
      <c r="E78" s="7">
        <v>6</v>
      </c>
      <c r="F78" s="7">
        <v>5</v>
      </c>
      <c r="G78" s="7">
        <v>4</v>
      </c>
      <c r="H78" s="7">
        <v>3</v>
      </c>
      <c r="I78" s="7">
        <v>2</v>
      </c>
      <c r="J78" s="7">
        <v>1</v>
      </c>
      <c r="K78" s="7">
        <v>0</v>
      </c>
    </row>
    <row r="79" spans="2:11" s="1" customFormat="1" ht="13.5" customHeight="1">
      <c r="B79" s="5"/>
      <c r="C79" s="8" t="s">
        <v>6</v>
      </c>
      <c r="D79" s="176" t="s">
        <v>608</v>
      </c>
      <c r="E79" s="102"/>
      <c r="F79" s="102"/>
      <c r="G79" s="102"/>
      <c r="H79" s="102"/>
      <c r="I79" s="102"/>
      <c r="J79" s="102"/>
      <c r="K79" s="177"/>
    </row>
    <row r="80" spans="2:11" s="1" customFormat="1">
      <c r="B80" s="5" t="str">
        <f>CONCATENATE(D80,E80,F80,G80,H80,I80,J80,K80)</f>
        <v>00000000</v>
      </c>
      <c r="C80" s="8" t="s">
        <v>123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</row>
    <row r="81" spans="2:11" s="1" customFormat="1">
      <c r="B81" s="5"/>
      <c r="C81" s="14"/>
      <c r="D81" s="15"/>
      <c r="E81" s="15"/>
      <c r="F81" s="15"/>
      <c r="G81" s="15"/>
      <c r="H81" s="15"/>
      <c r="I81" s="15"/>
      <c r="J81" s="15"/>
      <c r="K81" s="15"/>
    </row>
    <row r="82" spans="2:11" s="1" customFormat="1" ht="12.75" customHeight="1">
      <c r="B82" s="5"/>
      <c r="C82" s="169" t="s">
        <v>609</v>
      </c>
      <c r="D82" s="170"/>
      <c r="E82" s="170"/>
      <c r="F82" s="170"/>
      <c r="G82" s="170"/>
      <c r="H82" s="170"/>
      <c r="I82" s="170"/>
      <c r="J82" s="170"/>
      <c r="K82" s="171"/>
    </row>
    <row r="83" spans="2:11" s="1" customFormat="1">
      <c r="B83" s="5"/>
      <c r="C83" s="6" t="s">
        <v>120</v>
      </c>
      <c r="D83" s="7">
        <v>7</v>
      </c>
      <c r="E83" s="7">
        <v>6</v>
      </c>
      <c r="F83" s="7">
        <v>5</v>
      </c>
      <c r="G83" s="7">
        <v>4</v>
      </c>
      <c r="H83" s="7">
        <v>3</v>
      </c>
      <c r="I83" s="7">
        <v>2</v>
      </c>
      <c r="J83" s="7">
        <v>1</v>
      </c>
      <c r="K83" s="7">
        <v>0</v>
      </c>
    </row>
    <row r="84" spans="2:11" s="1" customFormat="1" ht="13.5" customHeight="1">
      <c r="B84" s="5"/>
      <c r="C84" s="8" t="s">
        <v>6</v>
      </c>
      <c r="D84" s="176" t="s">
        <v>610</v>
      </c>
      <c r="E84" s="102"/>
      <c r="F84" s="102"/>
      <c r="G84" s="102"/>
      <c r="H84" s="102"/>
      <c r="I84" s="102"/>
      <c r="J84" s="102"/>
      <c r="K84" s="177"/>
    </row>
    <row r="85" spans="2:11" s="1" customFormat="1">
      <c r="B85" s="5" t="str">
        <f>CONCATENATE(D85,E85,F85,G85,H85,I85,J85,K85)</f>
        <v>00000000</v>
      </c>
      <c r="C85" s="8" t="s">
        <v>123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</row>
    <row r="86" spans="2:11" s="1" customFormat="1">
      <c r="B86" s="5"/>
      <c r="C86" s="14"/>
      <c r="D86" s="15"/>
      <c r="E86" s="15"/>
      <c r="F86" s="15"/>
      <c r="G86" s="15"/>
      <c r="H86" s="15"/>
      <c r="I86" s="15"/>
      <c r="J86" s="15"/>
      <c r="K86" s="15"/>
    </row>
    <row r="87" spans="2:11" s="1" customFormat="1" ht="12.75" customHeight="1">
      <c r="B87" s="5"/>
      <c r="C87" s="169" t="s">
        <v>611</v>
      </c>
      <c r="D87" s="170"/>
      <c r="E87" s="170"/>
      <c r="F87" s="170"/>
      <c r="G87" s="170"/>
      <c r="H87" s="170"/>
      <c r="I87" s="170"/>
      <c r="J87" s="170"/>
      <c r="K87" s="171"/>
    </row>
    <row r="88" spans="2:11" s="1" customFormat="1">
      <c r="B88" s="5"/>
      <c r="C88" s="6" t="s">
        <v>120</v>
      </c>
      <c r="D88" s="7">
        <v>7</v>
      </c>
      <c r="E88" s="7">
        <v>6</v>
      </c>
      <c r="F88" s="7">
        <v>5</v>
      </c>
      <c r="G88" s="7">
        <v>4</v>
      </c>
      <c r="H88" s="7">
        <v>3</v>
      </c>
      <c r="I88" s="7">
        <v>2</v>
      </c>
      <c r="J88" s="7">
        <v>1</v>
      </c>
      <c r="K88" s="7">
        <v>0</v>
      </c>
    </row>
    <row r="89" spans="2:11" s="1" customFormat="1" ht="13.5" customHeight="1">
      <c r="B89" s="5"/>
      <c r="C89" s="8" t="s">
        <v>6</v>
      </c>
      <c r="D89" s="176" t="s">
        <v>612</v>
      </c>
      <c r="E89" s="102"/>
      <c r="F89" s="102"/>
      <c r="G89" s="102"/>
      <c r="H89" s="102"/>
      <c r="I89" s="102"/>
      <c r="J89" s="102"/>
      <c r="K89" s="177"/>
    </row>
    <row r="90" spans="2:11" s="1" customFormat="1">
      <c r="B90" s="5" t="str">
        <f>CONCATENATE(D90,E90,F90,G90,H90,I90,J90,K90)</f>
        <v>00000000</v>
      </c>
      <c r="C90" s="8" t="s">
        <v>123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</row>
    <row r="91" spans="2:11" s="1" customFormat="1">
      <c r="B91" s="5"/>
      <c r="C91" s="14"/>
      <c r="D91" s="15"/>
      <c r="E91" s="15"/>
      <c r="F91" s="15"/>
      <c r="G91" s="15"/>
      <c r="H91" s="15"/>
      <c r="I91" s="15"/>
      <c r="J91" s="15"/>
      <c r="K91" s="15"/>
    </row>
    <row r="92" spans="2:11" s="1" customFormat="1" ht="12.75" customHeight="1">
      <c r="B92" s="5"/>
      <c r="C92" s="169" t="s">
        <v>613</v>
      </c>
      <c r="D92" s="170"/>
      <c r="E92" s="170"/>
      <c r="F92" s="170"/>
      <c r="G92" s="170"/>
      <c r="H92" s="170"/>
      <c r="I92" s="170"/>
      <c r="J92" s="170"/>
      <c r="K92" s="171"/>
    </row>
    <row r="93" spans="2:11" s="1" customFormat="1">
      <c r="B93" s="5"/>
      <c r="C93" s="6" t="s">
        <v>120</v>
      </c>
      <c r="D93" s="7">
        <v>7</v>
      </c>
      <c r="E93" s="7">
        <v>6</v>
      </c>
      <c r="F93" s="7">
        <v>5</v>
      </c>
      <c r="G93" s="7">
        <v>4</v>
      </c>
      <c r="H93" s="7">
        <v>3</v>
      </c>
      <c r="I93" s="7">
        <v>2</v>
      </c>
      <c r="J93" s="7">
        <v>1</v>
      </c>
      <c r="K93" s="7">
        <v>0</v>
      </c>
    </row>
    <row r="94" spans="2:11" s="1" customFormat="1" ht="13.5" customHeight="1">
      <c r="B94" s="5"/>
      <c r="C94" s="8" t="s">
        <v>6</v>
      </c>
      <c r="D94" s="176" t="s">
        <v>614</v>
      </c>
      <c r="E94" s="102"/>
      <c r="F94" s="102"/>
      <c r="G94" s="102"/>
      <c r="H94" s="102"/>
      <c r="I94" s="102"/>
      <c r="J94" s="102"/>
      <c r="K94" s="177"/>
    </row>
    <row r="95" spans="2:11" s="1" customFormat="1">
      <c r="B95" s="5" t="str">
        <f>CONCATENATE(D95,E95,F95,G95,H95,I95,J95,K95)</f>
        <v>00000000</v>
      </c>
      <c r="C95" s="8" t="s">
        <v>123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</row>
    <row r="96" spans="2:11" s="1" customFormat="1">
      <c r="B96" s="5"/>
      <c r="C96" s="14"/>
      <c r="D96" s="15"/>
      <c r="E96" s="15"/>
      <c r="F96" s="15"/>
      <c r="G96" s="15"/>
      <c r="H96" s="15"/>
      <c r="I96" s="15"/>
      <c r="J96" s="15"/>
      <c r="K96" s="15"/>
    </row>
    <row r="97" spans="2:11" s="1" customFormat="1" ht="12.75" customHeight="1">
      <c r="B97" s="5"/>
      <c r="C97" s="169" t="s">
        <v>615</v>
      </c>
      <c r="D97" s="170"/>
      <c r="E97" s="170"/>
      <c r="F97" s="170"/>
      <c r="G97" s="170"/>
      <c r="H97" s="170"/>
      <c r="I97" s="170"/>
      <c r="J97" s="170"/>
      <c r="K97" s="171"/>
    </row>
    <row r="98" spans="2:11" s="1" customFormat="1">
      <c r="B98" s="5"/>
      <c r="C98" s="6" t="s">
        <v>120</v>
      </c>
      <c r="D98" s="7">
        <v>7</v>
      </c>
      <c r="E98" s="7">
        <v>6</v>
      </c>
      <c r="F98" s="7">
        <v>5</v>
      </c>
      <c r="G98" s="7">
        <v>4</v>
      </c>
      <c r="H98" s="7">
        <v>3</v>
      </c>
      <c r="I98" s="7">
        <v>2</v>
      </c>
      <c r="J98" s="7">
        <v>1</v>
      </c>
      <c r="K98" s="7">
        <v>0</v>
      </c>
    </row>
    <row r="99" spans="2:11" s="1" customFormat="1" ht="13.5" customHeight="1">
      <c r="B99" s="5"/>
      <c r="C99" s="8" t="s">
        <v>6</v>
      </c>
      <c r="D99" s="176" t="s">
        <v>616</v>
      </c>
      <c r="E99" s="102"/>
      <c r="F99" s="102"/>
      <c r="G99" s="102"/>
      <c r="H99" s="102"/>
      <c r="I99" s="102"/>
      <c r="J99" s="102"/>
      <c r="K99" s="177"/>
    </row>
    <row r="100" spans="2:11" s="1" customFormat="1">
      <c r="B100" s="5" t="str">
        <f>CONCATENATE(D100,E100,F100,G100,H100,I100,J100,K100)</f>
        <v>00000000</v>
      </c>
      <c r="C100" s="8" t="s">
        <v>123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</row>
    <row r="101" spans="2:11" s="1" customFormat="1">
      <c r="B101" s="5"/>
      <c r="C101" s="14"/>
      <c r="D101" s="15"/>
      <c r="E101" s="15"/>
      <c r="F101" s="15"/>
      <c r="G101" s="15"/>
      <c r="H101" s="15"/>
      <c r="I101" s="15"/>
      <c r="J101" s="15"/>
      <c r="K101" s="15"/>
    </row>
    <row r="102" spans="2:11" s="1" customFormat="1" ht="12.75" customHeight="1">
      <c r="B102" s="5"/>
      <c r="C102" s="169" t="s">
        <v>617</v>
      </c>
      <c r="D102" s="170"/>
      <c r="E102" s="170"/>
      <c r="F102" s="170"/>
      <c r="G102" s="170"/>
      <c r="H102" s="170"/>
      <c r="I102" s="170"/>
      <c r="J102" s="170"/>
      <c r="K102" s="171"/>
    </row>
    <row r="103" spans="2:11" s="1" customFormat="1">
      <c r="B103" s="5"/>
      <c r="C103" s="6" t="s">
        <v>120</v>
      </c>
      <c r="D103" s="7">
        <v>7</v>
      </c>
      <c r="E103" s="7">
        <v>6</v>
      </c>
      <c r="F103" s="7">
        <v>5</v>
      </c>
      <c r="G103" s="7">
        <v>4</v>
      </c>
      <c r="H103" s="7">
        <v>3</v>
      </c>
      <c r="I103" s="7">
        <v>2</v>
      </c>
      <c r="J103" s="7">
        <v>1</v>
      </c>
      <c r="K103" s="7">
        <v>0</v>
      </c>
    </row>
    <row r="104" spans="2:11" s="1" customFormat="1" ht="13.5" customHeight="1">
      <c r="B104" s="5"/>
      <c r="C104" s="8" t="s">
        <v>6</v>
      </c>
      <c r="D104" s="176" t="s">
        <v>618</v>
      </c>
      <c r="E104" s="102"/>
      <c r="F104" s="102"/>
      <c r="G104" s="102"/>
      <c r="H104" s="102"/>
      <c r="I104" s="102"/>
      <c r="J104" s="102"/>
      <c r="K104" s="177"/>
    </row>
    <row r="105" spans="2:11" s="1" customFormat="1">
      <c r="B105" s="5" t="str">
        <f>CONCATENATE(D105,E105,F105,G105,H105,I105,J105,K105)</f>
        <v>00000000</v>
      </c>
      <c r="C105" s="8" t="s">
        <v>123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</row>
    <row r="106" spans="2:11" s="1" customFormat="1">
      <c r="B106" s="5"/>
      <c r="C106" s="14"/>
      <c r="D106" s="15"/>
      <c r="E106" s="15"/>
      <c r="F106" s="15"/>
      <c r="G106" s="15"/>
      <c r="H106" s="15"/>
      <c r="I106" s="15"/>
      <c r="J106" s="15"/>
      <c r="K106" s="15"/>
    </row>
    <row r="107" spans="2:11" s="1" customFormat="1" ht="12.75" customHeight="1">
      <c r="B107" s="5"/>
      <c r="C107" s="169" t="s">
        <v>619</v>
      </c>
      <c r="D107" s="170"/>
      <c r="E107" s="170"/>
      <c r="F107" s="170"/>
      <c r="G107" s="170"/>
      <c r="H107" s="170"/>
      <c r="I107" s="170"/>
      <c r="J107" s="170"/>
      <c r="K107" s="171"/>
    </row>
    <row r="108" spans="2:11" s="1" customFormat="1">
      <c r="B108" s="5"/>
      <c r="C108" s="6" t="s">
        <v>120</v>
      </c>
      <c r="D108" s="7">
        <v>7</v>
      </c>
      <c r="E108" s="7">
        <v>6</v>
      </c>
      <c r="F108" s="7">
        <v>5</v>
      </c>
      <c r="G108" s="7">
        <v>4</v>
      </c>
      <c r="H108" s="7">
        <v>3</v>
      </c>
      <c r="I108" s="7">
        <v>2</v>
      </c>
      <c r="J108" s="7">
        <v>1</v>
      </c>
      <c r="K108" s="7">
        <v>0</v>
      </c>
    </row>
    <row r="109" spans="2:11" s="1" customFormat="1" ht="13.5" customHeight="1">
      <c r="B109" s="5"/>
      <c r="C109" s="8" t="s">
        <v>6</v>
      </c>
      <c r="D109" s="176" t="s">
        <v>620</v>
      </c>
      <c r="E109" s="102"/>
      <c r="F109" s="102"/>
      <c r="G109" s="102"/>
      <c r="H109" s="102"/>
      <c r="I109" s="102"/>
      <c r="J109" s="102"/>
      <c r="K109" s="177"/>
    </row>
    <row r="110" spans="2:11" s="1" customFormat="1">
      <c r="B110" s="5" t="str">
        <f>CONCATENATE(D110,E110,F110,G110,H110,I110,J110,K110)</f>
        <v>00000000</v>
      </c>
      <c r="C110" s="8" t="s">
        <v>123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</row>
    <row r="111" spans="2:11" s="1" customFormat="1">
      <c r="B111" s="5"/>
      <c r="C111" s="14"/>
      <c r="D111" s="15"/>
      <c r="E111" s="15"/>
      <c r="F111" s="15"/>
      <c r="G111" s="15"/>
      <c r="H111" s="15"/>
      <c r="I111" s="15"/>
      <c r="J111" s="15"/>
      <c r="K111" s="15"/>
    </row>
    <row r="112" spans="2:11" s="1" customFormat="1" ht="12.75" customHeight="1">
      <c r="B112" s="5"/>
      <c r="C112" s="169" t="s">
        <v>621</v>
      </c>
      <c r="D112" s="170"/>
      <c r="E112" s="170"/>
      <c r="F112" s="170"/>
      <c r="G112" s="170"/>
      <c r="H112" s="170"/>
      <c r="I112" s="170"/>
      <c r="J112" s="170"/>
      <c r="K112" s="171"/>
    </row>
    <row r="113" spans="2:11" s="1" customFormat="1">
      <c r="B113" s="5"/>
      <c r="C113" s="6" t="s">
        <v>120</v>
      </c>
      <c r="D113" s="7">
        <v>7</v>
      </c>
      <c r="E113" s="7">
        <v>6</v>
      </c>
      <c r="F113" s="7">
        <v>5</v>
      </c>
      <c r="G113" s="7">
        <v>4</v>
      </c>
      <c r="H113" s="7">
        <v>3</v>
      </c>
      <c r="I113" s="7">
        <v>2</v>
      </c>
      <c r="J113" s="7">
        <v>1</v>
      </c>
      <c r="K113" s="7">
        <v>0</v>
      </c>
    </row>
    <row r="114" spans="2:11" s="1" customFormat="1" ht="13.5" customHeight="1">
      <c r="B114" s="5"/>
      <c r="C114" s="8" t="s">
        <v>6</v>
      </c>
      <c r="D114" s="176" t="s">
        <v>622</v>
      </c>
      <c r="E114" s="102"/>
      <c r="F114" s="102"/>
      <c r="G114" s="102"/>
      <c r="H114" s="102"/>
      <c r="I114" s="102"/>
      <c r="J114" s="102"/>
      <c r="K114" s="177"/>
    </row>
    <row r="115" spans="2:11" s="1" customFormat="1">
      <c r="B115" s="5" t="str">
        <f>CONCATENATE(D115,E115,F115,G115,H115,I115,J115,K115)</f>
        <v>00000000</v>
      </c>
      <c r="C115" s="8" t="s">
        <v>123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</row>
    <row r="116" spans="2:11" s="1" customFormat="1">
      <c r="B116" s="5"/>
      <c r="C116" s="14"/>
      <c r="D116" s="15"/>
      <c r="E116" s="15"/>
      <c r="F116" s="15"/>
      <c r="G116" s="15"/>
      <c r="H116" s="15"/>
      <c r="I116" s="15"/>
      <c r="J116" s="15"/>
      <c r="K116" s="15"/>
    </row>
    <row r="117" spans="2:11" s="1" customFormat="1" ht="12.75" customHeight="1">
      <c r="B117" s="5"/>
      <c r="C117" s="169" t="s">
        <v>623</v>
      </c>
      <c r="D117" s="170"/>
      <c r="E117" s="170"/>
      <c r="F117" s="170"/>
      <c r="G117" s="170"/>
      <c r="H117" s="170"/>
      <c r="I117" s="170"/>
      <c r="J117" s="170"/>
      <c r="K117" s="171"/>
    </row>
    <row r="118" spans="2:11" s="1" customFormat="1">
      <c r="B118" s="5"/>
      <c r="C118" s="6" t="s">
        <v>120</v>
      </c>
      <c r="D118" s="7">
        <v>7</v>
      </c>
      <c r="E118" s="7">
        <v>6</v>
      </c>
      <c r="F118" s="7">
        <v>5</v>
      </c>
      <c r="G118" s="7">
        <v>4</v>
      </c>
      <c r="H118" s="7">
        <v>3</v>
      </c>
      <c r="I118" s="7">
        <v>2</v>
      </c>
      <c r="J118" s="7">
        <v>1</v>
      </c>
      <c r="K118" s="7">
        <v>0</v>
      </c>
    </row>
    <row r="119" spans="2:11" s="1" customFormat="1" ht="13.5" customHeight="1">
      <c r="B119" s="5"/>
      <c r="C119" s="8" t="s">
        <v>6</v>
      </c>
      <c r="D119" s="176" t="s">
        <v>624</v>
      </c>
      <c r="E119" s="102"/>
      <c r="F119" s="102"/>
      <c r="G119" s="102"/>
      <c r="H119" s="102"/>
      <c r="I119" s="102"/>
      <c r="J119" s="102"/>
      <c r="K119" s="177"/>
    </row>
    <row r="120" spans="2:11" s="1" customFormat="1">
      <c r="B120" s="5" t="str">
        <f>CONCATENATE(D120,E120,F120,G120,H120,I120,J120,K120)</f>
        <v>00000000</v>
      </c>
      <c r="C120" s="8" t="s">
        <v>123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</row>
    <row r="121" spans="2:11" s="1" customFormat="1">
      <c r="B121" s="5"/>
      <c r="C121" s="14"/>
      <c r="D121" s="15"/>
      <c r="E121" s="15"/>
      <c r="F121" s="15"/>
      <c r="G121" s="15"/>
      <c r="H121" s="15"/>
      <c r="I121" s="15"/>
      <c r="J121" s="15"/>
      <c r="K121" s="15"/>
    </row>
    <row r="122" spans="2:11" s="1" customFormat="1" ht="12.75" customHeight="1">
      <c r="B122" s="5"/>
      <c r="C122" s="169" t="s">
        <v>625</v>
      </c>
      <c r="D122" s="170"/>
      <c r="E122" s="170"/>
      <c r="F122" s="170"/>
      <c r="G122" s="170"/>
      <c r="H122" s="170"/>
      <c r="I122" s="170"/>
      <c r="J122" s="170"/>
      <c r="K122" s="171"/>
    </row>
    <row r="123" spans="2:11" s="1" customFormat="1">
      <c r="B123" s="5"/>
      <c r="C123" s="6" t="s">
        <v>120</v>
      </c>
      <c r="D123" s="7">
        <v>7</v>
      </c>
      <c r="E123" s="7">
        <v>6</v>
      </c>
      <c r="F123" s="7">
        <v>5</v>
      </c>
      <c r="G123" s="7">
        <v>4</v>
      </c>
      <c r="H123" s="7">
        <v>3</v>
      </c>
      <c r="I123" s="7">
        <v>2</v>
      </c>
      <c r="J123" s="7">
        <v>1</v>
      </c>
      <c r="K123" s="7">
        <v>0</v>
      </c>
    </row>
    <row r="124" spans="2:11" s="1" customFormat="1" ht="13.5" customHeight="1">
      <c r="B124" s="5"/>
      <c r="C124" s="8" t="s">
        <v>6</v>
      </c>
      <c r="D124" s="176" t="s">
        <v>626</v>
      </c>
      <c r="E124" s="102"/>
      <c r="F124" s="102"/>
      <c r="G124" s="102"/>
      <c r="H124" s="102"/>
      <c r="I124" s="102"/>
      <c r="J124" s="102"/>
      <c r="K124" s="177"/>
    </row>
    <row r="125" spans="2:11" s="1" customFormat="1">
      <c r="B125" s="5" t="str">
        <f>CONCATENATE(D125,E125,F125,G125,H125,I125,J125,K125)</f>
        <v>00000000</v>
      </c>
      <c r="C125" s="8" t="s">
        <v>123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</row>
    <row r="126" spans="2:11" s="1" customFormat="1">
      <c r="B126" s="5"/>
      <c r="C126" s="14"/>
      <c r="D126" s="15"/>
      <c r="E126" s="15"/>
      <c r="F126" s="15"/>
      <c r="G126" s="15"/>
      <c r="H126" s="15"/>
      <c r="I126" s="15"/>
      <c r="J126" s="15"/>
      <c r="K126" s="15"/>
    </row>
    <row r="127" spans="2:11" s="1" customFormat="1" ht="12.75" customHeight="1">
      <c r="B127" s="5"/>
      <c r="C127" s="169" t="s">
        <v>627</v>
      </c>
      <c r="D127" s="170"/>
      <c r="E127" s="170"/>
      <c r="F127" s="170"/>
      <c r="G127" s="170"/>
      <c r="H127" s="170"/>
      <c r="I127" s="170"/>
      <c r="J127" s="170"/>
      <c r="K127" s="171"/>
    </row>
    <row r="128" spans="2:11" s="1" customFormat="1">
      <c r="B128" s="5"/>
      <c r="C128" s="6" t="s">
        <v>120</v>
      </c>
      <c r="D128" s="7">
        <v>7</v>
      </c>
      <c r="E128" s="7">
        <v>6</v>
      </c>
      <c r="F128" s="7">
        <v>5</v>
      </c>
      <c r="G128" s="7">
        <v>4</v>
      </c>
      <c r="H128" s="7">
        <v>3</v>
      </c>
      <c r="I128" s="7">
        <v>2</v>
      </c>
      <c r="J128" s="7">
        <v>1</v>
      </c>
      <c r="K128" s="7">
        <v>0</v>
      </c>
    </row>
    <row r="129" spans="2:11" s="1" customFormat="1" ht="13.5" customHeight="1">
      <c r="B129" s="5"/>
      <c r="C129" s="8" t="s">
        <v>6</v>
      </c>
      <c r="D129" s="176" t="s">
        <v>628</v>
      </c>
      <c r="E129" s="102"/>
      <c r="F129" s="102"/>
      <c r="G129" s="102"/>
      <c r="H129" s="102"/>
      <c r="I129" s="102"/>
      <c r="J129" s="102"/>
      <c r="K129" s="177"/>
    </row>
    <row r="130" spans="2:11" s="1" customFormat="1">
      <c r="B130" s="5" t="str">
        <f>CONCATENATE(D130,E130,F130,G130,H130,I130,J130,K130)</f>
        <v>00000000</v>
      </c>
      <c r="C130" s="8" t="s">
        <v>123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</row>
    <row r="131" spans="2:11" s="1" customFormat="1">
      <c r="B131" s="5"/>
      <c r="C131" s="14"/>
      <c r="D131" s="15"/>
      <c r="E131" s="15"/>
      <c r="F131" s="15"/>
      <c r="G131" s="15"/>
      <c r="H131" s="15"/>
      <c r="I131" s="15"/>
      <c r="J131" s="15"/>
      <c r="K131" s="15"/>
    </row>
    <row r="132" spans="2:11" s="48" customFormat="1" ht="12.75" customHeight="1">
      <c r="B132" s="49" t="s">
        <v>1015</v>
      </c>
      <c r="C132" s="197" t="s">
        <v>1016</v>
      </c>
      <c r="D132" s="198"/>
      <c r="E132" s="198"/>
      <c r="F132" s="198"/>
      <c r="G132" s="198"/>
      <c r="H132" s="198"/>
      <c r="I132" s="198"/>
      <c r="J132" s="198"/>
      <c r="K132" s="199"/>
    </row>
    <row r="133" spans="2:11" s="1" customFormat="1">
      <c r="B133" s="5"/>
      <c r="C133" s="6" t="s">
        <v>120</v>
      </c>
      <c r="D133" s="7">
        <v>7</v>
      </c>
      <c r="E133" s="7">
        <v>6</v>
      </c>
      <c r="F133" s="7">
        <v>5</v>
      </c>
      <c r="G133" s="7">
        <v>4</v>
      </c>
      <c r="H133" s="7">
        <v>3</v>
      </c>
      <c r="I133" s="7">
        <v>2</v>
      </c>
      <c r="J133" s="7">
        <v>1</v>
      </c>
      <c r="K133" s="7">
        <v>0</v>
      </c>
    </row>
    <row r="134" spans="2:11" s="1" customFormat="1" ht="13.5" customHeight="1">
      <c r="B134" s="5"/>
      <c r="C134" s="8" t="s">
        <v>1025</v>
      </c>
      <c r="D134" s="43" t="s">
        <v>1018</v>
      </c>
      <c r="E134" s="43" t="s">
        <v>121</v>
      </c>
      <c r="F134" s="43" t="s">
        <v>121</v>
      </c>
      <c r="G134" s="43" t="s">
        <v>121</v>
      </c>
      <c r="H134" s="43" t="s">
        <v>121</v>
      </c>
      <c r="I134" s="7" t="s">
        <v>1020</v>
      </c>
      <c r="J134" s="7" t="s">
        <v>1021</v>
      </c>
      <c r="K134" s="7" t="s">
        <v>1019</v>
      </c>
    </row>
    <row r="135" spans="2:11" s="1" customFormat="1">
      <c r="B135" s="5" t="str">
        <f>CONCATENATE(D135,E135,F135,G135,H135,I135,J135,K135)</f>
        <v>-----000</v>
      </c>
      <c r="C135" s="8" t="s">
        <v>123</v>
      </c>
      <c r="D135" s="9" t="s">
        <v>124</v>
      </c>
      <c r="E135" s="9" t="s">
        <v>124</v>
      </c>
      <c r="F135" s="9" t="s">
        <v>124</v>
      </c>
      <c r="G135" s="9" t="s">
        <v>124</v>
      </c>
      <c r="H135" s="9" t="s">
        <v>124</v>
      </c>
      <c r="I135" s="9">
        <v>0</v>
      </c>
      <c r="J135" s="9">
        <v>0</v>
      </c>
      <c r="K135" s="9">
        <v>0</v>
      </c>
    </row>
    <row r="136" spans="2:11" s="1" customFormat="1">
      <c r="B136" s="5"/>
      <c r="C136" s="14"/>
      <c r="D136" s="15"/>
      <c r="E136" s="15"/>
      <c r="F136" s="15"/>
      <c r="G136" s="15"/>
      <c r="H136" s="15"/>
      <c r="I136" s="15"/>
      <c r="J136" s="15"/>
      <c r="K136" s="15"/>
    </row>
    <row r="137" spans="2:11" s="48" customFormat="1" ht="12.75" customHeight="1">
      <c r="B137" s="49" t="s">
        <v>1014</v>
      </c>
      <c r="C137" s="197" t="s">
        <v>1017</v>
      </c>
      <c r="D137" s="198"/>
      <c r="E137" s="198"/>
      <c r="F137" s="198"/>
      <c r="G137" s="198"/>
      <c r="H137" s="198"/>
      <c r="I137" s="198"/>
      <c r="J137" s="198"/>
      <c r="K137" s="199"/>
    </row>
    <row r="138" spans="2:11" s="1" customFormat="1">
      <c r="B138" s="5"/>
      <c r="C138" s="6" t="s">
        <v>120</v>
      </c>
      <c r="D138" s="7">
        <v>7</v>
      </c>
      <c r="E138" s="7">
        <v>6</v>
      </c>
      <c r="F138" s="7">
        <v>5</v>
      </c>
      <c r="G138" s="7">
        <v>4</v>
      </c>
      <c r="H138" s="7">
        <v>3</v>
      </c>
      <c r="I138" s="7">
        <v>2</v>
      </c>
      <c r="J138" s="7">
        <v>1</v>
      </c>
      <c r="K138" s="7">
        <v>0</v>
      </c>
    </row>
    <row r="139" spans="2:11" s="1" customFormat="1" ht="13.5" customHeight="1">
      <c r="B139" s="5"/>
      <c r="C139" s="8" t="s">
        <v>6</v>
      </c>
      <c r="D139" s="50"/>
      <c r="E139" s="7"/>
      <c r="F139" s="7"/>
      <c r="G139" s="7"/>
      <c r="H139" s="7"/>
      <c r="I139" s="20" t="s">
        <v>1024</v>
      </c>
      <c r="J139" s="7" t="s">
        <v>1022</v>
      </c>
      <c r="K139" s="7" t="s">
        <v>1023</v>
      </c>
    </row>
    <row r="140" spans="2:11" s="1" customFormat="1">
      <c r="B140" s="5" t="str">
        <f>CONCATENATE(D140,E140,F140,G140,H140,I140,J140,K140)</f>
        <v>XXXXX001</v>
      </c>
      <c r="C140" s="8" t="s">
        <v>123</v>
      </c>
      <c r="D140" s="43" t="s">
        <v>1018</v>
      </c>
      <c r="E140" s="43" t="s">
        <v>1018</v>
      </c>
      <c r="F140" s="43" t="s">
        <v>1018</v>
      </c>
      <c r="G140" s="43" t="s">
        <v>1018</v>
      </c>
      <c r="H140" s="43" t="s">
        <v>1018</v>
      </c>
      <c r="I140" s="9">
        <v>0</v>
      </c>
      <c r="J140" s="9">
        <v>0</v>
      </c>
      <c r="K140" s="9">
        <v>1</v>
      </c>
    </row>
    <row r="141" spans="2:11" s="1" customFormat="1">
      <c r="B141" s="5"/>
      <c r="C141" s="14"/>
      <c r="D141" s="15"/>
      <c r="E141" s="15"/>
      <c r="F141" s="15"/>
      <c r="G141" s="15"/>
      <c r="H141" s="15"/>
      <c r="I141" s="15"/>
      <c r="J141" s="15"/>
      <c r="K141" s="15"/>
    </row>
    <row r="142" spans="2:11" s="1" customFormat="1" ht="12.75" customHeight="1">
      <c r="B142" s="5"/>
      <c r="C142" s="173" t="s">
        <v>629</v>
      </c>
      <c r="D142" s="174"/>
      <c r="E142" s="174"/>
      <c r="F142" s="174"/>
      <c r="G142" s="174"/>
      <c r="H142" s="174"/>
      <c r="I142" s="174"/>
      <c r="J142" s="174"/>
      <c r="K142" s="175"/>
    </row>
    <row r="143" spans="2:11" s="1" customFormat="1">
      <c r="B143" s="5"/>
      <c r="C143" s="6" t="s">
        <v>120</v>
      </c>
      <c r="D143" s="7">
        <v>7</v>
      </c>
      <c r="E143" s="7">
        <v>6</v>
      </c>
      <c r="F143" s="7">
        <v>5</v>
      </c>
      <c r="G143" s="7">
        <v>4</v>
      </c>
      <c r="H143" s="7">
        <v>3</v>
      </c>
      <c r="I143" s="7">
        <v>2</v>
      </c>
      <c r="J143" s="7">
        <v>1</v>
      </c>
      <c r="K143" s="7">
        <v>0</v>
      </c>
    </row>
    <row r="144" spans="2:11" s="1" customFormat="1" ht="13.5" customHeight="1">
      <c r="B144" s="5"/>
      <c r="C144" s="8" t="s">
        <v>6</v>
      </c>
      <c r="D144" s="176" t="s">
        <v>630</v>
      </c>
      <c r="E144" s="102"/>
      <c r="F144" s="102"/>
      <c r="G144" s="102"/>
      <c r="H144" s="102"/>
      <c r="I144" s="102"/>
      <c r="J144" s="102"/>
      <c r="K144" s="177"/>
    </row>
    <row r="145" spans="2:11" s="1" customFormat="1">
      <c r="B145" s="5" t="str">
        <f>CONCATENATE(D145,E145,F145,G145,H145,I145,J145,K145)</f>
        <v>00000000</v>
      </c>
      <c r="C145" s="8" t="s">
        <v>123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</row>
    <row r="146" spans="2:11" s="1" customFormat="1">
      <c r="B146" s="5"/>
      <c r="C146" s="14"/>
      <c r="D146" s="15"/>
      <c r="E146" s="15"/>
      <c r="F146" s="15"/>
      <c r="G146" s="15"/>
      <c r="H146" s="15"/>
      <c r="I146" s="15"/>
      <c r="J146" s="15"/>
      <c r="K146" s="15"/>
    </row>
    <row r="147" spans="2:11" s="1" customFormat="1" ht="12.75" customHeight="1">
      <c r="B147" s="5"/>
      <c r="C147" s="173" t="s">
        <v>631</v>
      </c>
      <c r="D147" s="174"/>
      <c r="E147" s="174"/>
      <c r="F147" s="174"/>
      <c r="G147" s="174"/>
      <c r="H147" s="174"/>
      <c r="I147" s="174"/>
      <c r="J147" s="174"/>
      <c r="K147" s="175"/>
    </row>
    <row r="148" spans="2:11" s="1" customFormat="1">
      <c r="B148" s="5"/>
      <c r="C148" s="6" t="s">
        <v>120</v>
      </c>
      <c r="D148" s="7">
        <v>7</v>
      </c>
      <c r="E148" s="7">
        <v>6</v>
      </c>
      <c r="F148" s="7">
        <v>5</v>
      </c>
      <c r="G148" s="7">
        <v>4</v>
      </c>
      <c r="H148" s="7">
        <v>3</v>
      </c>
      <c r="I148" s="7">
        <v>2</v>
      </c>
      <c r="J148" s="7">
        <v>1</v>
      </c>
      <c r="K148" s="7">
        <v>0</v>
      </c>
    </row>
    <row r="149" spans="2:11" s="1" customFormat="1" ht="13.5" customHeight="1">
      <c r="B149" s="5"/>
      <c r="C149" s="8" t="s">
        <v>6</v>
      </c>
      <c r="D149" s="176" t="s">
        <v>632</v>
      </c>
      <c r="E149" s="102"/>
      <c r="F149" s="102"/>
      <c r="G149" s="102"/>
      <c r="H149" s="102"/>
      <c r="I149" s="102"/>
      <c r="J149" s="102"/>
      <c r="K149" s="177"/>
    </row>
    <row r="150" spans="2:11" s="1" customFormat="1">
      <c r="B150" s="5" t="str">
        <f>CONCATENATE(D150,E150,F150,G150,H150,I150,J150,K150)</f>
        <v>00000000</v>
      </c>
      <c r="C150" s="8" t="s">
        <v>123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</row>
    <row r="151" spans="2:11" s="1" customFormat="1">
      <c r="B151" s="5"/>
      <c r="C151" s="14"/>
      <c r="D151" s="15"/>
      <c r="E151" s="15"/>
      <c r="F151" s="15"/>
      <c r="G151" s="15"/>
      <c r="H151" s="15"/>
      <c r="I151" s="15"/>
      <c r="J151" s="15"/>
      <c r="K151" s="15"/>
    </row>
    <row r="152" spans="2:11" s="1" customFormat="1" ht="12.75" customHeight="1">
      <c r="B152" s="5"/>
      <c r="C152" s="173" t="s">
        <v>633</v>
      </c>
      <c r="D152" s="174"/>
      <c r="E152" s="174"/>
      <c r="F152" s="174"/>
      <c r="G152" s="174"/>
      <c r="H152" s="174"/>
      <c r="I152" s="174"/>
      <c r="J152" s="174"/>
      <c r="K152" s="175"/>
    </row>
    <row r="153" spans="2:11" s="1" customFormat="1">
      <c r="B153" s="5"/>
      <c r="C153" s="6" t="s">
        <v>120</v>
      </c>
      <c r="D153" s="7">
        <v>7</v>
      </c>
      <c r="E153" s="7">
        <v>6</v>
      </c>
      <c r="F153" s="7">
        <v>5</v>
      </c>
      <c r="G153" s="7">
        <v>4</v>
      </c>
      <c r="H153" s="7">
        <v>3</v>
      </c>
      <c r="I153" s="7">
        <v>2</v>
      </c>
      <c r="J153" s="7">
        <v>1</v>
      </c>
      <c r="K153" s="7">
        <v>0</v>
      </c>
    </row>
    <row r="154" spans="2:11" s="1" customFormat="1" ht="13.5" customHeight="1">
      <c r="B154" s="5"/>
      <c r="C154" s="8" t="s">
        <v>6</v>
      </c>
      <c r="D154" s="176" t="s">
        <v>634</v>
      </c>
      <c r="E154" s="102"/>
      <c r="F154" s="102"/>
      <c r="G154" s="102"/>
      <c r="H154" s="102"/>
      <c r="I154" s="102"/>
      <c r="J154" s="102"/>
      <c r="K154" s="177"/>
    </row>
    <row r="155" spans="2:11" s="1" customFormat="1">
      <c r="B155" s="5" t="str">
        <f>CONCATENATE(D155,E155,F155,G155,H155,I155,J155,K155)</f>
        <v>00000000</v>
      </c>
      <c r="C155" s="8" t="s">
        <v>123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</row>
    <row r="156" spans="2:11" s="1" customFormat="1">
      <c r="B156" s="5"/>
      <c r="C156" s="14"/>
      <c r="D156" s="15"/>
      <c r="E156" s="15"/>
      <c r="F156" s="15"/>
      <c r="G156" s="15"/>
      <c r="H156" s="15"/>
      <c r="I156" s="15"/>
      <c r="J156" s="15"/>
      <c r="K156" s="15"/>
    </row>
    <row r="157" spans="2:11" s="1" customFormat="1" ht="12.75" customHeight="1">
      <c r="B157" s="5"/>
      <c r="C157" s="173" t="s">
        <v>635</v>
      </c>
      <c r="D157" s="174"/>
      <c r="E157" s="174"/>
      <c r="F157" s="174"/>
      <c r="G157" s="174"/>
      <c r="H157" s="174"/>
      <c r="I157" s="174"/>
      <c r="J157" s="174"/>
      <c r="K157" s="175"/>
    </row>
    <row r="158" spans="2:11" s="1" customFormat="1">
      <c r="B158" s="5"/>
      <c r="C158" s="6" t="s">
        <v>120</v>
      </c>
      <c r="D158" s="7">
        <v>7</v>
      </c>
      <c r="E158" s="7">
        <v>6</v>
      </c>
      <c r="F158" s="7">
        <v>5</v>
      </c>
      <c r="G158" s="7">
        <v>4</v>
      </c>
      <c r="H158" s="7">
        <v>3</v>
      </c>
      <c r="I158" s="7">
        <v>2</v>
      </c>
      <c r="J158" s="7">
        <v>1</v>
      </c>
      <c r="K158" s="7">
        <v>0</v>
      </c>
    </row>
    <row r="159" spans="2:11" s="1" customFormat="1" ht="13.5" customHeight="1">
      <c r="B159" s="5"/>
      <c r="C159" s="8" t="s">
        <v>6</v>
      </c>
      <c r="D159" s="176" t="s">
        <v>636</v>
      </c>
      <c r="E159" s="102"/>
      <c r="F159" s="102"/>
      <c r="G159" s="102"/>
      <c r="H159" s="102"/>
      <c r="I159" s="102"/>
      <c r="J159" s="102"/>
      <c r="K159" s="177"/>
    </row>
    <row r="160" spans="2:11" s="1" customFormat="1">
      <c r="B160" s="5" t="str">
        <f>CONCATENATE(D160,E160,F160,G160,H160,I160,J160,K160)</f>
        <v>00000000</v>
      </c>
      <c r="C160" s="8" t="s">
        <v>123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</row>
    <row r="161" spans="2:11" s="1" customFormat="1">
      <c r="B161" s="5"/>
      <c r="C161" s="14"/>
      <c r="D161" s="15"/>
      <c r="E161" s="15"/>
      <c r="F161" s="15"/>
      <c r="G161" s="15"/>
      <c r="H161" s="15"/>
      <c r="I161" s="15"/>
      <c r="J161" s="15"/>
      <c r="K161" s="15"/>
    </row>
    <row r="162" spans="2:11" s="1" customFormat="1" ht="12.75" customHeight="1">
      <c r="B162" s="5"/>
      <c r="C162" s="173" t="s">
        <v>637</v>
      </c>
      <c r="D162" s="174"/>
      <c r="E162" s="174"/>
      <c r="F162" s="174"/>
      <c r="G162" s="174"/>
      <c r="H162" s="174"/>
      <c r="I162" s="174"/>
      <c r="J162" s="174"/>
      <c r="K162" s="175"/>
    </row>
    <row r="163" spans="2:11" s="1" customFormat="1">
      <c r="B163" s="5"/>
      <c r="C163" s="6" t="s">
        <v>120</v>
      </c>
      <c r="D163" s="7">
        <v>7</v>
      </c>
      <c r="E163" s="7">
        <v>6</v>
      </c>
      <c r="F163" s="7">
        <v>5</v>
      </c>
      <c r="G163" s="7">
        <v>4</v>
      </c>
      <c r="H163" s="7">
        <v>3</v>
      </c>
      <c r="I163" s="7">
        <v>2</v>
      </c>
      <c r="J163" s="7">
        <v>1</v>
      </c>
      <c r="K163" s="7">
        <v>0</v>
      </c>
    </row>
    <row r="164" spans="2:11" s="1" customFormat="1" ht="13.5" customHeight="1">
      <c r="B164" s="5"/>
      <c r="C164" s="8" t="s">
        <v>6</v>
      </c>
      <c r="D164" s="176" t="s">
        <v>638</v>
      </c>
      <c r="E164" s="102"/>
      <c r="F164" s="102"/>
      <c r="G164" s="102"/>
      <c r="H164" s="102"/>
      <c r="I164" s="102"/>
      <c r="J164" s="102"/>
      <c r="K164" s="177"/>
    </row>
    <row r="165" spans="2:11" s="1" customFormat="1">
      <c r="B165" s="5" t="str">
        <f>CONCATENATE(D165,E165,F165,G165,H165,I165,J165,K165)</f>
        <v>00000000</v>
      </c>
      <c r="C165" s="8" t="s">
        <v>123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</row>
    <row r="166" spans="2:11" s="1" customFormat="1">
      <c r="B166" s="5"/>
      <c r="C166" s="14"/>
      <c r="D166" s="15"/>
      <c r="E166" s="15"/>
      <c r="F166" s="15"/>
      <c r="G166" s="15"/>
      <c r="H166" s="15"/>
      <c r="I166" s="15"/>
      <c r="J166" s="15"/>
      <c r="K166" s="15"/>
    </row>
    <row r="167" spans="2:11" s="1" customFormat="1" ht="12.75" customHeight="1">
      <c r="B167" s="5"/>
      <c r="C167" s="173" t="s">
        <v>639</v>
      </c>
      <c r="D167" s="174"/>
      <c r="E167" s="174"/>
      <c r="F167" s="174"/>
      <c r="G167" s="174"/>
      <c r="H167" s="174"/>
      <c r="I167" s="174"/>
      <c r="J167" s="174"/>
      <c r="K167" s="175"/>
    </row>
    <row r="168" spans="2:11" s="1" customFormat="1">
      <c r="B168" s="5"/>
      <c r="C168" s="6" t="s">
        <v>120</v>
      </c>
      <c r="D168" s="7">
        <v>7</v>
      </c>
      <c r="E168" s="7">
        <v>6</v>
      </c>
      <c r="F168" s="7">
        <v>5</v>
      </c>
      <c r="G168" s="7">
        <v>4</v>
      </c>
      <c r="H168" s="7">
        <v>3</v>
      </c>
      <c r="I168" s="7">
        <v>2</v>
      </c>
      <c r="J168" s="7">
        <v>1</v>
      </c>
      <c r="K168" s="7">
        <v>0</v>
      </c>
    </row>
    <row r="169" spans="2:11" s="1" customFormat="1" ht="13.5" customHeight="1">
      <c r="B169" s="5"/>
      <c r="C169" s="8" t="s">
        <v>6</v>
      </c>
      <c r="D169" s="9" t="s">
        <v>121</v>
      </c>
      <c r="E169" s="9" t="s">
        <v>121</v>
      </c>
      <c r="F169" s="9" t="s">
        <v>121</v>
      </c>
      <c r="G169" s="9" t="s">
        <v>121</v>
      </c>
      <c r="H169" s="9" t="s">
        <v>121</v>
      </c>
      <c r="I169" s="176" t="s">
        <v>640</v>
      </c>
      <c r="J169" s="102"/>
      <c r="K169" s="177"/>
    </row>
    <row r="170" spans="2:11" s="1" customFormat="1">
      <c r="B170" s="5" t="str">
        <f>CONCATENATE(D170,E170,F170,G170,H170,I170,J170,K170)</f>
        <v>-----000</v>
      </c>
      <c r="C170" s="8" t="s">
        <v>123</v>
      </c>
      <c r="D170" s="9" t="s">
        <v>124</v>
      </c>
      <c r="E170" s="9" t="s">
        <v>124</v>
      </c>
      <c r="F170" s="9" t="s">
        <v>124</v>
      </c>
      <c r="G170" s="9" t="s">
        <v>124</v>
      </c>
      <c r="H170" s="9" t="s">
        <v>124</v>
      </c>
      <c r="I170" s="9">
        <v>0</v>
      </c>
      <c r="J170" s="9">
        <v>0</v>
      </c>
      <c r="K170" s="9">
        <v>0</v>
      </c>
    </row>
    <row r="171" spans="2:11" s="1" customFormat="1">
      <c r="B171" s="5"/>
      <c r="C171" s="14"/>
      <c r="D171" s="15"/>
      <c r="E171" s="15"/>
      <c r="F171" s="15"/>
      <c r="G171" s="15"/>
      <c r="H171" s="15"/>
      <c r="I171" s="15"/>
      <c r="J171" s="15"/>
      <c r="K171" s="15"/>
    </row>
    <row r="172" spans="2:11" s="1" customFormat="1" ht="12.75" customHeight="1">
      <c r="B172" s="5"/>
      <c r="C172" s="173" t="s">
        <v>641</v>
      </c>
      <c r="D172" s="174"/>
      <c r="E172" s="174"/>
      <c r="F172" s="174"/>
      <c r="G172" s="174"/>
      <c r="H172" s="174"/>
      <c r="I172" s="174"/>
      <c r="J172" s="174"/>
      <c r="K172" s="175"/>
    </row>
    <row r="173" spans="2:11" s="1" customFormat="1">
      <c r="B173" s="5"/>
      <c r="C173" s="6" t="s">
        <v>120</v>
      </c>
      <c r="D173" s="7">
        <v>7</v>
      </c>
      <c r="E173" s="7">
        <v>6</v>
      </c>
      <c r="F173" s="7">
        <v>5</v>
      </c>
      <c r="G173" s="7">
        <v>4</v>
      </c>
      <c r="H173" s="7">
        <v>3</v>
      </c>
      <c r="I173" s="7">
        <v>2</v>
      </c>
      <c r="J173" s="7">
        <v>1</v>
      </c>
      <c r="K173" s="7">
        <v>0</v>
      </c>
    </row>
    <row r="174" spans="2:11" s="1" customFormat="1" ht="26.25" customHeight="1">
      <c r="B174" s="5"/>
      <c r="C174" s="8" t="s">
        <v>6</v>
      </c>
      <c r="D174" s="9" t="s">
        <v>121</v>
      </c>
      <c r="E174" s="9" t="s">
        <v>121</v>
      </c>
      <c r="F174" s="9" t="s">
        <v>121</v>
      </c>
      <c r="G174" s="9" t="s">
        <v>121</v>
      </c>
      <c r="H174" s="9" t="s">
        <v>121</v>
      </c>
      <c r="I174" s="9" t="s">
        <v>121</v>
      </c>
      <c r="J174" s="9" t="s">
        <v>121</v>
      </c>
      <c r="K174" s="9" t="s">
        <v>642</v>
      </c>
    </row>
    <row r="175" spans="2:11" s="1" customFormat="1">
      <c r="B175" s="5" t="str">
        <f>CONCATENATE(D175,E175,F175,G175,H175,I175,J175,K175)</f>
        <v>-------0</v>
      </c>
      <c r="C175" s="8" t="s">
        <v>123</v>
      </c>
      <c r="D175" s="9" t="s">
        <v>124</v>
      </c>
      <c r="E175" s="9" t="s">
        <v>124</v>
      </c>
      <c r="F175" s="9" t="s">
        <v>124</v>
      </c>
      <c r="G175" s="9" t="s">
        <v>124</v>
      </c>
      <c r="H175" s="9" t="s">
        <v>124</v>
      </c>
      <c r="I175" s="9" t="s">
        <v>124</v>
      </c>
      <c r="J175" s="9" t="s">
        <v>124</v>
      </c>
      <c r="K175" s="9">
        <v>0</v>
      </c>
    </row>
    <row r="176" spans="2:11" s="1" customFormat="1">
      <c r="B176" s="5"/>
      <c r="C176" s="14"/>
      <c r="D176" s="15"/>
      <c r="E176" s="15"/>
      <c r="F176" s="15"/>
      <c r="G176" s="15"/>
      <c r="H176" s="15"/>
      <c r="I176" s="15"/>
      <c r="J176" s="15"/>
      <c r="K176" s="15"/>
    </row>
    <row r="177" spans="2:11" s="1" customFormat="1" ht="12.75" customHeight="1">
      <c r="B177" s="5"/>
      <c r="C177" s="173" t="s">
        <v>643</v>
      </c>
      <c r="D177" s="174"/>
      <c r="E177" s="174"/>
      <c r="F177" s="174"/>
      <c r="G177" s="174"/>
      <c r="H177" s="174"/>
      <c r="I177" s="174"/>
      <c r="J177" s="174"/>
      <c r="K177" s="175"/>
    </row>
    <row r="178" spans="2:11" s="1" customFormat="1">
      <c r="B178" s="5"/>
      <c r="C178" s="6" t="s">
        <v>120</v>
      </c>
      <c r="D178" s="7">
        <v>7</v>
      </c>
      <c r="E178" s="7">
        <v>6</v>
      </c>
      <c r="F178" s="7">
        <v>5</v>
      </c>
      <c r="G178" s="7">
        <v>4</v>
      </c>
      <c r="H178" s="7">
        <v>3</v>
      </c>
      <c r="I178" s="7">
        <v>2</v>
      </c>
      <c r="J178" s="7">
        <v>1</v>
      </c>
      <c r="K178" s="7">
        <v>0</v>
      </c>
    </row>
    <row r="179" spans="2:11" s="1" customFormat="1" ht="13.5" customHeight="1">
      <c r="B179" s="5"/>
      <c r="C179" s="8" t="s">
        <v>6</v>
      </c>
      <c r="D179" s="9" t="s">
        <v>121</v>
      </c>
      <c r="E179" s="9" t="s">
        <v>121</v>
      </c>
      <c r="F179" s="9" t="s">
        <v>121</v>
      </c>
      <c r="G179" s="9" t="s">
        <v>121</v>
      </c>
      <c r="H179" s="9" t="s">
        <v>121</v>
      </c>
      <c r="I179" s="9" t="s">
        <v>121</v>
      </c>
      <c r="J179" s="9" t="s">
        <v>121</v>
      </c>
      <c r="K179" s="9" t="s">
        <v>644</v>
      </c>
    </row>
    <row r="180" spans="2:11" s="1" customFormat="1">
      <c r="B180" s="5" t="str">
        <f>CONCATENATE(D180,E180,F180,G180,H180,I180,J180,K180)</f>
        <v>-------0</v>
      </c>
      <c r="C180" s="8" t="s">
        <v>123</v>
      </c>
      <c r="D180" s="9" t="s">
        <v>124</v>
      </c>
      <c r="E180" s="9" t="s">
        <v>124</v>
      </c>
      <c r="F180" s="9" t="s">
        <v>124</v>
      </c>
      <c r="G180" s="9" t="s">
        <v>124</v>
      </c>
      <c r="H180" s="9" t="s">
        <v>124</v>
      </c>
      <c r="I180" s="9" t="s">
        <v>124</v>
      </c>
      <c r="J180" s="9" t="s">
        <v>124</v>
      </c>
      <c r="K180" s="9">
        <v>0</v>
      </c>
    </row>
    <row r="181" spans="2:11" s="1" customFormat="1">
      <c r="B181" s="5"/>
      <c r="C181" s="14"/>
      <c r="D181" s="15"/>
      <c r="E181" s="15"/>
      <c r="F181" s="15"/>
      <c r="G181" s="15"/>
      <c r="H181" s="15"/>
      <c r="I181" s="15"/>
      <c r="J181" s="15"/>
      <c r="K181" s="15"/>
    </row>
    <row r="182" spans="2:11" s="1" customFormat="1" ht="12.75" customHeight="1">
      <c r="B182" s="5"/>
      <c r="C182" s="173" t="s">
        <v>645</v>
      </c>
      <c r="D182" s="174"/>
      <c r="E182" s="174"/>
      <c r="F182" s="174"/>
      <c r="G182" s="174"/>
      <c r="H182" s="174"/>
      <c r="I182" s="174"/>
      <c r="J182" s="174"/>
      <c r="K182" s="175"/>
    </row>
    <row r="183" spans="2:11" s="1" customFormat="1">
      <c r="B183" s="5"/>
      <c r="C183" s="6" t="s">
        <v>120</v>
      </c>
      <c r="D183" s="7">
        <v>7</v>
      </c>
      <c r="E183" s="7">
        <v>6</v>
      </c>
      <c r="F183" s="7">
        <v>5</v>
      </c>
      <c r="G183" s="7">
        <v>4</v>
      </c>
      <c r="H183" s="7">
        <v>3</v>
      </c>
      <c r="I183" s="7">
        <v>2</v>
      </c>
      <c r="J183" s="7">
        <v>1</v>
      </c>
      <c r="K183" s="7">
        <v>0</v>
      </c>
    </row>
    <row r="184" spans="2:11" s="1" customFormat="1" ht="13.5" customHeight="1">
      <c r="B184" s="5"/>
      <c r="C184" s="8" t="s">
        <v>6</v>
      </c>
      <c r="D184" s="9" t="s">
        <v>121</v>
      </c>
      <c r="E184" s="9" t="s">
        <v>121</v>
      </c>
      <c r="F184" s="9" t="s">
        <v>121</v>
      </c>
      <c r="G184" s="9" t="s">
        <v>121</v>
      </c>
      <c r="H184" s="9" t="s">
        <v>121</v>
      </c>
      <c r="I184" s="9" t="s">
        <v>121</v>
      </c>
      <c r="J184" s="9" t="s">
        <v>121</v>
      </c>
      <c r="K184" s="9" t="s">
        <v>646</v>
      </c>
    </row>
    <row r="185" spans="2:11" s="1" customFormat="1">
      <c r="B185" s="5" t="str">
        <f>CONCATENATE(D185,E185,F185,G185,H185,I185,J185,K185)</f>
        <v>-------0</v>
      </c>
      <c r="C185" s="8" t="s">
        <v>123</v>
      </c>
      <c r="D185" s="9" t="s">
        <v>124</v>
      </c>
      <c r="E185" s="9" t="s">
        <v>124</v>
      </c>
      <c r="F185" s="9" t="s">
        <v>124</v>
      </c>
      <c r="G185" s="9" t="s">
        <v>124</v>
      </c>
      <c r="H185" s="9" t="s">
        <v>124</v>
      </c>
      <c r="I185" s="9" t="s">
        <v>124</v>
      </c>
      <c r="J185" s="9" t="s">
        <v>124</v>
      </c>
      <c r="K185" s="9">
        <v>0</v>
      </c>
    </row>
    <row r="186" spans="2:11" s="1" customFormat="1">
      <c r="B186" s="5"/>
      <c r="C186" s="14"/>
      <c r="D186" s="15"/>
      <c r="E186" s="15"/>
      <c r="F186" s="15"/>
      <c r="G186" s="15"/>
      <c r="H186" s="15"/>
      <c r="I186" s="15"/>
      <c r="J186" s="15"/>
      <c r="K186" s="15"/>
    </row>
    <row r="187" spans="2:11" s="1" customFormat="1" ht="12.75" customHeight="1">
      <c r="B187" s="5"/>
      <c r="C187" s="173" t="s">
        <v>647</v>
      </c>
      <c r="D187" s="174"/>
      <c r="E187" s="174"/>
      <c r="F187" s="174"/>
      <c r="G187" s="174"/>
      <c r="H187" s="174"/>
      <c r="I187" s="174"/>
      <c r="J187" s="174"/>
      <c r="K187" s="175"/>
    </row>
    <row r="188" spans="2:11" s="1" customFormat="1">
      <c r="B188" s="5"/>
      <c r="C188" s="6" t="s">
        <v>120</v>
      </c>
      <c r="D188" s="7">
        <v>7</v>
      </c>
      <c r="E188" s="7">
        <v>6</v>
      </c>
      <c r="F188" s="7">
        <v>5</v>
      </c>
      <c r="G188" s="7">
        <v>4</v>
      </c>
      <c r="H188" s="7">
        <v>3</v>
      </c>
      <c r="I188" s="7">
        <v>2</v>
      </c>
      <c r="J188" s="7">
        <v>1</v>
      </c>
      <c r="K188" s="7">
        <v>0</v>
      </c>
    </row>
    <row r="189" spans="2:11" s="1" customFormat="1" ht="13.5" customHeight="1">
      <c r="B189" s="5"/>
      <c r="C189" s="8" t="s">
        <v>6</v>
      </c>
      <c r="D189" s="9" t="s">
        <v>121</v>
      </c>
      <c r="E189" s="9" t="s">
        <v>121</v>
      </c>
      <c r="F189" s="9" t="s">
        <v>121</v>
      </c>
      <c r="G189" s="9" t="s">
        <v>121</v>
      </c>
      <c r="H189" s="9" t="s">
        <v>121</v>
      </c>
      <c r="I189" s="9" t="s">
        <v>121</v>
      </c>
      <c r="J189" s="9" t="s">
        <v>121</v>
      </c>
      <c r="K189" s="9" t="s">
        <v>648</v>
      </c>
    </row>
    <row r="190" spans="2:11" s="1" customFormat="1">
      <c r="B190" s="5" t="str">
        <f>CONCATENATE(D190,E190,F190,G190,H190,I190,J190,K190)</f>
        <v>-------0</v>
      </c>
      <c r="C190" s="8" t="s">
        <v>123</v>
      </c>
      <c r="D190" s="9" t="s">
        <v>124</v>
      </c>
      <c r="E190" s="9" t="s">
        <v>124</v>
      </c>
      <c r="F190" s="9" t="s">
        <v>124</v>
      </c>
      <c r="G190" s="9" t="s">
        <v>124</v>
      </c>
      <c r="H190" s="9" t="s">
        <v>124</v>
      </c>
      <c r="I190" s="9" t="s">
        <v>124</v>
      </c>
      <c r="J190" s="9" t="s">
        <v>124</v>
      </c>
      <c r="K190" s="9">
        <v>0</v>
      </c>
    </row>
    <row r="191" spans="2:11" s="1" customFormat="1">
      <c r="B191" s="5"/>
      <c r="C191" s="14"/>
      <c r="D191" s="15"/>
      <c r="E191" s="15"/>
      <c r="F191" s="15"/>
      <c r="G191" s="15"/>
      <c r="H191" s="15"/>
      <c r="I191" s="15"/>
      <c r="J191" s="15"/>
      <c r="K191" s="15"/>
    </row>
    <row r="192" spans="2:11" s="1" customFormat="1" ht="12.75" customHeight="1">
      <c r="B192" s="5"/>
      <c r="C192" s="173" t="s">
        <v>649</v>
      </c>
      <c r="D192" s="174"/>
      <c r="E192" s="174"/>
      <c r="F192" s="174"/>
      <c r="G192" s="174"/>
      <c r="H192" s="174"/>
      <c r="I192" s="174"/>
      <c r="J192" s="174"/>
      <c r="K192" s="175"/>
    </row>
    <row r="193" spans="2:11" s="1" customFormat="1">
      <c r="B193" s="5"/>
      <c r="C193" s="6" t="s">
        <v>120</v>
      </c>
      <c r="D193" s="7">
        <v>7</v>
      </c>
      <c r="E193" s="7">
        <v>6</v>
      </c>
      <c r="F193" s="7">
        <v>5</v>
      </c>
      <c r="G193" s="7">
        <v>4</v>
      </c>
      <c r="H193" s="7">
        <v>3</v>
      </c>
      <c r="I193" s="7">
        <v>2</v>
      </c>
      <c r="J193" s="7">
        <v>1</v>
      </c>
      <c r="K193" s="7">
        <v>0</v>
      </c>
    </row>
    <row r="194" spans="2:11" s="1" customFormat="1" ht="13.5" customHeight="1">
      <c r="B194" s="5"/>
      <c r="C194" s="8" t="s">
        <v>6</v>
      </c>
      <c r="D194" s="9" t="s">
        <v>121</v>
      </c>
      <c r="E194" s="9" t="s">
        <v>121</v>
      </c>
      <c r="F194" s="9" t="s">
        <v>121</v>
      </c>
      <c r="G194" s="9" t="s">
        <v>121</v>
      </c>
      <c r="H194" s="9" t="s">
        <v>121</v>
      </c>
      <c r="I194" s="9" t="s">
        <v>121</v>
      </c>
      <c r="J194" s="9" t="s">
        <v>121</v>
      </c>
      <c r="K194" s="9" t="s">
        <v>650</v>
      </c>
    </row>
    <row r="195" spans="2:11" s="1" customFormat="1">
      <c r="B195" s="5" t="str">
        <f>CONCATENATE(D195,E195,F195,G195,H195,I195,J195,K195)</f>
        <v>-------0</v>
      </c>
      <c r="C195" s="8" t="s">
        <v>123</v>
      </c>
      <c r="D195" s="9" t="s">
        <v>124</v>
      </c>
      <c r="E195" s="9" t="s">
        <v>124</v>
      </c>
      <c r="F195" s="9" t="s">
        <v>124</v>
      </c>
      <c r="G195" s="9" t="s">
        <v>124</v>
      </c>
      <c r="H195" s="9" t="s">
        <v>124</v>
      </c>
      <c r="I195" s="9" t="s">
        <v>124</v>
      </c>
      <c r="J195" s="9" t="s">
        <v>124</v>
      </c>
      <c r="K195" s="9">
        <v>0</v>
      </c>
    </row>
    <row r="196" spans="2:11" s="1" customFormat="1">
      <c r="B196" s="5"/>
      <c r="C196" s="14"/>
      <c r="D196" s="15"/>
      <c r="E196" s="15"/>
      <c r="F196" s="15"/>
      <c r="G196" s="15"/>
      <c r="H196" s="15"/>
      <c r="I196" s="15"/>
      <c r="J196" s="15"/>
      <c r="K196" s="15"/>
    </row>
    <row r="197" spans="2:11" s="1" customFormat="1" ht="12.75" customHeight="1">
      <c r="B197" s="5"/>
      <c r="C197" s="181" t="s">
        <v>651</v>
      </c>
      <c r="D197" s="182"/>
      <c r="E197" s="182"/>
      <c r="F197" s="182"/>
      <c r="G197" s="182"/>
      <c r="H197" s="182"/>
      <c r="I197" s="182"/>
      <c r="J197" s="182"/>
      <c r="K197" s="183"/>
    </row>
    <row r="198" spans="2:11" s="1" customFormat="1">
      <c r="B198" s="5"/>
      <c r="C198" s="6" t="s">
        <v>120</v>
      </c>
      <c r="D198" s="7">
        <v>7</v>
      </c>
      <c r="E198" s="7">
        <v>6</v>
      </c>
      <c r="F198" s="7">
        <v>5</v>
      </c>
      <c r="G198" s="7">
        <v>4</v>
      </c>
      <c r="H198" s="7">
        <v>3</v>
      </c>
      <c r="I198" s="7">
        <v>2</v>
      </c>
      <c r="J198" s="7">
        <v>1</v>
      </c>
      <c r="K198" s="7">
        <v>0</v>
      </c>
    </row>
    <row r="199" spans="2:11" s="1" customFormat="1" ht="13.5" customHeight="1">
      <c r="B199" s="5"/>
      <c r="C199" s="8" t="s">
        <v>6</v>
      </c>
      <c r="D199" s="176" t="s">
        <v>652</v>
      </c>
      <c r="E199" s="102"/>
      <c r="F199" s="102"/>
      <c r="G199" s="102"/>
      <c r="H199" s="102"/>
      <c r="I199" s="102"/>
      <c r="J199" s="102"/>
      <c r="K199" s="177"/>
    </row>
    <row r="200" spans="2:11" s="1" customFormat="1">
      <c r="B200" s="5" t="str">
        <f>CONCATENATE(D200,E200,F200,G200,H200,I200,J200,K200)</f>
        <v>00000000</v>
      </c>
      <c r="C200" s="8" t="s">
        <v>123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</row>
    <row r="201" spans="2:11" s="1" customFormat="1">
      <c r="B201" s="5"/>
      <c r="C201" s="14"/>
      <c r="D201" s="15"/>
      <c r="E201" s="15"/>
      <c r="F201" s="15"/>
      <c r="G201" s="15"/>
      <c r="H201" s="15"/>
      <c r="I201" s="15"/>
      <c r="J201" s="15"/>
      <c r="K201" s="15"/>
    </row>
    <row r="202" spans="2:11" s="1" customFormat="1" ht="12.75" customHeight="1">
      <c r="B202" s="5"/>
      <c r="C202" s="181" t="s">
        <v>653</v>
      </c>
      <c r="D202" s="182"/>
      <c r="E202" s="182"/>
      <c r="F202" s="182"/>
      <c r="G202" s="182"/>
      <c r="H202" s="182"/>
      <c r="I202" s="182"/>
      <c r="J202" s="182"/>
      <c r="K202" s="183"/>
    </row>
    <row r="203" spans="2:11" s="1" customFormat="1">
      <c r="B203" s="5"/>
      <c r="C203" s="6" t="s">
        <v>120</v>
      </c>
      <c r="D203" s="7">
        <v>7</v>
      </c>
      <c r="E203" s="7">
        <v>6</v>
      </c>
      <c r="F203" s="7">
        <v>5</v>
      </c>
      <c r="G203" s="7">
        <v>4</v>
      </c>
      <c r="H203" s="7">
        <v>3</v>
      </c>
      <c r="I203" s="7">
        <v>2</v>
      </c>
      <c r="J203" s="7">
        <v>1</v>
      </c>
      <c r="K203" s="7">
        <v>0</v>
      </c>
    </row>
    <row r="204" spans="2:11" s="1" customFormat="1" ht="13.5" customHeight="1">
      <c r="B204" s="5"/>
      <c r="C204" s="8" t="s">
        <v>6</v>
      </c>
      <c r="D204" s="176" t="s">
        <v>654</v>
      </c>
      <c r="E204" s="102"/>
      <c r="F204" s="102"/>
      <c r="G204" s="102"/>
      <c r="H204" s="102"/>
      <c r="I204" s="102"/>
      <c r="J204" s="102"/>
      <c r="K204" s="177"/>
    </row>
    <row r="205" spans="2:11" s="1" customFormat="1">
      <c r="B205" s="5" t="str">
        <f>CONCATENATE(D205,E205,F205,G205,H205,I205,J205,K205)</f>
        <v>00000000</v>
      </c>
      <c r="C205" s="8" t="s">
        <v>123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</row>
    <row r="206" spans="2:11" s="1" customFormat="1">
      <c r="B206" s="5"/>
      <c r="C206" s="14"/>
      <c r="D206" s="15"/>
      <c r="E206" s="15"/>
      <c r="F206" s="15"/>
      <c r="G206" s="15"/>
      <c r="H206" s="15"/>
      <c r="I206" s="15"/>
      <c r="J206" s="15"/>
      <c r="K206" s="15"/>
    </row>
    <row r="207" spans="2:11" s="1" customFormat="1" ht="12.75" customHeight="1">
      <c r="B207" s="5"/>
      <c r="C207" s="181" t="s">
        <v>655</v>
      </c>
      <c r="D207" s="182"/>
      <c r="E207" s="182"/>
      <c r="F207" s="182"/>
      <c r="G207" s="182"/>
      <c r="H207" s="182"/>
      <c r="I207" s="182"/>
      <c r="J207" s="182"/>
      <c r="K207" s="183"/>
    </row>
    <row r="208" spans="2:11" s="1" customFormat="1">
      <c r="B208" s="5"/>
      <c r="C208" s="6" t="s">
        <v>120</v>
      </c>
      <c r="D208" s="7">
        <v>7</v>
      </c>
      <c r="E208" s="7">
        <v>6</v>
      </c>
      <c r="F208" s="7">
        <v>5</v>
      </c>
      <c r="G208" s="7">
        <v>4</v>
      </c>
      <c r="H208" s="7">
        <v>3</v>
      </c>
      <c r="I208" s="7">
        <v>2</v>
      </c>
      <c r="J208" s="7">
        <v>1</v>
      </c>
      <c r="K208" s="7">
        <v>0</v>
      </c>
    </row>
    <row r="209" spans="2:11" s="1" customFormat="1" ht="13.5" customHeight="1">
      <c r="B209" s="5"/>
      <c r="C209" s="8" t="s">
        <v>6</v>
      </c>
      <c r="D209" s="176" t="s">
        <v>656</v>
      </c>
      <c r="E209" s="102"/>
      <c r="F209" s="102"/>
      <c r="G209" s="102"/>
      <c r="H209" s="102"/>
      <c r="I209" s="102"/>
      <c r="J209" s="102"/>
      <c r="K209" s="177"/>
    </row>
    <row r="210" spans="2:11" s="1" customFormat="1">
      <c r="B210" s="5" t="str">
        <f>CONCATENATE(D210,E210,F210,G210,H210,I210,J210,K210)</f>
        <v>00000000</v>
      </c>
      <c r="C210" s="8" t="s">
        <v>123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</row>
    <row r="211" spans="2:11" s="1" customFormat="1">
      <c r="B211" s="5"/>
      <c r="C211" s="14"/>
      <c r="D211" s="15"/>
      <c r="E211" s="15"/>
      <c r="F211" s="15"/>
      <c r="G211" s="15"/>
      <c r="H211" s="15"/>
      <c r="I211" s="15"/>
      <c r="J211" s="15"/>
      <c r="K211" s="15"/>
    </row>
    <row r="212" spans="2:11" s="1" customFormat="1" ht="12.75" customHeight="1">
      <c r="B212" s="5"/>
      <c r="C212" s="181" t="s">
        <v>657</v>
      </c>
      <c r="D212" s="182"/>
      <c r="E212" s="182"/>
      <c r="F212" s="182"/>
      <c r="G212" s="182"/>
      <c r="H212" s="182"/>
      <c r="I212" s="182"/>
      <c r="J212" s="182"/>
      <c r="K212" s="183"/>
    </row>
    <row r="213" spans="2:11" s="1" customFormat="1">
      <c r="B213" s="5"/>
      <c r="C213" s="6" t="s">
        <v>120</v>
      </c>
      <c r="D213" s="7">
        <v>7</v>
      </c>
      <c r="E213" s="7">
        <v>6</v>
      </c>
      <c r="F213" s="7">
        <v>5</v>
      </c>
      <c r="G213" s="7">
        <v>4</v>
      </c>
      <c r="H213" s="7">
        <v>3</v>
      </c>
      <c r="I213" s="7">
        <v>2</v>
      </c>
      <c r="J213" s="7">
        <v>1</v>
      </c>
      <c r="K213" s="7">
        <v>0</v>
      </c>
    </row>
    <row r="214" spans="2:11" s="1" customFormat="1" ht="13.5" customHeight="1">
      <c r="B214" s="5"/>
      <c r="C214" s="8" t="s">
        <v>6</v>
      </c>
      <c r="D214" s="176" t="s">
        <v>658</v>
      </c>
      <c r="E214" s="102"/>
      <c r="F214" s="102"/>
      <c r="G214" s="102"/>
      <c r="H214" s="102"/>
      <c r="I214" s="102"/>
      <c r="J214" s="102"/>
      <c r="K214" s="177"/>
    </row>
    <row r="215" spans="2:11" s="1" customFormat="1">
      <c r="B215" s="5" t="str">
        <f>CONCATENATE(D215,E215,F215,G215,H215,I215,J215,K215)</f>
        <v>00000000</v>
      </c>
      <c r="C215" s="8" t="s">
        <v>123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</row>
    <row r="216" spans="2:11" s="1" customFormat="1">
      <c r="B216" s="5"/>
      <c r="C216" s="14"/>
      <c r="D216" s="15"/>
      <c r="E216" s="15"/>
      <c r="F216" s="15"/>
      <c r="G216" s="15"/>
      <c r="H216" s="15"/>
      <c r="I216" s="15"/>
      <c r="J216" s="15"/>
      <c r="K216" s="15"/>
    </row>
    <row r="217" spans="2:11" s="1" customFormat="1" ht="12.75" customHeight="1">
      <c r="B217" s="5"/>
      <c r="C217" s="181" t="s">
        <v>659</v>
      </c>
      <c r="D217" s="182"/>
      <c r="E217" s="182"/>
      <c r="F217" s="182"/>
      <c r="G217" s="182"/>
      <c r="H217" s="182"/>
      <c r="I217" s="182"/>
      <c r="J217" s="182"/>
      <c r="K217" s="183"/>
    </row>
    <row r="218" spans="2:11" s="1" customFormat="1">
      <c r="B218" s="5"/>
      <c r="C218" s="6" t="s">
        <v>120</v>
      </c>
      <c r="D218" s="7">
        <v>7</v>
      </c>
      <c r="E218" s="7">
        <v>6</v>
      </c>
      <c r="F218" s="7">
        <v>5</v>
      </c>
      <c r="G218" s="7">
        <v>4</v>
      </c>
      <c r="H218" s="7">
        <v>3</v>
      </c>
      <c r="I218" s="7">
        <v>2</v>
      </c>
      <c r="J218" s="7">
        <v>1</v>
      </c>
      <c r="K218" s="7">
        <v>0</v>
      </c>
    </row>
    <row r="219" spans="2:11" s="1" customFormat="1" ht="13.5" customHeight="1">
      <c r="B219" s="5"/>
      <c r="C219" s="8" t="s">
        <v>6</v>
      </c>
      <c r="D219" s="176" t="s">
        <v>660</v>
      </c>
      <c r="E219" s="102"/>
      <c r="F219" s="102"/>
      <c r="G219" s="102"/>
      <c r="H219" s="102"/>
      <c r="I219" s="102"/>
      <c r="J219" s="102"/>
      <c r="K219" s="177"/>
    </row>
    <row r="220" spans="2:11" s="1" customFormat="1">
      <c r="B220" s="5" t="str">
        <f>CONCATENATE(D220,E220,F220,G220,H220,I220,J220,K220)</f>
        <v>00000000</v>
      </c>
      <c r="C220" s="8" t="s">
        <v>123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</row>
    <row r="221" spans="2:11" s="1" customFormat="1">
      <c r="B221" s="5"/>
      <c r="C221" s="14"/>
      <c r="D221" s="15"/>
      <c r="E221" s="15"/>
      <c r="F221" s="15"/>
      <c r="G221" s="15"/>
      <c r="H221" s="15"/>
      <c r="I221" s="15"/>
      <c r="J221" s="15"/>
      <c r="K221" s="15"/>
    </row>
    <row r="222" spans="2:11" s="1" customFormat="1" ht="12.75" customHeight="1">
      <c r="B222" s="5"/>
      <c r="C222" s="181" t="s">
        <v>661</v>
      </c>
      <c r="D222" s="182"/>
      <c r="E222" s="182"/>
      <c r="F222" s="182"/>
      <c r="G222" s="182"/>
      <c r="H222" s="182"/>
      <c r="I222" s="182"/>
      <c r="J222" s="182"/>
      <c r="K222" s="183"/>
    </row>
    <row r="223" spans="2:11" s="1" customFormat="1">
      <c r="B223" s="5"/>
      <c r="C223" s="6" t="s">
        <v>120</v>
      </c>
      <c r="D223" s="7">
        <v>7</v>
      </c>
      <c r="E223" s="7">
        <v>6</v>
      </c>
      <c r="F223" s="7">
        <v>5</v>
      </c>
      <c r="G223" s="7">
        <v>4</v>
      </c>
      <c r="H223" s="7">
        <v>3</v>
      </c>
      <c r="I223" s="7">
        <v>2</v>
      </c>
      <c r="J223" s="7">
        <v>1</v>
      </c>
      <c r="K223" s="7">
        <v>0</v>
      </c>
    </row>
    <row r="224" spans="2:11" s="1" customFormat="1" ht="13.5" customHeight="1">
      <c r="B224" s="5"/>
      <c r="C224" s="8" t="s">
        <v>6</v>
      </c>
      <c r="D224" s="176" t="s">
        <v>662</v>
      </c>
      <c r="E224" s="102"/>
      <c r="F224" s="102"/>
      <c r="G224" s="102"/>
      <c r="H224" s="102"/>
      <c r="I224" s="102"/>
      <c r="J224" s="102"/>
      <c r="K224" s="177"/>
    </row>
    <row r="225" spans="2:11" s="1" customFormat="1">
      <c r="B225" s="5" t="str">
        <f>CONCATENATE(D225,E225,F225,G225,H225,I225,J225,K225)</f>
        <v>00000000</v>
      </c>
      <c r="C225" s="8" t="s">
        <v>123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</row>
    <row r="226" spans="2:11" s="1" customFormat="1">
      <c r="B226" s="5"/>
      <c r="C226" s="14"/>
      <c r="D226" s="15"/>
      <c r="E226" s="15"/>
      <c r="F226" s="15"/>
      <c r="G226" s="15"/>
      <c r="H226" s="15"/>
      <c r="I226" s="15"/>
      <c r="J226" s="15"/>
      <c r="K226" s="15"/>
    </row>
    <row r="227" spans="2:11" s="1" customFormat="1" ht="12.75" customHeight="1">
      <c r="B227" s="5"/>
      <c r="C227" s="200" t="s">
        <v>663</v>
      </c>
      <c r="D227" s="201"/>
      <c r="E227" s="201"/>
      <c r="F227" s="201"/>
      <c r="G227" s="201"/>
      <c r="H227" s="201"/>
      <c r="I227" s="201"/>
      <c r="J227" s="201"/>
      <c r="K227" s="202"/>
    </row>
    <row r="228" spans="2:11" s="1" customFormat="1">
      <c r="B228" s="5"/>
      <c r="C228" s="6" t="s">
        <v>120</v>
      </c>
      <c r="D228" s="7">
        <v>7</v>
      </c>
      <c r="E228" s="7">
        <v>6</v>
      </c>
      <c r="F228" s="7">
        <v>5</v>
      </c>
      <c r="G228" s="7">
        <v>4</v>
      </c>
      <c r="H228" s="7">
        <v>3</v>
      </c>
      <c r="I228" s="7">
        <v>2</v>
      </c>
      <c r="J228" s="7">
        <v>1</v>
      </c>
      <c r="K228" s="7">
        <v>0</v>
      </c>
    </row>
    <row r="229" spans="2:11" s="1" customFormat="1" ht="13.5" customHeight="1">
      <c r="B229" s="5"/>
      <c r="C229" s="8" t="s">
        <v>6</v>
      </c>
      <c r="D229" s="9" t="s">
        <v>121</v>
      </c>
      <c r="E229" s="9" t="s">
        <v>121</v>
      </c>
      <c r="F229" s="9" t="s">
        <v>121</v>
      </c>
      <c r="G229" s="9" t="s">
        <v>121</v>
      </c>
      <c r="H229" s="9" t="s">
        <v>121</v>
      </c>
      <c r="I229" s="9" t="s">
        <v>121</v>
      </c>
      <c r="J229" s="9" t="s">
        <v>121</v>
      </c>
      <c r="K229" s="9" t="s">
        <v>664</v>
      </c>
    </row>
    <row r="230" spans="2:11" s="1" customFormat="1">
      <c r="B230" s="5" t="str">
        <f>CONCATENATE(D230,E230,F230,G230,H230,I230,J230,K230)</f>
        <v>-------0</v>
      </c>
      <c r="C230" s="8" t="s">
        <v>123</v>
      </c>
      <c r="D230" s="9" t="s">
        <v>124</v>
      </c>
      <c r="E230" s="9" t="s">
        <v>124</v>
      </c>
      <c r="F230" s="9" t="s">
        <v>124</v>
      </c>
      <c r="G230" s="9" t="s">
        <v>124</v>
      </c>
      <c r="H230" s="9" t="s">
        <v>124</v>
      </c>
      <c r="I230" s="9" t="s">
        <v>124</v>
      </c>
      <c r="J230" s="9" t="s">
        <v>124</v>
      </c>
      <c r="K230" s="9">
        <v>0</v>
      </c>
    </row>
    <row r="231" spans="2:11" s="1" customFormat="1">
      <c r="B231" s="5"/>
      <c r="C231" s="14"/>
      <c r="D231" s="15"/>
      <c r="E231" s="15"/>
      <c r="F231" s="15"/>
      <c r="G231" s="15"/>
      <c r="H231" s="15"/>
      <c r="I231" s="15"/>
      <c r="J231" s="15"/>
      <c r="K231" s="15"/>
    </row>
    <row r="232" spans="2:11" s="1" customFormat="1" ht="12.75" customHeight="1">
      <c r="B232" s="5"/>
      <c r="C232" s="200" t="s">
        <v>665</v>
      </c>
      <c r="D232" s="201"/>
      <c r="E232" s="201"/>
      <c r="F232" s="201"/>
      <c r="G232" s="201"/>
      <c r="H232" s="201"/>
      <c r="I232" s="201"/>
      <c r="J232" s="201"/>
      <c r="K232" s="202"/>
    </row>
    <row r="233" spans="2:11" s="1" customFormat="1">
      <c r="B233" s="5"/>
      <c r="C233" s="6" t="s">
        <v>120</v>
      </c>
      <c r="D233" s="7">
        <v>7</v>
      </c>
      <c r="E233" s="7">
        <v>6</v>
      </c>
      <c r="F233" s="7">
        <v>5</v>
      </c>
      <c r="G233" s="7">
        <v>4</v>
      </c>
      <c r="H233" s="7">
        <v>3</v>
      </c>
      <c r="I233" s="7">
        <v>2</v>
      </c>
      <c r="J233" s="7">
        <v>1</v>
      </c>
      <c r="K233" s="7">
        <v>0</v>
      </c>
    </row>
    <row r="234" spans="2:11" s="1" customFormat="1" ht="13.5" customHeight="1">
      <c r="B234" s="5"/>
      <c r="C234" s="8" t="s">
        <v>6</v>
      </c>
      <c r="D234" s="176" t="s">
        <v>666</v>
      </c>
      <c r="E234" s="102"/>
      <c r="F234" s="102"/>
      <c r="G234" s="102"/>
      <c r="H234" s="102"/>
      <c r="I234" s="102"/>
      <c r="J234" s="102"/>
      <c r="K234" s="177"/>
    </row>
    <row r="235" spans="2:11" s="1" customFormat="1">
      <c r="B235" s="5" t="str">
        <f>CONCATENATE(D235,E235,F235,G235,H235,I235,J235,K235)</f>
        <v>00000000</v>
      </c>
      <c r="C235" s="8" t="s">
        <v>123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</row>
    <row r="236" spans="2:11" s="1" customFormat="1">
      <c r="B236" s="5"/>
      <c r="C236" s="14"/>
      <c r="D236" s="15"/>
      <c r="E236" s="15"/>
      <c r="F236" s="15"/>
      <c r="G236" s="15"/>
      <c r="H236" s="15"/>
      <c r="I236" s="15"/>
      <c r="J236" s="15"/>
      <c r="K236" s="15"/>
    </row>
    <row r="237" spans="2:11" s="1" customFormat="1" ht="12.75" customHeight="1">
      <c r="B237" s="5"/>
      <c r="C237" s="200" t="s">
        <v>667</v>
      </c>
      <c r="D237" s="201"/>
      <c r="E237" s="201"/>
      <c r="F237" s="201"/>
      <c r="G237" s="201"/>
      <c r="H237" s="201"/>
      <c r="I237" s="201"/>
      <c r="J237" s="201"/>
      <c r="K237" s="202"/>
    </row>
    <row r="238" spans="2:11" s="1" customFormat="1">
      <c r="B238" s="5"/>
      <c r="C238" s="6" t="s">
        <v>120</v>
      </c>
      <c r="D238" s="7">
        <v>7</v>
      </c>
      <c r="E238" s="7">
        <v>6</v>
      </c>
      <c r="F238" s="7">
        <v>5</v>
      </c>
      <c r="G238" s="7">
        <v>4</v>
      </c>
      <c r="H238" s="7">
        <v>3</v>
      </c>
      <c r="I238" s="7">
        <v>2</v>
      </c>
      <c r="J238" s="7">
        <v>1</v>
      </c>
      <c r="K238" s="7">
        <v>0</v>
      </c>
    </row>
    <row r="239" spans="2:11" s="1" customFormat="1" ht="13.5" customHeight="1">
      <c r="B239" s="5"/>
      <c r="C239" s="8" t="s">
        <v>6</v>
      </c>
      <c r="D239" s="176" t="s">
        <v>668</v>
      </c>
      <c r="E239" s="102"/>
      <c r="F239" s="102"/>
      <c r="G239" s="102"/>
      <c r="H239" s="102"/>
      <c r="I239" s="102"/>
      <c r="J239" s="102"/>
      <c r="K239" s="177"/>
    </row>
    <row r="240" spans="2:11" s="1" customFormat="1">
      <c r="B240" s="5" t="str">
        <f>CONCATENATE(D240,E240,F240,G240,H240,I240,J240,K240)</f>
        <v>00000000</v>
      </c>
      <c r="C240" s="8" t="s">
        <v>123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</row>
    <row r="241" spans="2:11" s="1" customFormat="1">
      <c r="B241" s="5"/>
      <c r="C241" s="14"/>
      <c r="D241" s="15"/>
      <c r="E241" s="15"/>
      <c r="F241" s="15"/>
      <c r="G241" s="15"/>
      <c r="H241" s="15"/>
      <c r="I241" s="15"/>
      <c r="J241" s="15"/>
      <c r="K241" s="15"/>
    </row>
    <row r="242" spans="2:11" s="1" customFormat="1" ht="12.75" customHeight="1">
      <c r="B242" s="5"/>
      <c r="C242" s="200" t="s">
        <v>669</v>
      </c>
      <c r="D242" s="201"/>
      <c r="E242" s="201"/>
      <c r="F242" s="201"/>
      <c r="G242" s="201"/>
      <c r="H242" s="201"/>
      <c r="I242" s="201"/>
      <c r="J242" s="201"/>
      <c r="K242" s="202"/>
    </row>
    <row r="243" spans="2:11" s="1" customFormat="1">
      <c r="B243" s="5"/>
      <c r="C243" s="6" t="s">
        <v>120</v>
      </c>
      <c r="D243" s="7">
        <v>7</v>
      </c>
      <c r="E243" s="7">
        <v>6</v>
      </c>
      <c r="F243" s="7">
        <v>5</v>
      </c>
      <c r="G243" s="7">
        <v>4</v>
      </c>
      <c r="H243" s="7">
        <v>3</v>
      </c>
      <c r="I243" s="7">
        <v>2</v>
      </c>
      <c r="J243" s="7">
        <v>1</v>
      </c>
      <c r="K243" s="7">
        <v>0</v>
      </c>
    </row>
    <row r="244" spans="2:11" s="1" customFormat="1" ht="13.5" customHeight="1">
      <c r="B244" s="5"/>
      <c r="C244" s="8" t="s">
        <v>6</v>
      </c>
      <c r="D244" s="9" t="s">
        <v>121</v>
      </c>
      <c r="E244" s="9" t="s">
        <v>121</v>
      </c>
      <c r="F244" s="9" t="s">
        <v>121</v>
      </c>
      <c r="G244" s="9" t="s">
        <v>121</v>
      </c>
      <c r="H244" s="9" t="s">
        <v>121</v>
      </c>
      <c r="I244" s="9" t="s">
        <v>121</v>
      </c>
      <c r="J244" s="176" t="s">
        <v>670</v>
      </c>
      <c r="K244" s="177"/>
    </row>
    <row r="245" spans="2:11" s="1" customFormat="1">
      <c r="B245" s="5" t="str">
        <f>CONCATENATE(D245,E245,F245,G245,H245,I245,J245,K245)</f>
        <v>------00</v>
      </c>
      <c r="C245" s="8" t="s">
        <v>123</v>
      </c>
      <c r="D245" s="9" t="s">
        <v>124</v>
      </c>
      <c r="E245" s="9" t="s">
        <v>124</v>
      </c>
      <c r="F245" s="9" t="s">
        <v>124</v>
      </c>
      <c r="G245" s="9" t="s">
        <v>124</v>
      </c>
      <c r="H245" s="9" t="s">
        <v>124</v>
      </c>
      <c r="I245" s="9" t="s">
        <v>124</v>
      </c>
      <c r="J245" s="9">
        <v>0</v>
      </c>
      <c r="K245" s="9">
        <v>0</v>
      </c>
    </row>
    <row r="246" spans="2:11" s="1" customFormat="1">
      <c r="B246" s="5"/>
      <c r="C246" s="14"/>
      <c r="D246" s="15"/>
      <c r="E246" s="15"/>
      <c r="F246" s="15"/>
      <c r="G246" s="15"/>
      <c r="H246" s="15"/>
      <c r="I246" s="15"/>
      <c r="J246" s="15"/>
      <c r="K246" s="15"/>
    </row>
    <row r="247" spans="2:11" s="1" customFormat="1" ht="12.75" customHeight="1">
      <c r="B247" s="5"/>
      <c r="C247" s="200" t="s">
        <v>671</v>
      </c>
      <c r="D247" s="201"/>
      <c r="E247" s="201"/>
      <c r="F247" s="201"/>
      <c r="G247" s="201"/>
      <c r="H247" s="201"/>
      <c r="I247" s="201"/>
      <c r="J247" s="201"/>
      <c r="K247" s="202"/>
    </row>
    <row r="248" spans="2:11" s="1" customFormat="1">
      <c r="B248" s="5"/>
      <c r="C248" s="6" t="s">
        <v>120</v>
      </c>
      <c r="D248" s="7">
        <v>7</v>
      </c>
      <c r="E248" s="7">
        <v>6</v>
      </c>
      <c r="F248" s="7">
        <v>5</v>
      </c>
      <c r="G248" s="7">
        <v>4</v>
      </c>
      <c r="H248" s="7">
        <v>3</v>
      </c>
      <c r="I248" s="7">
        <v>2</v>
      </c>
      <c r="J248" s="7">
        <v>1</v>
      </c>
      <c r="K248" s="7">
        <v>0</v>
      </c>
    </row>
    <row r="249" spans="2:11" s="1" customFormat="1" ht="13.5" customHeight="1">
      <c r="B249" s="5"/>
      <c r="C249" s="8" t="s">
        <v>6</v>
      </c>
      <c r="D249" s="176" t="s">
        <v>672</v>
      </c>
      <c r="E249" s="102"/>
      <c r="F249" s="102"/>
      <c r="G249" s="102"/>
      <c r="H249" s="102"/>
      <c r="I249" s="102"/>
      <c r="J249" s="102"/>
      <c r="K249" s="177"/>
    </row>
    <row r="250" spans="2:11" s="1" customFormat="1">
      <c r="B250" s="5" t="str">
        <f>CONCATENATE(D250,E250,F250,G250,H250,I250,J250,K250)</f>
        <v>00000000</v>
      </c>
      <c r="C250" s="8" t="s">
        <v>123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</row>
    <row r="251" spans="2:11" s="1" customFormat="1">
      <c r="B251" s="5"/>
      <c r="C251" s="14"/>
      <c r="D251" s="15"/>
      <c r="E251" s="15"/>
      <c r="F251" s="15"/>
      <c r="G251" s="15"/>
      <c r="H251" s="15"/>
      <c r="I251" s="15"/>
      <c r="J251" s="15"/>
      <c r="K251" s="15"/>
    </row>
    <row r="252" spans="2:11" s="1" customFormat="1" ht="12.75" customHeight="1">
      <c r="B252" s="5"/>
      <c r="C252" s="200" t="s">
        <v>673</v>
      </c>
      <c r="D252" s="201"/>
      <c r="E252" s="201"/>
      <c r="F252" s="201"/>
      <c r="G252" s="201"/>
      <c r="H252" s="201"/>
      <c r="I252" s="201"/>
      <c r="J252" s="201"/>
      <c r="K252" s="202"/>
    </row>
    <row r="253" spans="2:11" s="1" customFormat="1">
      <c r="B253" s="5"/>
      <c r="C253" s="6" t="s">
        <v>120</v>
      </c>
      <c r="D253" s="7">
        <v>7</v>
      </c>
      <c r="E253" s="7">
        <v>6</v>
      </c>
      <c r="F253" s="7">
        <v>5</v>
      </c>
      <c r="G253" s="7">
        <v>4</v>
      </c>
      <c r="H253" s="7">
        <v>3</v>
      </c>
      <c r="I253" s="7">
        <v>2</v>
      </c>
      <c r="J253" s="7">
        <v>1</v>
      </c>
      <c r="K253" s="7">
        <v>0</v>
      </c>
    </row>
    <row r="254" spans="2:11" s="1" customFormat="1" ht="13.5" customHeight="1">
      <c r="B254" s="5"/>
      <c r="C254" s="8" t="s">
        <v>6</v>
      </c>
      <c r="D254" s="176" t="s">
        <v>674</v>
      </c>
      <c r="E254" s="102"/>
      <c r="F254" s="102"/>
      <c r="G254" s="102"/>
      <c r="H254" s="102"/>
      <c r="I254" s="102"/>
      <c r="J254" s="102"/>
      <c r="K254" s="177"/>
    </row>
    <row r="255" spans="2:11" s="1" customFormat="1">
      <c r="B255" s="5" t="str">
        <f>CONCATENATE(D255,E255,F255,G255,H255,I255,J255,K255)</f>
        <v>00000000</v>
      </c>
      <c r="C255" s="8" t="s">
        <v>123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</row>
    <row r="256" spans="2:11" s="1" customFormat="1">
      <c r="B256" s="5"/>
      <c r="C256" s="14"/>
      <c r="D256" s="15"/>
      <c r="E256" s="15"/>
      <c r="F256" s="15"/>
      <c r="G256" s="15"/>
      <c r="H256" s="15"/>
      <c r="I256" s="15"/>
      <c r="J256" s="15"/>
      <c r="K256" s="15"/>
    </row>
    <row r="257" spans="2:11" s="1" customFormat="1" ht="12.75" customHeight="1">
      <c r="B257" s="5"/>
      <c r="C257" s="200" t="s">
        <v>675</v>
      </c>
      <c r="D257" s="201"/>
      <c r="E257" s="201"/>
      <c r="F257" s="201"/>
      <c r="G257" s="201"/>
      <c r="H257" s="201"/>
      <c r="I257" s="201"/>
      <c r="J257" s="201"/>
      <c r="K257" s="202"/>
    </row>
    <row r="258" spans="2:11" s="1" customFormat="1">
      <c r="B258" s="5"/>
      <c r="C258" s="6" t="s">
        <v>120</v>
      </c>
      <c r="D258" s="7">
        <v>7</v>
      </c>
      <c r="E258" s="7">
        <v>6</v>
      </c>
      <c r="F258" s="7">
        <v>5</v>
      </c>
      <c r="G258" s="7">
        <v>4</v>
      </c>
      <c r="H258" s="7">
        <v>3</v>
      </c>
      <c r="I258" s="7">
        <v>2</v>
      </c>
      <c r="J258" s="7">
        <v>1</v>
      </c>
      <c r="K258" s="7">
        <v>0</v>
      </c>
    </row>
    <row r="259" spans="2:11" s="1" customFormat="1" ht="13.5" customHeight="1">
      <c r="B259" s="5"/>
      <c r="C259" s="8" t="s">
        <v>6</v>
      </c>
      <c r="D259" s="9" t="s">
        <v>121</v>
      </c>
      <c r="E259" s="9" t="s">
        <v>121</v>
      </c>
      <c r="F259" s="9" t="s">
        <v>121</v>
      </c>
      <c r="G259" s="9" t="s">
        <v>121</v>
      </c>
      <c r="H259" s="9" t="s">
        <v>121</v>
      </c>
      <c r="I259" s="9" t="s">
        <v>121</v>
      </c>
      <c r="J259" s="176" t="s">
        <v>676</v>
      </c>
      <c r="K259" s="177"/>
    </row>
    <row r="260" spans="2:11" s="1" customFormat="1">
      <c r="B260" s="5" t="str">
        <f>CONCATENATE(D260,E260,F260,G260,H260,I260,J260,K260)</f>
        <v>------00</v>
      </c>
      <c r="C260" s="8" t="s">
        <v>123</v>
      </c>
      <c r="D260" s="9" t="s">
        <v>124</v>
      </c>
      <c r="E260" s="9" t="s">
        <v>124</v>
      </c>
      <c r="F260" s="9" t="s">
        <v>124</v>
      </c>
      <c r="G260" s="9" t="s">
        <v>124</v>
      </c>
      <c r="H260" s="9" t="s">
        <v>124</v>
      </c>
      <c r="I260" s="9" t="s">
        <v>124</v>
      </c>
      <c r="J260" s="9">
        <v>0</v>
      </c>
      <c r="K260" s="9">
        <v>0</v>
      </c>
    </row>
    <row r="261" spans="2:11" s="1" customFormat="1">
      <c r="B261" s="5"/>
      <c r="C261" s="14"/>
      <c r="D261" s="15"/>
      <c r="E261" s="15"/>
      <c r="F261" s="15"/>
      <c r="G261" s="15"/>
      <c r="H261" s="15"/>
      <c r="I261" s="15"/>
      <c r="J261" s="15"/>
      <c r="K261" s="15"/>
    </row>
    <row r="262" spans="2:11" s="1" customFormat="1" ht="12.75" customHeight="1">
      <c r="B262" s="5"/>
      <c r="C262" s="200" t="s">
        <v>677</v>
      </c>
      <c r="D262" s="201"/>
      <c r="E262" s="201"/>
      <c r="F262" s="201"/>
      <c r="G262" s="201"/>
      <c r="H262" s="201"/>
      <c r="I262" s="201"/>
      <c r="J262" s="201"/>
      <c r="K262" s="202"/>
    </row>
    <row r="263" spans="2:11" s="1" customFormat="1">
      <c r="B263" s="5"/>
      <c r="C263" s="6" t="s">
        <v>120</v>
      </c>
      <c r="D263" s="7">
        <v>7</v>
      </c>
      <c r="E263" s="7">
        <v>6</v>
      </c>
      <c r="F263" s="7">
        <v>5</v>
      </c>
      <c r="G263" s="7">
        <v>4</v>
      </c>
      <c r="H263" s="7">
        <v>3</v>
      </c>
      <c r="I263" s="7">
        <v>2</v>
      </c>
      <c r="J263" s="7">
        <v>1</v>
      </c>
      <c r="K263" s="7">
        <v>0</v>
      </c>
    </row>
    <row r="264" spans="2:11" s="1" customFormat="1" ht="13.5" customHeight="1">
      <c r="B264" s="5"/>
      <c r="C264" s="8" t="s">
        <v>6</v>
      </c>
      <c r="D264" s="176" t="s">
        <v>678</v>
      </c>
      <c r="E264" s="102"/>
      <c r="F264" s="102"/>
      <c r="G264" s="102"/>
      <c r="H264" s="102"/>
      <c r="I264" s="102"/>
      <c r="J264" s="102"/>
      <c r="K264" s="177"/>
    </row>
    <row r="265" spans="2:11" s="1" customFormat="1">
      <c r="B265" s="5" t="str">
        <f>CONCATENATE(D265,E265,F265,G265,H265,I265,J265,K265)</f>
        <v>00000000</v>
      </c>
      <c r="C265" s="8" t="s">
        <v>123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</row>
    <row r="266" spans="2:11" s="1" customFormat="1">
      <c r="B266" s="5"/>
      <c r="C266" s="14"/>
      <c r="D266" s="15"/>
      <c r="E266" s="15"/>
      <c r="F266" s="15"/>
      <c r="G266" s="15"/>
      <c r="H266" s="15"/>
      <c r="I266" s="15"/>
      <c r="J266" s="15"/>
      <c r="K266" s="15"/>
    </row>
    <row r="267" spans="2:11" s="1" customFormat="1" ht="12.75" customHeight="1">
      <c r="B267" s="5"/>
      <c r="C267" s="200" t="s">
        <v>679</v>
      </c>
      <c r="D267" s="201"/>
      <c r="E267" s="201"/>
      <c r="F267" s="201"/>
      <c r="G267" s="201"/>
      <c r="H267" s="201"/>
      <c r="I267" s="201"/>
      <c r="J267" s="201"/>
      <c r="K267" s="202"/>
    </row>
    <row r="268" spans="2:11" s="1" customFormat="1">
      <c r="B268" s="5"/>
      <c r="C268" s="6" t="s">
        <v>120</v>
      </c>
      <c r="D268" s="7">
        <v>7</v>
      </c>
      <c r="E268" s="7">
        <v>6</v>
      </c>
      <c r="F268" s="7">
        <v>5</v>
      </c>
      <c r="G268" s="7">
        <v>4</v>
      </c>
      <c r="H268" s="7">
        <v>3</v>
      </c>
      <c r="I268" s="7">
        <v>2</v>
      </c>
      <c r="J268" s="7">
        <v>1</v>
      </c>
      <c r="K268" s="7">
        <v>0</v>
      </c>
    </row>
    <row r="269" spans="2:11" s="1" customFormat="1" ht="13.5" customHeight="1">
      <c r="B269" s="5"/>
      <c r="C269" s="8" t="s">
        <v>6</v>
      </c>
      <c r="D269" s="176" t="s">
        <v>680</v>
      </c>
      <c r="E269" s="102"/>
      <c r="F269" s="102"/>
      <c r="G269" s="102"/>
      <c r="H269" s="102"/>
      <c r="I269" s="102"/>
      <c r="J269" s="102"/>
      <c r="K269" s="177"/>
    </row>
    <row r="270" spans="2:11" s="1" customFormat="1">
      <c r="B270" s="5" t="str">
        <f>CONCATENATE(D270,E270,F270,G270,H270,I270,J270,K270)</f>
        <v>00000000</v>
      </c>
      <c r="C270" s="8" t="s">
        <v>123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</row>
    <row r="271" spans="2:11" s="1" customFormat="1">
      <c r="B271" s="5"/>
      <c r="C271" s="14"/>
      <c r="D271" s="15"/>
      <c r="E271" s="15"/>
      <c r="F271" s="15"/>
      <c r="G271" s="15"/>
      <c r="H271" s="15"/>
      <c r="I271" s="15"/>
      <c r="J271" s="15"/>
      <c r="K271" s="15"/>
    </row>
    <row r="272" spans="2:11" s="1" customFormat="1" ht="12.75" customHeight="1">
      <c r="B272" s="5"/>
      <c r="C272" s="200" t="s">
        <v>681</v>
      </c>
      <c r="D272" s="201"/>
      <c r="E272" s="201"/>
      <c r="F272" s="201"/>
      <c r="G272" s="201"/>
      <c r="H272" s="201"/>
      <c r="I272" s="201"/>
      <c r="J272" s="201"/>
      <c r="K272" s="202"/>
    </row>
    <row r="273" spans="2:11" s="1" customFormat="1">
      <c r="B273" s="5"/>
      <c r="C273" s="6" t="s">
        <v>120</v>
      </c>
      <c r="D273" s="7">
        <v>7</v>
      </c>
      <c r="E273" s="7">
        <v>6</v>
      </c>
      <c r="F273" s="7">
        <v>5</v>
      </c>
      <c r="G273" s="7">
        <v>4</v>
      </c>
      <c r="H273" s="7">
        <v>3</v>
      </c>
      <c r="I273" s="7">
        <v>2</v>
      </c>
      <c r="J273" s="7">
        <v>1</v>
      </c>
      <c r="K273" s="7">
        <v>0</v>
      </c>
    </row>
    <row r="274" spans="2:11" s="1" customFormat="1" ht="13.5" customHeight="1">
      <c r="B274" s="5"/>
      <c r="C274" s="8" t="s">
        <v>6</v>
      </c>
      <c r="D274" s="176" t="s">
        <v>682</v>
      </c>
      <c r="E274" s="102"/>
      <c r="F274" s="102"/>
      <c r="G274" s="102"/>
      <c r="H274" s="102"/>
      <c r="I274" s="102"/>
      <c r="J274" s="102"/>
      <c r="K274" s="177"/>
    </row>
    <row r="275" spans="2:11" s="1" customFormat="1">
      <c r="B275" s="5" t="str">
        <f>CONCATENATE(D275,E275,F275,G275,H275,I275,J275,K275)</f>
        <v>00000000</v>
      </c>
      <c r="C275" s="8" t="s">
        <v>123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</row>
    <row r="276" spans="2:11" s="1" customFormat="1">
      <c r="B276" s="5"/>
      <c r="C276" s="14"/>
      <c r="D276" s="15"/>
      <c r="E276" s="15"/>
      <c r="F276" s="15"/>
      <c r="G276" s="15"/>
      <c r="H276" s="15"/>
      <c r="I276" s="15"/>
      <c r="J276" s="15"/>
      <c r="K276" s="15"/>
    </row>
    <row r="277" spans="2:11" s="1" customFormat="1" ht="12.75" customHeight="1">
      <c r="B277" s="5"/>
      <c r="C277" s="200" t="s">
        <v>683</v>
      </c>
      <c r="D277" s="201"/>
      <c r="E277" s="201"/>
      <c r="F277" s="201"/>
      <c r="G277" s="201"/>
      <c r="H277" s="201"/>
      <c r="I277" s="201"/>
      <c r="J277" s="201"/>
      <c r="K277" s="202"/>
    </row>
    <row r="278" spans="2:11" s="1" customFormat="1">
      <c r="B278" s="5"/>
      <c r="C278" s="6" t="s">
        <v>120</v>
      </c>
      <c r="D278" s="7">
        <v>7</v>
      </c>
      <c r="E278" s="7">
        <v>6</v>
      </c>
      <c r="F278" s="7">
        <v>5</v>
      </c>
      <c r="G278" s="7">
        <v>4</v>
      </c>
      <c r="H278" s="7">
        <v>3</v>
      </c>
      <c r="I278" s="7">
        <v>2</v>
      </c>
      <c r="J278" s="7">
        <v>1</v>
      </c>
      <c r="K278" s="7">
        <v>0</v>
      </c>
    </row>
    <row r="279" spans="2:11" s="1" customFormat="1" ht="13.5" customHeight="1">
      <c r="B279" s="5"/>
      <c r="C279" s="8" t="s">
        <v>6</v>
      </c>
      <c r="D279" s="176" t="s">
        <v>684</v>
      </c>
      <c r="E279" s="102"/>
      <c r="F279" s="102"/>
      <c r="G279" s="102"/>
      <c r="H279" s="102"/>
      <c r="I279" s="102"/>
      <c r="J279" s="102"/>
      <c r="K279" s="177"/>
    </row>
    <row r="280" spans="2:11" s="1" customFormat="1">
      <c r="B280" s="5" t="str">
        <f>CONCATENATE(D280,E280,F280,G280,H280,I280,J280,K280)</f>
        <v>00000000</v>
      </c>
      <c r="C280" s="8" t="s">
        <v>123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</row>
    <row r="281" spans="2:11" s="1" customFormat="1">
      <c r="B281" s="5"/>
      <c r="C281" s="14"/>
      <c r="D281" s="15"/>
      <c r="E281" s="15"/>
      <c r="F281" s="15"/>
      <c r="G281" s="15"/>
      <c r="H281" s="15"/>
      <c r="I281" s="15"/>
      <c r="J281" s="15"/>
      <c r="K281" s="15"/>
    </row>
    <row r="282" spans="2:11" s="1" customFormat="1" ht="12.75" customHeight="1">
      <c r="B282" s="5"/>
      <c r="C282" s="200" t="s">
        <v>685</v>
      </c>
      <c r="D282" s="201"/>
      <c r="E282" s="201"/>
      <c r="F282" s="201"/>
      <c r="G282" s="201"/>
      <c r="H282" s="201"/>
      <c r="I282" s="201"/>
      <c r="J282" s="201"/>
      <c r="K282" s="202"/>
    </row>
    <row r="283" spans="2:11" s="1" customFormat="1">
      <c r="B283" s="5"/>
      <c r="C283" s="6" t="s">
        <v>120</v>
      </c>
      <c r="D283" s="7">
        <v>7</v>
      </c>
      <c r="E283" s="7">
        <v>6</v>
      </c>
      <c r="F283" s="7">
        <v>5</v>
      </c>
      <c r="G283" s="7">
        <v>4</v>
      </c>
      <c r="H283" s="7">
        <v>3</v>
      </c>
      <c r="I283" s="7">
        <v>2</v>
      </c>
      <c r="J283" s="7">
        <v>1</v>
      </c>
      <c r="K283" s="7">
        <v>0</v>
      </c>
    </row>
    <row r="284" spans="2:11" s="1" customFormat="1" ht="13.5" customHeight="1">
      <c r="B284" s="5"/>
      <c r="C284" s="8" t="s">
        <v>6</v>
      </c>
      <c r="D284" s="9" t="s">
        <v>121</v>
      </c>
      <c r="E284" s="9" t="s">
        <v>121</v>
      </c>
      <c r="F284" s="9" t="s">
        <v>121</v>
      </c>
      <c r="G284" s="9" t="s">
        <v>121</v>
      </c>
      <c r="H284" s="9" t="s">
        <v>121</v>
      </c>
      <c r="I284" s="9" t="s">
        <v>121</v>
      </c>
      <c r="J284" s="9" t="s">
        <v>121</v>
      </c>
      <c r="K284" s="9" t="s">
        <v>686</v>
      </c>
    </row>
    <row r="285" spans="2:11" s="1" customFormat="1">
      <c r="B285" s="5" t="str">
        <f>CONCATENATE(D285,E285,F285,G285,H285,I285,J285,K285)</f>
        <v>-------0</v>
      </c>
      <c r="C285" s="8" t="s">
        <v>123</v>
      </c>
      <c r="D285" s="9" t="s">
        <v>124</v>
      </c>
      <c r="E285" s="9" t="s">
        <v>124</v>
      </c>
      <c r="F285" s="9" t="s">
        <v>124</v>
      </c>
      <c r="G285" s="9" t="s">
        <v>124</v>
      </c>
      <c r="H285" s="9" t="s">
        <v>124</v>
      </c>
      <c r="I285" s="9" t="s">
        <v>124</v>
      </c>
      <c r="J285" s="9" t="s">
        <v>124</v>
      </c>
      <c r="K285" s="9">
        <v>0</v>
      </c>
    </row>
    <row r="286" spans="2:11" s="1" customFormat="1">
      <c r="B286" s="5"/>
      <c r="C286" s="14"/>
      <c r="D286" s="15"/>
      <c r="E286" s="15"/>
      <c r="F286" s="15"/>
      <c r="G286" s="15"/>
      <c r="H286" s="15"/>
      <c r="I286" s="15"/>
      <c r="J286" s="15"/>
      <c r="K286" s="15"/>
    </row>
    <row r="287" spans="2:11" s="1" customFormat="1" ht="12.75" customHeight="1">
      <c r="B287" s="5"/>
      <c r="C287" s="200" t="s">
        <v>687</v>
      </c>
      <c r="D287" s="201"/>
      <c r="E287" s="201"/>
      <c r="F287" s="201"/>
      <c r="G287" s="201"/>
      <c r="H287" s="201"/>
      <c r="I287" s="201"/>
      <c r="J287" s="201"/>
      <c r="K287" s="202"/>
    </row>
    <row r="288" spans="2:11" s="1" customFormat="1">
      <c r="B288" s="5"/>
      <c r="C288" s="6" t="s">
        <v>120</v>
      </c>
      <c r="D288" s="7">
        <v>7</v>
      </c>
      <c r="E288" s="7">
        <v>6</v>
      </c>
      <c r="F288" s="7">
        <v>5</v>
      </c>
      <c r="G288" s="7">
        <v>4</v>
      </c>
      <c r="H288" s="7">
        <v>3</v>
      </c>
      <c r="I288" s="7">
        <v>2</v>
      </c>
      <c r="J288" s="7">
        <v>1</v>
      </c>
      <c r="K288" s="7">
        <v>0</v>
      </c>
    </row>
    <row r="289" spans="2:11" s="1" customFormat="1" ht="13.5" customHeight="1">
      <c r="B289" s="5"/>
      <c r="C289" s="8" t="s">
        <v>6</v>
      </c>
      <c r="D289" s="176" t="s">
        <v>688</v>
      </c>
      <c r="E289" s="102"/>
      <c r="F289" s="102"/>
      <c r="G289" s="102"/>
      <c r="H289" s="102"/>
      <c r="I289" s="102"/>
      <c r="J289" s="102"/>
      <c r="K289" s="177"/>
    </row>
    <row r="290" spans="2:11" s="1" customFormat="1">
      <c r="B290" s="5" t="str">
        <f>CONCATENATE(D290,E290,F290,G290,H290,I290,J290,K290)</f>
        <v>00000000</v>
      </c>
      <c r="C290" s="8" t="s">
        <v>123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</row>
    <row r="291" spans="2:11" s="1" customFormat="1">
      <c r="B291" s="5"/>
      <c r="C291" s="14"/>
      <c r="D291" s="15"/>
      <c r="E291" s="15"/>
      <c r="F291" s="15"/>
      <c r="G291" s="15"/>
      <c r="H291" s="15"/>
      <c r="I291" s="15"/>
      <c r="J291" s="15"/>
      <c r="K291" s="15"/>
    </row>
    <row r="292" spans="2:11" s="1" customFormat="1" ht="12.75" customHeight="1">
      <c r="B292" s="5"/>
      <c r="C292" s="200" t="s">
        <v>689</v>
      </c>
      <c r="D292" s="201"/>
      <c r="E292" s="201"/>
      <c r="F292" s="201"/>
      <c r="G292" s="201"/>
      <c r="H292" s="201"/>
      <c r="I292" s="201"/>
      <c r="J292" s="201"/>
      <c r="K292" s="202"/>
    </row>
    <row r="293" spans="2:11" s="1" customFormat="1">
      <c r="B293" s="5"/>
      <c r="C293" s="6" t="s">
        <v>120</v>
      </c>
      <c r="D293" s="7">
        <v>7</v>
      </c>
      <c r="E293" s="7">
        <v>6</v>
      </c>
      <c r="F293" s="7">
        <v>5</v>
      </c>
      <c r="G293" s="7">
        <v>4</v>
      </c>
      <c r="H293" s="7">
        <v>3</v>
      </c>
      <c r="I293" s="7">
        <v>2</v>
      </c>
      <c r="J293" s="7">
        <v>1</v>
      </c>
      <c r="K293" s="7">
        <v>0</v>
      </c>
    </row>
    <row r="294" spans="2:11" s="1" customFormat="1" ht="13.5" customHeight="1">
      <c r="B294" s="5"/>
      <c r="C294" s="8" t="s">
        <v>6</v>
      </c>
      <c r="D294" s="176" t="s">
        <v>690</v>
      </c>
      <c r="E294" s="102"/>
      <c r="F294" s="102"/>
      <c r="G294" s="102"/>
      <c r="H294" s="102"/>
      <c r="I294" s="102"/>
      <c r="J294" s="102"/>
      <c r="K294" s="177"/>
    </row>
    <row r="295" spans="2:11" s="1" customFormat="1">
      <c r="B295" s="5" t="str">
        <f>CONCATENATE(D295,E295,F295,G295,H295,I295,J295,K295)</f>
        <v>00000000</v>
      </c>
      <c r="C295" s="8" t="s">
        <v>123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</row>
    <row r="296" spans="2:11" s="1" customFormat="1">
      <c r="B296" s="5"/>
      <c r="C296" s="14"/>
      <c r="D296" s="15"/>
      <c r="E296" s="15"/>
      <c r="F296" s="15"/>
      <c r="G296" s="15"/>
      <c r="H296" s="15"/>
      <c r="I296" s="15"/>
      <c r="J296" s="15"/>
      <c r="K296" s="15"/>
    </row>
    <row r="297" spans="2:11" s="1" customFormat="1" ht="12.75" customHeight="1">
      <c r="B297" s="5"/>
      <c r="C297" s="200" t="s">
        <v>691</v>
      </c>
      <c r="D297" s="201"/>
      <c r="E297" s="201"/>
      <c r="F297" s="201"/>
      <c r="G297" s="201"/>
      <c r="H297" s="201"/>
      <c r="I297" s="201"/>
      <c r="J297" s="201"/>
      <c r="K297" s="202"/>
    </row>
    <row r="298" spans="2:11" s="1" customFormat="1">
      <c r="B298" s="5"/>
      <c r="C298" s="6" t="s">
        <v>120</v>
      </c>
      <c r="D298" s="7">
        <v>7</v>
      </c>
      <c r="E298" s="7">
        <v>6</v>
      </c>
      <c r="F298" s="7">
        <v>5</v>
      </c>
      <c r="G298" s="7">
        <v>4</v>
      </c>
      <c r="H298" s="7">
        <v>3</v>
      </c>
      <c r="I298" s="7">
        <v>2</v>
      </c>
      <c r="J298" s="7">
        <v>1</v>
      </c>
      <c r="K298" s="7">
        <v>0</v>
      </c>
    </row>
    <row r="299" spans="2:11" s="1" customFormat="1" ht="13.5" customHeight="1">
      <c r="B299" s="5"/>
      <c r="C299" s="8" t="s">
        <v>6</v>
      </c>
      <c r="D299" s="176" t="s">
        <v>692</v>
      </c>
      <c r="E299" s="102"/>
      <c r="F299" s="102"/>
      <c r="G299" s="102"/>
      <c r="H299" s="102"/>
      <c r="I299" s="102"/>
      <c r="J299" s="102"/>
      <c r="K299" s="177"/>
    </row>
    <row r="300" spans="2:11" s="1" customFormat="1">
      <c r="B300" s="5" t="str">
        <f>CONCATENATE(D300,E300,F300,G300,H300,I300,J300,K300)</f>
        <v>00000000</v>
      </c>
      <c r="C300" s="8" t="s">
        <v>123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</row>
    <row r="301" spans="2:11" s="1" customFormat="1">
      <c r="B301" s="5"/>
      <c r="C301" s="14"/>
      <c r="D301" s="15"/>
      <c r="E301" s="15"/>
      <c r="F301" s="15"/>
      <c r="G301" s="15"/>
      <c r="H301" s="15"/>
      <c r="I301" s="15"/>
      <c r="J301" s="15"/>
      <c r="K301" s="15"/>
    </row>
    <row r="302" spans="2:11" s="1" customFormat="1" ht="12.75" customHeight="1">
      <c r="B302" s="5"/>
      <c r="C302" s="200" t="s">
        <v>693</v>
      </c>
      <c r="D302" s="201"/>
      <c r="E302" s="201"/>
      <c r="F302" s="201"/>
      <c r="G302" s="201"/>
      <c r="H302" s="201"/>
      <c r="I302" s="201"/>
      <c r="J302" s="201"/>
      <c r="K302" s="202"/>
    </row>
    <row r="303" spans="2:11" s="1" customFormat="1">
      <c r="B303" s="5"/>
      <c r="C303" s="6" t="s">
        <v>120</v>
      </c>
      <c r="D303" s="7">
        <v>7</v>
      </c>
      <c r="E303" s="7">
        <v>6</v>
      </c>
      <c r="F303" s="7">
        <v>5</v>
      </c>
      <c r="G303" s="7">
        <v>4</v>
      </c>
      <c r="H303" s="7">
        <v>3</v>
      </c>
      <c r="I303" s="7">
        <v>2</v>
      </c>
      <c r="J303" s="7">
        <v>1</v>
      </c>
      <c r="K303" s="7">
        <v>0</v>
      </c>
    </row>
    <row r="304" spans="2:11" s="1" customFormat="1" ht="13.5" customHeight="1">
      <c r="B304" s="5"/>
      <c r="C304" s="8" t="s">
        <v>6</v>
      </c>
      <c r="D304" s="176" t="s">
        <v>694</v>
      </c>
      <c r="E304" s="102"/>
      <c r="F304" s="102"/>
      <c r="G304" s="102"/>
      <c r="H304" s="102"/>
      <c r="I304" s="102"/>
      <c r="J304" s="102"/>
      <c r="K304" s="177"/>
    </row>
    <row r="305" spans="2:11" s="1" customFormat="1">
      <c r="B305" s="5" t="str">
        <f>CONCATENATE(D305,E305,F305,G305,H305,I305,J305,K305)</f>
        <v>00000000</v>
      </c>
      <c r="C305" s="8" t="s">
        <v>123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</row>
    <row r="306" spans="2:11" s="1" customFormat="1">
      <c r="B306" s="5"/>
      <c r="C306" s="14"/>
      <c r="D306" s="15"/>
      <c r="E306" s="15"/>
      <c r="F306" s="15"/>
      <c r="G306" s="15"/>
      <c r="H306" s="15"/>
      <c r="I306" s="15"/>
      <c r="J306" s="15"/>
      <c r="K306" s="15"/>
    </row>
    <row r="307" spans="2:11" s="1" customFormat="1" ht="12.75" customHeight="1">
      <c r="B307" s="5"/>
      <c r="C307" s="200" t="s">
        <v>695</v>
      </c>
      <c r="D307" s="201"/>
      <c r="E307" s="201"/>
      <c r="F307" s="201"/>
      <c r="G307" s="201"/>
      <c r="H307" s="201"/>
      <c r="I307" s="201"/>
      <c r="J307" s="201"/>
      <c r="K307" s="202"/>
    </row>
    <row r="308" spans="2:11" s="1" customFormat="1">
      <c r="B308" s="5"/>
      <c r="C308" s="6" t="s">
        <v>120</v>
      </c>
      <c r="D308" s="7">
        <v>7</v>
      </c>
      <c r="E308" s="7">
        <v>6</v>
      </c>
      <c r="F308" s="7">
        <v>5</v>
      </c>
      <c r="G308" s="7">
        <v>4</v>
      </c>
      <c r="H308" s="7">
        <v>3</v>
      </c>
      <c r="I308" s="7">
        <v>2</v>
      </c>
      <c r="J308" s="7">
        <v>1</v>
      </c>
      <c r="K308" s="7">
        <v>0</v>
      </c>
    </row>
    <row r="309" spans="2:11" s="1" customFormat="1" ht="13.5" customHeight="1">
      <c r="B309" s="5"/>
      <c r="C309" s="8" t="s">
        <v>6</v>
      </c>
      <c r="D309" s="176" t="s">
        <v>696</v>
      </c>
      <c r="E309" s="102"/>
      <c r="F309" s="102"/>
      <c r="G309" s="102"/>
      <c r="H309" s="102"/>
      <c r="I309" s="102"/>
      <c r="J309" s="102"/>
      <c r="K309" s="177"/>
    </row>
    <row r="310" spans="2:11" s="1" customFormat="1">
      <c r="B310" s="5" t="str">
        <f>CONCATENATE(D310,E310,F310,G310,H310,I310,J310,K310)</f>
        <v>00000000</v>
      </c>
      <c r="C310" s="8" t="s">
        <v>123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</row>
    <row r="311" spans="2:11" s="1" customFormat="1">
      <c r="B311" s="5"/>
      <c r="C311" s="14"/>
      <c r="D311" s="15"/>
      <c r="E311" s="15"/>
      <c r="F311" s="15"/>
      <c r="G311" s="15"/>
      <c r="H311" s="15"/>
      <c r="I311" s="15"/>
      <c r="J311" s="15"/>
      <c r="K311" s="15"/>
    </row>
    <row r="312" spans="2:11" s="1" customFormat="1" ht="12.75" customHeight="1">
      <c r="B312" s="5"/>
      <c r="C312" s="200" t="s">
        <v>697</v>
      </c>
      <c r="D312" s="201"/>
      <c r="E312" s="201"/>
      <c r="F312" s="201"/>
      <c r="G312" s="201"/>
      <c r="H312" s="201"/>
      <c r="I312" s="201"/>
      <c r="J312" s="201"/>
      <c r="K312" s="202"/>
    </row>
    <row r="313" spans="2:11" s="1" customFormat="1">
      <c r="B313" s="5"/>
      <c r="C313" s="6" t="s">
        <v>120</v>
      </c>
      <c r="D313" s="7">
        <v>7</v>
      </c>
      <c r="E313" s="7">
        <v>6</v>
      </c>
      <c r="F313" s="7">
        <v>5</v>
      </c>
      <c r="G313" s="7">
        <v>4</v>
      </c>
      <c r="H313" s="7">
        <v>3</v>
      </c>
      <c r="I313" s="7">
        <v>2</v>
      </c>
      <c r="J313" s="7">
        <v>1</v>
      </c>
      <c r="K313" s="7">
        <v>0</v>
      </c>
    </row>
    <row r="314" spans="2:11" s="1" customFormat="1" ht="13.5" customHeight="1">
      <c r="B314" s="5"/>
      <c r="C314" s="8" t="s">
        <v>6</v>
      </c>
      <c r="D314" s="176" t="s">
        <v>698</v>
      </c>
      <c r="E314" s="102"/>
      <c r="F314" s="102"/>
      <c r="G314" s="102"/>
      <c r="H314" s="102"/>
      <c r="I314" s="102"/>
      <c r="J314" s="102"/>
      <c r="K314" s="177"/>
    </row>
    <row r="315" spans="2:11" s="1" customFormat="1">
      <c r="B315" s="5" t="str">
        <f>CONCATENATE(D315,E315,F315,G315,H315,I315,J315,K315)</f>
        <v>00000000</v>
      </c>
      <c r="C315" s="8" t="s">
        <v>123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</row>
    <row r="316" spans="2:11" s="1" customFormat="1">
      <c r="B316" s="5"/>
      <c r="C316" s="14"/>
      <c r="D316" s="15"/>
      <c r="E316" s="15"/>
      <c r="F316" s="15"/>
      <c r="G316" s="15"/>
      <c r="H316" s="15"/>
      <c r="I316" s="15"/>
      <c r="J316" s="15"/>
      <c r="K316" s="15"/>
    </row>
    <row r="317" spans="2:11" s="1" customFormat="1" ht="12.75" customHeight="1">
      <c r="B317" s="5"/>
      <c r="C317" s="200" t="s">
        <v>699</v>
      </c>
      <c r="D317" s="201"/>
      <c r="E317" s="201"/>
      <c r="F317" s="201"/>
      <c r="G317" s="201"/>
      <c r="H317" s="201"/>
      <c r="I317" s="201"/>
      <c r="J317" s="201"/>
      <c r="K317" s="202"/>
    </row>
    <row r="318" spans="2:11" s="1" customFormat="1">
      <c r="B318" s="5"/>
      <c r="C318" s="6" t="s">
        <v>120</v>
      </c>
      <c r="D318" s="7">
        <v>7</v>
      </c>
      <c r="E318" s="7">
        <v>6</v>
      </c>
      <c r="F318" s="7">
        <v>5</v>
      </c>
      <c r="G318" s="7">
        <v>4</v>
      </c>
      <c r="H318" s="7">
        <v>3</v>
      </c>
      <c r="I318" s="7">
        <v>2</v>
      </c>
      <c r="J318" s="7">
        <v>1</v>
      </c>
      <c r="K318" s="7">
        <v>0</v>
      </c>
    </row>
    <row r="319" spans="2:11" s="1" customFormat="1" ht="13.5" customHeight="1">
      <c r="B319" s="5"/>
      <c r="C319" s="8" t="s">
        <v>6</v>
      </c>
      <c r="D319" s="176" t="s">
        <v>700</v>
      </c>
      <c r="E319" s="102"/>
      <c r="F319" s="102"/>
      <c r="G319" s="102"/>
      <c r="H319" s="102"/>
      <c r="I319" s="102"/>
      <c r="J319" s="102"/>
      <c r="K319" s="177"/>
    </row>
    <row r="320" spans="2:11" s="1" customFormat="1">
      <c r="B320" s="5" t="str">
        <f>CONCATENATE(D320,E320,F320,G320,H320,I320,J320,K320)</f>
        <v>00000000</v>
      </c>
      <c r="C320" s="8" t="s">
        <v>123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</row>
    <row r="321" spans="2:11" s="1" customFormat="1">
      <c r="B321" s="5"/>
      <c r="C321" s="14"/>
      <c r="D321" s="15"/>
      <c r="E321" s="15"/>
      <c r="F321" s="15"/>
      <c r="G321" s="15"/>
      <c r="H321" s="15"/>
      <c r="I321" s="15"/>
      <c r="J321" s="15"/>
      <c r="K321" s="15"/>
    </row>
    <row r="322" spans="2:11" s="1" customFormat="1" ht="12.75" customHeight="1">
      <c r="B322" s="5"/>
      <c r="C322" s="200" t="s">
        <v>701</v>
      </c>
      <c r="D322" s="201"/>
      <c r="E322" s="201"/>
      <c r="F322" s="201"/>
      <c r="G322" s="201"/>
      <c r="H322" s="201"/>
      <c r="I322" s="201"/>
      <c r="J322" s="201"/>
      <c r="K322" s="202"/>
    </row>
    <row r="323" spans="2:11" s="1" customFormat="1">
      <c r="B323" s="5"/>
      <c r="C323" s="6" t="s">
        <v>120</v>
      </c>
      <c r="D323" s="7">
        <v>7</v>
      </c>
      <c r="E323" s="7">
        <v>6</v>
      </c>
      <c r="F323" s="7">
        <v>5</v>
      </c>
      <c r="G323" s="7">
        <v>4</v>
      </c>
      <c r="H323" s="7">
        <v>3</v>
      </c>
      <c r="I323" s="7">
        <v>2</v>
      </c>
      <c r="J323" s="7">
        <v>1</v>
      </c>
      <c r="K323" s="7">
        <v>0</v>
      </c>
    </row>
    <row r="324" spans="2:11" s="1" customFormat="1" ht="13.5" customHeight="1">
      <c r="B324" s="5"/>
      <c r="C324" s="8" t="s">
        <v>6</v>
      </c>
      <c r="D324" s="176" t="s">
        <v>702</v>
      </c>
      <c r="E324" s="102"/>
      <c r="F324" s="102"/>
      <c r="G324" s="102"/>
      <c r="H324" s="102"/>
      <c r="I324" s="102"/>
      <c r="J324" s="102"/>
      <c r="K324" s="177"/>
    </row>
    <row r="325" spans="2:11" s="1" customFormat="1">
      <c r="B325" s="5" t="str">
        <f>CONCATENATE(D325,E325,F325,G325,H325,I325,J325,K325)</f>
        <v>00000000</v>
      </c>
      <c r="C325" s="8" t="s">
        <v>123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</row>
    <row r="326" spans="2:11" s="1" customFormat="1">
      <c r="B326" s="5"/>
      <c r="C326" s="14"/>
      <c r="D326" s="15"/>
      <c r="E326" s="15"/>
      <c r="F326" s="15"/>
      <c r="G326" s="15"/>
      <c r="H326" s="15"/>
      <c r="I326" s="15"/>
      <c r="J326" s="15"/>
      <c r="K326" s="15"/>
    </row>
    <row r="327" spans="2:11" s="1" customFormat="1" ht="12.75" customHeight="1">
      <c r="B327" s="5"/>
      <c r="C327" s="200" t="s">
        <v>703</v>
      </c>
      <c r="D327" s="201"/>
      <c r="E327" s="201"/>
      <c r="F327" s="201"/>
      <c r="G327" s="201"/>
      <c r="H327" s="201"/>
      <c r="I327" s="201"/>
      <c r="J327" s="201"/>
      <c r="K327" s="202"/>
    </row>
    <row r="328" spans="2:11" s="1" customFormat="1">
      <c r="B328" s="5"/>
      <c r="C328" s="6" t="s">
        <v>120</v>
      </c>
      <c r="D328" s="7">
        <v>7</v>
      </c>
      <c r="E328" s="7">
        <v>6</v>
      </c>
      <c r="F328" s="7">
        <v>5</v>
      </c>
      <c r="G328" s="7">
        <v>4</v>
      </c>
      <c r="H328" s="7">
        <v>3</v>
      </c>
      <c r="I328" s="7">
        <v>2</v>
      </c>
      <c r="J328" s="7">
        <v>1</v>
      </c>
      <c r="K328" s="7">
        <v>0</v>
      </c>
    </row>
    <row r="329" spans="2:11" s="1" customFormat="1" ht="13.5" customHeight="1">
      <c r="B329" s="5"/>
      <c r="C329" s="8" t="s">
        <v>6</v>
      </c>
      <c r="D329" s="176" t="s">
        <v>704</v>
      </c>
      <c r="E329" s="102"/>
      <c r="F329" s="102"/>
      <c r="G329" s="102"/>
      <c r="H329" s="102"/>
      <c r="I329" s="102"/>
      <c r="J329" s="102"/>
      <c r="K329" s="177"/>
    </row>
    <row r="330" spans="2:11" s="1" customFormat="1">
      <c r="B330" s="5" t="str">
        <f>CONCATENATE(D330,E330,F330,G330,H330,I330,J330,K330)</f>
        <v>00000000</v>
      </c>
      <c r="C330" s="8" t="s">
        <v>123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</row>
    <row r="331" spans="2:11" s="1" customFormat="1">
      <c r="B331" s="5"/>
      <c r="C331" s="14"/>
      <c r="D331" s="15"/>
      <c r="E331" s="15"/>
      <c r="F331" s="15"/>
      <c r="G331" s="15"/>
      <c r="H331" s="15"/>
      <c r="I331" s="15"/>
      <c r="J331" s="15"/>
      <c r="K331" s="15"/>
    </row>
    <row r="332" spans="2:11" s="1" customFormat="1" ht="12.75" customHeight="1">
      <c r="B332" s="5"/>
      <c r="C332" s="200" t="s">
        <v>705</v>
      </c>
      <c r="D332" s="201"/>
      <c r="E332" s="201"/>
      <c r="F332" s="201"/>
      <c r="G332" s="201"/>
      <c r="H332" s="201"/>
      <c r="I332" s="201"/>
      <c r="J332" s="201"/>
      <c r="K332" s="202"/>
    </row>
    <row r="333" spans="2:11" s="1" customFormat="1">
      <c r="B333" s="5"/>
      <c r="C333" s="6" t="s">
        <v>120</v>
      </c>
      <c r="D333" s="7">
        <v>7</v>
      </c>
      <c r="E333" s="7">
        <v>6</v>
      </c>
      <c r="F333" s="7">
        <v>5</v>
      </c>
      <c r="G333" s="7">
        <v>4</v>
      </c>
      <c r="H333" s="7">
        <v>3</v>
      </c>
      <c r="I333" s="7">
        <v>2</v>
      </c>
      <c r="J333" s="7">
        <v>1</v>
      </c>
      <c r="K333" s="7">
        <v>0</v>
      </c>
    </row>
    <row r="334" spans="2:11" s="1" customFormat="1" ht="13.5" customHeight="1">
      <c r="B334" s="5"/>
      <c r="C334" s="8" t="s">
        <v>6</v>
      </c>
      <c r="D334" s="176" t="s">
        <v>706</v>
      </c>
      <c r="E334" s="102"/>
      <c r="F334" s="102"/>
      <c r="G334" s="102"/>
      <c r="H334" s="102"/>
      <c r="I334" s="102"/>
      <c r="J334" s="102"/>
      <c r="K334" s="177"/>
    </row>
    <row r="335" spans="2:11" s="1" customFormat="1">
      <c r="B335" s="5" t="str">
        <f>CONCATENATE(D335,E335,F335,G335,H335,I335,J335,K335)</f>
        <v>00000000</v>
      </c>
      <c r="C335" s="8" t="s">
        <v>123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</row>
    <row r="336" spans="2:11" s="1" customFormat="1">
      <c r="B336" s="5"/>
      <c r="C336" s="14"/>
      <c r="D336" s="15"/>
      <c r="E336" s="15"/>
      <c r="F336" s="15"/>
      <c r="G336" s="15"/>
      <c r="H336" s="15"/>
      <c r="I336" s="15"/>
      <c r="J336" s="15"/>
      <c r="K336" s="15"/>
    </row>
    <row r="337" spans="2:11" s="1" customFormat="1" ht="12.75" customHeight="1">
      <c r="B337" s="5"/>
      <c r="C337" s="203" t="s">
        <v>707</v>
      </c>
      <c r="D337" s="204"/>
      <c r="E337" s="204"/>
      <c r="F337" s="204"/>
      <c r="G337" s="204"/>
      <c r="H337" s="204"/>
      <c r="I337" s="204"/>
      <c r="J337" s="204"/>
      <c r="K337" s="205"/>
    </row>
    <row r="338" spans="2:11" s="1" customFormat="1">
      <c r="B338" s="5"/>
      <c r="C338" s="6" t="s">
        <v>120</v>
      </c>
      <c r="D338" s="7">
        <v>7</v>
      </c>
      <c r="E338" s="7">
        <v>6</v>
      </c>
      <c r="F338" s="7">
        <v>5</v>
      </c>
      <c r="G338" s="7">
        <v>4</v>
      </c>
      <c r="H338" s="7">
        <v>3</v>
      </c>
      <c r="I338" s="7">
        <v>2</v>
      </c>
      <c r="J338" s="7">
        <v>1</v>
      </c>
      <c r="K338" s="7">
        <v>0</v>
      </c>
    </row>
    <row r="339" spans="2:11" s="1" customFormat="1" ht="13.5" customHeight="1">
      <c r="B339" s="5"/>
      <c r="C339" s="8" t="s">
        <v>6</v>
      </c>
      <c r="D339" s="176" t="s">
        <v>708</v>
      </c>
      <c r="E339" s="102"/>
      <c r="F339" s="102"/>
      <c r="G339" s="102"/>
      <c r="H339" s="102"/>
      <c r="I339" s="102"/>
      <c r="J339" s="102"/>
      <c r="K339" s="177"/>
    </row>
    <row r="340" spans="2:11" s="1" customFormat="1">
      <c r="B340" s="5" t="str">
        <f>CONCATENATE(D340,E340,F340,G340,H340,I340,J340,K340)</f>
        <v>00000000</v>
      </c>
      <c r="C340" s="8" t="s">
        <v>123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</row>
    <row r="341" spans="2:11" s="1" customFormat="1">
      <c r="B341" s="5"/>
      <c r="C341" s="14"/>
      <c r="D341" s="15"/>
      <c r="E341" s="15"/>
      <c r="F341" s="15"/>
      <c r="G341" s="15"/>
      <c r="H341" s="15"/>
      <c r="I341" s="15"/>
      <c r="J341" s="15"/>
      <c r="K341" s="15"/>
    </row>
    <row r="342" spans="2:11" s="1" customFormat="1" ht="12.75" customHeight="1">
      <c r="B342" s="5"/>
      <c r="C342" s="203" t="s">
        <v>709</v>
      </c>
      <c r="D342" s="204"/>
      <c r="E342" s="204"/>
      <c r="F342" s="204"/>
      <c r="G342" s="204"/>
      <c r="H342" s="204"/>
      <c r="I342" s="204"/>
      <c r="J342" s="204"/>
      <c r="K342" s="205"/>
    </row>
    <row r="343" spans="2:11" s="1" customFormat="1">
      <c r="B343" s="5"/>
      <c r="C343" s="6" t="s">
        <v>120</v>
      </c>
      <c r="D343" s="7">
        <v>7</v>
      </c>
      <c r="E343" s="7">
        <v>6</v>
      </c>
      <c r="F343" s="7">
        <v>5</v>
      </c>
      <c r="G343" s="7">
        <v>4</v>
      </c>
      <c r="H343" s="7">
        <v>3</v>
      </c>
      <c r="I343" s="7">
        <v>2</v>
      </c>
      <c r="J343" s="7">
        <v>1</v>
      </c>
      <c r="K343" s="7">
        <v>0</v>
      </c>
    </row>
    <row r="344" spans="2:11" s="1" customFormat="1" ht="13.5" customHeight="1">
      <c r="B344" s="5"/>
      <c r="C344" s="8" t="s">
        <v>6</v>
      </c>
      <c r="D344" s="176" t="s">
        <v>710</v>
      </c>
      <c r="E344" s="102"/>
      <c r="F344" s="102"/>
      <c r="G344" s="102"/>
      <c r="H344" s="102"/>
      <c r="I344" s="102"/>
      <c r="J344" s="102"/>
      <c r="K344" s="177"/>
    </row>
    <row r="345" spans="2:11" s="1" customFormat="1">
      <c r="B345" s="5" t="str">
        <f>CONCATENATE(D345,E345,F345,G345,H345,I345,J345,K345)</f>
        <v>00000000</v>
      </c>
      <c r="C345" s="8" t="s">
        <v>123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</row>
    <row r="346" spans="2:11" s="1" customFormat="1">
      <c r="B346" s="5"/>
      <c r="C346" s="14"/>
      <c r="D346" s="15"/>
      <c r="E346" s="15"/>
      <c r="F346" s="15"/>
      <c r="G346" s="15"/>
      <c r="H346" s="15"/>
      <c r="I346" s="15"/>
      <c r="J346" s="15"/>
      <c r="K346" s="15"/>
    </row>
    <row r="347" spans="2:11" s="1" customFormat="1" ht="12.75" customHeight="1">
      <c r="B347" s="5"/>
      <c r="C347" s="203" t="s">
        <v>711</v>
      </c>
      <c r="D347" s="204"/>
      <c r="E347" s="204"/>
      <c r="F347" s="204"/>
      <c r="G347" s="204"/>
      <c r="H347" s="204"/>
      <c r="I347" s="204"/>
      <c r="J347" s="204"/>
      <c r="K347" s="205"/>
    </row>
    <row r="348" spans="2:11" s="1" customFormat="1">
      <c r="B348" s="5"/>
      <c r="C348" s="6" t="s">
        <v>120</v>
      </c>
      <c r="D348" s="7">
        <v>7</v>
      </c>
      <c r="E348" s="7">
        <v>6</v>
      </c>
      <c r="F348" s="7">
        <v>5</v>
      </c>
      <c r="G348" s="7">
        <v>4</v>
      </c>
      <c r="H348" s="7">
        <v>3</v>
      </c>
      <c r="I348" s="7">
        <v>2</v>
      </c>
      <c r="J348" s="7">
        <v>1</v>
      </c>
      <c r="K348" s="7">
        <v>0</v>
      </c>
    </row>
    <row r="349" spans="2:11" s="1" customFormat="1" ht="13.5" customHeight="1">
      <c r="B349" s="5"/>
      <c r="C349" s="8" t="s">
        <v>6</v>
      </c>
      <c r="D349" s="176" t="s">
        <v>712</v>
      </c>
      <c r="E349" s="102"/>
      <c r="F349" s="102"/>
      <c r="G349" s="102"/>
      <c r="H349" s="102"/>
      <c r="I349" s="102"/>
      <c r="J349" s="102"/>
      <c r="K349" s="177"/>
    </row>
    <row r="350" spans="2:11" s="1" customFormat="1">
      <c r="B350" s="5" t="str">
        <f>CONCATENATE(D350,E350,F350,G350,H350,I350,J350,K350)</f>
        <v>00000000</v>
      </c>
      <c r="C350" s="8" t="s">
        <v>123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</row>
    <row r="351" spans="2:11" s="1" customFormat="1">
      <c r="B351" s="5"/>
      <c r="C351" s="14"/>
      <c r="D351" s="15"/>
      <c r="E351" s="15"/>
      <c r="F351" s="15"/>
      <c r="G351" s="15"/>
      <c r="H351" s="15"/>
      <c r="I351" s="15"/>
      <c r="J351" s="15"/>
      <c r="K351" s="15"/>
    </row>
    <row r="352" spans="2:11" s="1" customFormat="1" ht="12.75" customHeight="1">
      <c r="B352" s="5"/>
      <c r="C352" s="203" t="s">
        <v>713</v>
      </c>
      <c r="D352" s="204"/>
      <c r="E352" s="204"/>
      <c r="F352" s="204"/>
      <c r="G352" s="204"/>
      <c r="H352" s="204"/>
      <c r="I352" s="204"/>
      <c r="J352" s="204"/>
      <c r="K352" s="205"/>
    </row>
    <row r="353" spans="2:11" s="1" customFormat="1">
      <c r="B353" s="5"/>
      <c r="C353" s="6" t="s">
        <v>120</v>
      </c>
      <c r="D353" s="7">
        <v>7</v>
      </c>
      <c r="E353" s="7">
        <v>6</v>
      </c>
      <c r="F353" s="7">
        <v>5</v>
      </c>
      <c r="G353" s="7">
        <v>4</v>
      </c>
      <c r="H353" s="7">
        <v>3</v>
      </c>
      <c r="I353" s="7">
        <v>2</v>
      </c>
      <c r="J353" s="7">
        <v>1</v>
      </c>
      <c r="K353" s="7">
        <v>0</v>
      </c>
    </row>
    <row r="354" spans="2:11" s="1" customFormat="1" ht="13.5" customHeight="1">
      <c r="B354" s="5"/>
      <c r="C354" s="8" t="s">
        <v>6</v>
      </c>
      <c r="D354" s="176" t="s">
        <v>714</v>
      </c>
      <c r="E354" s="102"/>
      <c r="F354" s="102"/>
      <c r="G354" s="102"/>
      <c r="H354" s="102"/>
      <c r="I354" s="102"/>
      <c r="J354" s="102"/>
      <c r="K354" s="177"/>
    </row>
    <row r="355" spans="2:11" s="1" customFormat="1">
      <c r="B355" s="5" t="str">
        <f>CONCATENATE(D355,E355,F355,G355,H355,I355,J355,K355)</f>
        <v>00000000</v>
      </c>
      <c r="C355" s="8" t="s">
        <v>123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</row>
    <row r="356" spans="2:11" s="1" customFormat="1">
      <c r="B356" s="5"/>
      <c r="C356" s="14"/>
      <c r="D356" s="15"/>
      <c r="E356" s="15"/>
      <c r="F356" s="15"/>
      <c r="G356" s="15"/>
      <c r="H356" s="15"/>
      <c r="I356" s="15"/>
      <c r="J356" s="15"/>
      <c r="K356" s="15"/>
    </row>
    <row r="357" spans="2:11" s="1" customFormat="1" ht="12.75" customHeight="1">
      <c r="B357" s="5"/>
      <c r="C357" s="203" t="s">
        <v>715</v>
      </c>
      <c r="D357" s="204"/>
      <c r="E357" s="204"/>
      <c r="F357" s="204"/>
      <c r="G357" s="204"/>
      <c r="H357" s="204"/>
      <c r="I357" s="204"/>
      <c r="J357" s="204"/>
      <c r="K357" s="205"/>
    </row>
    <row r="358" spans="2:11" s="1" customFormat="1">
      <c r="B358" s="5"/>
      <c r="C358" s="6" t="s">
        <v>120</v>
      </c>
      <c r="D358" s="7">
        <v>7</v>
      </c>
      <c r="E358" s="7">
        <v>6</v>
      </c>
      <c r="F358" s="7">
        <v>5</v>
      </c>
      <c r="G358" s="7">
        <v>4</v>
      </c>
      <c r="H358" s="7">
        <v>3</v>
      </c>
      <c r="I358" s="7">
        <v>2</v>
      </c>
      <c r="J358" s="7">
        <v>1</v>
      </c>
      <c r="K358" s="7">
        <v>0</v>
      </c>
    </row>
    <row r="359" spans="2:11" s="1" customFormat="1" ht="13.5" customHeight="1">
      <c r="B359" s="5"/>
      <c r="C359" s="8" t="s">
        <v>6</v>
      </c>
      <c r="D359" s="176" t="s">
        <v>716</v>
      </c>
      <c r="E359" s="102"/>
      <c r="F359" s="102"/>
      <c r="G359" s="102"/>
      <c r="H359" s="102"/>
      <c r="I359" s="102"/>
      <c r="J359" s="102"/>
      <c r="K359" s="177"/>
    </row>
    <row r="360" spans="2:11" s="1" customFormat="1">
      <c r="B360" s="5" t="str">
        <f>CONCATENATE(D360,E360,F360,G360,H360,I360,J360,K360)</f>
        <v>00000000</v>
      </c>
      <c r="C360" s="8" t="s">
        <v>123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</row>
    <row r="362" spans="2:11" ht="12.75" customHeight="1">
      <c r="B362" s="70"/>
      <c r="C362" s="206" t="s">
        <v>1207</v>
      </c>
      <c r="D362" s="207"/>
      <c r="E362" s="207"/>
      <c r="F362" s="207"/>
      <c r="G362" s="207"/>
      <c r="H362" s="207"/>
      <c r="I362" s="207"/>
      <c r="J362" s="207"/>
      <c r="K362" s="208"/>
    </row>
    <row r="363" spans="2:11">
      <c r="B363" s="5"/>
      <c r="C363" s="6" t="s">
        <v>120</v>
      </c>
      <c r="D363" s="7">
        <v>7</v>
      </c>
      <c r="E363" s="7">
        <v>6</v>
      </c>
      <c r="F363" s="7">
        <v>5</v>
      </c>
      <c r="G363" s="7">
        <v>4</v>
      </c>
      <c r="H363" s="7">
        <v>3</v>
      </c>
      <c r="I363" s="7">
        <v>2</v>
      </c>
      <c r="J363" s="7">
        <v>1</v>
      </c>
      <c r="K363" s="7">
        <v>0</v>
      </c>
    </row>
    <row r="364" spans="2:11" ht="12.75" customHeight="1">
      <c r="B364" s="5"/>
      <c r="C364" s="8" t="s">
        <v>6</v>
      </c>
      <c r="D364" s="58" t="s">
        <v>121</v>
      </c>
      <c r="E364" s="58" t="s">
        <v>121</v>
      </c>
      <c r="F364" s="58" t="s">
        <v>121</v>
      </c>
      <c r="G364" s="58" t="s">
        <v>121</v>
      </c>
      <c r="H364" s="58" t="s">
        <v>121</v>
      </c>
      <c r="I364" s="58" t="s">
        <v>121</v>
      </c>
      <c r="J364" s="58" t="s">
        <v>121</v>
      </c>
      <c r="K364" s="58" t="s">
        <v>1208</v>
      </c>
    </row>
    <row r="365" spans="2:11">
      <c r="B365" s="5" t="str">
        <f>CONCATENATE(D365,E365,F365,G365,H365,I365,J365,K365)</f>
        <v>00000000</v>
      </c>
      <c r="C365" s="8" t="s">
        <v>123</v>
      </c>
      <c r="D365" s="58">
        <v>0</v>
      </c>
      <c r="E365" s="58">
        <v>0</v>
      </c>
      <c r="F365" s="58">
        <v>0</v>
      </c>
      <c r="G365" s="58">
        <v>0</v>
      </c>
      <c r="H365" s="58">
        <v>0</v>
      </c>
      <c r="I365" s="58">
        <v>0</v>
      </c>
      <c r="J365" s="58">
        <v>0</v>
      </c>
      <c r="K365" s="58">
        <v>0</v>
      </c>
    </row>
    <row r="367" spans="2:11" ht="12.75" customHeight="1">
      <c r="B367" s="70"/>
      <c r="C367" s="206" t="s">
        <v>1209</v>
      </c>
      <c r="D367" s="207"/>
      <c r="E367" s="207"/>
      <c r="F367" s="207"/>
      <c r="G367" s="207"/>
      <c r="H367" s="207"/>
      <c r="I367" s="207"/>
      <c r="J367" s="207"/>
      <c r="K367" s="208"/>
    </row>
    <row r="368" spans="2:11">
      <c r="B368" s="5"/>
      <c r="C368" s="6" t="s">
        <v>120</v>
      </c>
      <c r="D368" s="7">
        <v>7</v>
      </c>
      <c r="E368" s="7">
        <v>6</v>
      </c>
      <c r="F368" s="7">
        <v>5</v>
      </c>
      <c r="G368" s="7">
        <v>4</v>
      </c>
      <c r="H368" s="7">
        <v>3</v>
      </c>
      <c r="I368" s="7">
        <v>2</v>
      </c>
      <c r="J368" s="7">
        <v>1</v>
      </c>
      <c r="K368" s="7">
        <v>0</v>
      </c>
    </row>
    <row r="369" spans="2:11" ht="12.75" customHeight="1">
      <c r="B369" s="5"/>
      <c r="C369" s="8" t="s">
        <v>6</v>
      </c>
      <c r="D369" s="58" t="s">
        <v>121</v>
      </c>
      <c r="E369" s="58" t="s">
        <v>121</v>
      </c>
      <c r="F369" s="58" t="s">
        <v>121</v>
      </c>
      <c r="G369" s="58" t="s">
        <v>121</v>
      </c>
      <c r="H369" s="58" t="s">
        <v>121</v>
      </c>
      <c r="I369" s="58" t="s">
        <v>121</v>
      </c>
      <c r="J369" s="58" t="s">
        <v>121</v>
      </c>
      <c r="K369" s="58" t="s">
        <v>1058</v>
      </c>
    </row>
    <row r="370" spans="2:11">
      <c r="B370" s="5" t="str">
        <f>CONCATENATE(D370,E370,F370,G370,H370,I370,J370,K370)</f>
        <v>00000000</v>
      </c>
      <c r="C370" s="8" t="s">
        <v>123</v>
      </c>
      <c r="D370" s="58">
        <v>0</v>
      </c>
      <c r="E370" s="58">
        <v>0</v>
      </c>
      <c r="F370" s="58">
        <v>0</v>
      </c>
      <c r="G370" s="58">
        <v>0</v>
      </c>
      <c r="H370" s="58">
        <v>0</v>
      </c>
      <c r="I370" s="58">
        <v>0</v>
      </c>
      <c r="J370" s="58">
        <v>0</v>
      </c>
      <c r="K370" s="58">
        <v>0</v>
      </c>
    </row>
    <row r="372" spans="2:11">
      <c r="B372" s="70"/>
      <c r="C372" s="209" t="s">
        <v>1210</v>
      </c>
      <c r="D372" s="210"/>
      <c r="E372" s="210"/>
      <c r="F372" s="210"/>
      <c r="G372" s="210"/>
      <c r="H372" s="210"/>
      <c r="I372" s="210"/>
      <c r="J372" s="210"/>
      <c r="K372" s="211"/>
    </row>
    <row r="373" spans="2:11">
      <c r="B373" s="5"/>
      <c r="C373" s="6" t="s">
        <v>120</v>
      </c>
      <c r="D373" s="7">
        <v>7</v>
      </c>
      <c r="E373" s="7">
        <v>6</v>
      </c>
      <c r="F373" s="7">
        <v>5</v>
      </c>
      <c r="G373" s="7">
        <v>4</v>
      </c>
      <c r="H373" s="7">
        <v>3</v>
      </c>
      <c r="I373" s="7">
        <v>2</v>
      </c>
      <c r="J373" s="7">
        <v>1</v>
      </c>
      <c r="K373" s="7">
        <v>0</v>
      </c>
    </row>
    <row r="374" spans="2:11" ht="12.75" customHeight="1">
      <c r="B374" s="5"/>
      <c r="C374" s="8" t="s">
        <v>6</v>
      </c>
      <c r="D374" s="58" t="s">
        <v>121</v>
      </c>
      <c r="E374" s="58" t="s">
        <v>121</v>
      </c>
      <c r="F374" s="58" t="s">
        <v>121</v>
      </c>
      <c r="G374" s="58" t="s">
        <v>121</v>
      </c>
      <c r="H374" s="58" t="s">
        <v>121</v>
      </c>
      <c r="I374" s="58" t="s">
        <v>121</v>
      </c>
      <c r="J374" s="58" t="s">
        <v>121</v>
      </c>
      <c r="K374" s="58" t="s">
        <v>1211</v>
      </c>
    </row>
    <row r="375" spans="2:11">
      <c r="B375" s="5" t="str">
        <f>CONCATENATE(D375,E375,F375,G375,H375,I375,J375,K375)</f>
        <v>00000000</v>
      </c>
      <c r="C375" s="8" t="s">
        <v>123</v>
      </c>
      <c r="D375" s="58">
        <v>0</v>
      </c>
      <c r="E375" s="58">
        <v>0</v>
      </c>
      <c r="F375" s="58">
        <v>0</v>
      </c>
      <c r="G375" s="58">
        <v>0</v>
      </c>
      <c r="H375" s="58">
        <v>0</v>
      </c>
      <c r="I375" s="58">
        <v>0</v>
      </c>
      <c r="J375" s="58">
        <v>0</v>
      </c>
      <c r="K375" s="58">
        <v>0</v>
      </c>
    </row>
    <row r="377" spans="2:11" ht="13.5">
      <c r="C377" s="71" t="s">
        <v>6</v>
      </c>
      <c r="D377" s="193" t="s">
        <v>125</v>
      </c>
      <c r="E377" s="193"/>
      <c r="F377" s="71" t="s">
        <v>126</v>
      </c>
      <c r="G377" s="193" t="s">
        <v>127</v>
      </c>
      <c r="H377" s="193"/>
      <c r="I377" s="193"/>
      <c r="J377" s="193"/>
      <c r="K377" s="71" t="s">
        <v>123</v>
      </c>
    </row>
    <row r="378" spans="2:11" ht="33.75" customHeight="1">
      <c r="C378" s="71" t="str">
        <f>K374</f>
        <v>Wakeup_intr_mode[0]</v>
      </c>
      <c r="D378" s="189" t="s">
        <v>1212</v>
      </c>
      <c r="E378" s="189"/>
      <c r="F378" s="72">
        <v>0</v>
      </c>
      <c r="G378" s="189"/>
      <c r="H378" s="189"/>
      <c r="I378" s="189"/>
      <c r="J378" s="189"/>
      <c r="K378" s="71" t="s">
        <v>262</v>
      </c>
    </row>
    <row r="379" spans="2:11" s="1" customFormat="1">
      <c r="B379" s="5"/>
      <c r="C379" s="14"/>
      <c r="D379" s="15"/>
      <c r="E379" s="15"/>
      <c r="F379" s="15"/>
      <c r="G379" s="15"/>
      <c r="H379" s="15"/>
      <c r="I379" s="15"/>
      <c r="J379" s="15"/>
      <c r="K379" s="15"/>
    </row>
    <row r="380" spans="2:11" s="46" customFormat="1" ht="12.75" customHeight="1">
      <c r="B380" s="45"/>
      <c r="C380" s="194" t="s">
        <v>1297</v>
      </c>
      <c r="D380" s="195"/>
      <c r="E380" s="195"/>
      <c r="F380" s="195"/>
      <c r="G380" s="195"/>
      <c r="H380" s="195"/>
      <c r="I380" s="195"/>
      <c r="J380" s="195"/>
      <c r="K380" s="196"/>
    </row>
    <row r="381" spans="2:11" s="1" customFormat="1">
      <c r="B381" s="5"/>
      <c r="C381" s="6" t="s">
        <v>120</v>
      </c>
      <c r="D381" s="7">
        <v>7</v>
      </c>
      <c r="E381" s="7">
        <v>6</v>
      </c>
      <c r="F381" s="7">
        <v>5</v>
      </c>
      <c r="G381" s="7">
        <v>4</v>
      </c>
      <c r="H381" s="7">
        <v>3</v>
      </c>
      <c r="I381" s="7">
        <v>2</v>
      </c>
      <c r="J381" s="7">
        <v>1</v>
      </c>
      <c r="K381" s="7">
        <v>0</v>
      </c>
    </row>
    <row r="382" spans="2:11" s="1" customFormat="1" ht="13.5" customHeight="1">
      <c r="B382" s="5"/>
      <c r="C382" s="8" t="s">
        <v>6</v>
      </c>
      <c r="D382" s="176" t="s">
        <v>1200</v>
      </c>
      <c r="E382" s="102"/>
      <c r="F382" s="102"/>
      <c r="G382" s="102"/>
      <c r="H382" s="102"/>
      <c r="I382" s="102"/>
      <c r="J382" s="102"/>
      <c r="K382" s="177"/>
    </row>
    <row r="383" spans="2:11" s="1" customFormat="1">
      <c r="B383" s="5" t="str">
        <f>CONCATENATE(D383,E383,F383,G383,H383,I383,J383,K383)</f>
        <v>00000000</v>
      </c>
      <c r="C383" s="8" t="s">
        <v>123</v>
      </c>
      <c r="D383" s="58">
        <v>0</v>
      </c>
      <c r="E383" s="58">
        <v>0</v>
      </c>
      <c r="F383" s="58">
        <v>0</v>
      </c>
      <c r="G383" s="58">
        <v>0</v>
      </c>
      <c r="H383" s="58">
        <v>0</v>
      </c>
      <c r="I383" s="58">
        <v>0</v>
      </c>
      <c r="J383" s="58">
        <v>0</v>
      </c>
      <c r="K383" s="58">
        <v>0</v>
      </c>
    </row>
    <row r="384" spans="2:11" s="1" customFormat="1">
      <c r="B384" s="5"/>
      <c r="C384" s="102"/>
      <c r="D384" s="102"/>
      <c r="E384" s="102"/>
      <c r="F384" s="102"/>
      <c r="G384" s="102"/>
      <c r="H384" s="102"/>
      <c r="I384" s="102"/>
      <c r="J384" s="102"/>
      <c r="K384" s="102"/>
    </row>
    <row r="385" spans="2:11" s="1" customFormat="1" ht="13.5">
      <c r="B385" s="3"/>
      <c r="C385" s="52" t="s">
        <v>6</v>
      </c>
      <c r="D385" s="143" t="s">
        <v>125</v>
      </c>
      <c r="E385" s="143"/>
      <c r="F385" s="52" t="s">
        <v>126</v>
      </c>
      <c r="G385" s="143" t="s">
        <v>127</v>
      </c>
      <c r="H385" s="143"/>
      <c r="I385" s="143"/>
      <c r="J385" s="143"/>
      <c r="K385" s="52" t="s">
        <v>123</v>
      </c>
    </row>
    <row r="386" spans="2:11" s="1" customFormat="1" ht="13.5">
      <c r="B386" s="3"/>
      <c r="C386" s="52" t="str">
        <f>D382</f>
        <v>GPIO_EN[7:0]</v>
      </c>
      <c r="D386" s="144" t="s">
        <v>1213</v>
      </c>
      <c r="E386" s="144"/>
      <c r="F386" s="53">
        <v>0</v>
      </c>
      <c r="G386" s="144" t="s">
        <v>1214</v>
      </c>
      <c r="H386" s="144"/>
      <c r="I386" s="144"/>
      <c r="J386" s="144"/>
      <c r="K386" s="52" t="s">
        <v>1195</v>
      </c>
    </row>
    <row r="387" spans="2:11" s="1" customFormat="1">
      <c r="B387" s="5"/>
      <c r="C387" s="14"/>
      <c r="D387" s="15"/>
      <c r="E387" s="15"/>
      <c r="F387" s="15"/>
      <c r="G387" s="15"/>
      <c r="H387" s="15"/>
      <c r="I387" s="15"/>
      <c r="J387" s="15"/>
      <c r="K387" s="15"/>
    </row>
    <row r="388" spans="2:11" s="46" customFormat="1" ht="12.75" customHeight="1">
      <c r="B388" s="45"/>
      <c r="C388" s="194" t="s">
        <v>1298</v>
      </c>
      <c r="D388" s="195"/>
      <c r="E388" s="195"/>
      <c r="F388" s="195"/>
      <c r="G388" s="195"/>
      <c r="H388" s="195"/>
      <c r="I388" s="195"/>
      <c r="J388" s="195"/>
      <c r="K388" s="196"/>
    </row>
    <row r="389" spans="2:11" s="1" customFormat="1">
      <c r="B389" s="5"/>
      <c r="C389" s="6" t="s">
        <v>120</v>
      </c>
      <c r="D389" s="7">
        <v>7</v>
      </c>
      <c r="E389" s="7">
        <v>6</v>
      </c>
      <c r="F389" s="7">
        <v>5</v>
      </c>
      <c r="G389" s="7">
        <v>4</v>
      </c>
      <c r="H389" s="7">
        <v>3</v>
      </c>
      <c r="I389" s="7">
        <v>2</v>
      </c>
      <c r="J389" s="7">
        <v>1</v>
      </c>
      <c r="K389" s="7">
        <v>0</v>
      </c>
    </row>
    <row r="390" spans="2:11" s="1" customFormat="1" ht="13.5" customHeight="1">
      <c r="B390" s="5"/>
      <c r="C390" s="8" t="s">
        <v>6</v>
      </c>
      <c r="D390" s="176" t="s">
        <v>1201</v>
      </c>
      <c r="E390" s="102"/>
      <c r="F390" s="102"/>
      <c r="G390" s="102"/>
      <c r="H390" s="102"/>
      <c r="I390" s="102"/>
      <c r="J390" s="102"/>
      <c r="K390" s="177"/>
    </row>
    <row r="391" spans="2:11" s="1" customFormat="1">
      <c r="B391" s="5" t="str">
        <f>CONCATENATE(D391,E391,F391,G391,H391,I391,J391,K391)</f>
        <v>00000000</v>
      </c>
      <c r="C391" s="8" t="s">
        <v>123</v>
      </c>
      <c r="D391" s="58">
        <v>0</v>
      </c>
      <c r="E391" s="58">
        <v>0</v>
      </c>
      <c r="F391" s="58">
        <v>0</v>
      </c>
      <c r="G391" s="58">
        <v>0</v>
      </c>
      <c r="H391" s="58">
        <v>0</v>
      </c>
      <c r="I391" s="58">
        <v>0</v>
      </c>
      <c r="J391" s="58">
        <v>0</v>
      </c>
      <c r="K391" s="58">
        <v>0</v>
      </c>
    </row>
    <row r="392" spans="2:11" s="1" customFormat="1">
      <c r="B392" s="5"/>
      <c r="C392" s="14"/>
      <c r="D392" s="15"/>
      <c r="E392" s="15"/>
      <c r="F392" s="15"/>
      <c r="G392" s="15"/>
      <c r="H392" s="15"/>
      <c r="I392" s="15"/>
      <c r="J392" s="15"/>
      <c r="K392" s="15"/>
    </row>
    <row r="393" spans="2:11" s="46" customFormat="1" ht="12.75" customHeight="1">
      <c r="B393" s="45"/>
      <c r="C393" s="194" t="s">
        <v>1299</v>
      </c>
      <c r="D393" s="195"/>
      <c r="E393" s="195"/>
      <c r="F393" s="195"/>
      <c r="G393" s="195"/>
      <c r="H393" s="195"/>
      <c r="I393" s="195"/>
      <c r="J393" s="195"/>
      <c r="K393" s="196"/>
    </row>
    <row r="394" spans="2:11" s="1" customFormat="1">
      <c r="B394" s="5"/>
      <c r="C394" s="6" t="s">
        <v>120</v>
      </c>
      <c r="D394" s="7">
        <v>7</v>
      </c>
      <c r="E394" s="7">
        <v>6</v>
      </c>
      <c r="F394" s="7">
        <v>5</v>
      </c>
      <c r="G394" s="7">
        <v>4</v>
      </c>
      <c r="H394" s="7">
        <v>3</v>
      </c>
      <c r="I394" s="7">
        <v>2</v>
      </c>
      <c r="J394" s="7">
        <v>1</v>
      </c>
      <c r="K394" s="7">
        <v>0</v>
      </c>
    </row>
    <row r="395" spans="2:11" s="1" customFormat="1" ht="13.5" customHeight="1">
      <c r="B395" s="5"/>
      <c r="C395" s="8" t="s">
        <v>6</v>
      </c>
      <c r="D395" s="176" t="s">
        <v>717</v>
      </c>
      <c r="E395" s="102"/>
      <c r="F395" s="102"/>
      <c r="G395" s="102"/>
      <c r="H395" s="102"/>
      <c r="I395" s="102"/>
      <c r="J395" s="102"/>
      <c r="K395" s="177"/>
    </row>
    <row r="396" spans="2:11" s="1" customFormat="1">
      <c r="B396" s="5" t="str">
        <f>CONCATENATE(D396,E396,F396,G396,H396,I396,J396,K396)</f>
        <v>00000000</v>
      </c>
      <c r="C396" s="8" t="s">
        <v>123</v>
      </c>
      <c r="D396" s="58">
        <v>0</v>
      </c>
      <c r="E396" s="58">
        <v>0</v>
      </c>
      <c r="F396" s="58">
        <v>0</v>
      </c>
      <c r="G396" s="58">
        <v>0</v>
      </c>
      <c r="H396" s="58">
        <v>0</v>
      </c>
      <c r="I396" s="58">
        <v>0</v>
      </c>
      <c r="J396" s="58">
        <v>0</v>
      </c>
      <c r="K396" s="58">
        <v>0</v>
      </c>
    </row>
    <row r="397" spans="2:11" s="1" customFormat="1">
      <c r="B397" s="5"/>
      <c r="C397" s="14"/>
      <c r="D397" s="15"/>
      <c r="E397" s="15"/>
      <c r="F397" s="15"/>
      <c r="G397" s="15"/>
      <c r="H397" s="15"/>
      <c r="I397" s="15"/>
      <c r="J397" s="15"/>
      <c r="K397" s="15"/>
    </row>
    <row r="398" spans="2:11" s="46" customFormat="1" ht="12.75" customHeight="1">
      <c r="B398" s="45"/>
      <c r="C398" s="194" t="s">
        <v>1300</v>
      </c>
      <c r="D398" s="195"/>
      <c r="E398" s="195"/>
      <c r="F398" s="195"/>
      <c r="G398" s="195"/>
      <c r="H398" s="195"/>
      <c r="I398" s="195"/>
      <c r="J398" s="195"/>
      <c r="K398" s="196"/>
    </row>
    <row r="399" spans="2:11" s="1" customFormat="1">
      <c r="B399" s="5"/>
      <c r="C399" s="6" t="s">
        <v>120</v>
      </c>
      <c r="D399" s="7">
        <v>7</v>
      </c>
      <c r="E399" s="7">
        <v>6</v>
      </c>
      <c r="F399" s="7">
        <v>5</v>
      </c>
      <c r="G399" s="7">
        <v>4</v>
      </c>
      <c r="H399" s="7">
        <v>3</v>
      </c>
      <c r="I399" s="7">
        <v>2</v>
      </c>
      <c r="J399" s="7">
        <v>1</v>
      </c>
      <c r="K399" s="7">
        <v>0</v>
      </c>
    </row>
    <row r="400" spans="2:11" s="1" customFormat="1" ht="13.5" customHeight="1">
      <c r="B400" s="5"/>
      <c r="C400" s="8" t="s">
        <v>6</v>
      </c>
      <c r="D400" s="176" t="s">
        <v>718</v>
      </c>
      <c r="E400" s="102"/>
      <c r="F400" s="102"/>
      <c r="G400" s="102"/>
      <c r="H400" s="102"/>
      <c r="I400" s="102"/>
      <c r="J400" s="102"/>
      <c r="K400" s="177"/>
    </row>
    <row r="401" spans="2:11" s="1" customFormat="1">
      <c r="B401" s="5" t="str">
        <f>CONCATENATE(D401,E401,F401,G401,H401,I401,J401,K401)</f>
        <v>00000000</v>
      </c>
      <c r="C401" s="8" t="s">
        <v>123</v>
      </c>
      <c r="D401" s="58">
        <v>0</v>
      </c>
      <c r="E401" s="58">
        <v>0</v>
      </c>
      <c r="F401" s="58">
        <v>0</v>
      </c>
      <c r="G401" s="58">
        <v>0</v>
      </c>
      <c r="H401" s="58">
        <v>0</v>
      </c>
      <c r="I401" s="58">
        <v>0</v>
      </c>
      <c r="J401" s="58">
        <v>0</v>
      </c>
      <c r="K401" s="58">
        <v>0</v>
      </c>
    </row>
    <row r="403" spans="2:11" s="46" customFormat="1" ht="12.75" customHeight="1">
      <c r="B403" s="45"/>
      <c r="C403" s="194" t="s">
        <v>1301</v>
      </c>
      <c r="D403" s="195"/>
      <c r="E403" s="195"/>
      <c r="F403" s="195"/>
      <c r="G403" s="195"/>
      <c r="H403" s="195"/>
      <c r="I403" s="195"/>
      <c r="J403" s="195"/>
      <c r="K403" s="196"/>
    </row>
    <row r="404" spans="2:11" s="1" customFormat="1">
      <c r="B404" s="5"/>
      <c r="C404" s="6" t="s">
        <v>120</v>
      </c>
      <c r="D404" s="7">
        <v>7</v>
      </c>
      <c r="E404" s="7">
        <v>6</v>
      </c>
      <c r="F404" s="7">
        <v>5</v>
      </c>
      <c r="G404" s="7">
        <v>4</v>
      </c>
      <c r="H404" s="7">
        <v>3</v>
      </c>
      <c r="I404" s="7">
        <v>2</v>
      </c>
      <c r="J404" s="7">
        <v>1</v>
      </c>
      <c r="K404" s="7">
        <v>0</v>
      </c>
    </row>
    <row r="405" spans="2:11" s="1" customFormat="1" ht="13.5" customHeight="1">
      <c r="B405" s="5"/>
      <c r="C405" s="8" t="s">
        <v>6</v>
      </c>
      <c r="D405" s="176" t="s">
        <v>1202</v>
      </c>
      <c r="E405" s="102"/>
      <c r="F405" s="102"/>
      <c r="G405" s="102"/>
      <c r="H405" s="102"/>
      <c r="I405" s="102"/>
      <c r="J405" s="102"/>
      <c r="K405" s="177"/>
    </row>
    <row r="406" spans="2:11" s="1" customFormat="1">
      <c r="B406" s="5" t="str">
        <f>CONCATENATE(D406,E406,F406,G406,H406,I406,J406,K406)</f>
        <v>00000000</v>
      </c>
      <c r="C406" s="8" t="s">
        <v>123</v>
      </c>
      <c r="D406" s="58">
        <v>0</v>
      </c>
      <c r="E406" s="58">
        <v>0</v>
      </c>
      <c r="F406" s="58">
        <v>0</v>
      </c>
      <c r="G406" s="58">
        <v>0</v>
      </c>
      <c r="H406" s="58">
        <v>0</v>
      </c>
      <c r="I406" s="58">
        <v>0</v>
      </c>
      <c r="J406" s="58">
        <v>0</v>
      </c>
      <c r="K406" s="58">
        <v>0</v>
      </c>
    </row>
    <row r="408" spans="2:11" s="46" customFormat="1" ht="12.75" customHeight="1">
      <c r="B408" s="45"/>
      <c r="C408" s="194" t="s">
        <v>1302</v>
      </c>
      <c r="D408" s="195"/>
      <c r="E408" s="195"/>
      <c r="F408" s="195"/>
      <c r="G408" s="195"/>
      <c r="H408" s="195"/>
      <c r="I408" s="195"/>
      <c r="J408" s="195"/>
      <c r="K408" s="196"/>
    </row>
    <row r="409" spans="2:11" s="1" customFormat="1">
      <c r="B409" s="5"/>
      <c r="C409" s="6" t="s">
        <v>120</v>
      </c>
      <c r="D409" s="7">
        <v>7</v>
      </c>
      <c r="E409" s="7">
        <v>6</v>
      </c>
      <c r="F409" s="7">
        <v>5</v>
      </c>
      <c r="G409" s="7">
        <v>4</v>
      </c>
      <c r="H409" s="7">
        <v>3</v>
      </c>
      <c r="I409" s="7">
        <v>2</v>
      </c>
      <c r="J409" s="7">
        <v>1</v>
      </c>
      <c r="K409" s="7">
        <v>0</v>
      </c>
    </row>
    <row r="410" spans="2:11" s="1" customFormat="1" ht="13.5" customHeight="1">
      <c r="B410" s="5"/>
      <c r="C410" s="8" t="s">
        <v>6</v>
      </c>
      <c r="D410" s="176" t="s">
        <v>1203</v>
      </c>
      <c r="E410" s="102"/>
      <c r="F410" s="102"/>
      <c r="G410" s="102"/>
      <c r="H410" s="102"/>
      <c r="I410" s="102"/>
      <c r="J410" s="102"/>
      <c r="K410" s="177"/>
    </row>
    <row r="411" spans="2:11" s="1" customFormat="1">
      <c r="B411" s="5" t="str">
        <f>CONCATENATE(D411,E411,F411,G411,H411,I411,J411,K411)</f>
        <v>00000000</v>
      </c>
      <c r="C411" s="8" t="s">
        <v>123</v>
      </c>
      <c r="D411" s="58">
        <v>0</v>
      </c>
      <c r="E411" s="58">
        <v>0</v>
      </c>
      <c r="F411" s="58">
        <v>0</v>
      </c>
      <c r="G411" s="58">
        <v>0</v>
      </c>
      <c r="H411" s="58">
        <v>0</v>
      </c>
      <c r="I411" s="58">
        <v>0</v>
      </c>
      <c r="J411" s="58">
        <v>0</v>
      </c>
      <c r="K411" s="58">
        <v>0</v>
      </c>
    </row>
    <row r="413" spans="2:11" s="1" customFormat="1" ht="12.75" customHeight="1">
      <c r="B413" s="70"/>
      <c r="C413" s="194" t="s">
        <v>1303</v>
      </c>
      <c r="D413" s="195"/>
      <c r="E413" s="195"/>
      <c r="F413" s="195"/>
      <c r="G413" s="195"/>
      <c r="H413" s="195"/>
      <c r="I413" s="195"/>
      <c r="J413" s="195"/>
      <c r="K413" s="196"/>
    </row>
    <row r="414" spans="2:11" s="1" customFormat="1">
      <c r="B414" s="5"/>
      <c r="C414" s="6" t="s">
        <v>120</v>
      </c>
      <c r="D414" s="7">
        <v>7</v>
      </c>
      <c r="E414" s="7">
        <v>6</v>
      </c>
      <c r="F414" s="7">
        <v>5</v>
      </c>
      <c r="G414" s="7">
        <v>4</v>
      </c>
      <c r="H414" s="7">
        <v>3</v>
      </c>
      <c r="I414" s="7">
        <v>2</v>
      </c>
      <c r="J414" s="7">
        <v>1</v>
      </c>
      <c r="K414" s="7">
        <v>0</v>
      </c>
    </row>
    <row r="415" spans="2:11" s="1" customFormat="1" ht="13.5" customHeight="1">
      <c r="B415" s="5"/>
      <c r="C415" s="8" t="s">
        <v>6</v>
      </c>
      <c r="D415" s="176" t="s">
        <v>1204</v>
      </c>
      <c r="E415" s="102"/>
      <c r="F415" s="102"/>
      <c r="G415" s="102"/>
      <c r="H415" s="102"/>
      <c r="I415" s="102"/>
      <c r="J415" s="102"/>
      <c r="K415" s="177"/>
    </row>
    <row r="416" spans="2:11" s="1" customFormat="1">
      <c r="B416" s="5" t="str">
        <f>CONCATENATE(D416,E416,F416,G416,H416,I416,J416,K416)</f>
        <v>00000000</v>
      </c>
      <c r="C416" s="8" t="s">
        <v>123</v>
      </c>
      <c r="D416" s="58">
        <v>0</v>
      </c>
      <c r="E416" s="58">
        <v>0</v>
      </c>
      <c r="F416" s="58">
        <v>0</v>
      </c>
      <c r="G416" s="58">
        <v>0</v>
      </c>
      <c r="H416" s="58">
        <v>0</v>
      </c>
      <c r="I416" s="58">
        <v>0</v>
      </c>
      <c r="J416" s="58">
        <v>0</v>
      </c>
      <c r="K416" s="58">
        <v>0</v>
      </c>
    </row>
    <row r="418" spans="2:11" ht="12.75" customHeight="1">
      <c r="B418" s="70"/>
      <c r="C418" s="194" t="s">
        <v>1304</v>
      </c>
      <c r="D418" s="195"/>
      <c r="E418" s="195"/>
      <c r="F418" s="195"/>
      <c r="G418" s="195"/>
      <c r="H418" s="195"/>
      <c r="I418" s="195"/>
      <c r="J418" s="195"/>
      <c r="K418" s="196"/>
    </row>
    <row r="419" spans="2:11">
      <c r="B419" s="5"/>
      <c r="C419" s="6" t="s">
        <v>120</v>
      </c>
      <c r="D419" s="7">
        <v>7</v>
      </c>
      <c r="E419" s="7">
        <v>6</v>
      </c>
      <c r="F419" s="7">
        <v>5</v>
      </c>
      <c r="G419" s="7">
        <v>4</v>
      </c>
      <c r="H419" s="7">
        <v>3</v>
      </c>
      <c r="I419" s="7">
        <v>2</v>
      </c>
      <c r="J419" s="7">
        <v>1</v>
      </c>
      <c r="K419" s="7">
        <v>0</v>
      </c>
    </row>
    <row r="420" spans="2:11">
      <c r="B420" s="5"/>
      <c r="C420" s="8" t="s">
        <v>6</v>
      </c>
      <c r="D420" s="176" t="s">
        <v>1205</v>
      </c>
      <c r="E420" s="102"/>
      <c r="F420" s="102"/>
      <c r="G420" s="102"/>
      <c r="H420" s="102"/>
      <c r="I420" s="102"/>
      <c r="J420" s="102"/>
      <c r="K420" s="177"/>
    </row>
    <row r="421" spans="2:11">
      <c r="B421" s="5" t="str">
        <f>CONCATENATE(D421,E421,F421,G421,H421,I421,J421,K421)</f>
        <v>00000000</v>
      </c>
      <c r="C421" s="8" t="s">
        <v>123</v>
      </c>
      <c r="D421" s="58">
        <v>0</v>
      </c>
      <c r="E421" s="58">
        <v>0</v>
      </c>
      <c r="F421" s="58">
        <v>0</v>
      </c>
      <c r="G421" s="58">
        <v>0</v>
      </c>
      <c r="H421" s="58">
        <v>0</v>
      </c>
      <c r="I421" s="58">
        <v>0</v>
      </c>
      <c r="J421" s="58">
        <v>0</v>
      </c>
      <c r="K421" s="58">
        <v>0</v>
      </c>
    </row>
    <row r="423" spans="2:11" ht="12.75" customHeight="1">
      <c r="B423" s="70"/>
      <c r="C423" s="194" t="s">
        <v>1305</v>
      </c>
      <c r="D423" s="195"/>
      <c r="E423" s="195"/>
      <c r="F423" s="195"/>
      <c r="G423" s="195"/>
      <c r="H423" s="195"/>
      <c r="I423" s="195"/>
      <c r="J423" s="195"/>
      <c r="K423" s="196"/>
    </row>
    <row r="424" spans="2:11">
      <c r="B424" s="5"/>
      <c r="C424" s="6" t="s">
        <v>120</v>
      </c>
      <c r="D424" s="7">
        <v>7</v>
      </c>
      <c r="E424" s="7">
        <v>6</v>
      </c>
      <c r="F424" s="7">
        <v>5</v>
      </c>
      <c r="G424" s="7">
        <v>4</v>
      </c>
      <c r="H424" s="7">
        <v>3</v>
      </c>
      <c r="I424" s="7">
        <v>2</v>
      </c>
      <c r="J424" s="7">
        <v>1</v>
      </c>
      <c r="K424" s="7">
        <v>0</v>
      </c>
    </row>
    <row r="425" spans="2:11">
      <c r="B425" s="5"/>
      <c r="C425" s="8" t="s">
        <v>6</v>
      </c>
      <c r="D425" s="176" t="s">
        <v>1206</v>
      </c>
      <c r="E425" s="102"/>
      <c r="F425" s="102"/>
      <c r="G425" s="102"/>
      <c r="H425" s="102"/>
      <c r="I425" s="102"/>
      <c r="J425" s="102"/>
      <c r="K425" s="177"/>
    </row>
    <row r="426" spans="2:11">
      <c r="B426" s="5" t="str">
        <f>CONCATENATE(D426,E426,F426,G426,H426,I426,J426,K426)</f>
        <v>00000000</v>
      </c>
      <c r="C426" s="8" t="s">
        <v>123</v>
      </c>
      <c r="D426" s="58">
        <v>0</v>
      </c>
      <c r="E426" s="58">
        <v>0</v>
      </c>
      <c r="F426" s="58">
        <v>0</v>
      </c>
      <c r="G426" s="58">
        <v>0</v>
      </c>
      <c r="H426" s="58">
        <v>0</v>
      </c>
      <c r="I426" s="58">
        <v>0</v>
      </c>
      <c r="J426" s="58">
        <v>0</v>
      </c>
      <c r="K426" s="58">
        <v>0</v>
      </c>
    </row>
    <row r="428" spans="2:11" ht="12.75" customHeight="1">
      <c r="B428" s="2">
        <v>0</v>
      </c>
      <c r="C428" s="190" t="str">
        <f>"5.1."&amp;B428-$B$854+1&amp;" Addr 0x5002"&amp;DEC2HEX(B428+448,4)&amp;" LPWM block enable"</f>
        <v>5.1.1 Addr 0x500201C0 LPWM block enable</v>
      </c>
      <c r="D428" s="191"/>
      <c r="E428" s="191"/>
      <c r="F428" s="191"/>
      <c r="G428" s="191"/>
      <c r="H428" s="191"/>
      <c r="I428" s="191"/>
      <c r="J428" s="191"/>
      <c r="K428" s="192"/>
    </row>
    <row r="429" spans="2:11">
      <c r="C429" s="6" t="s">
        <v>120</v>
      </c>
      <c r="D429" s="7">
        <v>7</v>
      </c>
      <c r="E429" s="7">
        <v>6</v>
      </c>
      <c r="F429" s="7">
        <v>5</v>
      </c>
      <c r="G429" s="7">
        <v>4</v>
      </c>
      <c r="H429" s="7">
        <v>3</v>
      </c>
      <c r="I429" s="7">
        <v>2</v>
      </c>
      <c r="J429" s="7">
        <v>1</v>
      </c>
      <c r="K429" s="7">
        <v>0</v>
      </c>
    </row>
    <row r="430" spans="2:11">
      <c r="C430" s="8" t="s">
        <v>6</v>
      </c>
      <c r="D430" s="88" t="s">
        <v>121</v>
      </c>
      <c r="E430" s="88" t="s">
        <v>121</v>
      </c>
      <c r="F430" s="88" t="s">
        <v>121</v>
      </c>
      <c r="G430" s="88" t="s">
        <v>121</v>
      </c>
      <c r="H430" s="88" t="s">
        <v>121</v>
      </c>
      <c r="I430" s="88" t="s">
        <v>121</v>
      </c>
      <c r="J430" s="88" t="s">
        <v>121</v>
      </c>
      <c r="K430" s="88" t="s">
        <v>1306</v>
      </c>
    </row>
    <row r="431" spans="2:11">
      <c r="C431" s="8" t="s">
        <v>123</v>
      </c>
      <c r="D431" s="88">
        <v>0</v>
      </c>
      <c r="E431" s="88">
        <v>0</v>
      </c>
      <c r="F431" s="88">
        <v>0</v>
      </c>
      <c r="G431" s="88">
        <v>0</v>
      </c>
      <c r="H431" s="88">
        <v>0</v>
      </c>
      <c r="I431" s="88">
        <v>0</v>
      </c>
      <c r="J431" s="88">
        <v>0</v>
      </c>
      <c r="K431" s="88">
        <v>0</v>
      </c>
    </row>
    <row r="433" spans="2:11" ht="13.5">
      <c r="C433" s="86" t="s">
        <v>6</v>
      </c>
      <c r="D433" s="193" t="s">
        <v>125</v>
      </c>
      <c r="E433" s="193"/>
      <c r="F433" s="86" t="s">
        <v>126</v>
      </c>
      <c r="G433" s="193" t="s">
        <v>127</v>
      </c>
      <c r="H433" s="193"/>
      <c r="I433" s="193"/>
      <c r="J433" s="193"/>
      <c r="K433" s="86" t="s">
        <v>123</v>
      </c>
    </row>
    <row r="434" spans="2:11" ht="13.5">
      <c r="C434" s="86" t="str">
        <f>K430</f>
        <v>LPWM_EN</v>
      </c>
      <c r="D434" s="189" t="s">
        <v>1307</v>
      </c>
      <c r="E434" s="189"/>
      <c r="F434" s="87"/>
      <c r="G434" s="189"/>
      <c r="H434" s="189"/>
      <c r="I434" s="189"/>
      <c r="J434" s="189"/>
      <c r="K434" s="86" t="s">
        <v>262</v>
      </c>
    </row>
    <row r="436" spans="2:11" ht="12.75" customHeight="1">
      <c r="B436" s="2">
        <f>B428+4</f>
        <v>4</v>
      </c>
      <c r="C436" s="190" t="str">
        <f>"5.1."&amp;B436-$B$854+1&amp;" Addr 0x5002"&amp;DEC2HEX(B436+448,4)&amp;" LPWM prescaler.L"</f>
        <v>5.1.5 Addr 0x500201C4 LPWM prescaler.L</v>
      </c>
      <c r="D436" s="191"/>
      <c r="E436" s="191"/>
      <c r="F436" s="191"/>
      <c r="G436" s="191"/>
      <c r="H436" s="191"/>
      <c r="I436" s="191"/>
      <c r="J436" s="191"/>
      <c r="K436" s="192"/>
    </row>
    <row r="437" spans="2:11">
      <c r="C437" s="6" t="s">
        <v>120</v>
      </c>
      <c r="D437" s="7">
        <v>7</v>
      </c>
      <c r="E437" s="7">
        <v>6</v>
      </c>
      <c r="F437" s="7">
        <v>5</v>
      </c>
      <c r="G437" s="7">
        <v>4</v>
      </c>
      <c r="H437" s="7">
        <v>3</v>
      </c>
      <c r="I437" s="7">
        <v>2</v>
      </c>
      <c r="J437" s="7">
        <v>1</v>
      </c>
      <c r="K437" s="7">
        <v>0</v>
      </c>
    </row>
    <row r="438" spans="2:11">
      <c r="C438" s="8" t="s">
        <v>6</v>
      </c>
      <c r="D438" s="176" t="s">
        <v>1308</v>
      </c>
      <c r="E438" s="102"/>
      <c r="F438" s="102"/>
      <c r="G438" s="102"/>
      <c r="H438" s="102"/>
      <c r="I438" s="102"/>
      <c r="J438" s="102"/>
      <c r="K438" s="177"/>
    </row>
    <row r="439" spans="2:11">
      <c r="C439" s="8" t="s">
        <v>123</v>
      </c>
      <c r="D439" s="88">
        <v>0</v>
      </c>
      <c r="E439" s="88">
        <v>0</v>
      </c>
      <c r="F439" s="88">
        <v>0</v>
      </c>
      <c r="G439" s="88">
        <v>0</v>
      </c>
      <c r="H439" s="88">
        <v>0</v>
      </c>
      <c r="I439" s="88">
        <v>0</v>
      </c>
      <c r="J439" s="88">
        <v>0</v>
      </c>
      <c r="K439" s="88">
        <v>0</v>
      </c>
    </row>
    <row r="441" spans="2:11" ht="13.5">
      <c r="C441" s="86" t="s">
        <v>6</v>
      </c>
      <c r="D441" s="193" t="s">
        <v>125</v>
      </c>
      <c r="E441" s="193"/>
      <c r="F441" s="86" t="s">
        <v>126</v>
      </c>
      <c r="G441" s="193" t="s">
        <v>127</v>
      </c>
      <c r="H441" s="193"/>
      <c r="I441" s="193"/>
      <c r="J441" s="193"/>
      <c r="K441" s="86" t="s">
        <v>123</v>
      </c>
    </row>
    <row r="442" spans="2:11" ht="13.5">
      <c r="C442" s="86" t="str">
        <f>D438</f>
        <v>LPWM_PRESCALE[7:0]</v>
      </c>
      <c r="D442" s="189" t="s">
        <v>1309</v>
      </c>
      <c r="E442" s="189"/>
      <c r="F442" s="87"/>
      <c r="G442" s="189" t="s">
        <v>1310</v>
      </c>
      <c r="H442" s="189"/>
      <c r="I442" s="189"/>
      <c r="J442" s="189"/>
      <c r="K442" s="86" t="s">
        <v>262</v>
      </c>
    </row>
    <row r="444" spans="2:11" ht="12.75" customHeight="1">
      <c r="B444" s="2">
        <f>B436+1</f>
        <v>5</v>
      </c>
      <c r="C444" s="190" t="str">
        <f>"5.1."&amp;B444-$B$854+1&amp;" Addr 0x5002"&amp;DEC2HEX(B444+448,4)&amp;" LPWM prescaler.H"</f>
        <v>5.1.6 Addr 0x500201C5 LPWM prescaler.H</v>
      </c>
      <c r="D444" s="191"/>
      <c r="E444" s="191"/>
      <c r="F444" s="191"/>
      <c r="G444" s="191"/>
      <c r="H444" s="191"/>
      <c r="I444" s="191"/>
      <c r="J444" s="191"/>
      <c r="K444" s="192"/>
    </row>
    <row r="445" spans="2:11">
      <c r="C445" s="6" t="s">
        <v>120</v>
      </c>
      <c r="D445" s="7">
        <v>7</v>
      </c>
      <c r="E445" s="7">
        <v>6</v>
      </c>
      <c r="F445" s="7">
        <v>5</v>
      </c>
      <c r="G445" s="7">
        <v>4</v>
      </c>
      <c r="H445" s="7">
        <v>3</v>
      </c>
      <c r="I445" s="7">
        <v>2</v>
      </c>
      <c r="J445" s="7">
        <v>1</v>
      </c>
      <c r="K445" s="7">
        <v>0</v>
      </c>
    </row>
    <row r="446" spans="2:11">
      <c r="C446" s="8" t="s">
        <v>6</v>
      </c>
      <c r="D446" s="176" t="s">
        <v>1311</v>
      </c>
      <c r="E446" s="102"/>
      <c r="F446" s="102"/>
      <c r="G446" s="102"/>
      <c r="H446" s="102"/>
      <c r="I446" s="102"/>
      <c r="J446" s="102"/>
      <c r="K446" s="177"/>
    </row>
    <row r="447" spans="2:11">
      <c r="C447" s="8" t="s">
        <v>123</v>
      </c>
      <c r="D447" s="88">
        <v>0</v>
      </c>
      <c r="E447" s="88">
        <v>0</v>
      </c>
      <c r="F447" s="88">
        <v>0</v>
      </c>
      <c r="G447" s="88">
        <v>0</v>
      </c>
      <c r="H447" s="88">
        <v>0</v>
      </c>
      <c r="I447" s="88">
        <v>0</v>
      </c>
      <c r="J447" s="88">
        <v>0</v>
      </c>
      <c r="K447" s="88">
        <v>0</v>
      </c>
    </row>
    <row r="449" spans="2:11" ht="13.5">
      <c r="C449" s="86" t="s">
        <v>6</v>
      </c>
      <c r="D449" s="193" t="s">
        <v>125</v>
      </c>
      <c r="E449" s="193"/>
      <c r="F449" s="86" t="s">
        <v>126</v>
      </c>
      <c r="G449" s="193" t="s">
        <v>127</v>
      </c>
      <c r="H449" s="193"/>
      <c r="I449" s="193"/>
      <c r="J449" s="193"/>
      <c r="K449" s="86" t="s">
        <v>123</v>
      </c>
    </row>
    <row r="450" spans="2:11" ht="13.5">
      <c r="C450" s="86" t="str">
        <f>D446</f>
        <v>LPWM_PRESCALE[15:8]</v>
      </c>
      <c r="D450" s="189" t="s">
        <v>1309</v>
      </c>
      <c r="E450" s="189"/>
      <c r="F450" s="87"/>
      <c r="G450" s="189" t="s">
        <v>1310</v>
      </c>
      <c r="H450" s="189"/>
      <c r="I450" s="189"/>
      <c r="J450" s="189"/>
      <c r="K450" s="86" t="s">
        <v>262</v>
      </c>
    </row>
    <row r="452" spans="2:11" ht="12.75" customHeight="1">
      <c r="B452" s="2">
        <f>B444+3</f>
        <v>8</v>
      </c>
      <c r="C452" s="190" t="str">
        <f>"5.1."&amp;B452-$B$854+1&amp;" Addr 0x5002"&amp;DEC2HEX(B452+448,4)&amp;" LPWM period.L"</f>
        <v>5.1.9 Addr 0x500201C8 LPWM period.L</v>
      </c>
      <c r="D452" s="191"/>
      <c r="E452" s="191"/>
      <c r="F452" s="191"/>
      <c r="G452" s="191"/>
      <c r="H452" s="191"/>
      <c r="I452" s="191"/>
      <c r="J452" s="191"/>
      <c r="K452" s="192"/>
    </row>
    <row r="453" spans="2:11">
      <c r="C453" s="6" t="s">
        <v>120</v>
      </c>
      <c r="D453" s="7">
        <v>7</v>
      </c>
      <c r="E453" s="7">
        <v>6</v>
      </c>
      <c r="F453" s="7">
        <v>5</v>
      </c>
      <c r="G453" s="7">
        <v>4</v>
      </c>
      <c r="H453" s="7">
        <v>3</v>
      </c>
      <c r="I453" s="7">
        <v>2</v>
      </c>
      <c r="J453" s="7">
        <v>1</v>
      </c>
      <c r="K453" s="7">
        <v>0</v>
      </c>
    </row>
    <row r="454" spans="2:11">
      <c r="C454" s="8" t="s">
        <v>6</v>
      </c>
      <c r="D454" s="176" t="s">
        <v>1312</v>
      </c>
      <c r="E454" s="102"/>
      <c r="F454" s="102"/>
      <c r="G454" s="102"/>
      <c r="H454" s="102"/>
      <c r="I454" s="102"/>
      <c r="J454" s="102"/>
      <c r="K454" s="177"/>
    </row>
    <row r="455" spans="2:11">
      <c r="C455" s="8" t="s">
        <v>123</v>
      </c>
      <c r="D455" s="88">
        <v>0</v>
      </c>
      <c r="E455" s="88">
        <v>0</v>
      </c>
      <c r="F455" s="88">
        <v>0</v>
      </c>
      <c r="G455" s="88">
        <v>0</v>
      </c>
      <c r="H455" s="88">
        <v>0</v>
      </c>
      <c r="I455" s="88">
        <v>0</v>
      </c>
      <c r="J455" s="88">
        <v>0</v>
      </c>
      <c r="K455" s="88">
        <v>0</v>
      </c>
    </row>
    <row r="457" spans="2:11" ht="13.5">
      <c r="C457" s="86" t="s">
        <v>6</v>
      </c>
      <c r="D457" s="193" t="s">
        <v>125</v>
      </c>
      <c r="E457" s="193"/>
      <c r="F457" s="86" t="s">
        <v>126</v>
      </c>
      <c r="G457" s="193" t="s">
        <v>127</v>
      </c>
      <c r="H457" s="193"/>
      <c r="I457" s="193"/>
      <c r="J457" s="193"/>
      <c r="K457" s="86" t="s">
        <v>123</v>
      </c>
    </row>
    <row r="458" spans="2:11" ht="13.5">
      <c r="C458" s="86" t="str">
        <f>D454</f>
        <v>LPWM_PERIOD[7:0]</v>
      </c>
      <c r="D458" s="189" t="s">
        <v>1314</v>
      </c>
      <c r="E458" s="189"/>
      <c r="F458" s="87"/>
      <c r="G458" s="189"/>
      <c r="H458" s="189"/>
      <c r="I458" s="189"/>
      <c r="J458" s="189"/>
      <c r="K458" s="86" t="s">
        <v>262</v>
      </c>
    </row>
    <row r="460" spans="2:11" ht="12.75" customHeight="1">
      <c r="B460" s="2">
        <f>B452+1</f>
        <v>9</v>
      </c>
      <c r="C460" s="190" t="str">
        <f>"5.1."&amp;B460-$B$854+1&amp;" Addr 0x5002"&amp;DEC2HEX(B460+448,4)&amp;" LPWM period.H"</f>
        <v>5.1.10 Addr 0x500201C9 LPWM period.H</v>
      </c>
      <c r="D460" s="191"/>
      <c r="E460" s="191"/>
      <c r="F460" s="191"/>
      <c r="G460" s="191"/>
      <c r="H460" s="191"/>
      <c r="I460" s="191"/>
      <c r="J460" s="191"/>
      <c r="K460" s="192"/>
    </row>
    <row r="461" spans="2:11">
      <c r="C461" s="6" t="s">
        <v>120</v>
      </c>
      <c r="D461" s="7">
        <v>7</v>
      </c>
      <c r="E461" s="7">
        <v>6</v>
      </c>
      <c r="F461" s="7">
        <v>5</v>
      </c>
      <c r="G461" s="7">
        <v>4</v>
      </c>
      <c r="H461" s="7">
        <v>3</v>
      </c>
      <c r="I461" s="7">
        <v>2</v>
      </c>
      <c r="J461" s="7">
        <v>1</v>
      </c>
      <c r="K461" s="7">
        <v>0</v>
      </c>
    </row>
    <row r="462" spans="2:11" ht="12.75" customHeight="1">
      <c r="C462" s="8" t="s">
        <v>6</v>
      </c>
      <c r="D462" s="176" t="s">
        <v>1313</v>
      </c>
      <c r="E462" s="102"/>
      <c r="F462" s="102"/>
      <c r="G462" s="102"/>
      <c r="H462" s="102"/>
      <c r="I462" s="102"/>
      <c r="J462" s="102"/>
      <c r="K462" s="177"/>
    </row>
    <row r="463" spans="2:11">
      <c r="C463" s="8" t="s">
        <v>123</v>
      </c>
      <c r="D463" s="88">
        <v>0</v>
      </c>
      <c r="E463" s="88">
        <v>0</v>
      </c>
      <c r="F463" s="88">
        <v>0</v>
      </c>
      <c r="G463" s="88">
        <v>0</v>
      </c>
      <c r="H463" s="88">
        <v>0</v>
      </c>
      <c r="I463" s="88">
        <v>0</v>
      </c>
      <c r="J463" s="88">
        <v>0</v>
      </c>
      <c r="K463" s="88">
        <v>0</v>
      </c>
    </row>
    <row r="465" spans="2:11" ht="13.5">
      <c r="C465" s="86" t="s">
        <v>6</v>
      </c>
      <c r="D465" s="193" t="s">
        <v>125</v>
      </c>
      <c r="E465" s="193"/>
      <c r="F465" s="86" t="s">
        <v>126</v>
      </c>
      <c r="G465" s="193" t="s">
        <v>127</v>
      </c>
      <c r="H465" s="193"/>
      <c r="I465" s="193"/>
      <c r="J465" s="193"/>
      <c r="K465" s="86" t="s">
        <v>123</v>
      </c>
    </row>
    <row r="466" spans="2:11" ht="13.5">
      <c r="C466" s="86" t="str">
        <f>D462</f>
        <v>LPWM_PERIOD[15:8]</v>
      </c>
      <c r="D466" s="189" t="s">
        <v>1314</v>
      </c>
      <c r="E466" s="189"/>
      <c r="F466" s="87"/>
      <c r="G466" s="189"/>
      <c r="H466" s="189"/>
      <c r="I466" s="189"/>
      <c r="J466" s="189"/>
      <c r="K466" s="86" t="s">
        <v>262</v>
      </c>
    </row>
    <row r="468" spans="2:11" ht="12.75" customHeight="1">
      <c r="B468" s="2">
        <f>B460+7</f>
        <v>16</v>
      </c>
      <c r="C468" s="190" t="str">
        <f>"5.1."&amp;B468-$B$854+1&amp;" Addr 0x5002"&amp;DEC2HEX(B468+448,4)&amp;" LPWM channel0 position.L"</f>
        <v>5.1.17 Addr 0x500201D0 LPWM channel0 position.L</v>
      </c>
      <c r="D468" s="191"/>
      <c r="E468" s="191"/>
      <c r="F468" s="191"/>
      <c r="G468" s="191"/>
      <c r="H468" s="191"/>
      <c r="I468" s="191"/>
      <c r="J468" s="191"/>
      <c r="K468" s="192"/>
    </row>
    <row r="469" spans="2:11">
      <c r="C469" s="6" t="s">
        <v>120</v>
      </c>
      <c r="D469" s="7">
        <v>7</v>
      </c>
      <c r="E469" s="7">
        <v>6</v>
      </c>
      <c r="F469" s="7">
        <v>5</v>
      </c>
      <c r="G469" s="7">
        <v>4</v>
      </c>
      <c r="H469" s="7">
        <v>3</v>
      </c>
      <c r="I469" s="7">
        <v>2</v>
      </c>
      <c r="J469" s="7">
        <v>1</v>
      </c>
      <c r="K469" s="7">
        <v>0</v>
      </c>
    </row>
    <row r="470" spans="2:11">
      <c r="C470" s="8" t="s">
        <v>6</v>
      </c>
      <c r="D470" s="176" t="s">
        <v>1315</v>
      </c>
      <c r="E470" s="102"/>
      <c r="F470" s="102"/>
      <c r="G470" s="102"/>
      <c r="H470" s="102"/>
      <c r="I470" s="102"/>
      <c r="J470" s="102"/>
      <c r="K470" s="177"/>
    </row>
    <row r="471" spans="2:11">
      <c r="C471" s="8" t="s">
        <v>123</v>
      </c>
      <c r="D471" s="88">
        <v>0</v>
      </c>
      <c r="E471" s="88">
        <v>0</v>
      </c>
      <c r="F471" s="88">
        <v>0</v>
      </c>
      <c r="G471" s="88">
        <v>0</v>
      </c>
      <c r="H471" s="88">
        <v>0</v>
      </c>
      <c r="I471" s="88">
        <v>0</v>
      </c>
      <c r="J471" s="88">
        <v>0</v>
      </c>
      <c r="K471" s="88">
        <v>0</v>
      </c>
    </row>
    <row r="473" spans="2:11" ht="13.5">
      <c r="C473" s="86" t="s">
        <v>6</v>
      </c>
      <c r="D473" s="193" t="s">
        <v>125</v>
      </c>
      <c r="E473" s="193"/>
      <c r="F473" s="86" t="s">
        <v>126</v>
      </c>
      <c r="G473" s="193" t="s">
        <v>127</v>
      </c>
      <c r="H473" s="193"/>
      <c r="I473" s="193"/>
      <c r="J473" s="193"/>
      <c r="K473" s="86" t="s">
        <v>123</v>
      </c>
    </row>
    <row r="474" spans="2:11" ht="13.5">
      <c r="C474" s="86" t="str">
        <f>D470</f>
        <v>LPWM_CH0_COMP[7:0]</v>
      </c>
      <c r="D474" s="189" t="s">
        <v>1317</v>
      </c>
      <c r="E474" s="189"/>
      <c r="F474" s="87"/>
      <c r="G474" s="189"/>
      <c r="H474" s="189"/>
      <c r="I474" s="189"/>
      <c r="J474" s="189"/>
      <c r="K474" s="86" t="s">
        <v>262</v>
      </c>
    </row>
    <row r="476" spans="2:11" ht="12.75" customHeight="1">
      <c r="B476" s="2">
        <f>B468+1</f>
        <v>17</v>
      </c>
      <c r="C476" s="190" t="str">
        <f>"5.1."&amp;B476-$B$854+1&amp;" Addr 0x5002"&amp;DEC2HEX(B476+448,4)&amp;" LPWM channel0 position.H"</f>
        <v>5.1.18 Addr 0x500201D1 LPWM channel0 position.H</v>
      </c>
      <c r="D476" s="191"/>
      <c r="E476" s="191"/>
      <c r="F476" s="191"/>
      <c r="G476" s="191"/>
      <c r="H476" s="191"/>
      <c r="I476" s="191"/>
      <c r="J476" s="191"/>
      <c r="K476" s="192"/>
    </row>
    <row r="477" spans="2:11">
      <c r="C477" s="6" t="s">
        <v>120</v>
      </c>
      <c r="D477" s="7">
        <v>7</v>
      </c>
      <c r="E477" s="7">
        <v>6</v>
      </c>
      <c r="F477" s="7">
        <v>5</v>
      </c>
      <c r="G477" s="7">
        <v>4</v>
      </c>
      <c r="H477" s="7">
        <v>3</v>
      </c>
      <c r="I477" s="7">
        <v>2</v>
      </c>
      <c r="J477" s="7">
        <v>1</v>
      </c>
      <c r="K477" s="7">
        <v>0</v>
      </c>
    </row>
    <row r="478" spans="2:11" ht="12.75" customHeight="1">
      <c r="C478" s="8" t="s">
        <v>6</v>
      </c>
      <c r="D478" s="176" t="s">
        <v>1316</v>
      </c>
      <c r="E478" s="102"/>
      <c r="F478" s="102"/>
      <c r="G478" s="102"/>
      <c r="H478" s="102"/>
      <c r="I478" s="102"/>
      <c r="J478" s="102"/>
      <c r="K478" s="177"/>
    </row>
    <row r="479" spans="2:11">
      <c r="C479" s="8" t="s">
        <v>123</v>
      </c>
      <c r="D479" s="88">
        <v>0</v>
      </c>
      <c r="E479" s="88">
        <v>0</v>
      </c>
      <c r="F479" s="88">
        <v>0</v>
      </c>
      <c r="G479" s="88">
        <v>0</v>
      </c>
      <c r="H479" s="88">
        <v>0</v>
      </c>
      <c r="I479" s="88">
        <v>0</v>
      </c>
      <c r="J479" s="88">
        <v>0</v>
      </c>
      <c r="K479" s="88">
        <v>0</v>
      </c>
    </row>
    <row r="481" spans="2:11" ht="13.5">
      <c r="C481" s="86" t="s">
        <v>6</v>
      </c>
      <c r="D481" s="193" t="s">
        <v>125</v>
      </c>
      <c r="E481" s="193"/>
      <c r="F481" s="86" t="s">
        <v>126</v>
      </c>
      <c r="G481" s="193" t="s">
        <v>127</v>
      </c>
      <c r="H481" s="193"/>
      <c r="I481" s="193"/>
      <c r="J481" s="193"/>
      <c r="K481" s="86" t="s">
        <v>123</v>
      </c>
    </row>
    <row r="482" spans="2:11" ht="13.5" customHeight="1">
      <c r="C482" s="86" t="str">
        <f>D478</f>
        <v>LPWM_CH0_COMP[15:8]</v>
      </c>
      <c r="D482" s="189" t="s">
        <v>1317</v>
      </c>
      <c r="E482" s="189"/>
      <c r="F482" s="87"/>
      <c r="G482" s="189"/>
      <c r="H482" s="189"/>
      <c r="I482" s="189"/>
      <c r="J482" s="189"/>
      <c r="K482" s="86" t="s">
        <v>262</v>
      </c>
    </row>
    <row r="484" spans="2:11" ht="12.75" customHeight="1">
      <c r="B484" s="2">
        <f>B476+1</f>
        <v>18</v>
      </c>
      <c r="C484" s="190" t="str">
        <f>"5.1."&amp;B484-$B$854+1&amp;" Addr 0x5002"&amp;DEC2HEX(B484+448,4)&amp;" LPWM channel1 position.L"</f>
        <v>5.1.19 Addr 0x500201D2 LPWM channel1 position.L</v>
      </c>
      <c r="D484" s="191"/>
      <c r="E484" s="191"/>
      <c r="F484" s="191"/>
      <c r="G484" s="191"/>
      <c r="H484" s="191"/>
      <c r="I484" s="191"/>
      <c r="J484" s="191"/>
      <c r="K484" s="192"/>
    </row>
    <row r="485" spans="2:11">
      <c r="C485" s="6" t="s">
        <v>120</v>
      </c>
      <c r="D485" s="7">
        <v>7</v>
      </c>
      <c r="E485" s="7">
        <v>6</v>
      </c>
      <c r="F485" s="7">
        <v>5</v>
      </c>
      <c r="G485" s="7">
        <v>4</v>
      </c>
      <c r="H485" s="7">
        <v>3</v>
      </c>
      <c r="I485" s="7">
        <v>2</v>
      </c>
      <c r="J485" s="7">
        <v>1</v>
      </c>
      <c r="K485" s="7">
        <v>0</v>
      </c>
    </row>
    <row r="486" spans="2:11">
      <c r="C486" s="8" t="s">
        <v>6</v>
      </c>
      <c r="D486" s="176" t="s">
        <v>1318</v>
      </c>
      <c r="E486" s="102"/>
      <c r="F486" s="102"/>
      <c r="G486" s="102"/>
      <c r="H486" s="102"/>
      <c r="I486" s="102"/>
      <c r="J486" s="102"/>
      <c r="K486" s="177"/>
    </row>
    <row r="487" spans="2:11">
      <c r="C487" s="8" t="s">
        <v>123</v>
      </c>
      <c r="D487" s="88">
        <v>0</v>
      </c>
      <c r="E487" s="88">
        <v>0</v>
      </c>
      <c r="F487" s="88">
        <v>0</v>
      </c>
      <c r="G487" s="88">
        <v>0</v>
      </c>
      <c r="H487" s="88">
        <v>0</v>
      </c>
      <c r="I487" s="88">
        <v>0</v>
      </c>
      <c r="J487" s="88">
        <v>0</v>
      </c>
      <c r="K487" s="88">
        <v>0</v>
      </c>
    </row>
    <row r="489" spans="2:11" ht="13.5">
      <c r="C489" s="86" t="s">
        <v>6</v>
      </c>
      <c r="D489" s="193" t="s">
        <v>125</v>
      </c>
      <c r="E489" s="193"/>
      <c r="F489" s="86" t="s">
        <v>126</v>
      </c>
      <c r="G489" s="193" t="s">
        <v>127</v>
      </c>
      <c r="H489" s="193"/>
      <c r="I489" s="193"/>
      <c r="J489" s="193"/>
      <c r="K489" s="86" t="s">
        <v>123</v>
      </c>
    </row>
    <row r="490" spans="2:11" ht="13.5">
      <c r="C490" s="86" t="str">
        <f>D486</f>
        <v>LPWM_CH1_COMP[7:0]</v>
      </c>
      <c r="D490" s="189" t="s">
        <v>1320</v>
      </c>
      <c r="E490" s="189"/>
      <c r="F490" s="87"/>
      <c r="G490" s="189"/>
      <c r="H490" s="189"/>
      <c r="I490" s="189"/>
      <c r="J490" s="189"/>
      <c r="K490" s="86" t="s">
        <v>262</v>
      </c>
    </row>
    <row r="492" spans="2:11" ht="12.75" customHeight="1">
      <c r="B492" s="2">
        <f>B484+1</f>
        <v>19</v>
      </c>
      <c r="C492" s="190" t="str">
        <f>"5.1."&amp;B492-$B$854+1&amp;" Addr 0x5002"&amp;DEC2HEX(B492+448,4)&amp;" LPWM channel1 position.H"</f>
        <v>5.1.20 Addr 0x500201D3 LPWM channel1 position.H</v>
      </c>
      <c r="D492" s="191"/>
      <c r="E492" s="191"/>
      <c r="F492" s="191"/>
      <c r="G492" s="191"/>
      <c r="H492" s="191"/>
      <c r="I492" s="191"/>
      <c r="J492" s="191"/>
      <c r="K492" s="192"/>
    </row>
    <row r="493" spans="2:11">
      <c r="C493" s="6" t="s">
        <v>120</v>
      </c>
      <c r="D493" s="7">
        <v>7</v>
      </c>
      <c r="E493" s="7">
        <v>6</v>
      </c>
      <c r="F493" s="7">
        <v>5</v>
      </c>
      <c r="G493" s="7">
        <v>4</v>
      </c>
      <c r="H493" s="7">
        <v>3</v>
      </c>
      <c r="I493" s="7">
        <v>2</v>
      </c>
      <c r="J493" s="7">
        <v>1</v>
      </c>
      <c r="K493" s="7">
        <v>0</v>
      </c>
    </row>
    <row r="494" spans="2:11" ht="12.75" customHeight="1">
      <c r="C494" s="8" t="s">
        <v>6</v>
      </c>
      <c r="D494" s="176" t="s">
        <v>1319</v>
      </c>
      <c r="E494" s="102"/>
      <c r="F494" s="102"/>
      <c r="G494" s="102"/>
      <c r="H494" s="102"/>
      <c r="I494" s="102"/>
      <c r="J494" s="102"/>
      <c r="K494" s="177"/>
    </row>
    <row r="495" spans="2:11">
      <c r="C495" s="8" t="s">
        <v>123</v>
      </c>
      <c r="D495" s="88">
        <v>0</v>
      </c>
      <c r="E495" s="88">
        <v>0</v>
      </c>
      <c r="F495" s="88">
        <v>0</v>
      </c>
      <c r="G495" s="88">
        <v>0</v>
      </c>
      <c r="H495" s="88">
        <v>0</v>
      </c>
      <c r="I495" s="88">
        <v>0</v>
      </c>
      <c r="J495" s="88">
        <v>0</v>
      </c>
      <c r="K495" s="88">
        <v>0</v>
      </c>
    </row>
    <row r="497" spans="3:11" ht="13.5">
      <c r="C497" s="86" t="s">
        <v>6</v>
      </c>
      <c r="D497" s="193" t="s">
        <v>125</v>
      </c>
      <c r="E497" s="193"/>
      <c r="F497" s="86" t="s">
        <v>126</v>
      </c>
      <c r="G497" s="193" t="s">
        <v>127</v>
      </c>
      <c r="H497" s="193"/>
      <c r="I497" s="193"/>
      <c r="J497" s="193"/>
      <c r="K497" s="86" t="s">
        <v>123</v>
      </c>
    </row>
    <row r="498" spans="3:11" ht="13.5" customHeight="1">
      <c r="C498" s="86" t="str">
        <f>D494</f>
        <v>LPWM_CH1_COMP[15:8]</v>
      </c>
      <c r="D498" s="189" t="s">
        <v>1320</v>
      </c>
      <c r="E498" s="189"/>
      <c r="F498" s="87"/>
      <c r="G498" s="189"/>
      <c r="H498" s="189"/>
      <c r="I498" s="189"/>
      <c r="J498" s="189"/>
      <c r="K498" s="86" t="s">
        <v>262</v>
      </c>
    </row>
  </sheetData>
  <mergeCells count="212">
    <mergeCell ref="C418:K418"/>
    <mergeCell ref="D420:K420"/>
    <mergeCell ref="D395:K395"/>
    <mergeCell ref="C367:K367"/>
    <mergeCell ref="C372:K372"/>
    <mergeCell ref="D377:E377"/>
    <mergeCell ref="G377:J377"/>
    <mergeCell ref="D378:E378"/>
    <mergeCell ref="G378:J378"/>
    <mergeCell ref="C398:K398"/>
    <mergeCell ref="D400:K400"/>
    <mergeCell ref="C380:K380"/>
    <mergeCell ref="D382:K382"/>
    <mergeCell ref="C388:K388"/>
    <mergeCell ref="D390:K390"/>
    <mergeCell ref="C384:K384"/>
    <mergeCell ref="D385:E385"/>
    <mergeCell ref="G385:J385"/>
    <mergeCell ref="D386:E386"/>
    <mergeCell ref="G386:J386"/>
    <mergeCell ref="C403:K403"/>
    <mergeCell ref="D405:K405"/>
    <mergeCell ref="C408:K408"/>
    <mergeCell ref="D410:K410"/>
    <mergeCell ref="C342:K342"/>
    <mergeCell ref="D344:K344"/>
    <mergeCell ref="C347:K347"/>
    <mergeCell ref="C393:K393"/>
    <mergeCell ref="D349:K349"/>
    <mergeCell ref="C352:K352"/>
    <mergeCell ref="D354:K354"/>
    <mergeCell ref="C357:K357"/>
    <mergeCell ref="D359:K359"/>
    <mergeCell ref="C362:K362"/>
    <mergeCell ref="D319:K319"/>
    <mergeCell ref="C322:K322"/>
    <mergeCell ref="D324:K324"/>
    <mergeCell ref="C327:K327"/>
    <mergeCell ref="D329:K329"/>
    <mergeCell ref="C332:K332"/>
    <mergeCell ref="D334:K334"/>
    <mergeCell ref="C337:K337"/>
    <mergeCell ref="D339:K339"/>
    <mergeCell ref="C297:K297"/>
    <mergeCell ref="D299:K299"/>
    <mergeCell ref="C302:K302"/>
    <mergeCell ref="D304:K304"/>
    <mergeCell ref="C307:K307"/>
    <mergeCell ref="D309:K309"/>
    <mergeCell ref="C312:K312"/>
    <mergeCell ref="D314:K314"/>
    <mergeCell ref="C317:K317"/>
    <mergeCell ref="C272:K272"/>
    <mergeCell ref="D274:K274"/>
    <mergeCell ref="C277:K277"/>
    <mergeCell ref="D279:K279"/>
    <mergeCell ref="C282:K282"/>
    <mergeCell ref="C287:K287"/>
    <mergeCell ref="D289:K289"/>
    <mergeCell ref="C292:K292"/>
    <mergeCell ref="D294:K294"/>
    <mergeCell ref="D249:K249"/>
    <mergeCell ref="C252:K252"/>
    <mergeCell ref="D254:K254"/>
    <mergeCell ref="C257:K257"/>
    <mergeCell ref="J259:K259"/>
    <mergeCell ref="C262:K262"/>
    <mergeCell ref="D264:K264"/>
    <mergeCell ref="C267:K267"/>
    <mergeCell ref="D269:K269"/>
    <mergeCell ref="D224:K224"/>
    <mergeCell ref="C227:K227"/>
    <mergeCell ref="C232:K232"/>
    <mergeCell ref="D234:K234"/>
    <mergeCell ref="C237:K237"/>
    <mergeCell ref="D239:K239"/>
    <mergeCell ref="C242:K242"/>
    <mergeCell ref="J244:K244"/>
    <mergeCell ref="C247:K247"/>
    <mergeCell ref="C202:K202"/>
    <mergeCell ref="D204:K204"/>
    <mergeCell ref="C207:K207"/>
    <mergeCell ref="D209:K209"/>
    <mergeCell ref="C212:K212"/>
    <mergeCell ref="D214:K214"/>
    <mergeCell ref="C217:K217"/>
    <mergeCell ref="D219:K219"/>
    <mergeCell ref="C222:K222"/>
    <mergeCell ref="C167:K167"/>
    <mergeCell ref="I169:K169"/>
    <mergeCell ref="C172:K172"/>
    <mergeCell ref="C177:K177"/>
    <mergeCell ref="C182:K182"/>
    <mergeCell ref="C187:K187"/>
    <mergeCell ref="C192:K192"/>
    <mergeCell ref="C197:K197"/>
    <mergeCell ref="D199:K199"/>
    <mergeCell ref="D144:K144"/>
    <mergeCell ref="C147:K147"/>
    <mergeCell ref="D149:K149"/>
    <mergeCell ref="C152:K152"/>
    <mergeCell ref="D154:K154"/>
    <mergeCell ref="C157:K157"/>
    <mergeCell ref="D159:K159"/>
    <mergeCell ref="C162:K162"/>
    <mergeCell ref="D164:K164"/>
    <mergeCell ref="C117:K117"/>
    <mergeCell ref="D119:K119"/>
    <mergeCell ref="C122:K122"/>
    <mergeCell ref="D124:K124"/>
    <mergeCell ref="C127:K127"/>
    <mergeCell ref="D129:K129"/>
    <mergeCell ref="C132:K132"/>
    <mergeCell ref="C137:K137"/>
    <mergeCell ref="C142:K142"/>
    <mergeCell ref="D94:K94"/>
    <mergeCell ref="C97:K97"/>
    <mergeCell ref="D99:K99"/>
    <mergeCell ref="C102:K102"/>
    <mergeCell ref="D104:K104"/>
    <mergeCell ref="C107:K107"/>
    <mergeCell ref="D109:K109"/>
    <mergeCell ref="C112:K112"/>
    <mergeCell ref="D114:K114"/>
    <mergeCell ref="C72:K72"/>
    <mergeCell ref="D74:K74"/>
    <mergeCell ref="C77:K77"/>
    <mergeCell ref="D79:K79"/>
    <mergeCell ref="C82:K82"/>
    <mergeCell ref="D84:K84"/>
    <mergeCell ref="C87:K87"/>
    <mergeCell ref="D89:K89"/>
    <mergeCell ref="C92:K92"/>
    <mergeCell ref="C413:K413"/>
    <mergeCell ref="D415:K415"/>
    <mergeCell ref="C2:K2"/>
    <mergeCell ref="D4:K4"/>
    <mergeCell ref="C7:K7"/>
    <mergeCell ref="H9:K9"/>
    <mergeCell ref="C12:K12"/>
    <mergeCell ref="C17:K17"/>
    <mergeCell ref="C22:K22"/>
    <mergeCell ref="C27:K27"/>
    <mergeCell ref="C32:K32"/>
    <mergeCell ref="D34:K34"/>
    <mergeCell ref="C37:K37"/>
    <mergeCell ref="D39:K39"/>
    <mergeCell ref="C42:K42"/>
    <mergeCell ref="D44:K44"/>
    <mergeCell ref="C47:K47"/>
    <mergeCell ref="C52:K52"/>
    <mergeCell ref="I54:K54"/>
    <mergeCell ref="C57:K57"/>
    <mergeCell ref="C62:K62"/>
    <mergeCell ref="D64:K64"/>
    <mergeCell ref="C67:K67"/>
    <mergeCell ref="D69:K69"/>
    <mergeCell ref="C428:K428"/>
    <mergeCell ref="D433:E433"/>
    <mergeCell ref="G433:J433"/>
    <mergeCell ref="D434:E434"/>
    <mergeCell ref="G434:J434"/>
    <mergeCell ref="C436:K436"/>
    <mergeCell ref="D441:E441"/>
    <mergeCell ref="G441:J441"/>
    <mergeCell ref="C423:K423"/>
    <mergeCell ref="D425:K425"/>
    <mergeCell ref="D442:E442"/>
    <mergeCell ref="G442:J442"/>
    <mergeCell ref="D438:K438"/>
    <mergeCell ref="C444:K444"/>
    <mergeCell ref="D446:K446"/>
    <mergeCell ref="D449:E449"/>
    <mergeCell ref="G449:J449"/>
    <mergeCell ref="D450:E450"/>
    <mergeCell ref="G450:J450"/>
    <mergeCell ref="C452:K452"/>
    <mergeCell ref="D454:K454"/>
    <mergeCell ref="D457:E457"/>
    <mergeCell ref="G457:J457"/>
    <mergeCell ref="D458:E458"/>
    <mergeCell ref="G458:J458"/>
    <mergeCell ref="C460:K460"/>
    <mergeCell ref="D462:K462"/>
    <mergeCell ref="D465:E465"/>
    <mergeCell ref="G465:J465"/>
    <mergeCell ref="D466:E466"/>
    <mergeCell ref="G466:J466"/>
    <mergeCell ref="C468:K468"/>
    <mergeCell ref="D470:K470"/>
    <mergeCell ref="D473:E473"/>
    <mergeCell ref="G473:J473"/>
    <mergeCell ref="D474:E474"/>
    <mergeCell ref="G474:J474"/>
    <mergeCell ref="C476:K476"/>
    <mergeCell ref="D490:E490"/>
    <mergeCell ref="G490:J490"/>
    <mergeCell ref="C492:K492"/>
    <mergeCell ref="D494:K494"/>
    <mergeCell ref="D497:E497"/>
    <mergeCell ref="G497:J497"/>
    <mergeCell ref="D498:E498"/>
    <mergeCell ref="G498:J498"/>
    <mergeCell ref="D478:K478"/>
    <mergeCell ref="D481:E481"/>
    <mergeCell ref="G481:J481"/>
    <mergeCell ref="D482:E482"/>
    <mergeCell ref="G482:J482"/>
    <mergeCell ref="C484:K484"/>
    <mergeCell ref="D486:K486"/>
    <mergeCell ref="D489:E489"/>
    <mergeCell ref="G489:J489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244"/>
  <sheetViews>
    <sheetView tabSelected="1" topLeftCell="A851" zoomScale="85" zoomScaleNormal="85" workbookViewId="0">
      <selection activeCell="B862" sqref="B862"/>
    </sheetView>
  </sheetViews>
  <sheetFormatPr defaultColWidth="10.77734375" defaultRowHeight="12.75"/>
  <cols>
    <col min="1" max="2" width="10.77734375" style="2"/>
    <col min="3" max="3" width="17.33203125" style="2" customWidth="1"/>
    <col min="4" max="11" width="14.3320312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 ht="12.75" customHeight="1">
      <c r="B2" s="5">
        <v>0</v>
      </c>
      <c r="C2" s="169" t="str">
        <f>"4.1."&amp;B2+1&amp;" Addr 0x"&amp;DEC2HEX(B2,8)&amp;" Chip ID.L (Read Only)"</f>
        <v>4.1.1 Addr 0x00000000 Chip ID.L (Read Only)</v>
      </c>
      <c r="D2" s="170"/>
      <c r="E2" s="170"/>
      <c r="F2" s="170"/>
      <c r="G2" s="170"/>
      <c r="H2" s="170"/>
      <c r="I2" s="170"/>
      <c r="J2" s="170"/>
      <c r="K2" s="171"/>
    </row>
    <row r="3" spans="2:11" s="1" customFormat="1">
      <c r="B3" s="5"/>
      <c r="C3" s="6" t="s">
        <v>120</v>
      </c>
      <c r="D3" s="7">
        <v>7</v>
      </c>
      <c r="E3" s="7">
        <v>6</v>
      </c>
      <c r="F3" s="7">
        <v>5</v>
      </c>
      <c r="G3" s="7">
        <v>4</v>
      </c>
      <c r="H3" s="7">
        <v>3</v>
      </c>
      <c r="I3" s="7">
        <v>2</v>
      </c>
      <c r="J3" s="7">
        <v>1</v>
      </c>
      <c r="K3" s="7">
        <v>0</v>
      </c>
    </row>
    <row r="4" spans="2:11" s="1" customFormat="1" ht="13.5" customHeight="1">
      <c r="B4" s="5"/>
      <c r="C4" s="8" t="s">
        <v>6</v>
      </c>
      <c r="D4" s="176" t="s">
        <v>719</v>
      </c>
      <c r="E4" s="102"/>
      <c r="F4" s="102"/>
      <c r="G4" s="102"/>
      <c r="H4" s="102"/>
      <c r="I4" s="102"/>
      <c r="J4" s="102"/>
      <c r="K4" s="177"/>
    </row>
    <row r="5" spans="2:11" s="1" customFormat="1">
      <c r="B5" s="5" t="str">
        <f>CONCATENATE(D5,E5,F5,G5,H5,I5,J5,K5)</f>
        <v>00000000</v>
      </c>
      <c r="C5" s="8" t="s">
        <v>123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2:11" s="1" customFormat="1">
      <c r="B6" s="5"/>
      <c r="C6" s="102"/>
      <c r="D6" s="102"/>
      <c r="E6" s="102"/>
      <c r="F6" s="102"/>
      <c r="G6" s="102"/>
      <c r="H6" s="102"/>
      <c r="I6" s="102"/>
      <c r="J6" s="102"/>
      <c r="K6" s="102"/>
    </row>
    <row r="7" spans="2:11" s="1" customFormat="1" ht="13.5">
      <c r="B7" s="3"/>
      <c r="C7" s="10" t="s">
        <v>6</v>
      </c>
      <c r="D7" s="143" t="s">
        <v>125</v>
      </c>
      <c r="E7" s="143"/>
      <c r="F7" s="10" t="s">
        <v>126</v>
      </c>
      <c r="G7" s="143" t="s">
        <v>127</v>
      </c>
      <c r="H7" s="143"/>
      <c r="I7" s="143"/>
      <c r="J7" s="143"/>
      <c r="K7" s="10" t="s">
        <v>123</v>
      </c>
    </row>
    <row r="8" spans="2:11" s="1" customFormat="1" ht="13.5">
      <c r="B8" s="3"/>
      <c r="C8" s="10" t="str">
        <f>D4</f>
        <v>CHIP_ID[7:0]</v>
      </c>
      <c r="D8" s="143" t="s">
        <v>720</v>
      </c>
      <c r="E8" s="143"/>
      <c r="F8" s="10" t="s">
        <v>721</v>
      </c>
      <c r="G8" s="143"/>
      <c r="H8" s="143"/>
      <c r="I8" s="143"/>
      <c r="J8" s="143"/>
      <c r="K8" s="10" t="s">
        <v>722</v>
      </c>
    </row>
    <row r="10" spans="2:11" s="1" customFormat="1" ht="12.75" customHeight="1">
      <c r="B10" s="5">
        <f>B2+1</f>
        <v>1</v>
      </c>
      <c r="C10" s="169" t="str">
        <f>"4.1."&amp;B10+1&amp;" Addr 0x"&amp;DEC2HEX(B10,8)&amp;" Chip ID.H (Read Only)"</f>
        <v>4.1.2 Addr 0x00000001 Chip ID.H (Read Only)</v>
      </c>
      <c r="D10" s="170"/>
      <c r="E10" s="170"/>
      <c r="F10" s="170"/>
      <c r="G10" s="170"/>
      <c r="H10" s="170"/>
      <c r="I10" s="170"/>
      <c r="J10" s="170"/>
      <c r="K10" s="171"/>
    </row>
    <row r="11" spans="2:11" s="1" customFormat="1">
      <c r="B11" s="5"/>
      <c r="C11" s="6" t="s">
        <v>120</v>
      </c>
      <c r="D11" s="7">
        <v>7</v>
      </c>
      <c r="E11" s="7">
        <v>6</v>
      </c>
      <c r="F11" s="7">
        <v>5</v>
      </c>
      <c r="G11" s="7">
        <v>4</v>
      </c>
      <c r="H11" s="7">
        <v>3</v>
      </c>
      <c r="I11" s="7">
        <v>2</v>
      </c>
      <c r="J11" s="7">
        <v>1</v>
      </c>
      <c r="K11" s="7">
        <v>0</v>
      </c>
    </row>
    <row r="12" spans="2:11" s="1" customFormat="1" ht="13.5" customHeight="1">
      <c r="B12" s="5"/>
      <c r="C12" s="8" t="s">
        <v>6</v>
      </c>
      <c r="D12" s="176" t="s">
        <v>723</v>
      </c>
      <c r="E12" s="102"/>
      <c r="F12" s="102"/>
      <c r="G12" s="102"/>
      <c r="H12" s="102"/>
      <c r="I12" s="102"/>
      <c r="J12" s="102"/>
      <c r="K12" s="177"/>
    </row>
    <row r="13" spans="2:11" s="1" customFormat="1">
      <c r="B13" s="5" t="str">
        <f>CONCATENATE(D13,E13,F13,G13,H13,I13,J13,K13)</f>
        <v>00100000</v>
      </c>
      <c r="C13" s="8" t="s">
        <v>123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2:11" s="1" customFormat="1">
      <c r="B14" s="5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11" s="1" customFormat="1" ht="13.5">
      <c r="B15" s="3"/>
      <c r="C15" s="10" t="s">
        <v>6</v>
      </c>
      <c r="D15" s="143" t="s">
        <v>125</v>
      </c>
      <c r="E15" s="143"/>
      <c r="F15" s="10" t="s">
        <v>126</v>
      </c>
      <c r="G15" s="143" t="s">
        <v>127</v>
      </c>
      <c r="H15" s="143"/>
      <c r="I15" s="143"/>
      <c r="J15" s="143"/>
      <c r="K15" s="10" t="s">
        <v>123</v>
      </c>
    </row>
    <row r="16" spans="2:11" s="1" customFormat="1" ht="13.5">
      <c r="B16" s="3"/>
      <c r="C16" s="10" t="str">
        <f>D12</f>
        <v>CHIP_ID[15:8]</v>
      </c>
      <c r="D16" s="143" t="s">
        <v>724</v>
      </c>
      <c r="E16" s="143"/>
      <c r="F16" s="10" t="s">
        <v>725</v>
      </c>
      <c r="G16" s="143"/>
      <c r="H16" s="143"/>
      <c r="I16" s="143"/>
      <c r="J16" s="143"/>
      <c r="K16" s="10" t="s">
        <v>726</v>
      </c>
    </row>
    <row r="18" spans="2:11" s="1" customFormat="1" ht="12.75" customHeight="1">
      <c r="B18" s="5">
        <f>B10+1</f>
        <v>2</v>
      </c>
      <c r="C18" s="169" t="str">
        <f>"4.1."&amp;B18+1&amp;" Addr 0x"&amp;DEC2HEX(B18,8)&amp;" BIN information (Read Only)"</f>
        <v>4.1.3 Addr 0x00000002 BIN information (Read Only)</v>
      </c>
      <c r="D18" s="170"/>
      <c r="E18" s="170"/>
      <c r="F18" s="170"/>
      <c r="G18" s="170"/>
      <c r="H18" s="170"/>
      <c r="I18" s="170"/>
      <c r="J18" s="170"/>
      <c r="K18" s="171"/>
    </row>
    <row r="19" spans="2:11" s="1" customFormat="1">
      <c r="B19" s="5"/>
      <c r="C19" s="6" t="s">
        <v>120</v>
      </c>
      <c r="D19" s="7">
        <v>7</v>
      </c>
      <c r="E19" s="7">
        <v>6</v>
      </c>
      <c r="F19" s="7">
        <v>5</v>
      </c>
      <c r="G19" s="7">
        <v>4</v>
      </c>
      <c r="H19" s="7">
        <v>3</v>
      </c>
      <c r="I19" s="7">
        <v>2</v>
      </c>
      <c r="J19" s="7">
        <v>1</v>
      </c>
      <c r="K19" s="7">
        <v>0</v>
      </c>
    </row>
    <row r="20" spans="2:11" s="1" customFormat="1" ht="13.5" customHeight="1">
      <c r="B20" s="5"/>
      <c r="C20" s="8" t="s">
        <v>6</v>
      </c>
      <c r="D20" s="176" t="s">
        <v>1056</v>
      </c>
      <c r="E20" s="102"/>
      <c r="F20" s="102"/>
      <c r="G20" s="102"/>
      <c r="H20" s="102"/>
      <c r="I20" s="102"/>
      <c r="J20" s="102"/>
      <c r="K20" s="177"/>
    </row>
    <row r="21" spans="2:11" s="1" customFormat="1">
      <c r="B21" s="5" t="str">
        <f>CONCATENATE(D21,E21,F21,G21,H21,I21,J21,K21)</f>
        <v>00100000</v>
      </c>
      <c r="C21" s="8" t="s">
        <v>123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2:11" s="1" customFormat="1">
      <c r="B22" s="5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 s="1" customFormat="1" ht="13.5">
      <c r="B23" s="3"/>
      <c r="C23" s="10" t="s">
        <v>6</v>
      </c>
      <c r="D23" s="143" t="s">
        <v>125</v>
      </c>
      <c r="E23" s="143"/>
      <c r="F23" s="10" t="s">
        <v>126</v>
      </c>
      <c r="G23" s="143" t="s">
        <v>127</v>
      </c>
      <c r="H23" s="143"/>
      <c r="I23" s="143"/>
      <c r="J23" s="143"/>
      <c r="K23" s="10" t="s">
        <v>123</v>
      </c>
    </row>
    <row r="24" spans="2:11" s="1" customFormat="1" ht="13.5">
      <c r="B24" s="3"/>
      <c r="C24" s="10" t="str">
        <f>D20</f>
        <v>BIN_INFO[7:0]</v>
      </c>
      <c r="D24" s="143" t="s">
        <v>727</v>
      </c>
      <c r="E24" s="143"/>
      <c r="F24" s="10" t="s">
        <v>725</v>
      </c>
      <c r="G24" s="143"/>
      <c r="H24" s="143"/>
      <c r="I24" s="143"/>
      <c r="J24" s="143"/>
      <c r="K24" s="10" t="s">
        <v>726</v>
      </c>
    </row>
    <row r="26" spans="2:11" s="1" customFormat="1" ht="12.75" customHeight="1">
      <c r="B26" s="5">
        <f>B18+2</f>
        <v>4</v>
      </c>
      <c r="C26" s="169" t="str">
        <f>"4.1."&amp;B26+1&amp;" Addr 0x"&amp;DEC2HEX(B26,8)&amp;" Firmware major version.L (Read Only)"</f>
        <v>4.1.5 Addr 0x00000004 Firmware major version.L (Read Only)</v>
      </c>
      <c r="D26" s="170"/>
      <c r="E26" s="170"/>
      <c r="F26" s="170"/>
      <c r="G26" s="170"/>
      <c r="H26" s="170"/>
      <c r="I26" s="170"/>
      <c r="J26" s="170"/>
      <c r="K26" s="171"/>
    </row>
    <row r="27" spans="2:11" s="1" customFormat="1">
      <c r="B27" s="5"/>
      <c r="C27" s="6" t="s">
        <v>120</v>
      </c>
      <c r="D27" s="7">
        <v>7</v>
      </c>
      <c r="E27" s="7">
        <v>6</v>
      </c>
      <c r="F27" s="7">
        <v>5</v>
      </c>
      <c r="G27" s="7">
        <v>4</v>
      </c>
      <c r="H27" s="7">
        <v>3</v>
      </c>
      <c r="I27" s="7">
        <v>2</v>
      </c>
      <c r="J27" s="7">
        <v>1</v>
      </c>
      <c r="K27" s="7">
        <v>0</v>
      </c>
    </row>
    <row r="28" spans="2:11" s="1" customFormat="1" ht="13.5" customHeight="1">
      <c r="B28" s="5"/>
      <c r="C28" s="8" t="s">
        <v>6</v>
      </c>
      <c r="D28" s="176" t="s">
        <v>728</v>
      </c>
      <c r="E28" s="102"/>
      <c r="F28" s="102"/>
      <c r="G28" s="102"/>
      <c r="H28" s="102"/>
      <c r="I28" s="102"/>
      <c r="J28" s="102"/>
      <c r="K28" s="177"/>
    </row>
    <row r="29" spans="2:11" s="1" customFormat="1">
      <c r="B29" s="5" t="str">
        <f>CONCATENATE(D29,E29,F29,G29,H29,I29,J29,K29)</f>
        <v>00000001</v>
      </c>
      <c r="C29" s="8" t="s">
        <v>123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</row>
    <row r="30" spans="2:11" s="1" customFormat="1">
      <c r="B30" s="5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 s="1" customFormat="1" ht="13.5">
      <c r="B31" s="3"/>
      <c r="C31" s="10" t="s">
        <v>6</v>
      </c>
      <c r="D31" s="143" t="s">
        <v>125</v>
      </c>
      <c r="E31" s="143"/>
      <c r="F31" s="10" t="s">
        <v>126</v>
      </c>
      <c r="G31" s="143" t="s">
        <v>127</v>
      </c>
      <c r="H31" s="143"/>
      <c r="I31" s="143"/>
      <c r="J31" s="143"/>
      <c r="K31" s="10" t="s">
        <v>123</v>
      </c>
    </row>
    <row r="32" spans="2:11" s="1" customFormat="1" ht="27">
      <c r="B32" s="3"/>
      <c r="C32" s="10" t="str">
        <f>D28</f>
        <v>FW_VERSION_MAJOR[7:0]</v>
      </c>
      <c r="D32" s="143" t="s">
        <v>729</v>
      </c>
      <c r="E32" s="143"/>
      <c r="F32" s="10" t="s">
        <v>730</v>
      </c>
      <c r="G32" s="143"/>
      <c r="H32" s="143"/>
      <c r="I32" s="143"/>
      <c r="J32" s="143"/>
      <c r="K32" s="10" t="s">
        <v>731</v>
      </c>
    </row>
    <row r="34" spans="2:11" s="1" customFormat="1" ht="12.75" customHeight="1">
      <c r="B34" s="5">
        <f>B26+1</f>
        <v>5</v>
      </c>
      <c r="C34" s="169" t="str">
        <f>"4.1."&amp;B34+1&amp;" Addr 0x"&amp;DEC2HEX(B34,8)&amp;" Firmware major version.H (Read Only)"</f>
        <v>4.1.6 Addr 0x00000005 Firmware major version.H (Read Only)</v>
      </c>
      <c r="D34" s="170"/>
      <c r="E34" s="170"/>
      <c r="F34" s="170"/>
      <c r="G34" s="170"/>
      <c r="H34" s="170"/>
      <c r="I34" s="170"/>
      <c r="J34" s="170"/>
      <c r="K34" s="171"/>
    </row>
    <row r="35" spans="2:11" s="1" customFormat="1">
      <c r="B35" s="5"/>
      <c r="C35" s="6" t="s">
        <v>120</v>
      </c>
      <c r="D35" s="7">
        <v>7</v>
      </c>
      <c r="E35" s="7">
        <v>6</v>
      </c>
      <c r="F35" s="7">
        <v>5</v>
      </c>
      <c r="G35" s="7">
        <v>4</v>
      </c>
      <c r="H35" s="7">
        <v>3</v>
      </c>
      <c r="I35" s="7">
        <v>2</v>
      </c>
      <c r="J35" s="7">
        <v>1</v>
      </c>
      <c r="K35" s="7">
        <v>0</v>
      </c>
    </row>
    <row r="36" spans="2:11" s="1" customFormat="1" ht="13.5" customHeight="1">
      <c r="B36" s="5"/>
      <c r="C36" s="8" t="s">
        <v>6</v>
      </c>
      <c r="D36" s="176" t="s">
        <v>732</v>
      </c>
      <c r="E36" s="102"/>
      <c r="F36" s="102"/>
      <c r="G36" s="102"/>
      <c r="H36" s="102"/>
      <c r="I36" s="102"/>
      <c r="J36" s="102"/>
      <c r="K36" s="177"/>
    </row>
    <row r="37" spans="2:11" s="1" customFormat="1">
      <c r="B37" s="5" t="str">
        <f>CONCATENATE(D37,E37,F37,G37,H37,I37,J37,K37)</f>
        <v>00000000</v>
      </c>
      <c r="C37" s="8" t="s">
        <v>123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</row>
    <row r="38" spans="2:11" s="1" customFormat="1">
      <c r="B38" s="5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 s="1" customFormat="1" ht="13.5">
      <c r="B39" s="3"/>
      <c r="C39" s="10" t="s">
        <v>6</v>
      </c>
      <c r="D39" s="143" t="s">
        <v>125</v>
      </c>
      <c r="E39" s="143"/>
      <c r="F39" s="10" t="s">
        <v>126</v>
      </c>
      <c r="G39" s="143" t="s">
        <v>127</v>
      </c>
      <c r="H39" s="143"/>
      <c r="I39" s="143"/>
      <c r="J39" s="143"/>
      <c r="K39" s="10" t="s">
        <v>123</v>
      </c>
    </row>
    <row r="40" spans="2:11" s="1" customFormat="1" ht="27">
      <c r="B40" s="3"/>
      <c r="C40" s="10" t="str">
        <f>D36</f>
        <v>FW_VERSION_MAJOR[15:8]</v>
      </c>
      <c r="D40" s="143" t="s">
        <v>733</v>
      </c>
      <c r="E40" s="143"/>
      <c r="F40" s="10" t="s">
        <v>721</v>
      </c>
      <c r="G40" s="143"/>
      <c r="H40" s="143"/>
      <c r="I40" s="143"/>
      <c r="J40" s="143"/>
      <c r="K40" s="10" t="s">
        <v>722</v>
      </c>
    </row>
    <row r="42" spans="2:11" s="1" customFormat="1" ht="12.75" customHeight="1">
      <c r="B42" s="5">
        <f>B34+1</f>
        <v>6</v>
      </c>
      <c r="C42" s="169" t="str">
        <f>"4.1."&amp;B42+1&amp;" Addr 0x"&amp;DEC2HEX(B42,8)&amp;" Firmware minor version.L (Read Only)"</f>
        <v>4.1.7 Addr 0x00000006 Firmware minor version.L (Read Only)</v>
      </c>
      <c r="D42" s="170"/>
      <c r="E42" s="170"/>
      <c r="F42" s="170"/>
      <c r="G42" s="170"/>
      <c r="H42" s="170"/>
      <c r="I42" s="170"/>
      <c r="J42" s="170"/>
      <c r="K42" s="171"/>
    </row>
    <row r="43" spans="2:11" s="1" customFormat="1">
      <c r="B43" s="5"/>
      <c r="C43" s="6" t="s">
        <v>120</v>
      </c>
      <c r="D43" s="7">
        <v>7</v>
      </c>
      <c r="E43" s="7">
        <v>6</v>
      </c>
      <c r="F43" s="7">
        <v>5</v>
      </c>
      <c r="G43" s="7">
        <v>4</v>
      </c>
      <c r="H43" s="7">
        <v>3</v>
      </c>
      <c r="I43" s="7">
        <v>2</v>
      </c>
      <c r="J43" s="7">
        <v>1</v>
      </c>
      <c r="K43" s="7">
        <v>0</v>
      </c>
    </row>
    <row r="44" spans="2:11" s="1" customFormat="1" ht="13.5" customHeight="1">
      <c r="B44" s="5"/>
      <c r="C44" s="8" t="s">
        <v>6</v>
      </c>
      <c r="D44" s="176" t="s">
        <v>734</v>
      </c>
      <c r="E44" s="102"/>
      <c r="F44" s="102"/>
      <c r="G44" s="102"/>
      <c r="H44" s="102"/>
      <c r="I44" s="102"/>
      <c r="J44" s="102"/>
      <c r="K44" s="177"/>
    </row>
    <row r="45" spans="2:11" s="1" customFormat="1">
      <c r="B45" s="5" t="str">
        <f>CONCATENATE(D45,E45,F45,G45,H45,I45,J45,K45)</f>
        <v>00000001</v>
      </c>
      <c r="C45" s="8" t="s">
        <v>123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</v>
      </c>
    </row>
    <row r="46" spans="2:11" s="1" customFormat="1">
      <c r="B46" s="5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 s="1" customFormat="1" ht="13.5">
      <c r="B47" s="3"/>
      <c r="C47" s="10" t="s">
        <v>6</v>
      </c>
      <c r="D47" s="143" t="s">
        <v>125</v>
      </c>
      <c r="E47" s="143"/>
      <c r="F47" s="10" t="s">
        <v>126</v>
      </c>
      <c r="G47" s="143" t="s">
        <v>127</v>
      </c>
      <c r="H47" s="143"/>
      <c r="I47" s="143"/>
      <c r="J47" s="143"/>
      <c r="K47" s="10" t="s">
        <v>123</v>
      </c>
    </row>
    <row r="48" spans="2:11" s="1" customFormat="1" ht="27">
      <c r="B48" s="3"/>
      <c r="C48" s="10" t="str">
        <f>D44</f>
        <v>FW_VERSION_MINOR[7:0]</v>
      </c>
      <c r="D48" s="143" t="s">
        <v>735</v>
      </c>
      <c r="E48" s="143"/>
      <c r="F48" s="10" t="s">
        <v>730</v>
      </c>
      <c r="G48" s="143"/>
      <c r="H48" s="143"/>
      <c r="I48" s="143"/>
      <c r="J48" s="143"/>
      <c r="K48" s="10" t="s">
        <v>731</v>
      </c>
    </row>
    <row r="50" spans="2:11" s="1" customFormat="1" ht="12.75" customHeight="1">
      <c r="B50" s="5">
        <f>B42+1</f>
        <v>7</v>
      </c>
      <c r="C50" s="169" t="str">
        <f>"4.1."&amp;B50+1&amp;" Addr 0x"&amp;DEC2HEX(B50,8)&amp;" Firmware minor version.H (Read Only)"</f>
        <v>4.1.8 Addr 0x00000007 Firmware minor version.H (Read Only)</v>
      </c>
      <c r="D50" s="170"/>
      <c r="E50" s="170"/>
      <c r="F50" s="170"/>
      <c r="G50" s="170"/>
      <c r="H50" s="170"/>
      <c r="I50" s="170"/>
      <c r="J50" s="170"/>
      <c r="K50" s="171"/>
    </row>
    <row r="51" spans="2:11" s="1" customFormat="1">
      <c r="B51" s="5"/>
      <c r="C51" s="6" t="s">
        <v>120</v>
      </c>
      <c r="D51" s="7">
        <v>7</v>
      </c>
      <c r="E51" s="7">
        <v>6</v>
      </c>
      <c r="F51" s="7">
        <v>5</v>
      </c>
      <c r="G51" s="7">
        <v>4</v>
      </c>
      <c r="H51" s="7">
        <v>3</v>
      </c>
      <c r="I51" s="7">
        <v>2</v>
      </c>
      <c r="J51" s="7">
        <v>1</v>
      </c>
      <c r="K51" s="7">
        <v>0</v>
      </c>
    </row>
    <row r="52" spans="2:11" s="1" customFormat="1" ht="13.5" customHeight="1">
      <c r="B52" s="5"/>
      <c r="C52" s="8" t="s">
        <v>6</v>
      </c>
      <c r="D52" s="176" t="s">
        <v>736</v>
      </c>
      <c r="E52" s="102"/>
      <c r="F52" s="102"/>
      <c r="G52" s="102"/>
      <c r="H52" s="102"/>
      <c r="I52" s="102"/>
      <c r="J52" s="102"/>
      <c r="K52" s="177"/>
    </row>
    <row r="53" spans="2:11" s="1" customFormat="1">
      <c r="B53" s="5" t="str">
        <f>CONCATENATE(D53,E53,F53,G53,H53,I53,J53,K53)</f>
        <v>00000000</v>
      </c>
      <c r="C53" s="8" t="s">
        <v>123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</row>
    <row r="54" spans="2:11" s="1" customFormat="1">
      <c r="B54" s="5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 s="1" customFormat="1" ht="13.5">
      <c r="B55" s="3"/>
      <c r="C55" s="10" t="s">
        <v>6</v>
      </c>
      <c r="D55" s="143" t="s">
        <v>125</v>
      </c>
      <c r="E55" s="143"/>
      <c r="F55" s="10" t="s">
        <v>126</v>
      </c>
      <c r="G55" s="143" t="s">
        <v>127</v>
      </c>
      <c r="H55" s="143"/>
      <c r="I55" s="143"/>
      <c r="J55" s="143"/>
      <c r="K55" s="10" t="s">
        <v>123</v>
      </c>
    </row>
    <row r="56" spans="2:11" s="1" customFormat="1" ht="27">
      <c r="B56" s="3"/>
      <c r="C56" s="10" t="str">
        <f>D52</f>
        <v>FW_VERSION_MINOR[15:8]</v>
      </c>
      <c r="D56" s="143" t="s">
        <v>737</v>
      </c>
      <c r="E56" s="143"/>
      <c r="F56" s="10" t="s">
        <v>721</v>
      </c>
      <c r="G56" s="143"/>
      <c r="H56" s="143"/>
      <c r="I56" s="143"/>
      <c r="J56" s="143"/>
      <c r="K56" s="10" t="s">
        <v>722</v>
      </c>
    </row>
    <row r="58" spans="2:11" s="1" customFormat="1" ht="12.75" customHeight="1">
      <c r="B58" s="5">
        <f>B50+1</f>
        <v>8</v>
      </c>
      <c r="C58" s="169" t="str">
        <f>"4.1."&amp;B58+1&amp;" Addr 0x"&amp;DEC2HEX(B58,8)&amp;" Lot number.L (Read Only)"</f>
        <v>4.1.9 Addr 0x00000008 Lot number.L (Read Only)</v>
      </c>
      <c r="D58" s="170"/>
      <c r="E58" s="170"/>
      <c r="F58" s="170"/>
      <c r="G58" s="170"/>
      <c r="H58" s="170"/>
      <c r="I58" s="170"/>
      <c r="J58" s="170"/>
      <c r="K58" s="171"/>
    </row>
    <row r="59" spans="2:11" s="1" customFormat="1">
      <c r="B59" s="5"/>
      <c r="C59" s="6" t="s">
        <v>120</v>
      </c>
      <c r="D59" s="7">
        <v>7</v>
      </c>
      <c r="E59" s="7">
        <v>6</v>
      </c>
      <c r="F59" s="7">
        <v>5</v>
      </c>
      <c r="G59" s="7">
        <v>4</v>
      </c>
      <c r="H59" s="7">
        <v>3</v>
      </c>
      <c r="I59" s="7">
        <v>2</v>
      </c>
      <c r="J59" s="7">
        <v>1</v>
      </c>
      <c r="K59" s="7">
        <v>0</v>
      </c>
    </row>
    <row r="60" spans="2:11" s="1" customFormat="1" ht="13.5" customHeight="1">
      <c r="B60" s="5"/>
      <c r="C60" s="8" t="s">
        <v>6</v>
      </c>
      <c r="D60" s="176" t="s">
        <v>738</v>
      </c>
      <c r="E60" s="102"/>
      <c r="F60" s="102"/>
      <c r="G60" s="102"/>
      <c r="H60" s="102"/>
      <c r="I60" s="102"/>
      <c r="J60" s="102"/>
      <c r="K60" s="177"/>
    </row>
    <row r="61" spans="2:11" s="1" customFormat="1">
      <c r="B61" s="5" t="str">
        <f>CONCATENATE(D61,E61,F61,G61,H61,I61,J61,K61)</f>
        <v>00000000</v>
      </c>
      <c r="C61" s="8" t="s">
        <v>123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</row>
    <row r="62" spans="2:11" s="1" customFormat="1">
      <c r="B62" s="5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 s="1" customFormat="1" ht="13.5">
      <c r="B63" s="3"/>
      <c r="C63" s="10" t="s">
        <v>6</v>
      </c>
      <c r="D63" s="143" t="s">
        <v>125</v>
      </c>
      <c r="E63" s="143"/>
      <c r="F63" s="10" t="s">
        <v>126</v>
      </c>
      <c r="G63" s="143" t="s">
        <v>127</v>
      </c>
      <c r="H63" s="143"/>
      <c r="I63" s="143"/>
      <c r="J63" s="143"/>
      <c r="K63" s="10" t="s">
        <v>123</v>
      </c>
    </row>
    <row r="64" spans="2:11" s="1" customFormat="1" ht="13.5">
      <c r="B64" s="3"/>
      <c r="C64" s="10" t="str">
        <f>D60</f>
        <v>LOT_NUMBER[7:0]</v>
      </c>
      <c r="D64" s="143" t="s">
        <v>739</v>
      </c>
      <c r="E64" s="143"/>
      <c r="F64" s="10" t="s">
        <v>721</v>
      </c>
      <c r="G64" s="143"/>
      <c r="H64" s="143"/>
      <c r="I64" s="143"/>
      <c r="J64" s="143"/>
      <c r="K64" s="10" t="s">
        <v>722</v>
      </c>
    </row>
    <row r="66" spans="2:11" s="1" customFormat="1" ht="12.75" customHeight="1">
      <c r="B66" s="5">
        <f>B58+1</f>
        <v>9</v>
      </c>
      <c r="C66" s="169" t="str">
        <f>"4.1."&amp;B66+1&amp;" Addr 0x"&amp;DEC2HEX(B66,8)&amp;" Lot number.M (Read Only)"</f>
        <v>4.1.10 Addr 0x00000009 Lot number.M (Read Only)</v>
      </c>
      <c r="D66" s="170"/>
      <c r="E66" s="170"/>
      <c r="F66" s="170"/>
      <c r="G66" s="170"/>
      <c r="H66" s="170"/>
      <c r="I66" s="170"/>
      <c r="J66" s="170"/>
      <c r="K66" s="171"/>
    </row>
    <row r="67" spans="2:11" s="1" customFormat="1">
      <c r="B67" s="5"/>
      <c r="C67" s="6" t="s">
        <v>120</v>
      </c>
      <c r="D67" s="7">
        <v>7</v>
      </c>
      <c r="E67" s="7">
        <v>6</v>
      </c>
      <c r="F67" s="7">
        <v>5</v>
      </c>
      <c r="G67" s="7">
        <v>4</v>
      </c>
      <c r="H67" s="7">
        <v>3</v>
      </c>
      <c r="I67" s="7">
        <v>2</v>
      </c>
      <c r="J67" s="7">
        <v>1</v>
      </c>
      <c r="K67" s="7">
        <v>0</v>
      </c>
    </row>
    <row r="68" spans="2:11" s="1" customFormat="1" ht="13.5" customHeight="1">
      <c r="B68" s="5"/>
      <c r="C68" s="8" t="s">
        <v>6</v>
      </c>
      <c r="D68" s="176" t="s">
        <v>740</v>
      </c>
      <c r="E68" s="102"/>
      <c r="F68" s="102"/>
      <c r="G68" s="102"/>
      <c r="H68" s="102"/>
      <c r="I68" s="102"/>
      <c r="J68" s="102"/>
      <c r="K68" s="177"/>
    </row>
    <row r="69" spans="2:11" s="1" customFormat="1">
      <c r="B69" s="5" t="str">
        <f>CONCATENATE(D69,E69,F69,G69,H69,I69,J69,K69)</f>
        <v>00000000</v>
      </c>
      <c r="C69" s="8" t="s">
        <v>123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</row>
    <row r="70" spans="2:11" s="1" customFormat="1">
      <c r="B70" s="5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 s="1" customFormat="1" ht="13.5">
      <c r="B71" s="3"/>
      <c r="C71" s="10" t="s">
        <v>6</v>
      </c>
      <c r="D71" s="143" t="s">
        <v>125</v>
      </c>
      <c r="E71" s="143"/>
      <c r="F71" s="10" t="s">
        <v>126</v>
      </c>
      <c r="G71" s="143" t="s">
        <v>127</v>
      </c>
      <c r="H71" s="143"/>
      <c r="I71" s="143"/>
      <c r="J71" s="143"/>
      <c r="K71" s="10" t="s">
        <v>123</v>
      </c>
    </row>
    <row r="72" spans="2:11" s="1" customFormat="1" ht="13.5">
      <c r="B72" s="3"/>
      <c r="C72" s="10" t="str">
        <f>D68</f>
        <v>LOT_NUMBER[15:8]</v>
      </c>
      <c r="D72" s="143" t="s">
        <v>739</v>
      </c>
      <c r="E72" s="143"/>
      <c r="F72" s="10" t="s">
        <v>721</v>
      </c>
      <c r="G72" s="143"/>
      <c r="H72" s="143"/>
      <c r="I72" s="143"/>
      <c r="J72" s="143"/>
      <c r="K72" s="10" t="s">
        <v>722</v>
      </c>
    </row>
    <row r="74" spans="2:11" s="1" customFormat="1" ht="12.75" customHeight="1">
      <c r="B74" s="5">
        <f>B66+1</f>
        <v>10</v>
      </c>
      <c r="C74" s="169" t="str">
        <f>"4.1."&amp;B74+1&amp;" Addr 0x"&amp;DEC2HEX(B74,8)&amp;" Lot number.H (Read Only)"</f>
        <v>4.1.11 Addr 0x0000000A Lot number.H (Read Only)</v>
      </c>
      <c r="D74" s="170"/>
      <c r="E74" s="170"/>
      <c r="F74" s="170"/>
      <c r="G74" s="170"/>
      <c r="H74" s="170"/>
      <c r="I74" s="170"/>
      <c r="J74" s="170"/>
      <c r="K74" s="171"/>
    </row>
    <row r="75" spans="2:11" s="1" customFormat="1">
      <c r="B75" s="5"/>
      <c r="C75" s="6" t="s">
        <v>120</v>
      </c>
      <c r="D75" s="7">
        <v>7</v>
      </c>
      <c r="E75" s="7">
        <v>6</v>
      </c>
      <c r="F75" s="7">
        <v>5</v>
      </c>
      <c r="G75" s="7">
        <v>4</v>
      </c>
      <c r="H75" s="7">
        <v>3</v>
      </c>
      <c r="I75" s="7">
        <v>2</v>
      </c>
      <c r="J75" s="7">
        <v>1</v>
      </c>
      <c r="K75" s="7">
        <v>0</v>
      </c>
    </row>
    <row r="76" spans="2:11" s="1" customFormat="1" ht="13.5" customHeight="1">
      <c r="B76" s="5"/>
      <c r="C76" s="8" t="s">
        <v>6</v>
      </c>
      <c r="D76" s="176" t="s">
        <v>741</v>
      </c>
      <c r="E76" s="102"/>
      <c r="F76" s="102"/>
      <c r="G76" s="102"/>
      <c r="H76" s="102"/>
      <c r="I76" s="102"/>
      <c r="J76" s="102"/>
      <c r="K76" s="177"/>
    </row>
    <row r="77" spans="2:11" s="1" customFormat="1">
      <c r="B77" s="5" t="str">
        <f>CONCATENATE(D77,E77,F77,G77,H77,I77,J77,K77)</f>
        <v>00000000</v>
      </c>
      <c r="C77" s="8" t="s">
        <v>123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</row>
    <row r="78" spans="2:11" s="1" customFormat="1">
      <c r="B78" s="5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 s="1" customFormat="1" ht="13.5">
      <c r="B79" s="3"/>
      <c r="C79" s="10" t="s">
        <v>6</v>
      </c>
      <c r="D79" s="143" t="s">
        <v>125</v>
      </c>
      <c r="E79" s="143"/>
      <c r="F79" s="10" t="s">
        <v>126</v>
      </c>
      <c r="G79" s="143" t="s">
        <v>127</v>
      </c>
      <c r="H79" s="143"/>
      <c r="I79" s="143"/>
      <c r="J79" s="143"/>
      <c r="K79" s="10" t="s">
        <v>123</v>
      </c>
    </row>
    <row r="80" spans="2:11" s="1" customFormat="1" ht="13.5">
      <c r="B80" s="3"/>
      <c r="C80" s="10" t="str">
        <f>D76</f>
        <v>LOT_NUMBER[23:16]</v>
      </c>
      <c r="D80" s="143" t="s">
        <v>739</v>
      </c>
      <c r="E80" s="143"/>
      <c r="F80" s="10" t="s">
        <v>721</v>
      </c>
      <c r="G80" s="143"/>
      <c r="H80" s="143"/>
      <c r="I80" s="143"/>
      <c r="J80" s="143"/>
      <c r="K80" s="10" t="s">
        <v>722</v>
      </c>
    </row>
    <row r="82" spans="2:11" s="1" customFormat="1" ht="12.75" customHeight="1">
      <c r="B82" s="5">
        <f>B74+1</f>
        <v>11</v>
      </c>
      <c r="C82" s="169" t="str">
        <f>"4.1."&amp;B82+1&amp;" Addr 0x"&amp;DEC2HEX(B82,8)&amp;" Wafer number (Read Only)"</f>
        <v>4.1.12 Addr 0x0000000B Wafer number (Read Only)</v>
      </c>
      <c r="D82" s="170"/>
      <c r="E82" s="170"/>
      <c r="F82" s="170"/>
      <c r="G82" s="170"/>
      <c r="H82" s="170"/>
      <c r="I82" s="170"/>
      <c r="J82" s="170"/>
      <c r="K82" s="171"/>
    </row>
    <row r="83" spans="2:11" s="1" customFormat="1">
      <c r="B83" s="5"/>
      <c r="C83" s="6" t="s">
        <v>120</v>
      </c>
      <c r="D83" s="7">
        <v>7</v>
      </c>
      <c r="E83" s="7">
        <v>6</v>
      </c>
      <c r="F83" s="7">
        <v>5</v>
      </c>
      <c r="G83" s="7">
        <v>4</v>
      </c>
      <c r="H83" s="7">
        <v>3</v>
      </c>
      <c r="I83" s="7">
        <v>2</v>
      </c>
      <c r="J83" s="7">
        <v>1</v>
      </c>
      <c r="K83" s="7">
        <v>0</v>
      </c>
    </row>
    <row r="84" spans="2:11" s="1" customFormat="1" ht="13.5" customHeight="1">
      <c r="B84" s="5"/>
      <c r="C84" s="8" t="s">
        <v>6</v>
      </c>
      <c r="D84" s="176" t="s">
        <v>742</v>
      </c>
      <c r="E84" s="102"/>
      <c r="F84" s="102"/>
      <c r="G84" s="102"/>
      <c r="H84" s="102"/>
      <c r="I84" s="102"/>
      <c r="J84" s="102"/>
      <c r="K84" s="177"/>
    </row>
    <row r="85" spans="2:11" s="1" customFormat="1">
      <c r="B85" s="5" t="str">
        <f>CONCATENATE(D85,E85,F85,G85,H85,I85,J85,K85)</f>
        <v>00000000</v>
      </c>
      <c r="C85" s="8" t="s">
        <v>123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</row>
    <row r="86" spans="2:11" s="1" customFormat="1">
      <c r="B86" s="5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 s="1" customFormat="1" ht="13.5">
      <c r="B87" s="3"/>
      <c r="C87" s="10" t="s">
        <v>6</v>
      </c>
      <c r="D87" s="143" t="s">
        <v>125</v>
      </c>
      <c r="E87" s="143"/>
      <c r="F87" s="10" t="s">
        <v>126</v>
      </c>
      <c r="G87" s="143" t="s">
        <v>127</v>
      </c>
      <c r="H87" s="143"/>
      <c r="I87" s="143"/>
      <c r="J87" s="143"/>
      <c r="K87" s="10" t="s">
        <v>123</v>
      </c>
    </row>
    <row r="88" spans="2:11" s="1" customFormat="1" ht="13.5">
      <c r="B88" s="3"/>
      <c r="C88" s="10" t="str">
        <f>D84</f>
        <v>WAFER_NUMBER[7:0]</v>
      </c>
      <c r="D88" s="143" t="s">
        <v>743</v>
      </c>
      <c r="E88" s="143"/>
      <c r="F88" s="10" t="s">
        <v>721</v>
      </c>
      <c r="G88" s="143"/>
      <c r="H88" s="143"/>
      <c r="I88" s="143"/>
      <c r="J88" s="143"/>
      <c r="K88" s="10" t="s">
        <v>722</v>
      </c>
    </row>
    <row r="90" spans="2:11" s="1" customFormat="1" ht="12.75" customHeight="1">
      <c r="B90" s="5">
        <f>B82+1</f>
        <v>12</v>
      </c>
      <c r="C90" s="169" t="str">
        <f>"4.1."&amp;B90+1&amp;" Addr 0x"&amp;DEC2HEX(B90,8)&amp;" Chip x-axis position.L (Read Only)"</f>
        <v>4.1.13 Addr 0x0000000C Chip x-axis position.L (Read Only)</v>
      </c>
      <c r="D90" s="170"/>
      <c r="E90" s="170"/>
      <c r="F90" s="170"/>
      <c r="G90" s="170"/>
      <c r="H90" s="170"/>
      <c r="I90" s="170"/>
      <c r="J90" s="170"/>
      <c r="K90" s="171"/>
    </row>
    <row r="91" spans="2:11" s="1" customFormat="1">
      <c r="B91" s="5"/>
      <c r="C91" s="6" t="s">
        <v>120</v>
      </c>
      <c r="D91" s="7">
        <v>7</v>
      </c>
      <c r="E91" s="7">
        <v>6</v>
      </c>
      <c r="F91" s="7">
        <v>5</v>
      </c>
      <c r="G91" s="7">
        <v>4</v>
      </c>
      <c r="H91" s="7">
        <v>3</v>
      </c>
      <c r="I91" s="7">
        <v>2</v>
      </c>
      <c r="J91" s="7">
        <v>1</v>
      </c>
      <c r="K91" s="7">
        <v>0</v>
      </c>
    </row>
    <row r="92" spans="2:11" s="1" customFormat="1" ht="13.5" customHeight="1">
      <c r="B92" s="5"/>
      <c r="C92" s="8" t="s">
        <v>6</v>
      </c>
      <c r="D92" s="176" t="s">
        <v>744</v>
      </c>
      <c r="E92" s="102"/>
      <c r="F92" s="102"/>
      <c r="G92" s="102"/>
      <c r="H92" s="102"/>
      <c r="I92" s="102"/>
      <c r="J92" s="102"/>
      <c r="K92" s="177"/>
    </row>
    <row r="93" spans="2:11" s="1" customFormat="1">
      <c r="B93" s="5" t="str">
        <f>CONCATENATE(D93,E93,F93,G93,H93,I93,J93,K93)</f>
        <v>00000000</v>
      </c>
      <c r="C93" s="8" t="s">
        <v>123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</row>
    <row r="94" spans="2:11" s="1" customFormat="1">
      <c r="B94" s="5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 s="1" customFormat="1" ht="13.5">
      <c r="B95" s="3"/>
      <c r="C95" s="10" t="s">
        <v>6</v>
      </c>
      <c r="D95" s="143" t="s">
        <v>125</v>
      </c>
      <c r="E95" s="143"/>
      <c r="F95" s="10" t="s">
        <v>126</v>
      </c>
      <c r="G95" s="143" t="s">
        <v>127</v>
      </c>
      <c r="H95" s="143"/>
      <c r="I95" s="143"/>
      <c r="J95" s="143"/>
      <c r="K95" s="10" t="s">
        <v>123</v>
      </c>
    </row>
    <row r="96" spans="2:11" s="1" customFormat="1" ht="13.5">
      <c r="B96" s="3"/>
      <c r="C96" s="10" t="str">
        <f>D92</f>
        <v>CHIP_X_POS[7:0]</v>
      </c>
      <c r="D96" s="143" t="s">
        <v>745</v>
      </c>
      <c r="E96" s="143"/>
      <c r="F96" s="10" t="s">
        <v>721</v>
      </c>
      <c r="G96" s="143"/>
      <c r="H96" s="143"/>
      <c r="I96" s="143"/>
      <c r="J96" s="143"/>
      <c r="K96" s="10" t="s">
        <v>722</v>
      </c>
    </row>
    <row r="98" spans="2:11" s="1" customFormat="1" ht="12.75" customHeight="1">
      <c r="B98" s="5">
        <f>B90+1</f>
        <v>13</v>
      </c>
      <c r="C98" s="169" t="str">
        <f>"4.1."&amp;B98+1&amp;" Addr 0x"&amp;DEC2HEX(B98,8)&amp;" Chip x-axis position.H (Read Only)"</f>
        <v>4.1.14 Addr 0x0000000D Chip x-axis position.H (Read Only)</v>
      </c>
      <c r="D98" s="170"/>
      <c r="E98" s="170"/>
      <c r="F98" s="170"/>
      <c r="G98" s="170"/>
      <c r="H98" s="170"/>
      <c r="I98" s="170"/>
      <c r="J98" s="170"/>
      <c r="K98" s="171"/>
    </row>
    <row r="99" spans="2:11" s="1" customFormat="1">
      <c r="B99" s="5"/>
      <c r="C99" s="6" t="s">
        <v>120</v>
      </c>
      <c r="D99" s="7">
        <v>7</v>
      </c>
      <c r="E99" s="7">
        <v>6</v>
      </c>
      <c r="F99" s="7">
        <v>5</v>
      </c>
      <c r="G99" s="7">
        <v>4</v>
      </c>
      <c r="H99" s="7">
        <v>3</v>
      </c>
      <c r="I99" s="7">
        <v>2</v>
      </c>
      <c r="J99" s="7">
        <v>1</v>
      </c>
      <c r="K99" s="7">
        <v>0</v>
      </c>
    </row>
    <row r="100" spans="2:11" s="1" customFormat="1" ht="13.5" customHeight="1">
      <c r="B100" s="5"/>
      <c r="C100" s="8" t="s">
        <v>6</v>
      </c>
      <c r="D100" s="176" t="s">
        <v>746</v>
      </c>
      <c r="E100" s="102"/>
      <c r="F100" s="102"/>
      <c r="G100" s="102"/>
      <c r="H100" s="102"/>
      <c r="I100" s="102"/>
      <c r="J100" s="102"/>
      <c r="K100" s="177"/>
    </row>
    <row r="101" spans="2:11" s="1" customFormat="1">
      <c r="B101" s="5" t="str">
        <f>CONCATENATE(D101,E101,F101,G101,H101,I101,J101,K101)</f>
        <v>00000000</v>
      </c>
      <c r="C101" s="8" t="s">
        <v>123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</row>
    <row r="102" spans="2:11" s="1" customFormat="1">
      <c r="B102" s="5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 s="1" customFormat="1" ht="13.5">
      <c r="B103" s="3"/>
      <c r="C103" s="10" t="s">
        <v>6</v>
      </c>
      <c r="D103" s="143" t="s">
        <v>125</v>
      </c>
      <c r="E103" s="143"/>
      <c r="F103" s="10" t="s">
        <v>126</v>
      </c>
      <c r="G103" s="143" t="s">
        <v>127</v>
      </c>
      <c r="H103" s="143"/>
      <c r="I103" s="143"/>
      <c r="J103" s="143"/>
      <c r="K103" s="10" t="s">
        <v>123</v>
      </c>
    </row>
    <row r="104" spans="2:11" s="1" customFormat="1" ht="13.5" customHeight="1">
      <c r="B104" s="3"/>
      <c r="C104" s="10" t="str">
        <f>D100</f>
        <v>CHIP_X_POS[15:8]</v>
      </c>
      <c r="D104" s="143" t="s">
        <v>745</v>
      </c>
      <c r="E104" s="143"/>
      <c r="F104" s="10" t="s">
        <v>721</v>
      </c>
      <c r="G104" s="143"/>
      <c r="H104" s="143"/>
      <c r="I104" s="143"/>
      <c r="J104" s="143"/>
      <c r="K104" s="10" t="s">
        <v>722</v>
      </c>
    </row>
    <row r="106" spans="2:11" s="1" customFormat="1" ht="12.75" customHeight="1">
      <c r="B106" s="5">
        <f>B98+1</f>
        <v>14</v>
      </c>
      <c r="C106" s="169" t="str">
        <f>"4.1."&amp;B106+1&amp;" Addr 0x"&amp;DEC2HEX(B106,8)&amp;" Chip y-axis position.L (Read Only)"</f>
        <v>4.1.15 Addr 0x0000000E Chip y-axis position.L (Read Only)</v>
      </c>
      <c r="D106" s="170"/>
      <c r="E106" s="170"/>
      <c r="F106" s="170"/>
      <c r="G106" s="170"/>
      <c r="H106" s="170"/>
      <c r="I106" s="170"/>
      <c r="J106" s="170"/>
      <c r="K106" s="171"/>
    </row>
    <row r="107" spans="2:11" s="1" customFormat="1">
      <c r="B107" s="5"/>
      <c r="C107" s="6" t="s">
        <v>120</v>
      </c>
      <c r="D107" s="7">
        <v>7</v>
      </c>
      <c r="E107" s="7">
        <v>6</v>
      </c>
      <c r="F107" s="7">
        <v>5</v>
      </c>
      <c r="G107" s="7">
        <v>4</v>
      </c>
      <c r="H107" s="7">
        <v>3</v>
      </c>
      <c r="I107" s="7">
        <v>2</v>
      </c>
      <c r="J107" s="7">
        <v>1</v>
      </c>
      <c r="K107" s="7">
        <v>0</v>
      </c>
    </row>
    <row r="108" spans="2:11" s="1" customFormat="1" ht="13.5" customHeight="1">
      <c r="B108" s="5"/>
      <c r="C108" s="8" t="s">
        <v>6</v>
      </c>
      <c r="D108" s="176" t="s">
        <v>747</v>
      </c>
      <c r="E108" s="102"/>
      <c r="F108" s="102"/>
      <c r="G108" s="102"/>
      <c r="H108" s="102"/>
      <c r="I108" s="102"/>
      <c r="J108" s="102"/>
      <c r="K108" s="177"/>
    </row>
    <row r="109" spans="2:11" s="1" customFormat="1">
      <c r="B109" s="5" t="str">
        <f>CONCATENATE(D109,E109,F109,G109,H109,I109,J109,K109)</f>
        <v>00000000</v>
      </c>
      <c r="C109" s="8" t="s">
        <v>123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</row>
    <row r="110" spans="2:11" s="1" customFormat="1">
      <c r="B110" s="5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 s="1" customFormat="1" ht="13.5">
      <c r="B111" s="3"/>
      <c r="C111" s="10" t="s">
        <v>6</v>
      </c>
      <c r="D111" s="143" t="s">
        <v>125</v>
      </c>
      <c r="E111" s="143"/>
      <c r="F111" s="10" t="s">
        <v>126</v>
      </c>
      <c r="G111" s="143" t="s">
        <v>127</v>
      </c>
      <c r="H111" s="143"/>
      <c r="I111" s="143"/>
      <c r="J111" s="143"/>
      <c r="K111" s="10" t="s">
        <v>123</v>
      </c>
    </row>
    <row r="112" spans="2:11" s="1" customFormat="1" ht="13.5" customHeight="1">
      <c r="B112" s="3"/>
      <c r="C112" s="10" t="str">
        <f>D108</f>
        <v>CHIP_Y_POS[7:0]</v>
      </c>
      <c r="D112" s="143" t="s">
        <v>748</v>
      </c>
      <c r="E112" s="143"/>
      <c r="F112" s="10" t="s">
        <v>721</v>
      </c>
      <c r="G112" s="143"/>
      <c r="H112" s="143"/>
      <c r="I112" s="143"/>
      <c r="J112" s="143"/>
      <c r="K112" s="10" t="s">
        <v>722</v>
      </c>
    </row>
    <row r="114" spans="2:11" s="1" customFormat="1" ht="12.75" customHeight="1">
      <c r="B114" s="5">
        <f>B106+1</f>
        <v>15</v>
      </c>
      <c r="C114" s="169" t="str">
        <f>"4.1."&amp;B114+1&amp;" Addr 0x"&amp;DEC2HEX(B114,8)&amp;" Chip y-axis position.H (Read Only)"</f>
        <v>4.1.16 Addr 0x0000000F Chip y-axis position.H (Read Only)</v>
      </c>
      <c r="D114" s="170"/>
      <c r="E114" s="170"/>
      <c r="F114" s="170"/>
      <c r="G114" s="170"/>
      <c r="H114" s="170"/>
      <c r="I114" s="170"/>
      <c r="J114" s="170"/>
      <c r="K114" s="171"/>
    </row>
    <row r="115" spans="2:11" s="1" customFormat="1">
      <c r="B115" s="5"/>
      <c r="C115" s="6" t="s">
        <v>120</v>
      </c>
      <c r="D115" s="7">
        <v>7</v>
      </c>
      <c r="E115" s="7">
        <v>6</v>
      </c>
      <c r="F115" s="7">
        <v>5</v>
      </c>
      <c r="G115" s="7">
        <v>4</v>
      </c>
      <c r="H115" s="7">
        <v>3</v>
      </c>
      <c r="I115" s="7">
        <v>2</v>
      </c>
      <c r="J115" s="7">
        <v>1</v>
      </c>
      <c r="K115" s="7">
        <v>0</v>
      </c>
    </row>
    <row r="116" spans="2:11" s="1" customFormat="1" ht="13.5" customHeight="1">
      <c r="B116" s="5"/>
      <c r="C116" s="8" t="s">
        <v>6</v>
      </c>
      <c r="D116" s="176" t="s">
        <v>749</v>
      </c>
      <c r="E116" s="102"/>
      <c r="F116" s="102"/>
      <c r="G116" s="102"/>
      <c r="H116" s="102"/>
      <c r="I116" s="102"/>
      <c r="J116" s="102"/>
      <c r="K116" s="177"/>
    </row>
    <row r="117" spans="2:11" s="1" customFormat="1">
      <c r="B117" s="5" t="str">
        <f>CONCATENATE(D117,E117,F117,G117,H117,I117,J117,K117)</f>
        <v>00000000</v>
      </c>
      <c r="C117" s="8" t="s">
        <v>123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</row>
    <row r="118" spans="2:11" s="1" customFormat="1">
      <c r="B118" s="5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 s="1" customFormat="1" ht="13.5">
      <c r="B119" s="3"/>
      <c r="C119" s="10" t="s">
        <v>6</v>
      </c>
      <c r="D119" s="143" t="s">
        <v>125</v>
      </c>
      <c r="E119" s="143"/>
      <c r="F119" s="10" t="s">
        <v>126</v>
      </c>
      <c r="G119" s="143" t="s">
        <v>127</v>
      </c>
      <c r="H119" s="143"/>
      <c r="I119" s="143"/>
      <c r="J119" s="143"/>
      <c r="K119" s="10" t="s">
        <v>123</v>
      </c>
    </row>
    <row r="120" spans="2:11" s="1" customFormat="1" ht="13.5" customHeight="1">
      <c r="B120" s="3"/>
      <c r="C120" s="10" t="str">
        <f>D116</f>
        <v>CHIP_Y_POS[15:8]</v>
      </c>
      <c r="D120" s="143" t="s">
        <v>748</v>
      </c>
      <c r="E120" s="143"/>
      <c r="F120" s="10" t="s">
        <v>721</v>
      </c>
      <c r="G120" s="143"/>
      <c r="H120" s="143"/>
      <c r="I120" s="143"/>
      <c r="J120" s="143"/>
      <c r="K120" s="10" t="s">
        <v>722</v>
      </c>
    </row>
    <row r="122" spans="2:11" s="1" customFormat="1" ht="12.75" customHeight="1">
      <c r="B122" s="5">
        <v>16</v>
      </c>
      <c r="C122" s="212" t="str">
        <f>"4.2."&amp;B122-15&amp;" Addr 0x"&amp;DEC2HEX(B122,8)&amp;" Power Information.Reserved1.L (Read Only)"</f>
        <v>4.2.1 Addr 0x00000010 Power Information.Reserved1.L (Read Only)</v>
      </c>
      <c r="D122" s="213"/>
      <c r="E122" s="213"/>
      <c r="F122" s="213"/>
      <c r="G122" s="213"/>
      <c r="H122" s="213"/>
      <c r="I122" s="213"/>
      <c r="J122" s="213"/>
      <c r="K122" s="214"/>
    </row>
    <row r="123" spans="2:11" s="1" customFormat="1">
      <c r="B123" s="5"/>
      <c r="C123" s="6" t="s">
        <v>120</v>
      </c>
      <c r="D123" s="7">
        <v>7</v>
      </c>
      <c r="E123" s="7">
        <v>6</v>
      </c>
      <c r="F123" s="7">
        <v>5</v>
      </c>
      <c r="G123" s="7">
        <v>4</v>
      </c>
      <c r="H123" s="7">
        <v>3</v>
      </c>
      <c r="I123" s="7">
        <v>2</v>
      </c>
      <c r="J123" s="7">
        <v>1</v>
      </c>
      <c r="K123" s="7">
        <v>0</v>
      </c>
    </row>
    <row r="124" spans="2:11" s="1" customFormat="1" ht="13.5" customHeight="1">
      <c r="B124" s="5"/>
      <c r="C124" s="8" t="s">
        <v>6</v>
      </c>
      <c r="D124" s="176" t="s">
        <v>750</v>
      </c>
      <c r="E124" s="102"/>
      <c r="F124" s="102"/>
      <c r="G124" s="102"/>
      <c r="H124" s="102"/>
      <c r="I124" s="102"/>
      <c r="J124" s="102"/>
      <c r="K124" s="177"/>
    </row>
    <row r="125" spans="2:11" s="1" customFormat="1">
      <c r="B125" s="5" t="str">
        <f>CONCATENATE(D125,E125,F125,G125,H125,I125,J125,K125)</f>
        <v>00000000</v>
      </c>
      <c r="C125" s="8" t="s">
        <v>123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</row>
    <row r="126" spans="2:11" s="1" customFormat="1">
      <c r="B126" s="5"/>
      <c r="C126" s="102"/>
      <c r="D126" s="102"/>
      <c r="E126" s="102"/>
      <c r="F126" s="102"/>
      <c r="G126" s="102"/>
      <c r="H126" s="102"/>
      <c r="I126" s="102"/>
      <c r="J126" s="102"/>
      <c r="K126" s="102"/>
    </row>
    <row r="127" spans="2:11" s="1" customFormat="1" ht="13.5">
      <c r="B127" s="3"/>
      <c r="C127" s="10" t="s">
        <v>6</v>
      </c>
      <c r="D127" s="143" t="s">
        <v>125</v>
      </c>
      <c r="E127" s="143"/>
      <c r="F127" s="10" t="s">
        <v>126</v>
      </c>
      <c r="G127" s="143" t="s">
        <v>127</v>
      </c>
      <c r="H127" s="143"/>
      <c r="I127" s="143"/>
      <c r="J127" s="143"/>
      <c r="K127" s="10" t="s">
        <v>123</v>
      </c>
    </row>
    <row r="128" spans="2:11" s="1" customFormat="1" ht="27">
      <c r="B128" s="3"/>
      <c r="C128" s="10" t="str">
        <f>D124</f>
        <v>POWER_INFO_RESERVED_1[7:0]</v>
      </c>
      <c r="D128" s="143" t="s">
        <v>751</v>
      </c>
      <c r="E128" s="143"/>
      <c r="F128" s="10" t="s">
        <v>721</v>
      </c>
      <c r="G128" s="143"/>
      <c r="H128" s="143"/>
      <c r="I128" s="143"/>
      <c r="J128" s="143"/>
      <c r="K128" s="10" t="s">
        <v>722</v>
      </c>
    </row>
    <row r="130" spans="2:11" s="1" customFormat="1" ht="12.75" customHeight="1">
      <c r="B130" s="5">
        <f>B122+1</f>
        <v>17</v>
      </c>
      <c r="C130" s="212" t="str">
        <f>"4.2."&amp;B130-15&amp;" Addr 0x"&amp;DEC2HEX(B130,8)&amp;" Power Information.Reserved1.H (Read Only)"</f>
        <v>4.2.2 Addr 0x00000011 Power Information.Reserved1.H (Read Only)</v>
      </c>
      <c r="D130" s="213"/>
      <c r="E130" s="213"/>
      <c r="F130" s="213"/>
      <c r="G130" s="213"/>
      <c r="H130" s="213"/>
      <c r="I130" s="213"/>
      <c r="J130" s="213"/>
      <c r="K130" s="214"/>
    </row>
    <row r="131" spans="2:11" s="1" customFormat="1">
      <c r="B131" s="5"/>
      <c r="C131" s="6" t="s">
        <v>120</v>
      </c>
      <c r="D131" s="7">
        <v>7</v>
      </c>
      <c r="E131" s="7">
        <v>6</v>
      </c>
      <c r="F131" s="7">
        <v>5</v>
      </c>
      <c r="G131" s="7">
        <v>4</v>
      </c>
      <c r="H131" s="7">
        <v>3</v>
      </c>
      <c r="I131" s="7">
        <v>2</v>
      </c>
      <c r="J131" s="7">
        <v>1</v>
      </c>
      <c r="K131" s="7">
        <v>0</v>
      </c>
    </row>
    <row r="132" spans="2:11" s="1" customFormat="1" ht="13.5" customHeight="1">
      <c r="B132" s="5"/>
      <c r="C132" s="8" t="s">
        <v>6</v>
      </c>
      <c r="D132" s="176" t="s">
        <v>752</v>
      </c>
      <c r="E132" s="102"/>
      <c r="F132" s="102"/>
      <c r="G132" s="102"/>
      <c r="H132" s="102"/>
      <c r="I132" s="102"/>
      <c r="J132" s="102"/>
      <c r="K132" s="177"/>
    </row>
    <row r="133" spans="2:11" s="1" customFormat="1">
      <c r="B133" s="5" t="str">
        <f>CONCATENATE(D133,E133,F133,G133,H133,I133,J133,K133)</f>
        <v>00000000</v>
      </c>
      <c r="C133" s="8" t="s">
        <v>123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</row>
    <row r="134" spans="2:11" s="1" customFormat="1">
      <c r="B134" s="5"/>
      <c r="C134" s="102"/>
      <c r="D134" s="102"/>
      <c r="E134" s="102"/>
      <c r="F134" s="102"/>
      <c r="G134" s="102"/>
      <c r="H134" s="102"/>
      <c r="I134" s="102"/>
      <c r="J134" s="102"/>
      <c r="K134" s="102"/>
    </row>
    <row r="135" spans="2:11" s="1" customFormat="1" ht="13.5">
      <c r="B135" s="3"/>
      <c r="C135" s="10" t="s">
        <v>6</v>
      </c>
      <c r="D135" s="143" t="s">
        <v>125</v>
      </c>
      <c r="E135" s="143"/>
      <c r="F135" s="10" t="s">
        <v>126</v>
      </c>
      <c r="G135" s="143" t="s">
        <v>127</v>
      </c>
      <c r="H135" s="143"/>
      <c r="I135" s="143"/>
      <c r="J135" s="143"/>
      <c r="K135" s="10" t="s">
        <v>123</v>
      </c>
    </row>
    <row r="136" spans="2:11" s="1" customFormat="1" ht="13.5" customHeight="1">
      <c r="B136" s="3"/>
      <c r="C136" s="10" t="str">
        <f>D132</f>
        <v>POWER_INFO_RESERVED_1[15:8]</v>
      </c>
      <c r="D136" s="143" t="s">
        <v>751</v>
      </c>
      <c r="E136" s="143"/>
      <c r="F136" s="10" t="s">
        <v>721</v>
      </c>
      <c r="G136" s="143"/>
      <c r="H136" s="143"/>
      <c r="I136" s="143"/>
      <c r="J136" s="143"/>
      <c r="K136" s="10" t="s">
        <v>722</v>
      </c>
    </row>
    <row r="138" spans="2:11" s="1" customFormat="1" ht="12.75" customHeight="1">
      <c r="B138" s="5">
        <f>B130+9</f>
        <v>26</v>
      </c>
      <c r="C138" s="212" t="str">
        <f>"4.2."&amp;B138-15&amp;" Addr 0x"&amp;DEC2HEX(B138,8)&amp;" Power Information.Target Vout.L"</f>
        <v>4.2.11 Addr 0x0000001A Power Information.Target Vout.L</v>
      </c>
      <c r="D138" s="213"/>
      <c r="E138" s="213"/>
      <c r="F138" s="213"/>
      <c r="G138" s="213"/>
      <c r="H138" s="213"/>
      <c r="I138" s="213"/>
      <c r="J138" s="213"/>
      <c r="K138" s="214"/>
    </row>
    <row r="139" spans="2:11" s="1" customFormat="1">
      <c r="B139" s="5"/>
      <c r="C139" s="6" t="s">
        <v>120</v>
      </c>
      <c r="D139" s="7">
        <v>7</v>
      </c>
      <c r="E139" s="7">
        <v>6</v>
      </c>
      <c r="F139" s="7">
        <v>5</v>
      </c>
      <c r="G139" s="7">
        <v>4</v>
      </c>
      <c r="H139" s="7">
        <v>3</v>
      </c>
      <c r="I139" s="7">
        <v>2</v>
      </c>
      <c r="J139" s="7">
        <v>1</v>
      </c>
      <c r="K139" s="7">
        <v>0</v>
      </c>
    </row>
    <row r="140" spans="2:11" s="1" customFormat="1" ht="13.5" customHeight="1">
      <c r="B140" s="5"/>
      <c r="C140" s="8" t="s">
        <v>6</v>
      </c>
      <c r="D140" s="176" t="s">
        <v>753</v>
      </c>
      <c r="E140" s="102"/>
      <c r="F140" s="102"/>
      <c r="G140" s="102"/>
      <c r="H140" s="102"/>
      <c r="I140" s="102"/>
      <c r="J140" s="102"/>
      <c r="K140" s="177"/>
    </row>
    <row r="141" spans="2:11" s="1" customFormat="1">
      <c r="B141" s="5" t="str">
        <f>CONCATENATE(D141,E141,F141,G141,H141,I141,J141,K141)</f>
        <v>00000000</v>
      </c>
      <c r="C141" s="8" t="s">
        <v>123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</row>
    <row r="142" spans="2:11" s="1" customFormat="1">
      <c r="B142" s="5"/>
      <c r="C142" s="102"/>
      <c r="D142" s="102"/>
      <c r="E142" s="102"/>
      <c r="F142" s="102"/>
      <c r="G142" s="102"/>
      <c r="H142" s="102"/>
      <c r="I142" s="102"/>
      <c r="J142" s="102"/>
      <c r="K142" s="102"/>
    </row>
    <row r="143" spans="2:11" s="1" customFormat="1" ht="13.5">
      <c r="B143" s="3"/>
      <c r="C143" s="10" t="s">
        <v>6</v>
      </c>
      <c r="D143" s="143" t="s">
        <v>125</v>
      </c>
      <c r="E143" s="143"/>
      <c r="F143" s="10" t="s">
        <v>126</v>
      </c>
      <c r="G143" s="143" t="s">
        <v>127</v>
      </c>
      <c r="H143" s="143"/>
      <c r="I143" s="143"/>
      <c r="J143" s="143"/>
      <c r="K143" s="10" t="s">
        <v>123</v>
      </c>
    </row>
    <row r="144" spans="2:11" s="1" customFormat="1" ht="13.5">
      <c r="B144" s="3"/>
      <c r="C144" s="10" t="str">
        <f>D140</f>
        <v>POWER_INFO_VOSET[7:0]</v>
      </c>
      <c r="D144" s="143" t="s">
        <v>754</v>
      </c>
      <c r="E144" s="143"/>
      <c r="F144" s="10" t="s">
        <v>721</v>
      </c>
      <c r="G144" s="143"/>
      <c r="H144" s="143"/>
      <c r="I144" s="143"/>
      <c r="J144" s="143"/>
      <c r="K144" s="10" t="s">
        <v>722</v>
      </c>
    </row>
    <row r="146" spans="2:11" s="1" customFormat="1" ht="12.75" customHeight="1">
      <c r="B146" s="5">
        <f>B138+1</f>
        <v>27</v>
      </c>
      <c r="C146" s="212" t="str">
        <f>"4.2."&amp;B146-15&amp;" Addr 0x"&amp;DEC2HEX(B146,8)&amp;" Power Information.Target Vout.L"</f>
        <v>4.2.12 Addr 0x0000001B Power Information.Target Vout.L</v>
      </c>
      <c r="D146" s="213"/>
      <c r="E146" s="213"/>
      <c r="F146" s="213"/>
      <c r="G146" s="213"/>
      <c r="H146" s="213"/>
      <c r="I146" s="213"/>
      <c r="J146" s="213"/>
      <c r="K146" s="214"/>
    </row>
    <row r="147" spans="2:11" s="1" customFormat="1">
      <c r="B147" s="5"/>
      <c r="C147" s="6" t="s">
        <v>120</v>
      </c>
      <c r="D147" s="7">
        <v>7</v>
      </c>
      <c r="E147" s="7">
        <v>6</v>
      </c>
      <c r="F147" s="7">
        <v>5</v>
      </c>
      <c r="G147" s="7">
        <v>4</v>
      </c>
      <c r="H147" s="7">
        <v>3</v>
      </c>
      <c r="I147" s="7">
        <v>2</v>
      </c>
      <c r="J147" s="7">
        <v>1</v>
      </c>
      <c r="K147" s="7">
        <v>0</v>
      </c>
    </row>
    <row r="148" spans="2:11" s="1" customFormat="1" ht="13.5" customHeight="1">
      <c r="B148" s="5"/>
      <c r="C148" s="8" t="s">
        <v>6</v>
      </c>
      <c r="D148" s="176" t="s">
        <v>755</v>
      </c>
      <c r="E148" s="102"/>
      <c r="F148" s="102"/>
      <c r="G148" s="102"/>
      <c r="H148" s="102"/>
      <c r="I148" s="102"/>
      <c r="J148" s="102"/>
      <c r="K148" s="177"/>
    </row>
    <row r="149" spans="2:11" s="1" customFormat="1">
      <c r="B149" s="5" t="str">
        <f>CONCATENATE(D149,E149,F149,G149,H149,I149,J149,K149)</f>
        <v>00000000</v>
      </c>
      <c r="C149" s="8" t="s">
        <v>123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</row>
    <row r="150" spans="2:11" s="1" customFormat="1">
      <c r="B150" s="5"/>
      <c r="C150" s="102"/>
      <c r="D150" s="102"/>
      <c r="E150" s="102"/>
      <c r="F150" s="102"/>
      <c r="G150" s="102"/>
      <c r="H150" s="102"/>
      <c r="I150" s="102"/>
      <c r="J150" s="102"/>
      <c r="K150" s="102"/>
    </row>
    <row r="151" spans="2:11" s="1" customFormat="1" ht="13.5">
      <c r="B151" s="3"/>
      <c r="C151" s="10" t="s">
        <v>6</v>
      </c>
      <c r="D151" s="143" t="s">
        <v>125</v>
      </c>
      <c r="E151" s="143"/>
      <c r="F151" s="10" t="s">
        <v>126</v>
      </c>
      <c r="G151" s="143" t="s">
        <v>127</v>
      </c>
      <c r="H151" s="143"/>
      <c r="I151" s="143"/>
      <c r="J151" s="143"/>
      <c r="K151" s="10" t="s">
        <v>123</v>
      </c>
    </row>
    <row r="152" spans="2:11" s="1" customFormat="1" ht="27">
      <c r="B152" s="3"/>
      <c r="C152" s="10" t="str">
        <f>D148</f>
        <v>POWER_INFO_VOSET[15:8]</v>
      </c>
      <c r="D152" s="143" t="s">
        <v>754</v>
      </c>
      <c r="E152" s="143"/>
      <c r="F152" s="10" t="s">
        <v>721</v>
      </c>
      <c r="G152" s="143"/>
      <c r="H152" s="143"/>
      <c r="I152" s="143"/>
      <c r="J152" s="143"/>
      <c r="K152" s="10" t="s">
        <v>722</v>
      </c>
    </row>
    <row r="154" spans="2:11" s="1" customFormat="1" ht="12.75" customHeight="1">
      <c r="B154" s="5">
        <v>32</v>
      </c>
      <c r="C154" s="215" t="str">
        <f>"4.3."&amp;B154-31&amp;" Addr 0x"&amp;DEC2HEX(B154,8)&amp;" Trim configuration.Mode"</f>
        <v>4.3.1 Addr 0x00000020 Trim configuration.Mode</v>
      </c>
      <c r="D154" s="216"/>
      <c r="E154" s="216"/>
      <c r="F154" s="216"/>
      <c r="G154" s="216"/>
      <c r="H154" s="216"/>
      <c r="I154" s="216"/>
      <c r="J154" s="216"/>
      <c r="K154" s="217"/>
    </row>
    <row r="155" spans="2:11" s="1" customFormat="1">
      <c r="B155" s="5"/>
      <c r="C155" s="6" t="s">
        <v>120</v>
      </c>
      <c r="D155" s="7">
        <v>7</v>
      </c>
      <c r="E155" s="7">
        <v>6</v>
      </c>
      <c r="F155" s="7">
        <v>5</v>
      </c>
      <c r="G155" s="7">
        <v>4</v>
      </c>
      <c r="H155" s="7">
        <v>3</v>
      </c>
      <c r="I155" s="7">
        <v>2</v>
      </c>
      <c r="J155" s="7">
        <v>1</v>
      </c>
      <c r="K155" s="7">
        <v>0</v>
      </c>
    </row>
    <row r="156" spans="2:11" s="1" customFormat="1" ht="13.5" customHeight="1">
      <c r="B156" s="5"/>
      <c r="C156" s="8" t="s">
        <v>6</v>
      </c>
      <c r="D156" s="176" t="s">
        <v>756</v>
      </c>
      <c r="E156" s="102"/>
      <c r="F156" s="102"/>
      <c r="G156" s="102"/>
      <c r="H156" s="102"/>
      <c r="I156" s="102"/>
      <c r="J156" s="102"/>
      <c r="K156" s="177"/>
    </row>
    <row r="157" spans="2:11" s="1" customFormat="1">
      <c r="B157" s="5" t="str">
        <f>CONCATENATE(D157,E157,F157,G157,H157,I157,J157,K157)</f>
        <v>00000000</v>
      </c>
      <c r="C157" s="8" t="s">
        <v>123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</row>
    <row r="158" spans="2:11" s="1" customFormat="1">
      <c r="B158" s="5"/>
      <c r="C158" s="102"/>
      <c r="D158" s="102"/>
      <c r="E158" s="102"/>
      <c r="F158" s="102"/>
      <c r="G158" s="102"/>
      <c r="H158" s="102"/>
      <c r="I158" s="102"/>
      <c r="J158" s="102"/>
      <c r="K158" s="102"/>
    </row>
    <row r="159" spans="2:11" s="1" customFormat="1" ht="13.5">
      <c r="B159" s="3"/>
      <c r="C159" s="10" t="s">
        <v>6</v>
      </c>
      <c r="D159" s="143" t="s">
        <v>125</v>
      </c>
      <c r="E159" s="143"/>
      <c r="F159" s="10" t="s">
        <v>126</v>
      </c>
      <c r="G159" s="143" t="s">
        <v>127</v>
      </c>
      <c r="H159" s="143"/>
      <c r="I159" s="143"/>
      <c r="J159" s="143"/>
      <c r="K159" s="10" t="s">
        <v>123</v>
      </c>
    </row>
    <row r="160" spans="2:11" s="1" customFormat="1" ht="335.25" customHeight="1">
      <c r="B160" s="3"/>
      <c r="C160" s="10" t="str">
        <f>D156</f>
        <v>TRIM_MODE[7:0]</v>
      </c>
      <c r="D160" s="143" t="s">
        <v>757</v>
      </c>
      <c r="E160" s="143"/>
      <c r="F160" s="10" t="s">
        <v>721</v>
      </c>
      <c r="G160" s="143" t="s">
        <v>758</v>
      </c>
      <c r="H160" s="143"/>
      <c r="I160" s="143"/>
      <c r="J160" s="143"/>
      <c r="K160" s="10" t="s">
        <v>722</v>
      </c>
    </row>
    <row r="162" spans="2:11" s="1" customFormat="1" ht="12.75" customHeight="1">
      <c r="B162" s="5">
        <f>B154+1</f>
        <v>33</v>
      </c>
      <c r="C162" s="215" t="str">
        <f>"4.3."&amp;B162-31&amp;" Addr 0x"&amp;DEC2HEX(B162,8)&amp;" Trim configuration.Command"</f>
        <v>4.3.2 Addr 0x00000021 Trim configuration.Command</v>
      </c>
      <c r="D162" s="216"/>
      <c r="E162" s="216"/>
      <c r="F162" s="216"/>
      <c r="G162" s="216"/>
      <c r="H162" s="216"/>
      <c r="I162" s="216"/>
      <c r="J162" s="216"/>
      <c r="K162" s="217"/>
    </row>
    <row r="163" spans="2:11" s="1" customFormat="1">
      <c r="B163" s="5"/>
      <c r="C163" s="6" t="s">
        <v>120</v>
      </c>
      <c r="D163" s="7">
        <v>7</v>
      </c>
      <c r="E163" s="7">
        <v>6</v>
      </c>
      <c r="F163" s="7">
        <v>5</v>
      </c>
      <c r="G163" s="7">
        <v>4</v>
      </c>
      <c r="H163" s="7">
        <v>3</v>
      </c>
      <c r="I163" s="7">
        <v>2</v>
      </c>
      <c r="J163" s="7">
        <v>1</v>
      </c>
      <c r="K163" s="7">
        <v>0</v>
      </c>
    </row>
    <row r="164" spans="2:11" s="1" customFormat="1" ht="13.5" customHeight="1">
      <c r="B164" s="5"/>
      <c r="C164" s="8" t="s">
        <v>6</v>
      </c>
      <c r="D164" s="176" t="s">
        <v>759</v>
      </c>
      <c r="E164" s="102"/>
      <c r="F164" s="102"/>
      <c r="G164" s="102"/>
      <c r="H164" s="102"/>
      <c r="I164" s="102"/>
      <c r="J164" s="102"/>
      <c r="K164" s="177"/>
    </row>
    <row r="165" spans="2:11" s="1" customFormat="1">
      <c r="B165" s="5" t="str">
        <f>CONCATENATE(D165,E165,F165,G165,H165,I165,J165,K165)</f>
        <v>00000000</v>
      </c>
      <c r="C165" s="8" t="s">
        <v>123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</row>
    <row r="166" spans="2:11" s="1" customFormat="1">
      <c r="B166" s="5"/>
      <c r="C166" s="102"/>
      <c r="D166" s="102"/>
      <c r="E166" s="102"/>
      <c r="F166" s="102"/>
      <c r="G166" s="102"/>
      <c r="H166" s="102"/>
      <c r="I166" s="102"/>
      <c r="J166" s="102"/>
      <c r="K166" s="102"/>
    </row>
    <row r="167" spans="2:11" s="1" customFormat="1" ht="13.5">
      <c r="B167" s="3"/>
      <c r="C167" s="10" t="s">
        <v>6</v>
      </c>
      <c r="D167" s="143" t="s">
        <v>125</v>
      </c>
      <c r="E167" s="143"/>
      <c r="F167" s="10" t="s">
        <v>126</v>
      </c>
      <c r="G167" s="143" t="s">
        <v>127</v>
      </c>
      <c r="H167" s="143"/>
      <c r="I167" s="143"/>
      <c r="J167" s="143"/>
      <c r="K167" s="10" t="s">
        <v>123</v>
      </c>
    </row>
    <row r="168" spans="2:11" s="1" customFormat="1" ht="360" customHeight="1">
      <c r="B168" s="3"/>
      <c r="C168" s="10" t="str">
        <f>D164</f>
        <v>TRIM_COMMAND[7:0]</v>
      </c>
      <c r="D168" s="143" t="s">
        <v>1282</v>
      </c>
      <c r="E168" s="143"/>
      <c r="F168" s="10" t="s">
        <v>721</v>
      </c>
      <c r="G168" s="143" t="s">
        <v>1281</v>
      </c>
      <c r="H168" s="143"/>
      <c r="I168" s="143"/>
      <c r="J168" s="143"/>
      <c r="K168" s="10" t="s">
        <v>722</v>
      </c>
    </row>
    <row r="170" spans="2:11" s="1" customFormat="1" ht="12.75" customHeight="1">
      <c r="B170" s="5">
        <f>B162+1</f>
        <v>34</v>
      </c>
      <c r="C170" s="215" t="str">
        <f>"4.3."&amp;B170-31&amp;" Addr 0x"&amp;DEC2HEX(B170,8)&amp;" Trim configuration.Judgement"</f>
        <v>4.3.3 Addr 0x00000022 Trim configuration.Judgement</v>
      </c>
      <c r="D170" s="216"/>
      <c r="E170" s="216"/>
      <c r="F170" s="216"/>
      <c r="G170" s="216"/>
      <c r="H170" s="216"/>
      <c r="I170" s="216"/>
      <c r="J170" s="216"/>
      <c r="K170" s="217"/>
    </row>
    <row r="171" spans="2:11" s="1" customFormat="1">
      <c r="B171" s="5"/>
      <c r="C171" s="6" t="s">
        <v>120</v>
      </c>
      <c r="D171" s="7">
        <v>7</v>
      </c>
      <c r="E171" s="7">
        <v>6</v>
      </c>
      <c r="F171" s="7">
        <v>5</v>
      </c>
      <c r="G171" s="7">
        <v>4</v>
      </c>
      <c r="H171" s="7">
        <v>3</v>
      </c>
      <c r="I171" s="7">
        <v>2</v>
      </c>
      <c r="J171" s="7">
        <v>1</v>
      </c>
      <c r="K171" s="7">
        <v>0</v>
      </c>
    </row>
    <row r="172" spans="2:11" s="1" customFormat="1" ht="13.5" customHeight="1">
      <c r="B172" s="5"/>
      <c r="C172" s="8" t="s">
        <v>6</v>
      </c>
      <c r="D172" s="176" t="s">
        <v>760</v>
      </c>
      <c r="E172" s="102"/>
      <c r="F172" s="102"/>
      <c r="G172" s="102"/>
      <c r="H172" s="102"/>
      <c r="I172" s="102"/>
      <c r="J172" s="102"/>
      <c r="K172" s="177"/>
    </row>
    <row r="173" spans="2:11" s="1" customFormat="1">
      <c r="B173" s="5" t="str">
        <f>CONCATENATE(D173,E173,F173,G173,H173,I173,J173,K173)</f>
        <v>00000000</v>
      </c>
      <c r="C173" s="8" t="s">
        <v>123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</row>
    <row r="174" spans="2:11" s="1" customFormat="1">
      <c r="B174" s="5"/>
      <c r="C174" s="102"/>
      <c r="D174" s="102"/>
      <c r="E174" s="102"/>
      <c r="F174" s="102"/>
      <c r="G174" s="102"/>
      <c r="H174" s="102"/>
      <c r="I174" s="102"/>
      <c r="J174" s="102"/>
      <c r="K174" s="102"/>
    </row>
    <row r="175" spans="2:11" s="1" customFormat="1" ht="13.5">
      <c r="B175" s="3"/>
      <c r="C175" s="10" t="s">
        <v>6</v>
      </c>
      <c r="D175" s="143" t="s">
        <v>125</v>
      </c>
      <c r="E175" s="143"/>
      <c r="F175" s="10" t="s">
        <v>126</v>
      </c>
      <c r="G175" s="143" t="s">
        <v>127</v>
      </c>
      <c r="H175" s="143"/>
      <c r="I175" s="143"/>
      <c r="J175" s="143"/>
      <c r="K175" s="10" t="s">
        <v>123</v>
      </c>
    </row>
    <row r="176" spans="2:11" s="1" customFormat="1" ht="108" customHeight="1">
      <c r="B176" s="3"/>
      <c r="C176" s="10" t="str">
        <f>D172</f>
        <v>TRIM_JUDGEMENT[7:0]</v>
      </c>
      <c r="D176" s="143" t="s">
        <v>761</v>
      </c>
      <c r="E176" s="143"/>
      <c r="F176" s="10" t="s">
        <v>721</v>
      </c>
      <c r="G176" s="143" t="s">
        <v>762</v>
      </c>
      <c r="H176" s="143"/>
      <c r="I176" s="143"/>
      <c r="J176" s="143"/>
      <c r="K176" s="10" t="s">
        <v>722</v>
      </c>
    </row>
    <row r="178" spans="2:11" s="1" customFormat="1" ht="12.75" customHeight="1">
      <c r="B178" s="5">
        <f>B170+1</f>
        <v>35</v>
      </c>
      <c r="C178" s="215" t="str">
        <f>"4.3."&amp;B178-31&amp;" Addr 0x"&amp;DEC2HEX(B178,8)&amp;" Trim configuration.Bit number"</f>
        <v>4.3.4 Addr 0x00000023 Trim configuration.Bit number</v>
      </c>
      <c r="D178" s="216"/>
      <c r="E178" s="216"/>
      <c r="F178" s="216"/>
      <c r="G178" s="216"/>
      <c r="H178" s="216"/>
      <c r="I178" s="216"/>
      <c r="J178" s="216"/>
      <c r="K178" s="217"/>
    </row>
    <row r="179" spans="2:11" s="1" customFormat="1">
      <c r="B179" s="5"/>
      <c r="C179" s="6" t="s">
        <v>120</v>
      </c>
      <c r="D179" s="7">
        <v>7</v>
      </c>
      <c r="E179" s="7">
        <v>6</v>
      </c>
      <c r="F179" s="7">
        <v>5</v>
      </c>
      <c r="G179" s="7">
        <v>4</v>
      </c>
      <c r="H179" s="7">
        <v>3</v>
      </c>
      <c r="I179" s="7">
        <v>2</v>
      </c>
      <c r="J179" s="7">
        <v>1</v>
      </c>
      <c r="K179" s="7">
        <v>0</v>
      </c>
    </row>
    <row r="180" spans="2:11" s="1" customFormat="1" ht="13.5" customHeight="1">
      <c r="B180" s="5"/>
      <c r="C180" s="8" t="s">
        <v>6</v>
      </c>
      <c r="D180" s="176" t="s">
        <v>763</v>
      </c>
      <c r="E180" s="102"/>
      <c r="F180" s="102"/>
      <c r="G180" s="102"/>
      <c r="H180" s="102"/>
      <c r="I180" s="102"/>
      <c r="J180" s="102"/>
      <c r="K180" s="177"/>
    </row>
    <row r="181" spans="2:11" s="1" customFormat="1">
      <c r="B181" s="5" t="str">
        <f>CONCATENATE(D181,E181,F181,G181,H181,I181,J181,K181)</f>
        <v>00000000</v>
      </c>
      <c r="C181" s="8" t="s">
        <v>123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</row>
    <row r="182" spans="2:11" s="1" customFormat="1">
      <c r="B182" s="5"/>
      <c r="C182" s="102"/>
      <c r="D182" s="102"/>
      <c r="E182" s="102"/>
      <c r="F182" s="102"/>
      <c r="G182" s="102"/>
      <c r="H182" s="102"/>
      <c r="I182" s="102"/>
      <c r="J182" s="102"/>
      <c r="K182" s="102"/>
    </row>
    <row r="183" spans="2:11" s="1" customFormat="1" ht="13.5">
      <c r="B183" s="3"/>
      <c r="C183" s="10" t="s">
        <v>6</v>
      </c>
      <c r="D183" s="143" t="s">
        <v>125</v>
      </c>
      <c r="E183" s="143"/>
      <c r="F183" s="10" t="s">
        <v>126</v>
      </c>
      <c r="G183" s="143" t="s">
        <v>127</v>
      </c>
      <c r="H183" s="143"/>
      <c r="I183" s="143"/>
      <c r="J183" s="143"/>
      <c r="K183" s="10" t="s">
        <v>123</v>
      </c>
    </row>
    <row r="184" spans="2:11" s="1" customFormat="1" ht="13.5">
      <c r="B184" s="3"/>
      <c r="C184" s="10" t="str">
        <f>D180</f>
        <v>TRIM_BIT_NUM[7:0]</v>
      </c>
      <c r="D184" s="143" t="s">
        <v>764</v>
      </c>
      <c r="E184" s="143"/>
      <c r="F184" s="10" t="s">
        <v>721</v>
      </c>
      <c r="G184" s="143" t="s">
        <v>765</v>
      </c>
      <c r="H184" s="143"/>
      <c r="I184" s="143"/>
      <c r="J184" s="143"/>
      <c r="K184" s="10" t="s">
        <v>722</v>
      </c>
    </row>
    <row r="186" spans="2:11" s="1" customFormat="1" ht="12.75" customHeight="1">
      <c r="B186" s="5">
        <f>B178+1</f>
        <v>36</v>
      </c>
      <c r="C186" s="215" t="str">
        <f>"4.3."&amp;B186-31&amp;" Addr 0x"&amp;DEC2HEX(B186,8)&amp;" Trim configuration.Result.L"</f>
        <v>4.3.5 Addr 0x00000024 Trim configuration.Result.L</v>
      </c>
      <c r="D186" s="216"/>
      <c r="E186" s="216"/>
      <c r="F186" s="216"/>
      <c r="G186" s="216"/>
      <c r="H186" s="216"/>
      <c r="I186" s="216"/>
      <c r="J186" s="216"/>
      <c r="K186" s="217"/>
    </row>
    <row r="187" spans="2:11" s="1" customFormat="1">
      <c r="B187" s="5"/>
      <c r="C187" s="6" t="s">
        <v>120</v>
      </c>
      <c r="D187" s="7">
        <v>7</v>
      </c>
      <c r="E187" s="7">
        <v>6</v>
      </c>
      <c r="F187" s="7">
        <v>5</v>
      </c>
      <c r="G187" s="7">
        <v>4</v>
      </c>
      <c r="H187" s="7">
        <v>3</v>
      </c>
      <c r="I187" s="7">
        <v>2</v>
      </c>
      <c r="J187" s="7">
        <v>1</v>
      </c>
      <c r="K187" s="7">
        <v>0</v>
      </c>
    </row>
    <row r="188" spans="2:11" s="1" customFormat="1" ht="13.5" customHeight="1">
      <c r="B188" s="5"/>
      <c r="C188" s="8" t="s">
        <v>6</v>
      </c>
      <c r="D188" s="176" t="s">
        <v>766</v>
      </c>
      <c r="E188" s="102"/>
      <c r="F188" s="102"/>
      <c r="G188" s="102"/>
      <c r="H188" s="102"/>
      <c r="I188" s="102"/>
      <c r="J188" s="102"/>
      <c r="K188" s="177"/>
    </row>
    <row r="189" spans="2:11" s="1" customFormat="1">
      <c r="B189" s="5" t="str">
        <f>CONCATENATE(D189,E189,F189,G189,H189,I189,J189,K189)</f>
        <v>00000000</v>
      </c>
      <c r="C189" s="8" t="s">
        <v>123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</row>
    <row r="190" spans="2:11" s="1" customFormat="1">
      <c r="B190" s="5"/>
      <c r="C190" s="102"/>
      <c r="D190" s="102"/>
      <c r="E190" s="102"/>
      <c r="F190" s="102"/>
      <c r="G190" s="102"/>
      <c r="H190" s="102"/>
      <c r="I190" s="102"/>
      <c r="J190" s="102"/>
      <c r="K190" s="102"/>
    </row>
    <row r="191" spans="2:11" s="1" customFormat="1" ht="13.5">
      <c r="B191" s="3"/>
      <c r="C191" s="10" t="s">
        <v>6</v>
      </c>
      <c r="D191" s="143" t="s">
        <v>125</v>
      </c>
      <c r="E191" s="143"/>
      <c r="F191" s="10" t="s">
        <v>126</v>
      </c>
      <c r="G191" s="143" t="s">
        <v>127</v>
      </c>
      <c r="H191" s="143"/>
      <c r="I191" s="143"/>
      <c r="J191" s="143"/>
      <c r="K191" s="10" t="s">
        <v>123</v>
      </c>
    </row>
    <row r="192" spans="2:11" s="1" customFormat="1" ht="13.5">
      <c r="B192" s="3"/>
      <c r="C192" s="10" t="str">
        <f>D188</f>
        <v>TRIM_RESULT[7:0]</v>
      </c>
      <c r="D192" s="143" t="s">
        <v>767</v>
      </c>
      <c r="E192" s="143"/>
      <c r="F192" s="10" t="s">
        <v>721</v>
      </c>
      <c r="G192" s="143"/>
      <c r="H192" s="143"/>
      <c r="I192" s="143"/>
      <c r="J192" s="143"/>
      <c r="K192" s="10" t="s">
        <v>722</v>
      </c>
    </row>
    <row r="194" spans="2:11" s="1" customFormat="1" ht="12.75" customHeight="1">
      <c r="B194" s="5">
        <f>B186+1</f>
        <v>37</v>
      </c>
      <c r="C194" s="215" t="str">
        <f>"4.3."&amp;B194-31&amp;" Addr 0x"&amp;DEC2HEX(B194,8)&amp;" Trim configuration.Result.H"</f>
        <v>4.3.6 Addr 0x00000025 Trim configuration.Result.H</v>
      </c>
      <c r="D194" s="216"/>
      <c r="E194" s="216"/>
      <c r="F194" s="216"/>
      <c r="G194" s="216"/>
      <c r="H194" s="216"/>
      <c r="I194" s="216"/>
      <c r="J194" s="216"/>
      <c r="K194" s="217"/>
    </row>
    <row r="195" spans="2:11" s="1" customFormat="1">
      <c r="B195" s="5"/>
      <c r="C195" s="6" t="s">
        <v>120</v>
      </c>
      <c r="D195" s="7">
        <v>7</v>
      </c>
      <c r="E195" s="7">
        <v>6</v>
      </c>
      <c r="F195" s="7">
        <v>5</v>
      </c>
      <c r="G195" s="7">
        <v>4</v>
      </c>
      <c r="H195" s="7">
        <v>3</v>
      </c>
      <c r="I195" s="7">
        <v>2</v>
      </c>
      <c r="J195" s="7">
        <v>1</v>
      </c>
      <c r="K195" s="7">
        <v>0</v>
      </c>
    </row>
    <row r="196" spans="2:11" s="1" customFormat="1" ht="13.5" customHeight="1">
      <c r="B196" s="5"/>
      <c r="C196" s="8" t="s">
        <v>6</v>
      </c>
      <c r="D196" s="176" t="s">
        <v>768</v>
      </c>
      <c r="E196" s="102"/>
      <c r="F196" s="102"/>
      <c r="G196" s="102"/>
      <c r="H196" s="102"/>
      <c r="I196" s="102"/>
      <c r="J196" s="102"/>
      <c r="K196" s="177"/>
    </row>
    <row r="197" spans="2:11" s="1" customFormat="1">
      <c r="B197" s="5" t="str">
        <f>CONCATENATE(D197,E197,F197,G197,H197,I197,J197,K197)</f>
        <v>00000000</v>
      </c>
      <c r="C197" s="8" t="s">
        <v>123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</row>
    <row r="198" spans="2:11" s="1" customFormat="1">
      <c r="B198" s="5"/>
      <c r="C198" s="102"/>
      <c r="D198" s="102"/>
      <c r="E198" s="102"/>
      <c r="F198" s="102"/>
      <c r="G198" s="102"/>
      <c r="H198" s="102"/>
      <c r="I198" s="102"/>
      <c r="J198" s="102"/>
      <c r="K198" s="102"/>
    </row>
    <row r="199" spans="2:11" s="1" customFormat="1" ht="13.5">
      <c r="B199" s="3"/>
      <c r="C199" s="10" t="s">
        <v>6</v>
      </c>
      <c r="D199" s="143" t="s">
        <v>125</v>
      </c>
      <c r="E199" s="143"/>
      <c r="F199" s="10" t="s">
        <v>126</v>
      </c>
      <c r="G199" s="143" t="s">
        <v>127</v>
      </c>
      <c r="H199" s="143"/>
      <c r="I199" s="143"/>
      <c r="J199" s="143"/>
      <c r="K199" s="10" t="s">
        <v>123</v>
      </c>
    </row>
    <row r="200" spans="2:11" s="1" customFormat="1" ht="13.5">
      <c r="B200" s="3"/>
      <c r="C200" s="10" t="str">
        <f>D196</f>
        <v>TRIM_RESULT[15:8]</v>
      </c>
      <c r="D200" s="143" t="s">
        <v>767</v>
      </c>
      <c r="E200" s="143"/>
      <c r="F200" s="10" t="s">
        <v>721</v>
      </c>
      <c r="G200" s="143"/>
      <c r="H200" s="143"/>
      <c r="I200" s="143"/>
      <c r="J200" s="143"/>
      <c r="K200" s="10" t="s">
        <v>722</v>
      </c>
    </row>
    <row r="202" spans="2:11" s="1" customFormat="1" ht="12.75" customHeight="1">
      <c r="B202" s="5">
        <f>B194+1</f>
        <v>38</v>
      </c>
      <c r="C202" s="215" t="str">
        <f>"4.3."&amp;B202-31&amp;" Addr 0x"&amp;DEC2HEX(B202,8)&amp;" Trim configuration.Test Vrect.L"</f>
        <v>4.3.7 Addr 0x00000026 Trim configuration.Test Vrect.L</v>
      </c>
      <c r="D202" s="216"/>
      <c r="E202" s="216"/>
      <c r="F202" s="216"/>
      <c r="G202" s="216"/>
      <c r="H202" s="216"/>
      <c r="I202" s="216"/>
      <c r="J202" s="216"/>
      <c r="K202" s="217"/>
    </row>
    <row r="203" spans="2:11" s="1" customFormat="1">
      <c r="B203" s="5"/>
      <c r="C203" s="6" t="s">
        <v>120</v>
      </c>
      <c r="D203" s="7">
        <v>7</v>
      </c>
      <c r="E203" s="7">
        <v>6</v>
      </c>
      <c r="F203" s="7">
        <v>5</v>
      </c>
      <c r="G203" s="7">
        <v>4</v>
      </c>
      <c r="H203" s="7">
        <v>3</v>
      </c>
      <c r="I203" s="7">
        <v>2</v>
      </c>
      <c r="J203" s="7">
        <v>1</v>
      </c>
      <c r="K203" s="7">
        <v>0</v>
      </c>
    </row>
    <row r="204" spans="2:11" s="1" customFormat="1" ht="13.5" customHeight="1">
      <c r="B204" s="5"/>
      <c r="C204" s="8" t="s">
        <v>6</v>
      </c>
      <c r="D204" s="176" t="s">
        <v>769</v>
      </c>
      <c r="E204" s="102"/>
      <c r="F204" s="102"/>
      <c r="G204" s="102"/>
      <c r="H204" s="102"/>
      <c r="I204" s="102"/>
      <c r="J204" s="102"/>
      <c r="K204" s="177"/>
    </row>
    <row r="205" spans="2:11" s="1" customFormat="1">
      <c r="B205" s="5" t="str">
        <f>CONCATENATE(D205,E205,F205,G205,H205,I205,J205,K205)</f>
        <v>01010000</v>
      </c>
      <c r="C205" s="8" t="s">
        <v>123</v>
      </c>
      <c r="D205" s="9">
        <v>0</v>
      </c>
      <c r="E205" s="9">
        <v>1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</row>
    <row r="206" spans="2:11" s="1" customFormat="1">
      <c r="B206" s="5"/>
      <c r="C206" s="102"/>
      <c r="D206" s="102"/>
      <c r="E206" s="102"/>
      <c r="F206" s="102"/>
      <c r="G206" s="102"/>
      <c r="H206" s="102"/>
      <c r="I206" s="102"/>
      <c r="J206" s="102"/>
      <c r="K206" s="102"/>
    </row>
    <row r="207" spans="2:11" s="1" customFormat="1" ht="13.5">
      <c r="B207" s="3"/>
      <c r="C207" s="10" t="s">
        <v>6</v>
      </c>
      <c r="D207" s="143" t="s">
        <v>125</v>
      </c>
      <c r="E207" s="143"/>
      <c r="F207" s="10" t="s">
        <v>126</v>
      </c>
      <c r="G207" s="143" t="s">
        <v>127</v>
      </c>
      <c r="H207" s="143"/>
      <c r="I207" s="143"/>
      <c r="J207" s="143"/>
      <c r="K207" s="10" t="s">
        <v>123</v>
      </c>
    </row>
    <row r="208" spans="2:11" s="1" customFormat="1" ht="13.5">
      <c r="B208" s="3"/>
      <c r="C208" s="10" t="str">
        <f>D204</f>
        <v>TRIM_TEST_VRECT[7:0]</v>
      </c>
      <c r="D208" s="143" t="s">
        <v>770</v>
      </c>
      <c r="E208" s="143"/>
      <c r="F208" s="10" t="s">
        <v>771</v>
      </c>
      <c r="G208" s="143"/>
      <c r="H208" s="143"/>
      <c r="I208" s="143"/>
      <c r="J208" s="143"/>
      <c r="K208" s="10" t="s">
        <v>772</v>
      </c>
    </row>
    <row r="210" spans="2:11" s="1" customFormat="1" ht="12.75" customHeight="1">
      <c r="B210" s="5">
        <f>B202+1</f>
        <v>39</v>
      </c>
      <c r="C210" s="215" t="str">
        <f>"4.3."&amp;B210-31&amp;" Addr 0x"&amp;DEC2HEX(B210,8)&amp;" Trim configuration.Test Vrect.H"</f>
        <v>4.3.8 Addr 0x00000027 Trim configuration.Test Vrect.H</v>
      </c>
      <c r="D210" s="216"/>
      <c r="E210" s="216"/>
      <c r="F210" s="216"/>
      <c r="G210" s="216"/>
      <c r="H210" s="216"/>
      <c r="I210" s="216"/>
      <c r="J210" s="216"/>
      <c r="K210" s="217"/>
    </row>
    <row r="211" spans="2:11" s="1" customFormat="1">
      <c r="B211" s="5"/>
      <c r="C211" s="6" t="s">
        <v>120</v>
      </c>
      <c r="D211" s="7">
        <v>7</v>
      </c>
      <c r="E211" s="7">
        <v>6</v>
      </c>
      <c r="F211" s="7">
        <v>5</v>
      </c>
      <c r="G211" s="7">
        <v>4</v>
      </c>
      <c r="H211" s="7">
        <v>3</v>
      </c>
      <c r="I211" s="7">
        <v>2</v>
      </c>
      <c r="J211" s="7">
        <v>1</v>
      </c>
      <c r="K211" s="7">
        <v>0</v>
      </c>
    </row>
    <row r="212" spans="2:11" s="1" customFormat="1" ht="13.5" customHeight="1">
      <c r="B212" s="5"/>
      <c r="C212" s="8" t="s">
        <v>6</v>
      </c>
      <c r="D212" s="176" t="s">
        <v>773</v>
      </c>
      <c r="E212" s="102"/>
      <c r="F212" s="102"/>
      <c r="G212" s="102"/>
      <c r="H212" s="102"/>
      <c r="I212" s="102"/>
      <c r="J212" s="102"/>
      <c r="K212" s="177"/>
    </row>
    <row r="213" spans="2:11" s="1" customFormat="1">
      <c r="B213" s="5" t="str">
        <f>CONCATENATE(D213,E213,F213,G213,H213,I213,J213,K213)</f>
        <v>00010100</v>
      </c>
      <c r="C213" s="8" t="s">
        <v>123</v>
      </c>
      <c r="D213" s="9">
        <v>0</v>
      </c>
      <c r="E213" s="9">
        <v>0</v>
      </c>
      <c r="F213" s="9">
        <v>0</v>
      </c>
      <c r="G213" s="9">
        <v>1</v>
      </c>
      <c r="H213" s="9">
        <v>0</v>
      </c>
      <c r="I213" s="9">
        <v>1</v>
      </c>
      <c r="J213" s="9">
        <v>0</v>
      </c>
      <c r="K213" s="9">
        <v>0</v>
      </c>
    </row>
    <row r="214" spans="2:11" s="1" customFormat="1">
      <c r="B214" s="5"/>
      <c r="C214" s="102"/>
      <c r="D214" s="102"/>
      <c r="E214" s="102"/>
      <c r="F214" s="102"/>
      <c r="G214" s="102"/>
      <c r="H214" s="102"/>
      <c r="I214" s="102"/>
      <c r="J214" s="102"/>
      <c r="K214" s="102"/>
    </row>
    <row r="215" spans="2:11" s="1" customFormat="1" ht="13.5">
      <c r="B215" s="3"/>
      <c r="C215" s="10" t="s">
        <v>6</v>
      </c>
      <c r="D215" s="143" t="s">
        <v>125</v>
      </c>
      <c r="E215" s="143"/>
      <c r="F215" s="10" t="s">
        <v>126</v>
      </c>
      <c r="G215" s="143" t="s">
        <v>127</v>
      </c>
      <c r="H215" s="143"/>
      <c r="I215" s="143"/>
      <c r="J215" s="143"/>
      <c r="K215" s="10" t="s">
        <v>123</v>
      </c>
    </row>
    <row r="216" spans="2:11" s="1" customFormat="1" ht="13.5">
      <c r="B216" s="3"/>
      <c r="C216" s="10" t="str">
        <f>D212</f>
        <v>TRIM_TEST_VRECT[15:8]</v>
      </c>
      <c r="D216" s="143" t="s">
        <v>770</v>
      </c>
      <c r="E216" s="143"/>
      <c r="F216" s="10" t="s">
        <v>774</v>
      </c>
      <c r="G216" s="143" t="s">
        <v>775</v>
      </c>
      <c r="H216" s="143"/>
      <c r="I216" s="143"/>
      <c r="J216" s="143"/>
      <c r="K216" s="10" t="s">
        <v>776</v>
      </c>
    </row>
    <row r="218" spans="2:11" s="1" customFormat="1" ht="12.75" customHeight="1">
      <c r="B218" s="5">
        <f>B210+1</f>
        <v>40</v>
      </c>
      <c r="C218" s="215" t="str">
        <f>"4.3."&amp;B218-31&amp;" Addr 0x"&amp;DEC2HEX(B218,8)&amp;" Trim configuration.Test Vout.L"</f>
        <v>4.3.9 Addr 0x00000028 Trim configuration.Test Vout.L</v>
      </c>
      <c r="D218" s="216"/>
      <c r="E218" s="216"/>
      <c r="F218" s="216"/>
      <c r="G218" s="216"/>
      <c r="H218" s="216"/>
      <c r="I218" s="216"/>
      <c r="J218" s="216"/>
      <c r="K218" s="217"/>
    </row>
    <row r="219" spans="2:11" s="1" customFormat="1">
      <c r="B219" s="5"/>
      <c r="C219" s="6" t="s">
        <v>120</v>
      </c>
      <c r="D219" s="7">
        <v>7</v>
      </c>
      <c r="E219" s="7">
        <v>6</v>
      </c>
      <c r="F219" s="7">
        <v>5</v>
      </c>
      <c r="G219" s="7">
        <v>4</v>
      </c>
      <c r="H219" s="7">
        <v>3</v>
      </c>
      <c r="I219" s="7">
        <v>2</v>
      </c>
      <c r="J219" s="7">
        <v>1</v>
      </c>
      <c r="K219" s="7">
        <v>0</v>
      </c>
    </row>
    <row r="220" spans="2:11" s="1" customFormat="1" ht="13.5" customHeight="1">
      <c r="B220" s="5"/>
      <c r="C220" s="8" t="s">
        <v>6</v>
      </c>
      <c r="D220" s="176" t="s">
        <v>777</v>
      </c>
      <c r="E220" s="102"/>
      <c r="F220" s="102"/>
      <c r="G220" s="102"/>
      <c r="H220" s="102"/>
      <c r="I220" s="102"/>
      <c r="J220" s="102"/>
      <c r="K220" s="177"/>
    </row>
    <row r="221" spans="2:11" s="1" customFormat="1">
      <c r="B221" s="5" t="str">
        <f>CONCATENATE(D221,E221,F221,G221,H221,I221,J221,K221)</f>
        <v>10001000</v>
      </c>
      <c r="C221" s="8" t="s">
        <v>123</v>
      </c>
      <c r="D221" s="9">
        <v>1</v>
      </c>
      <c r="E221" s="9">
        <v>0</v>
      </c>
      <c r="F221" s="9">
        <v>0</v>
      </c>
      <c r="G221" s="9">
        <v>0</v>
      </c>
      <c r="H221" s="9">
        <v>1</v>
      </c>
      <c r="I221" s="9">
        <v>0</v>
      </c>
      <c r="J221" s="9">
        <v>0</v>
      </c>
      <c r="K221" s="9">
        <v>0</v>
      </c>
    </row>
    <row r="222" spans="2:11" s="1" customFormat="1">
      <c r="B222" s="5"/>
      <c r="C222" s="102"/>
      <c r="D222" s="102"/>
      <c r="E222" s="102"/>
      <c r="F222" s="102"/>
      <c r="G222" s="102"/>
      <c r="H222" s="102"/>
      <c r="I222" s="102"/>
      <c r="J222" s="102"/>
      <c r="K222" s="102"/>
    </row>
    <row r="223" spans="2:11" s="1" customFormat="1" ht="13.5">
      <c r="B223" s="3"/>
      <c r="C223" s="10" t="s">
        <v>6</v>
      </c>
      <c r="D223" s="143" t="s">
        <v>125</v>
      </c>
      <c r="E223" s="143"/>
      <c r="F223" s="10" t="s">
        <v>126</v>
      </c>
      <c r="G223" s="143" t="s">
        <v>127</v>
      </c>
      <c r="H223" s="143"/>
      <c r="I223" s="143"/>
      <c r="J223" s="143"/>
      <c r="K223" s="10" t="s">
        <v>123</v>
      </c>
    </row>
    <row r="224" spans="2:11" s="1" customFormat="1" ht="13.5">
      <c r="B224" s="3"/>
      <c r="C224" s="10" t="str">
        <f>D220</f>
        <v>TRIM_TEST_VOUT[7:0]</v>
      </c>
      <c r="D224" s="143" t="s">
        <v>778</v>
      </c>
      <c r="E224" s="143"/>
      <c r="F224" s="10" t="s">
        <v>779</v>
      </c>
      <c r="G224" s="143" t="s">
        <v>780</v>
      </c>
      <c r="H224" s="143"/>
      <c r="I224" s="143"/>
      <c r="J224" s="143"/>
      <c r="K224" s="10" t="s">
        <v>781</v>
      </c>
    </row>
    <row r="226" spans="2:11" s="1" customFormat="1" ht="12.75" customHeight="1">
      <c r="B226" s="5">
        <f>B218+1</f>
        <v>41</v>
      </c>
      <c r="C226" s="215" t="str">
        <f>"4.3."&amp;B226-31&amp;" Addr 0x"&amp;DEC2HEX(B226,8)&amp;" Trim configuration.Test Vout.H"</f>
        <v>4.3.10 Addr 0x00000029 Trim configuration.Test Vout.H</v>
      </c>
      <c r="D226" s="216"/>
      <c r="E226" s="216"/>
      <c r="F226" s="216"/>
      <c r="G226" s="216"/>
      <c r="H226" s="216"/>
      <c r="I226" s="216"/>
      <c r="J226" s="216"/>
      <c r="K226" s="217"/>
    </row>
    <row r="227" spans="2:11" s="1" customFormat="1">
      <c r="B227" s="5"/>
      <c r="C227" s="6" t="s">
        <v>120</v>
      </c>
      <c r="D227" s="7">
        <v>7</v>
      </c>
      <c r="E227" s="7">
        <v>6</v>
      </c>
      <c r="F227" s="7">
        <v>5</v>
      </c>
      <c r="G227" s="7">
        <v>4</v>
      </c>
      <c r="H227" s="7">
        <v>3</v>
      </c>
      <c r="I227" s="7">
        <v>2</v>
      </c>
      <c r="J227" s="7">
        <v>1</v>
      </c>
      <c r="K227" s="7">
        <v>0</v>
      </c>
    </row>
    <row r="228" spans="2:11" s="1" customFormat="1" ht="13.5" customHeight="1">
      <c r="B228" s="5"/>
      <c r="C228" s="8" t="s">
        <v>6</v>
      </c>
      <c r="D228" s="176" t="s">
        <v>782</v>
      </c>
      <c r="E228" s="102"/>
      <c r="F228" s="102"/>
      <c r="G228" s="102"/>
      <c r="H228" s="102"/>
      <c r="I228" s="102"/>
      <c r="J228" s="102"/>
      <c r="K228" s="177"/>
    </row>
    <row r="229" spans="2:11" s="1" customFormat="1">
      <c r="B229" s="5" t="str">
        <f>CONCATENATE(D229,E229,F229,G229,H229,I229,J229,K229)</f>
        <v>00010011</v>
      </c>
      <c r="C229" s="8" t="s">
        <v>123</v>
      </c>
      <c r="D229" s="9">
        <v>0</v>
      </c>
      <c r="E229" s="9">
        <v>0</v>
      </c>
      <c r="F229" s="9">
        <v>0</v>
      </c>
      <c r="G229" s="9">
        <v>1</v>
      </c>
      <c r="H229" s="9">
        <v>0</v>
      </c>
      <c r="I229" s="9">
        <v>0</v>
      </c>
      <c r="J229" s="9">
        <v>1</v>
      </c>
      <c r="K229" s="9">
        <v>1</v>
      </c>
    </row>
    <row r="230" spans="2:11" s="1" customFormat="1">
      <c r="B230" s="5"/>
      <c r="C230" s="102"/>
      <c r="D230" s="102"/>
      <c r="E230" s="102"/>
      <c r="F230" s="102"/>
      <c r="G230" s="102"/>
      <c r="H230" s="102"/>
      <c r="I230" s="102"/>
      <c r="J230" s="102"/>
      <c r="K230" s="102"/>
    </row>
    <row r="231" spans="2:11" s="1" customFormat="1" ht="13.5">
      <c r="B231" s="3"/>
      <c r="C231" s="10" t="s">
        <v>6</v>
      </c>
      <c r="D231" s="143" t="s">
        <v>125</v>
      </c>
      <c r="E231" s="143"/>
      <c r="F231" s="10" t="s">
        <v>126</v>
      </c>
      <c r="G231" s="143" t="s">
        <v>127</v>
      </c>
      <c r="H231" s="143"/>
      <c r="I231" s="143"/>
      <c r="J231" s="143"/>
      <c r="K231" s="10" t="s">
        <v>123</v>
      </c>
    </row>
    <row r="232" spans="2:11" s="1" customFormat="1" ht="13.5" customHeight="1">
      <c r="B232" s="3"/>
      <c r="C232" s="10" t="str">
        <f>D228</f>
        <v>TRIM_TEST_VOUT[15:8]</v>
      </c>
      <c r="D232" s="143" t="s">
        <v>778</v>
      </c>
      <c r="E232" s="143"/>
      <c r="F232" s="10" t="s">
        <v>783</v>
      </c>
      <c r="G232" s="143" t="s">
        <v>780</v>
      </c>
      <c r="H232" s="143"/>
      <c r="I232" s="143"/>
      <c r="J232" s="143"/>
      <c r="K232" s="10" t="s">
        <v>784</v>
      </c>
    </row>
    <row r="234" spans="2:11" s="1" customFormat="1" ht="12.75" customHeight="1">
      <c r="B234" s="5">
        <f>B226+1</f>
        <v>42</v>
      </c>
      <c r="C234" s="215" t="str">
        <f>"4.3."&amp;B234-31&amp;" Addr 0x"&amp;DEC2HEX(B234,8)&amp;" Trim configuration.Test Iout.L"</f>
        <v>4.3.11 Addr 0x0000002A Trim configuration.Test Iout.L</v>
      </c>
      <c r="D234" s="216"/>
      <c r="E234" s="216"/>
      <c r="F234" s="216"/>
      <c r="G234" s="216"/>
      <c r="H234" s="216"/>
      <c r="I234" s="216"/>
      <c r="J234" s="216"/>
      <c r="K234" s="217"/>
    </row>
    <row r="235" spans="2:11" s="1" customFormat="1">
      <c r="B235" s="5"/>
      <c r="C235" s="6" t="s">
        <v>120</v>
      </c>
      <c r="D235" s="7">
        <v>7</v>
      </c>
      <c r="E235" s="7">
        <v>6</v>
      </c>
      <c r="F235" s="7">
        <v>5</v>
      </c>
      <c r="G235" s="7">
        <v>4</v>
      </c>
      <c r="H235" s="7">
        <v>3</v>
      </c>
      <c r="I235" s="7">
        <v>2</v>
      </c>
      <c r="J235" s="7">
        <v>1</v>
      </c>
      <c r="K235" s="7">
        <v>0</v>
      </c>
    </row>
    <row r="236" spans="2:11" s="1" customFormat="1" ht="13.5" customHeight="1">
      <c r="B236" s="5"/>
      <c r="C236" s="8" t="s">
        <v>6</v>
      </c>
      <c r="D236" s="176" t="s">
        <v>785</v>
      </c>
      <c r="E236" s="102"/>
      <c r="F236" s="102"/>
      <c r="G236" s="102"/>
      <c r="H236" s="102"/>
      <c r="I236" s="102"/>
      <c r="J236" s="102"/>
      <c r="K236" s="177"/>
    </row>
    <row r="237" spans="2:11" s="1" customFormat="1">
      <c r="B237" s="5" t="str">
        <f>CONCATENATE(D237,E237,F237,G237,H237,I237,J237,K237)</f>
        <v>00000000</v>
      </c>
      <c r="C237" s="8" t="s">
        <v>123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</row>
    <row r="238" spans="2:11" s="1" customFormat="1">
      <c r="B238" s="5"/>
      <c r="C238" s="102"/>
      <c r="D238" s="102"/>
      <c r="E238" s="102"/>
      <c r="F238" s="102"/>
      <c r="G238" s="102"/>
      <c r="H238" s="102"/>
      <c r="I238" s="102"/>
      <c r="J238" s="102"/>
      <c r="K238" s="102"/>
    </row>
    <row r="239" spans="2:11" s="1" customFormat="1" ht="13.5">
      <c r="B239" s="3"/>
      <c r="C239" s="10" t="s">
        <v>6</v>
      </c>
      <c r="D239" s="143" t="s">
        <v>125</v>
      </c>
      <c r="E239" s="143"/>
      <c r="F239" s="10" t="s">
        <v>126</v>
      </c>
      <c r="G239" s="143" t="s">
        <v>127</v>
      </c>
      <c r="H239" s="143"/>
      <c r="I239" s="143"/>
      <c r="J239" s="143"/>
      <c r="K239" s="10" t="s">
        <v>123</v>
      </c>
    </row>
    <row r="240" spans="2:11" s="1" customFormat="1" ht="13.5">
      <c r="B240" s="3"/>
      <c r="C240" s="10" t="str">
        <f>D236</f>
        <v>TRIM_TEST_IOUT[7:0]</v>
      </c>
      <c r="D240" s="143" t="s">
        <v>786</v>
      </c>
      <c r="E240" s="143"/>
      <c r="F240" s="10" t="s">
        <v>721</v>
      </c>
      <c r="G240" s="143"/>
      <c r="H240" s="143"/>
      <c r="I240" s="143"/>
      <c r="J240" s="143"/>
      <c r="K240" s="10" t="s">
        <v>722</v>
      </c>
    </row>
    <row r="242" spans="2:11" s="1" customFormat="1" ht="12.75" customHeight="1">
      <c r="B242" s="5">
        <f>B234+1</f>
        <v>43</v>
      </c>
      <c r="C242" s="215" t="str">
        <f>"4.3."&amp;B242-31&amp;" Addr 0x"&amp;DEC2HEX(B242,8)&amp;" Trim configuration.Test Iout.H"</f>
        <v>4.3.12 Addr 0x0000002B Trim configuration.Test Iout.H</v>
      </c>
      <c r="D242" s="216"/>
      <c r="E242" s="216"/>
      <c r="F242" s="216"/>
      <c r="G242" s="216"/>
      <c r="H242" s="216"/>
      <c r="I242" s="216"/>
      <c r="J242" s="216"/>
      <c r="K242" s="217"/>
    </row>
    <row r="243" spans="2:11" s="1" customFormat="1">
      <c r="B243" s="5"/>
      <c r="C243" s="6" t="s">
        <v>120</v>
      </c>
      <c r="D243" s="7">
        <v>7</v>
      </c>
      <c r="E243" s="7">
        <v>6</v>
      </c>
      <c r="F243" s="7">
        <v>5</v>
      </c>
      <c r="G243" s="7">
        <v>4</v>
      </c>
      <c r="H243" s="7">
        <v>3</v>
      </c>
      <c r="I243" s="7">
        <v>2</v>
      </c>
      <c r="J243" s="7">
        <v>1</v>
      </c>
      <c r="K243" s="7">
        <v>0</v>
      </c>
    </row>
    <row r="244" spans="2:11" s="1" customFormat="1" ht="13.5" customHeight="1">
      <c r="B244" s="5"/>
      <c r="C244" s="8" t="s">
        <v>6</v>
      </c>
      <c r="D244" s="176" t="s">
        <v>787</v>
      </c>
      <c r="E244" s="102"/>
      <c r="F244" s="102"/>
      <c r="G244" s="102"/>
      <c r="H244" s="102"/>
      <c r="I244" s="102"/>
      <c r="J244" s="102"/>
      <c r="K244" s="177"/>
    </row>
    <row r="245" spans="2:11" s="1" customFormat="1">
      <c r="B245" s="5" t="str">
        <f>CONCATENATE(D245,E245,F245,G245,H245,I245,J245,K245)</f>
        <v>00000000</v>
      </c>
      <c r="C245" s="8" t="s">
        <v>123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</row>
    <row r="246" spans="2:11" s="1" customFormat="1">
      <c r="B246" s="5"/>
      <c r="C246" s="102"/>
      <c r="D246" s="102"/>
      <c r="E246" s="102"/>
      <c r="F246" s="102"/>
      <c r="G246" s="102"/>
      <c r="H246" s="102"/>
      <c r="I246" s="102"/>
      <c r="J246" s="102"/>
      <c r="K246" s="102"/>
    </row>
    <row r="247" spans="2:11" s="1" customFormat="1" ht="13.5">
      <c r="B247" s="3"/>
      <c r="C247" s="10" t="s">
        <v>6</v>
      </c>
      <c r="D247" s="143" t="s">
        <v>125</v>
      </c>
      <c r="E247" s="143"/>
      <c r="F247" s="10" t="s">
        <v>126</v>
      </c>
      <c r="G247" s="143" t="s">
        <v>127</v>
      </c>
      <c r="H247" s="143"/>
      <c r="I247" s="143"/>
      <c r="J247" s="143"/>
      <c r="K247" s="10" t="s">
        <v>123</v>
      </c>
    </row>
    <row r="248" spans="2:11" s="1" customFormat="1" ht="13.5" customHeight="1">
      <c r="B248" s="3"/>
      <c r="C248" s="10" t="str">
        <f>D244</f>
        <v>TRIM_TEST_IOUT[15:8]</v>
      </c>
      <c r="D248" s="143" t="s">
        <v>786</v>
      </c>
      <c r="E248" s="143"/>
      <c r="F248" s="10" t="s">
        <v>721</v>
      </c>
      <c r="G248" s="143"/>
      <c r="H248" s="143"/>
      <c r="I248" s="143"/>
      <c r="J248" s="143"/>
      <c r="K248" s="10" t="s">
        <v>722</v>
      </c>
    </row>
    <row r="250" spans="2:11" s="1" customFormat="1" ht="12.75" customHeight="1">
      <c r="B250" s="5">
        <f>B242+1</f>
        <v>44</v>
      </c>
      <c r="C250" s="215" t="str">
        <f>"4.3."&amp;B250-31&amp;" Addr 0x"&amp;DEC2HEX(B250,8)&amp;" Trim configuration.Test temperature.L"</f>
        <v>4.3.13 Addr 0x0000002C Trim configuration.Test temperature.L</v>
      </c>
      <c r="D250" s="216"/>
      <c r="E250" s="216"/>
      <c r="F250" s="216"/>
      <c r="G250" s="216"/>
      <c r="H250" s="216"/>
      <c r="I250" s="216"/>
      <c r="J250" s="216"/>
      <c r="K250" s="217"/>
    </row>
    <row r="251" spans="2:11" s="1" customFormat="1">
      <c r="B251" s="5"/>
      <c r="C251" s="6" t="s">
        <v>120</v>
      </c>
      <c r="D251" s="7">
        <v>7</v>
      </c>
      <c r="E251" s="7">
        <v>6</v>
      </c>
      <c r="F251" s="7">
        <v>5</v>
      </c>
      <c r="G251" s="7">
        <v>4</v>
      </c>
      <c r="H251" s="7">
        <v>3</v>
      </c>
      <c r="I251" s="7">
        <v>2</v>
      </c>
      <c r="J251" s="7">
        <v>1</v>
      </c>
      <c r="K251" s="7">
        <v>0</v>
      </c>
    </row>
    <row r="252" spans="2:11" s="1" customFormat="1" ht="13.5" customHeight="1">
      <c r="B252" s="5"/>
      <c r="C252" s="8" t="s">
        <v>6</v>
      </c>
      <c r="D252" s="176" t="s">
        <v>788</v>
      </c>
      <c r="E252" s="102"/>
      <c r="F252" s="102"/>
      <c r="G252" s="102"/>
      <c r="H252" s="102"/>
      <c r="I252" s="102"/>
      <c r="J252" s="102"/>
      <c r="K252" s="177"/>
    </row>
    <row r="253" spans="2:11" s="1" customFormat="1">
      <c r="B253" s="5" t="str">
        <f>CONCATENATE(D253,E253,F253,G253,H253,I253,J253,K253)</f>
        <v>00000000</v>
      </c>
      <c r="C253" s="8" t="s">
        <v>123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</row>
    <row r="254" spans="2:11" s="1" customFormat="1">
      <c r="B254" s="5"/>
      <c r="C254" s="102"/>
      <c r="D254" s="102"/>
      <c r="E254" s="102"/>
      <c r="F254" s="102"/>
      <c r="G254" s="102"/>
      <c r="H254" s="102"/>
      <c r="I254" s="102"/>
      <c r="J254" s="102"/>
      <c r="K254" s="102"/>
    </row>
    <row r="255" spans="2:11" s="1" customFormat="1" ht="13.5">
      <c r="B255" s="3"/>
      <c r="C255" s="10" t="s">
        <v>6</v>
      </c>
      <c r="D255" s="143" t="s">
        <v>125</v>
      </c>
      <c r="E255" s="143"/>
      <c r="F255" s="10" t="s">
        <v>126</v>
      </c>
      <c r="G255" s="143" t="s">
        <v>127</v>
      </c>
      <c r="H255" s="143"/>
      <c r="I255" s="143"/>
      <c r="J255" s="143"/>
      <c r="K255" s="10" t="s">
        <v>123</v>
      </c>
    </row>
    <row r="256" spans="2:11" s="1" customFormat="1" ht="13.5">
      <c r="B256" s="3"/>
      <c r="C256" s="10" t="str">
        <f>D252</f>
        <v>TRIM_TEST_TEMP[7:0]</v>
      </c>
      <c r="D256" s="143" t="s">
        <v>786</v>
      </c>
      <c r="E256" s="143"/>
      <c r="F256" s="10" t="s">
        <v>721</v>
      </c>
      <c r="G256" s="143"/>
      <c r="H256" s="143"/>
      <c r="I256" s="143"/>
      <c r="J256" s="143"/>
      <c r="K256" s="10" t="s">
        <v>722</v>
      </c>
    </row>
    <row r="258" spans="2:11" s="1" customFormat="1" ht="12.75" customHeight="1">
      <c r="B258" s="5">
        <f>B250+1</f>
        <v>45</v>
      </c>
      <c r="C258" s="215" t="str">
        <f>"4.3."&amp;B258-31&amp;" Addr 0x"&amp;DEC2HEX(B258,8)&amp;" Trim configuration.Test temperature.H"</f>
        <v>4.3.14 Addr 0x0000002D Trim configuration.Test temperature.H</v>
      </c>
      <c r="D258" s="216"/>
      <c r="E258" s="216"/>
      <c r="F258" s="216"/>
      <c r="G258" s="216"/>
      <c r="H258" s="216"/>
      <c r="I258" s="216"/>
      <c r="J258" s="216"/>
      <c r="K258" s="217"/>
    </row>
    <row r="259" spans="2:11" s="1" customFormat="1">
      <c r="B259" s="5"/>
      <c r="C259" s="6" t="s">
        <v>120</v>
      </c>
      <c r="D259" s="7">
        <v>7</v>
      </c>
      <c r="E259" s="7">
        <v>6</v>
      </c>
      <c r="F259" s="7">
        <v>5</v>
      </c>
      <c r="G259" s="7">
        <v>4</v>
      </c>
      <c r="H259" s="7">
        <v>3</v>
      </c>
      <c r="I259" s="7">
        <v>2</v>
      </c>
      <c r="J259" s="7">
        <v>1</v>
      </c>
      <c r="K259" s="7">
        <v>0</v>
      </c>
    </row>
    <row r="260" spans="2:11" s="1" customFormat="1" ht="13.5" customHeight="1">
      <c r="B260" s="5"/>
      <c r="C260" s="8" t="s">
        <v>6</v>
      </c>
      <c r="D260" s="176" t="s">
        <v>789</v>
      </c>
      <c r="E260" s="102"/>
      <c r="F260" s="102"/>
      <c r="G260" s="102"/>
      <c r="H260" s="102"/>
      <c r="I260" s="102"/>
      <c r="J260" s="102"/>
      <c r="K260" s="177"/>
    </row>
    <row r="261" spans="2:11" s="1" customFormat="1">
      <c r="B261" s="5" t="str">
        <f>CONCATENATE(D261,E261,F261,G261,H261,I261,J261,K261)</f>
        <v>00000000</v>
      </c>
      <c r="C261" s="8" t="s">
        <v>123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</row>
    <row r="262" spans="2:11" s="1" customFormat="1">
      <c r="B262" s="5"/>
      <c r="C262" s="102"/>
      <c r="D262" s="102"/>
      <c r="E262" s="102"/>
      <c r="F262" s="102"/>
      <c r="G262" s="102"/>
      <c r="H262" s="102"/>
      <c r="I262" s="102"/>
      <c r="J262" s="102"/>
      <c r="K262" s="102"/>
    </row>
    <row r="263" spans="2:11" s="1" customFormat="1" ht="13.5">
      <c r="B263" s="3"/>
      <c r="C263" s="10" t="s">
        <v>6</v>
      </c>
      <c r="D263" s="143" t="s">
        <v>125</v>
      </c>
      <c r="E263" s="143"/>
      <c r="F263" s="10" t="s">
        <v>126</v>
      </c>
      <c r="G263" s="143" t="s">
        <v>127</v>
      </c>
      <c r="H263" s="143"/>
      <c r="I263" s="143"/>
      <c r="J263" s="143"/>
      <c r="K263" s="10" t="s">
        <v>123</v>
      </c>
    </row>
    <row r="264" spans="2:11" s="1" customFormat="1" ht="13.5" customHeight="1">
      <c r="B264" s="3"/>
      <c r="C264" s="10" t="str">
        <f>D260</f>
        <v>TRIM_TEST_TEMP[15:8]</v>
      </c>
      <c r="D264" s="143" t="s">
        <v>786</v>
      </c>
      <c r="E264" s="143"/>
      <c r="F264" s="10" t="s">
        <v>721</v>
      </c>
      <c r="G264" s="143"/>
      <c r="H264" s="143"/>
      <c r="I264" s="143"/>
      <c r="J264" s="143"/>
      <c r="K264" s="10" t="s">
        <v>722</v>
      </c>
    </row>
    <row r="265" spans="2:11" s="1" customFormat="1" ht="13.5" customHeight="1">
      <c r="B265" s="3"/>
      <c r="C265" s="12"/>
      <c r="D265" s="12"/>
      <c r="E265" s="12"/>
      <c r="F265" s="12"/>
      <c r="G265" s="12"/>
      <c r="H265" s="12"/>
      <c r="I265" s="12"/>
      <c r="J265" s="12"/>
      <c r="K265" s="12"/>
    </row>
    <row r="266" spans="2:11" s="1" customFormat="1" ht="13.5" customHeight="1">
      <c r="B266" s="5">
        <f>B258+1</f>
        <v>46</v>
      </c>
      <c r="C266" s="215" t="str">
        <f>"4.3."&amp;B266-31&amp;" Addr 0x"&amp;DEC2HEX(B266,8)&amp;" Trim configuration.Test IoutCode.L"</f>
        <v>4.3.15 Addr 0x0000002E Trim configuration.Test IoutCode.L</v>
      </c>
      <c r="D266" s="216"/>
      <c r="E266" s="216"/>
      <c r="F266" s="216"/>
      <c r="G266" s="216"/>
      <c r="H266" s="216"/>
      <c r="I266" s="216"/>
      <c r="J266" s="216"/>
      <c r="K266" s="217"/>
    </row>
    <row r="267" spans="2:11" s="1" customFormat="1" ht="13.5" customHeight="1">
      <c r="B267" s="5"/>
      <c r="C267" s="6" t="s">
        <v>120</v>
      </c>
      <c r="D267" s="7">
        <v>7</v>
      </c>
      <c r="E267" s="7">
        <v>6</v>
      </c>
      <c r="F267" s="7">
        <v>5</v>
      </c>
      <c r="G267" s="7">
        <v>4</v>
      </c>
      <c r="H267" s="7">
        <v>3</v>
      </c>
      <c r="I267" s="7">
        <v>2</v>
      </c>
      <c r="J267" s="7">
        <v>1</v>
      </c>
      <c r="K267" s="7">
        <v>0</v>
      </c>
    </row>
    <row r="268" spans="2:11" s="1" customFormat="1" ht="13.5" customHeight="1">
      <c r="B268" s="5"/>
      <c r="C268" s="8" t="s">
        <v>6</v>
      </c>
      <c r="D268" s="176" t="s">
        <v>790</v>
      </c>
      <c r="E268" s="102"/>
      <c r="F268" s="102"/>
      <c r="G268" s="102"/>
      <c r="H268" s="102"/>
      <c r="I268" s="102"/>
      <c r="J268" s="102"/>
      <c r="K268" s="177"/>
    </row>
    <row r="269" spans="2:11" s="1" customFormat="1" ht="13.5" customHeight="1">
      <c r="B269" s="5" t="str">
        <f>CONCATENATE(D269,E269,F269,G269,H269,I269,J269,K269)</f>
        <v>00000000</v>
      </c>
      <c r="C269" s="8" t="s">
        <v>123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</row>
    <row r="270" spans="2:11" s="1" customFormat="1" ht="13.5" customHeight="1">
      <c r="B270" s="5"/>
      <c r="C270" s="102"/>
      <c r="D270" s="102"/>
      <c r="E270" s="102"/>
      <c r="F270" s="102"/>
      <c r="G270" s="102"/>
      <c r="H270" s="102"/>
      <c r="I270" s="102"/>
      <c r="J270" s="102"/>
      <c r="K270" s="102"/>
    </row>
    <row r="271" spans="2:11" s="1" customFormat="1" ht="13.5" customHeight="1">
      <c r="B271" s="3"/>
      <c r="C271" s="10" t="s">
        <v>6</v>
      </c>
      <c r="D271" s="143" t="s">
        <v>125</v>
      </c>
      <c r="E271" s="143"/>
      <c r="F271" s="10" t="s">
        <v>126</v>
      </c>
      <c r="G271" s="143" t="s">
        <v>127</v>
      </c>
      <c r="H271" s="143"/>
      <c r="I271" s="143"/>
      <c r="J271" s="143"/>
      <c r="K271" s="10" t="s">
        <v>123</v>
      </c>
    </row>
    <row r="272" spans="2:11" s="1" customFormat="1" ht="13.5" customHeight="1">
      <c r="B272" s="3"/>
      <c r="C272" s="10" t="str">
        <f>D268</f>
        <v>TRIM_TEST_IOUTCODE[7:0]</v>
      </c>
      <c r="D272" s="143" t="s">
        <v>791</v>
      </c>
      <c r="E272" s="143"/>
      <c r="F272" s="10" t="s">
        <v>721</v>
      </c>
      <c r="G272" s="143"/>
      <c r="H272" s="143"/>
      <c r="I272" s="143"/>
      <c r="J272" s="143"/>
      <c r="K272" s="10" t="s">
        <v>722</v>
      </c>
    </row>
    <row r="273" spans="2:11" s="1" customFormat="1" ht="13.5" customHeight="1">
      <c r="B273" s="3"/>
      <c r="C273" s="12"/>
      <c r="D273" s="12"/>
      <c r="E273" s="12"/>
      <c r="F273" s="12"/>
      <c r="G273" s="12"/>
      <c r="H273" s="12"/>
      <c r="I273" s="12"/>
      <c r="J273" s="12"/>
      <c r="K273" s="12"/>
    </row>
    <row r="274" spans="2:11" s="1" customFormat="1" ht="13.5" customHeight="1">
      <c r="B274" s="5">
        <f>B266+1</f>
        <v>47</v>
      </c>
      <c r="C274" s="215" t="str">
        <f>"4.3."&amp;B274-31&amp;" Addr 0x"&amp;DEC2HEX(B274,8)&amp;" Trim configuration.Test IoutCode.H"</f>
        <v>4.3.16 Addr 0x0000002F Trim configuration.Test IoutCode.H</v>
      </c>
      <c r="D274" s="216"/>
      <c r="E274" s="216"/>
      <c r="F274" s="216"/>
      <c r="G274" s="216"/>
      <c r="H274" s="216"/>
      <c r="I274" s="216"/>
      <c r="J274" s="216"/>
      <c r="K274" s="217"/>
    </row>
    <row r="275" spans="2:11" s="1" customFormat="1" ht="13.5" customHeight="1">
      <c r="B275" s="5"/>
      <c r="C275" s="6" t="s">
        <v>120</v>
      </c>
      <c r="D275" s="7">
        <v>7</v>
      </c>
      <c r="E275" s="7">
        <v>6</v>
      </c>
      <c r="F275" s="7">
        <v>5</v>
      </c>
      <c r="G275" s="7">
        <v>4</v>
      </c>
      <c r="H275" s="7">
        <v>3</v>
      </c>
      <c r="I275" s="7">
        <v>2</v>
      </c>
      <c r="J275" s="7">
        <v>1</v>
      </c>
      <c r="K275" s="7">
        <v>0</v>
      </c>
    </row>
    <row r="276" spans="2:11" s="1" customFormat="1" ht="13.5" customHeight="1">
      <c r="B276" s="5"/>
      <c r="C276" s="8" t="s">
        <v>6</v>
      </c>
      <c r="D276" s="176" t="s">
        <v>792</v>
      </c>
      <c r="E276" s="102"/>
      <c r="F276" s="102"/>
      <c r="G276" s="102"/>
      <c r="H276" s="102"/>
      <c r="I276" s="102"/>
      <c r="J276" s="102"/>
      <c r="K276" s="177"/>
    </row>
    <row r="277" spans="2:11" s="1" customFormat="1" ht="13.5" customHeight="1">
      <c r="B277" s="5" t="str">
        <f>CONCATENATE(D277,E277,F277,G277,H277,I277,J277,K277)</f>
        <v>00000000</v>
      </c>
      <c r="C277" s="8" t="s">
        <v>123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</row>
    <row r="278" spans="2:11" s="1" customFormat="1" ht="13.5" customHeight="1">
      <c r="B278" s="5"/>
      <c r="C278" s="102"/>
      <c r="D278" s="102"/>
      <c r="E278" s="102"/>
      <c r="F278" s="102"/>
      <c r="G278" s="102"/>
      <c r="H278" s="102"/>
      <c r="I278" s="102"/>
      <c r="J278" s="102"/>
      <c r="K278" s="102"/>
    </row>
    <row r="279" spans="2:11" s="1" customFormat="1" ht="13.5" customHeight="1">
      <c r="B279" s="3"/>
      <c r="C279" s="10" t="s">
        <v>6</v>
      </c>
      <c r="D279" s="143" t="s">
        <v>125</v>
      </c>
      <c r="E279" s="143"/>
      <c r="F279" s="10" t="s">
        <v>126</v>
      </c>
      <c r="G279" s="143" t="s">
        <v>127</v>
      </c>
      <c r="H279" s="143"/>
      <c r="I279" s="143"/>
      <c r="J279" s="143"/>
      <c r="K279" s="10" t="s">
        <v>123</v>
      </c>
    </row>
    <row r="280" spans="2:11" s="1" customFormat="1" ht="13.5" customHeight="1">
      <c r="B280" s="3"/>
      <c r="C280" s="10" t="str">
        <f>D276</f>
        <v>TRIM_TEST_IOUTCODE[15:8]</v>
      </c>
      <c r="D280" s="143" t="s">
        <v>791</v>
      </c>
      <c r="E280" s="143"/>
      <c r="F280" s="10" t="s">
        <v>721</v>
      </c>
      <c r="G280" s="143"/>
      <c r="H280" s="143"/>
      <c r="I280" s="143"/>
      <c r="J280" s="143"/>
      <c r="K280" s="10" t="s">
        <v>722</v>
      </c>
    </row>
    <row r="281" spans="2:11" s="1" customFormat="1" ht="13.5" customHeight="1">
      <c r="B281" s="3"/>
      <c r="C281" s="12"/>
      <c r="D281" s="12"/>
      <c r="E281" s="12"/>
      <c r="F281" s="12"/>
      <c r="G281" s="12"/>
      <c r="H281" s="12"/>
      <c r="I281" s="12"/>
      <c r="J281" s="12"/>
      <c r="K281" s="12"/>
    </row>
    <row r="282" spans="2:11" s="1" customFormat="1" ht="12.75" customHeight="1">
      <c r="B282" s="5">
        <v>52</v>
      </c>
      <c r="C282" s="218" t="str">
        <f>"4.4."&amp;B282-51&amp;" Addr 0x"&amp;DEC2HEX(B282,8)&amp;" Status.1 (ReadOnly)"</f>
        <v>4.4.1 Addr 0x00000034 Status.1 (ReadOnly)</v>
      </c>
      <c r="D282" s="219"/>
      <c r="E282" s="219"/>
      <c r="F282" s="219"/>
      <c r="G282" s="219"/>
      <c r="H282" s="219"/>
      <c r="I282" s="219"/>
      <c r="J282" s="219"/>
      <c r="K282" s="220"/>
    </row>
    <row r="283" spans="2:11" s="1" customFormat="1">
      <c r="B283" s="5"/>
      <c r="C283" s="6" t="s">
        <v>120</v>
      </c>
      <c r="D283" s="7">
        <v>7</v>
      </c>
      <c r="E283" s="7">
        <v>6</v>
      </c>
      <c r="F283" s="7">
        <v>5</v>
      </c>
      <c r="G283" s="7">
        <v>4</v>
      </c>
      <c r="H283" s="7">
        <v>3</v>
      </c>
      <c r="I283" s="7">
        <v>2</v>
      </c>
      <c r="J283" s="7">
        <v>1</v>
      </c>
      <c r="K283" s="7">
        <v>0</v>
      </c>
    </row>
    <row r="284" spans="2:11" s="1" customFormat="1" ht="25.5" customHeight="1">
      <c r="B284" s="5"/>
      <c r="C284" s="8" t="s">
        <v>6</v>
      </c>
      <c r="D284" s="9" t="s">
        <v>793</v>
      </c>
      <c r="E284" s="9" t="s">
        <v>121</v>
      </c>
      <c r="F284" s="9" t="s">
        <v>121</v>
      </c>
      <c r="G284" s="9" t="s">
        <v>121</v>
      </c>
      <c r="H284" s="9" t="s">
        <v>121</v>
      </c>
      <c r="I284" s="9" t="s">
        <v>794</v>
      </c>
      <c r="J284" s="9" t="s">
        <v>795</v>
      </c>
      <c r="K284" s="9" t="s">
        <v>796</v>
      </c>
    </row>
    <row r="285" spans="2:11" s="1" customFormat="1">
      <c r="B285" s="5" t="str">
        <f>CONCATENATE(D285,E285,F285,G285,H285,I285,J285,K285)</f>
        <v>00000000</v>
      </c>
      <c r="C285" s="8" t="s">
        <v>123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</row>
    <row r="286" spans="2:11" s="1" customFormat="1">
      <c r="B286" s="5"/>
      <c r="C286" s="102"/>
      <c r="D286" s="102"/>
      <c r="E286" s="102"/>
      <c r="F286" s="102"/>
      <c r="G286" s="102"/>
      <c r="H286" s="102"/>
      <c r="I286" s="102"/>
      <c r="J286" s="102"/>
      <c r="K286" s="102"/>
    </row>
    <row r="287" spans="2:11" s="1" customFormat="1" ht="13.5">
      <c r="B287" s="3"/>
      <c r="C287" s="10" t="s">
        <v>6</v>
      </c>
      <c r="D287" s="143" t="s">
        <v>125</v>
      </c>
      <c r="E287" s="143"/>
      <c r="F287" s="10" t="s">
        <v>126</v>
      </c>
      <c r="G287" s="143" t="s">
        <v>127</v>
      </c>
      <c r="H287" s="143"/>
      <c r="I287" s="143"/>
      <c r="J287" s="143"/>
      <c r="K287" s="10" t="s">
        <v>123</v>
      </c>
    </row>
    <row r="288" spans="2:11" s="1" customFormat="1" ht="13.5">
      <c r="B288" s="3"/>
      <c r="C288" s="10" t="str">
        <f>D284</f>
        <v>VOUT_STATUS</v>
      </c>
      <c r="D288" s="143" t="s">
        <v>797</v>
      </c>
      <c r="E288" s="143"/>
      <c r="F288" s="10" t="s">
        <v>721</v>
      </c>
      <c r="G288" s="143" t="s">
        <v>798</v>
      </c>
      <c r="H288" s="143"/>
      <c r="I288" s="143"/>
      <c r="J288" s="143"/>
      <c r="K288" s="10" t="s">
        <v>262</v>
      </c>
    </row>
    <row r="289" spans="2:11" s="1" customFormat="1" ht="39" customHeight="1">
      <c r="B289" s="3"/>
      <c r="C289" s="10" t="str">
        <f>I284</f>
        <v>OVER_TEMPERATURE_STATUS</v>
      </c>
      <c r="D289" s="143" t="s">
        <v>799</v>
      </c>
      <c r="E289" s="143"/>
      <c r="F289" s="10" t="s">
        <v>721</v>
      </c>
      <c r="G289" s="143" t="s">
        <v>800</v>
      </c>
      <c r="H289" s="143"/>
      <c r="I289" s="143"/>
      <c r="J289" s="143"/>
      <c r="K289" s="10" t="s">
        <v>262</v>
      </c>
    </row>
    <row r="290" spans="2:11" s="1" customFormat="1" ht="24.75" customHeight="1">
      <c r="B290" s="3"/>
      <c r="C290" s="10" t="str">
        <f>J284</f>
        <v>OVER_VOLTAGE_STATUS</v>
      </c>
      <c r="D290" s="143" t="s">
        <v>801</v>
      </c>
      <c r="E290" s="143"/>
      <c r="F290" s="10" t="s">
        <v>721</v>
      </c>
      <c r="G290" s="143" t="s">
        <v>802</v>
      </c>
      <c r="H290" s="143"/>
      <c r="I290" s="143"/>
      <c r="J290" s="143"/>
      <c r="K290" s="10" t="s">
        <v>262</v>
      </c>
    </row>
    <row r="291" spans="2:11" s="1" customFormat="1" ht="25.5" customHeight="1">
      <c r="B291" s="3"/>
      <c r="C291" s="10" t="str">
        <f>K284</f>
        <v>OVER_CURRENT_STATUS</v>
      </c>
      <c r="D291" s="143" t="s">
        <v>803</v>
      </c>
      <c r="E291" s="143"/>
      <c r="F291" s="10" t="s">
        <v>721</v>
      </c>
      <c r="G291" s="143" t="s">
        <v>804</v>
      </c>
      <c r="H291" s="143"/>
      <c r="I291" s="143"/>
      <c r="J291" s="143"/>
      <c r="K291" s="10" t="s">
        <v>262</v>
      </c>
    </row>
    <row r="293" spans="2:11" s="1" customFormat="1" ht="12.75" customHeight="1">
      <c r="B293" s="5">
        <f>B282+2</f>
        <v>54</v>
      </c>
      <c r="C293" s="218" t="str">
        <f>"4.4."&amp;B293-51&amp;" Addr 0x"&amp;DEC2HEX(B293,8)&amp;" Status.2 (ReadOnly)"</f>
        <v>4.4.3 Addr 0x00000036 Status.2 (ReadOnly)</v>
      </c>
      <c r="D293" s="219"/>
      <c r="E293" s="219"/>
      <c r="F293" s="219"/>
      <c r="G293" s="219"/>
      <c r="H293" s="219"/>
      <c r="I293" s="219"/>
      <c r="J293" s="219"/>
      <c r="K293" s="220"/>
    </row>
    <row r="294" spans="2:11" s="1" customFormat="1">
      <c r="B294" s="5"/>
      <c r="C294" s="6" t="s">
        <v>120</v>
      </c>
      <c r="D294" s="7">
        <v>7</v>
      </c>
      <c r="E294" s="7">
        <v>6</v>
      </c>
      <c r="F294" s="7">
        <v>5</v>
      </c>
      <c r="G294" s="7">
        <v>4</v>
      </c>
      <c r="H294" s="7">
        <v>3</v>
      </c>
      <c r="I294" s="7">
        <v>2</v>
      </c>
      <c r="J294" s="7">
        <v>1</v>
      </c>
      <c r="K294" s="7">
        <v>0</v>
      </c>
    </row>
    <row r="295" spans="2:11" s="1" customFormat="1" ht="25.5" customHeight="1">
      <c r="B295" s="5"/>
      <c r="C295" s="8" t="s">
        <v>6</v>
      </c>
      <c r="D295" s="9" t="s">
        <v>805</v>
      </c>
      <c r="E295" s="9" t="s">
        <v>121</v>
      </c>
      <c r="F295" s="9" t="s">
        <v>121</v>
      </c>
      <c r="G295" s="9" t="s">
        <v>121</v>
      </c>
      <c r="H295" s="9" t="s">
        <v>121</v>
      </c>
      <c r="I295" s="9" t="s">
        <v>806</v>
      </c>
      <c r="J295" s="9" t="s">
        <v>807</v>
      </c>
      <c r="K295" s="9" t="s">
        <v>808</v>
      </c>
    </row>
    <row r="296" spans="2:11" s="1" customFormat="1">
      <c r="B296" s="5" t="str">
        <f>CONCATENATE(D296,E296,F296,G296,H296,I296,J296,K296)</f>
        <v>00000000</v>
      </c>
      <c r="C296" s="8" t="s">
        <v>123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</row>
    <row r="297" spans="2:11" s="1" customFormat="1">
      <c r="B297" s="5"/>
      <c r="C297" s="102"/>
      <c r="D297" s="102"/>
      <c r="E297" s="102"/>
      <c r="F297" s="102"/>
      <c r="G297" s="102"/>
      <c r="H297" s="102"/>
      <c r="I297" s="102"/>
      <c r="J297" s="102"/>
      <c r="K297" s="102"/>
    </row>
    <row r="298" spans="2:11" s="1" customFormat="1" ht="13.5">
      <c r="B298" s="3"/>
      <c r="C298" s="10" t="s">
        <v>6</v>
      </c>
      <c r="D298" s="143" t="s">
        <v>125</v>
      </c>
      <c r="E298" s="143"/>
      <c r="F298" s="10" t="s">
        <v>126</v>
      </c>
      <c r="G298" s="143" t="s">
        <v>127</v>
      </c>
      <c r="H298" s="143"/>
      <c r="I298" s="143"/>
      <c r="J298" s="143"/>
      <c r="K298" s="10" t="s">
        <v>123</v>
      </c>
    </row>
    <row r="299" spans="2:11" s="1" customFormat="1" ht="13.5">
      <c r="B299" s="3"/>
      <c r="C299" s="10" t="str">
        <f>D295</f>
        <v>VOUT_INTR_STATUS</v>
      </c>
      <c r="D299" s="144" t="s">
        <v>809</v>
      </c>
      <c r="E299" s="144"/>
      <c r="F299" s="10" t="s">
        <v>721</v>
      </c>
      <c r="G299" s="143" t="s">
        <v>798</v>
      </c>
      <c r="H299" s="143"/>
      <c r="I299" s="143"/>
      <c r="J299" s="143"/>
      <c r="K299" s="10" t="s">
        <v>262</v>
      </c>
    </row>
    <row r="300" spans="2:11" s="1" customFormat="1" ht="39" customHeight="1">
      <c r="B300" s="3"/>
      <c r="C300" s="10" t="str">
        <f>I295</f>
        <v>OVER_TEMPERATURE_INTR_STATUS</v>
      </c>
      <c r="D300" s="144" t="s">
        <v>810</v>
      </c>
      <c r="E300" s="144"/>
      <c r="F300" s="10" t="s">
        <v>721</v>
      </c>
      <c r="G300" s="143" t="s">
        <v>800</v>
      </c>
      <c r="H300" s="143"/>
      <c r="I300" s="143"/>
      <c r="J300" s="143"/>
      <c r="K300" s="10" t="s">
        <v>262</v>
      </c>
    </row>
    <row r="301" spans="2:11" s="1" customFormat="1" ht="24.75" customHeight="1">
      <c r="B301" s="3"/>
      <c r="C301" s="10" t="str">
        <f>J295</f>
        <v>OVER_VOLTAGE_INTR_STATUS</v>
      </c>
      <c r="D301" s="144" t="s">
        <v>811</v>
      </c>
      <c r="E301" s="144"/>
      <c r="F301" s="10" t="s">
        <v>721</v>
      </c>
      <c r="G301" s="143" t="s">
        <v>802</v>
      </c>
      <c r="H301" s="143"/>
      <c r="I301" s="143"/>
      <c r="J301" s="143"/>
      <c r="K301" s="10" t="s">
        <v>262</v>
      </c>
    </row>
    <row r="302" spans="2:11" s="1" customFormat="1" ht="25.5" customHeight="1">
      <c r="B302" s="3"/>
      <c r="C302" s="10" t="str">
        <f>K295</f>
        <v>OVER_CURRENT_INTR_STATUS</v>
      </c>
      <c r="D302" s="144" t="s">
        <v>812</v>
      </c>
      <c r="E302" s="144"/>
      <c r="F302" s="10" t="s">
        <v>721</v>
      </c>
      <c r="G302" s="143" t="s">
        <v>804</v>
      </c>
      <c r="H302" s="143"/>
      <c r="I302" s="143"/>
      <c r="J302" s="143"/>
      <c r="K302" s="10" t="s">
        <v>262</v>
      </c>
    </row>
    <row r="304" spans="2:11" s="1" customFormat="1" ht="12.75" customHeight="1">
      <c r="B304" s="5">
        <f>B293+2</f>
        <v>56</v>
      </c>
      <c r="C304" s="218" t="str">
        <f>"4.4."&amp;B304-51&amp;" Addr 0x"&amp;DEC2HEX(B304,8)&amp;" Status.3"</f>
        <v>4.4.5 Addr 0x00000038 Status.3</v>
      </c>
      <c r="D304" s="219"/>
      <c r="E304" s="219"/>
      <c r="F304" s="219"/>
      <c r="G304" s="219"/>
      <c r="H304" s="219"/>
      <c r="I304" s="219"/>
      <c r="J304" s="219"/>
      <c r="K304" s="220"/>
    </row>
    <row r="305" spans="2:11" s="1" customFormat="1">
      <c r="B305" s="5"/>
      <c r="C305" s="6" t="s">
        <v>120</v>
      </c>
      <c r="D305" s="7">
        <v>7</v>
      </c>
      <c r="E305" s="7">
        <v>6</v>
      </c>
      <c r="F305" s="7">
        <v>5</v>
      </c>
      <c r="G305" s="7">
        <v>4</v>
      </c>
      <c r="H305" s="7">
        <v>3</v>
      </c>
      <c r="I305" s="7">
        <v>2</v>
      </c>
      <c r="J305" s="7">
        <v>1</v>
      </c>
      <c r="K305" s="7">
        <v>0</v>
      </c>
    </row>
    <row r="306" spans="2:11" s="1" customFormat="1" ht="25.5" customHeight="1">
      <c r="B306" s="5"/>
      <c r="C306" s="8" t="s">
        <v>6</v>
      </c>
      <c r="D306" s="9" t="s">
        <v>813</v>
      </c>
      <c r="E306" s="9" t="s">
        <v>121</v>
      </c>
      <c r="F306" s="9" t="s">
        <v>121</v>
      </c>
      <c r="G306" s="9" t="s">
        <v>121</v>
      </c>
      <c r="H306" s="9" t="s">
        <v>121</v>
      </c>
      <c r="I306" s="9" t="s">
        <v>814</v>
      </c>
      <c r="J306" s="9" t="s">
        <v>815</v>
      </c>
      <c r="K306" s="9" t="s">
        <v>816</v>
      </c>
    </row>
    <row r="307" spans="2:11" s="1" customFormat="1">
      <c r="B307" s="5" t="str">
        <f>CONCATENATE(D307,E307,F307,G307,H307,I307,J307,K307)</f>
        <v>00000000</v>
      </c>
      <c r="C307" s="8" t="s">
        <v>123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</row>
    <row r="308" spans="2:11" s="1" customFormat="1">
      <c r="B308" s="5"/>
      <c r="C308" s="102"/>
      <c r="D308" s="102"/>
      <c r="E308" s="102"/>
      <c r="F308" s="102"/>
      <c r="G308" s="102"/>
      <c r="H308" s="102"/>
      <c r="I308" s="102"/>
      <c r="J308" s="102"/>
      <c r="K308" s="102"/>
    </row>
    <row r="309" spans="2:11" s="1" customFormat="1" ht="13.5">
      <c r="B309" s="3"/>
      <c r="C309" s="10" t="s">
        <v>6</v>
      </c>
      <c r="D309" s="143" t="s">
        <v>125</v>
      </c>
      <c r="E309" s="143"/>
      <c r="F309" s="10" t="s">
        <v>126</v>
      </c>
      <c r="G309" s="143" t="s">
        <v>127</v>
      </c>
      <c r="H309" s="143"/>
      <c r="I309" s="143"/>
      <c r="J309" s="143"/>
      <c r="K309" s="10" t="s">
        <v>123</v>
      </c>
    </row>
    <row r="310" spans="2:11" s="1" customFormat="1" ht="27" customHeight="1">
      <c r="B310" s="3"/>
      <c r="C310" s="10" t="str">
        <f>D306</f>
        <v>VOUT_INTR_EN</v>
      </c>
      <c r="D310" s="144" t="s">
        <v>817</v>
      </c>
      <c r="E310" s="144"/>
      <c r="F310" s="10" t="s">
        <v>721</v>
      </c>
      <c r="G310" s="143" t="s">
        <v>818</v>
      </c>
      <c r="H310" s="143"/>
      <c r="I310" s="143"/>
      <c r="J310" s="143"/>
      <c r="K310" s="10" t="s">
        <v>262</v>
      </c>
    </row>
    <row r="311" spans="2:11" s="1" customFormat="1" ht="28.5" customHeight="1">
      <c r="B311" s="3"/>
      <c r="C311" s="10" t="str">
        <f>I306</f>
        <v>OVER_TEMPERATURE_INTR_EN</v>
      </c>
      <c r="D311" s="144" t="s">
        <v>819</v>
      </c>
      <c r="E311" s="144"/>
      <c r="F311" s="10" t="s">
        <v>721</v>
      </c>
      <c r="G311" s="143" t="s">
        <v>820</v>
      </c>
      <c r="H311" s="143"/>
      <c r="I311" s="143"/>
      <c r="J311" s="143"/>
      <c r="K311" s="10" t="s">
        <v>262</v>
      </c>
    </row>
    <row r="312" spans="2:11" s="1" customFormat="1" ht="24.75" customHeight="1">
      <c r="B312" s="3"/>
      <c r="C312" s="10" t="str">
        <f>J306</f>
        <v>OVER_VOLTAGE_INTR_EN</v>
      </c>
      <c r="D312" s="144" t="s">
        <v>821</v>
      </c>
      <c r="E312" s="144"/>
      <c r="F312" s="10" t="s">
        <v>721</v>
      </c>
      <c r="G312" s="143" t="s">
        <v>822</v>
      </c>
      <c r="H312" s="143"/>
      <c r="I312" s="143"/>
      <c r="J312" s="143"/>
      <c r="K312" s="10" t="s">
        <v>262</v>
      </c>
    </row>
    <row r="313" spans="2:11" s="1" customFormat="1" ht="25.5" customHeight="1">
      <c r="B313" s="3"/>
      <c r="C313" s="10" t="str">
        <f>K306</f>
        <v>OVER_CURRENT_INTR_EN</v>
      </c>
      <c r="D313" s="144" t="s">
        <v>823</v>
      </c>
      <c r="E313" s="144"/>
      <c r="F313" s="10" t="s">
        <v>721</v>
      </c>
      <c r="G313" s="143" t="s">
        <v>824</v>
      </c>
      <c r="H313" s="143"/>
      <c r="I313" s="143"/>
      <c r="J313" s="143"/>
      <c r="K313" s="10" t="s">
        <v>262</v>
      </c>
    </row>
    <row r="315" spans="2:11" s="1" customFormat="1" ht="12.75" customHeight="1">
      <c r="B315" s="5"/>
      <c r="C315" s="119" t="s">
        <v>825</v>
      </c>
      <c r="D315" s="120"/>
      <c r="E315" s="120"/>
      <c r="F315" s="120"/>
      <c r="G315" s="120"/>
      <c r="H315" s="120"/>
      <c r="I315" s="120"/>
      <c r="J315" s="120"/>
      <c r="K315" s="121"/>
    </row>
    <row r="316" spans="2:11" s="1" customFormat="1">
      <c r="B316" s="5"/>
      <c r="C316" s="6" t="s">
        <v>120</v>
      </c>
      <c r="D316" s="7">
        <v>7</v>
      </c>
      <c r="E316" s="7">
        <v>6</v>
      </c>
      <c r="F316" s="7">
        <v>5</v>
      </c>
      <c r="G316" s="7">
        <v>4</v>
      </c>
      <c r="H316" s="7">
        <v>3</v>
      </c>
      <c r="I316" s="7">
        <v>2</v>
      </c>
      <c r="J316" s="7">
        <v>1</v>
      </c>
      <c r="K316" s="7">
        <v>0</v>
      </c>
    </row>
    <row r="317" spans="2:11" s="1" customFormat="1" ht="13.5" customHeight="1">
      <c r="B317" s="5"/>
      <c r="C317" s="8" t="s">
        <v>6</v>
      </c>
      <c r="D317" s="176" t="s">
        <v>826</v>
      </c>
      <c r="E317" s="102"/>
      <c r="F317" s="102"/>
      <c r="G317" s="102"/>
      <c r="H317" s="102"/>
      <c r="I317" s="102"/>
      <c r="J317" s="102"/>
      <c r="K317" s="177"/>
    </row>
    <row r="318" spans="2:11" s="1" customFormat="1">
      <c r="B318" s="5" t="str">
        <f>CONCATENATE(D318,E318,F318,G318,H318,I318,J318,K318)</f>
        <v>00000000</v>
      </c>
      <c r="C318" s="8" t="s">
        <v>123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</row>
    <row r="319" spans="2:11" s="1" customFormat="1">
      <c r="B319" s="5"/>
      <c r="C319" s="102"/>
      <c r="D319" s="102"/>
      <c r="E319" s="102"/>
      <c r="F319" s="102"/>
      <c r="G319" s="102"/>
      <c r="H319" s="102"/>
      <c r="I319" s="102"/>
      <c r="J319" s="102"/>
      <c r="K319" s="102"/>
    </row>
    <row r="320" spans="2:11" s="1" customFormat="1" ht="13.5">
      <c r="B320" s="3"/>
      <c r="C320" s="10" t="s">
        <v>6</v>
      </c>
      <c r="D320" s="143" t="s">
        <v>125</v>
      </c>
      <c r="E320" s="143"/>
      <c r="F320" s="10" t="s">
        <v>126</v>
      </c>
      <c r="G320" s="143" t="s">
        <v>127</v>
      </c>
      <c r="H320" s="143"/>
      <c r="I320" s="143"/>
      <c r="J320" s="143"/>
      <c r="K320" s="10" t="s">
        <v>123</v>
      </c>
    </row>
    <row r="321" spans="2:11" s="1" customFormat="1" ht="27">
      <c r="B321" s="3"/>
      <c r="C321" s="10" t="str">
        <f>D317</f>
        <v>CHARGE_STATUS_VALUE[7:0]</v>
      </c>
      <c r="D321" s="143" t="s">
        <v>827</v>
      </c>
      <c r="E321" s="143"/>
      <c r="F321" s="10" t="s">
        <v>721</v>
      </c>
      <c r="G321" s="143" t="s">
        <v>828</v>
      </c>
      <c r="H321" s="143"/>
      <c r="I321" s="143"/>
      <c r="J321" s="143"/>
      <c r="K321" s="10" t="s">
        <v>722</v>
      </c>
    </row>
    <row r="323" spans="2:11" s="1" customFormat="1" ht="12.75" customHeight="1">
      <c r="B323" s="5"/>
      <c r="C323" s="119" t="s">
        <v>829</v>
      </c>
      <c r="D323" s="120"/>
      <c r="E323" s="120"/>
      <c r="F323" s="120"/>
      <c r="G323" s="120"/>
      <c r="H323" s="120"/>
      <c r="I323" s="120"/>
      <c r="J323" s="120"/>
      <c r="K323" s="121"/>
    </row>
    <row r="324" spans="2:11" s="1" customFormat="1">
      <c r="B324" s="5"/>
      <c r="C324" s="6" t="s">
        <v>120</v>
      </c>
      <c r="D324" s="7">
        <v>7</v>
      </c>
      <c r="E324" s="7">
        <v>6</v>
      </c>
      <c r="F324" s="7">
        <v>5</v>
      </c>
      <c r="G324" s="7">
        <v>4</v>
      </c>
      <c r="H324" s="7">
        <v>3</v>
      </c>
      <c r="I324" s="7">
        <v>2</v>
      </c>
      <c r="J324" s="7">
        <v>1</v>
      </c>
      <c r="K324" s="7">
        <v>0</v>
      </c>
    </row>
    <row r="325" spans="2:11" s="1" customFormat="1" ht="13.5" customHeight="1">
      <c r="B325" s="5"/>
      <c r="C325" s="8" t="s">
        <v>6</v>
      </c>
      <c r="D325" s="176" t="s">
        <v>830</v>
      </c>
      <c r="E325" s="102"/>
      <c r="F325" s="102"/>
      <c r="G325" s="102"/>
      <c r="H325" s="102"/>
      <c r="I325" s="102"/>
      <c r="J325" s="102"/>
      <c r="K325" s="177"/>
    </row>
    <row r="326" spans="2:11" s="1" customFormat="1">
      <c r="B326" s="5" t="str">
        <f>CONCATENATE(D326,E326,F326,G326,H326,I326,J326,K326)</f>
        <v>00000000</v>
      </c>
      <c r="C326" s="8" t="s">
        <v>123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</row>
    <row r="327" spans="2:11" s="1" customFormat="1">
      <c r="B327" s="5"/>
      <c r="C327" s="102"/>
      <c r="D327" s="102"/>
      <c r="E327" s="102"/>
      <c r="F327" s="102"/>
      <c r="G327" s="102"/>
      <c r="H327" s="102"/>
      <c r="I327" s="102"/>
      <c r="J327" s="102"/>
      <c r="K327" s="102"/>
    </row>
    <row r="328" spans="2:11" s="1" customFormat="1" ht="13.5">
      <c r="B328" s="3"/>
      <c r="C328" s="10" t="s">
        <v>6</v>
      </c>
      <c r="D328" s="143" t="s">
        <v>125</v>
      </c>
      <c r="E328" s="143"/>
      <c r="F328" s="10" t="s">
        <v>126</v>
      </c>
      <c r="G328" s="143" t="s">
        <v>127</v>
      </c>
      <c r="H328" s="143"/>
      <c r="I328" s="143"/>
      <c r="J328" s="143"/>
      <c r="K328" s="10" t="s">
        <v>123</v>
      </c>
    </row>
    <row r="329" spans="2:11" s="1" customFormat="1" ht="27">
      <c r="B329" s="3"/>
      <c r="C329" s="10" t="str">
        <f>D325</f>
        <v>END_POWER_TRANSFER_VALUE[7:0]</v>
      </c>
      <c r="D329" s="143" t="s">
        <v>831</v>
      </c>
      <c r="E329" s="143"/>
      <c r="F329" s="10" t="s">
        <v>721</v>
      </c>
      <c r="G329" s="143" t="s">
        <v>832</v>
      </c>
      <c r="H329" s="143"/>
      <c r="I329" s="143"/>
      <c r="J329" s="143"/>
      <c r="K329" s="10" t="s">
        <v>722</v>
      </c>
    </row>
    <row r="331" spans="2:11" s="1" customFormat="1" ht="12.75" customHeight="1">
      <c r="B331" s="5">
        <v>60</v>
      </c>
      <c r="C331" s="221" t="str">
        <f>"4.6."&amp;B331-59&amp;" Addr 0x"&amp;DEC2HEX(B331,8)&amp;" Operation information.Vout.L"</f>
        <v>4.6.1 Addr 0x0000003C Operation information.Vout.L</v>
      </c>
      <c r="D331" s="222"/>
      <c r="E331" s="222"/>
      <c r="F331" s="222"/>
      <c r="G331" s="222"/>
      <c r="H331" s="222"/>
      <c r="I331" s="222"/>
      <c r="J331" s="222"/>
      <c r="K331" s="223"/>
    </row>
    <row r="332" spans="2:11" s="1" customFormat="1">
      <c r="B332" s="5"/>
      <c r="C332" s="6" t="s">
        <v>120</v>
      </c>
      <c r="D332" s="7">
        <v>7</v>
      </c>
      <c r="E332" s="7">
        <v>6</v>
      </c>
      <c r="F332" s="7">
        <v>5</v>
      </c>
      <c r="G332" s="7">
        <v>4</v>
      </c>
      <c r="H332" s="7">
        <v>3</v>
      </c>
      <c r="I332" s="7">
        <v>2</v>
      </c>
      <c r="J332" s="7">
        <v>1</v>
      </c>
      <c r="K332" s="7">
        <v>0</v>
      </c>
    </row>
    <row r="333" spans="2:11" s="1" customFormat="1" ht="13.5" customHeight="1">
      <c r="B333" s="5"/>
      <c r="C333" s="8" t="s">
        <v>6</v>
      </c>
      <c r="D333" s="176" t="s">
        <v>833</v>
      </c>
      <c r="E333" s="102"/>
      <c r="F333" s="102"/>
      <c r="G333" s="102"/>
      <c r="H333" s="102"/>
      <c r="I333" s="102"/>
      <c r="J333" s="102"/>
      <c r="K333" s="177"/>
    </row>
    <row r="334" spans="2:11" s="1" customFormat="1">
      <c r="B334" s="5" t="str">
        <f>CONCATENATE(D334,E334,F334,G334,H334,I334,J334,K334)</f>
        <v>00000000</v>
      </c>
      <c r="C334" s="8" t="s">
        <v>123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</row>
    <row r="335" spans="2:11" s="1" customFormat="1">
      <c r="B335" s="5"/>
      <c r="C335" s="102"/>
      <c r="D335" s="102"/>
      <c r="E335" s="102"/>
      <c r="F335" s="102"/>
      <c r="G335" s="102"/>
      <c r="H335" s="102"/>
      <c r="I335" s="102"/>
      <c r="J335" s="102"/>
      <c r="K335" s="102"/>
    </row>
    <row r="336" spans="2:11" s="1" customFormat="1" ht="13.5">
      <c r="B336" s="3"/>
      <c r="C336" s="10" t="s">
        <v>6</v>
      </c>
      <c r="D336" s="143" t="s">
        <v>125</v>
      </c>
      <c r="E336" s="143"/>
      <c r="F336" s="10" t="s">
        <v>126</v>
      </c>
      <c r="G336" s="143" t="s">
        <v>127</v>
      </c>
      <c r="H336" s="143"/>
      <c r="I336" s="143"/>
      <c r="J336" s="143"/>
      <c r="K336" s="10" t="s">
        <v>123</v>
      </c>
    </row>
    <row r="337" spans="2:11" s="1" customFormat="1" ht="13.5">
      <c r="B337" s="3"/>
      <c r="C337" s="10" t="str">
        <f>D333</f>
        <v>VOUT_VALUE[7:0]</v>
      </c>
      <c r="D337" s="143" t="s">
        <v>834</v>
      </c>
      <c r="E337" s="143"/>
      <c r="F337" s="10" t="s">
        <v>721</v>
      </c>
      <c r="G337" s="143" t="s">
        <v>835</v>
      </c>
      <c r="H337" s="143"/>
      <c r="I337" s="143"/>
      <c r="J337" s="143"/>
      <c r="K337" s="10" t="s">
        <v>722</v>
      </c>
    </row>
    <row r="339" spans="2:11" s="1" customFormat="1" ht="12.75" customHeight="1">
      <c r="B339" s="5">
        <f>B331+1</f>
        <v>61</v>
      </c>
      <c r="C339" s="221" t="str">
        <f>"4.6."&amp;B339-59&amp;" Addr 0x"&amp;DEC2HEX(B339,8)&amp;" Operation information.Vout.H"</f>
        <v>4.6.2 Addr 0x0000003D Operation information.Vout.H</v>
      </c>
      <c r="D339" s="222"/>
      <c r="E339" s="222"/>
      <c r="F339" s="222"/>
      <c r="G339" s="222"/>
      <c r="H339" s="222"/>
      <c r="I339" s="222"/>
      <c r="J339" s="222"/>
      <c r="K339" s="223"/>
    </row>
    <row r="340" spans="2:11" s="1" customFormat="1">
      <c r="B340" s="5"/>
      <c r="C340" s="6" t="s">
        <v>120</v>
      </c>
      <c r="D340" s="7">
        <v>7</v>
      </c>
      <c r="E340" s="7">
        <v>6</v>
      </c>
      <c r="F340" s="7">
        <v>5</v>
      </c>
      <c r="G340" s="7">
        <v>4</v>
      </c>
      <c r="H340" s="7">
        <v>3</v>
      </c>
      <c r="I340" s="7">
        <v>2</v>
      </c>
      <c r="J340" s="7">
        <v>1</v>
      </c>
      <c r="K340" s="7">
        <v>0</v>
      </c>
    </row>
    <row r="341" spans="2:11" s="1" customFormat="1" ht="13.5" customHeight="1">
      <c r="B341" s="5"/>
      <c r="C341" s="8" t="s">
        <v>6</v>
      </c>
      <c r="D341" s="176" t="s">
        <v>836</v>
      </c>
      <c r="E341" s="102"/>
      <c r="F341" s="102"/>
      <c r="G341" s="102"/>
      <c r="H341" s="102"/>
      <c r="I341" s="102"/>
      <c r="J341" s="102"/>
      <c r="K341" s="177"/>
    </row>
    <row r="342" spans="2:11" s="1" customFormat="1">
      <c r="B342" s="5" t="str">
        <f>CONCATENATE(D342,E342,F342,G342,H342,I342,J342,K342)</f>
        <v>00000000</v>
      </c>
      <c r="C342" s="8" t="s">
        <v>123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</row>
    <row r="343" spans="2:11" s="1" customFormat="1">
      <c r="B343" s="5"/>
      <c r="C343" s="102"/>
      <c r="D343" s="102"/>
      <c r="E343" s="102"/>
      <c r="F343" s="102"/>
      <c r="G343" s="102"/>
      <c r="H343" s="102"/>
      <c r="I343" s="102"/>
      <c r="J343" s="102"/>
      <c r="K343" s="102"/>
    </row>
    <row r="344" spans="2:11" s="1" customFormat="1" ht="13.5">
      <c r="B344" s="3"/>
      <c r="C344" s="10" t="s">
        <v>6</v>
      </c>
      <c r="D344" s="143" t="s">
        <v>125</v>
      </c>
      <c r="E344" s="143"/>
      <c r="F344" s="10" t="s">
        <v>126</v>
      </c>
      <c r="G344" s="143" t="s">
        <v>127</v>
      </c>
      <c r="H344" s="143"/>
      <c r="I344" s="143"/>
      <c r="J344" s="143"/>
      <c r="K344" s="10" t="s">
        <v>123</v>
      </c>
    </row>
    <row r="345" spans="2:11" s="1" customFormat="1" ht="13.5" customHeight="1">
      <c r="B345" s="3"/>
      <c r="C345" s="10" t="str">
        <f>D341</f>
        <v>VOUT_VALUE[15:8]</v>
      </c>
      <c r="D345" s="143" t="s">
        <v>837</v>
      </c>
      <c r="E345" s="143"/>
      <c r="F345" s="10" t="s">
        <v>721</v>
      </c>
      <c r="G345" s="143" t="s">
        <v>835</v>
      </c>
      <c r="H345" s="143"/>
      <c r="I345" s="143"/>
      <c r="J345" s="143"/>
      <c r="K345" s="10" t="s">
        <v>722</v>
      </c>
    </row>
    <row r="347" spans="2:11" s="1" customFormat="1" ht="12.75" customHeight="1">
      <c r="B347" s="5">
        <f>B339+1</f>
        <v>62</v>
      </c>
      <c r="C347" s="221" t="str">
        <f>"4.6."&amp;B347-59&amp;" Addr 0x"&amp;DEC2HEX(B347,8)&amp;" Operation information.Received Power.L"</f>
        <v>4.6.3 Addr 0x0000003E Operation information.Received Power.L</v>
      </c>
      <c r="D347" s="222"/>
      <c r="E347" s="222"/>
      <c r="F347" s="222"/>
      <c r="G347" s="222"/>
      <c r="H347" s="222"/>
      <c r="I347" s="222"/>
      <c r="J347" s="222"/>
      <c r="K347" s="223"/>
    </row>
    <row r="348" spans="2:11" s="1" customFormat="1">
      <c r="B348" s="5"/>
      <c r="C348" s="6" t="s">
        <v>120</v>
      </c>
      <c r="D348" s="7">
        <v>7</v>
      </c>
      <c r="E348" s="7">
        <v>6</v>
      </c>
      <c r="F348" s="7">
        <v>5</v>
      </c>
      <c r="G348" s="7">
        <v>4</v>
      </c>
      <c r="H348" s="7">
        <v>3</v>
      </c>
      <c r="I348" s="7">
        <v>2</v>
      </c>
      <c r="J348" s="7">
        <v>1</v>
      </c>
      <c r="K348" s="7">
        <v>0</v>
      </c>
    </row>
    <row r="349" spans="2:11" s="1" customFormat="1" ht="13.5" customHeight="1">
      <c r="B349" s="5"/>
      <c r="C349" s="8" t="s">
        <v>6</v>
      </c>
      <c r="D349" s="176" t="s">
        <v>838</v>
      </c>
      <c r="E349" s="102"/>
      <c r="F349" s="102"/>
      <c r="G349" s="102"/>
      <c r="H349" s="102"/>
      <c r="I349" s="102"/>
      <c r="J349" s="102"/>
      <c r="K349" s="177"/>
    </row>
    <row r="350" spans="2:11" s="1" customFormat="1">
      <c r="B350" s="5" t="str">
        <f>CONCATENATE(D350,E350,F350,G350,H350,I350,J350,K350)</f>
        <v>00000000</v>
      </c>
      <c r="C350" s="8" t="s">
        <v>123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</row>
    <row r="351" spans="2:11" s="1" customFormat="1">
      <c r="B351" s="5"/>
      <c r="C351" s="102"/>
      <c r="D351" s="102"/>
      <c r="E351" s="102"/>
      <c r="F351" s="102"/>
      <c r="G351" s="102"/>
      <c r="H351" s="102"/>
      <c r="I351" s="102"/>
      <c r="J351" s="102"/>
      <c r="K351" s="102"/>
    </row>
    <row r="352" spans="2:11" s="1" customFormat="1" ht="13.5">
      <c r="B352" s="3"/>
      <c r="C352" s="10" t="s">
        <v>6</v>
      </c>
      <c r="D352" s="143" t="s">
        <v>125</v>
      </c>
      <c r="E352" s="143"/>
      <c r="F352" s="10" t="s">
        <v>126</v>
      </c>
      <c r="G352" s="143" t="s">
        <v>127</v>
      </c>
      <c r="H352" s="143"/>
      <c r="I352" s="143"/>
      <c r="J352" s="143"/>
      <c r="K352" s="10" t="s">
        <v>123</v>
      </c>
    </row>
    <row r="353" spans="2:11" s="1" customFormat="1" ht="27">
      <c r="B353" s="3"/>
      <c r="C353" s="10" t="str">
        <f>D349</f>
        <v>RECEIVED_POWER_VALUE[7:0]</v>
      </c>
      <c r="D353" s="143" t="s">
        <v>839</v>
      </c>
      <c r="E353" s="143"/>
      <c r="F353" s="10" t="s">
        <v>721</v>
      </c>
      <c r="G353" s="143" t="s">
        <v>840</v>
      </c>
      <c r="H353" s="143"/>
      <c r="I353" s="143"/>
      <c r="J353" s="143"/>
      <c r="K353" s="10" t="s">
        <v>722</v>
      </c>
    </row>
    <row r="355" spans="2:11" s="1" customFormat="1" ht="12.75" customHeight="1">
      <c r="B355" s="5">
        <f>B347+1</f>
        <v>63</v>
      </c>
      <c r="C355" s="221" t="str">
        <f>"4.6."&amp;B355-59&amp;" Addr 0x"&amp;DEC2HEX(B355,8)&amp;" Operation information.Received Power.H"</f>
        <v>4.6.4 Addr 0x0000003F Operation information.Received Power.H</v>
      </c>
      <c r="D355" s="222"/>
      <c r="E355" s="222"/>
      <c r="F355" s="222"/>
      <c r="G355" s="222"/>
      <c r="H355" s="222"/>
      <c r="I355" s="222"/>
      <c r="J355" s="222"/>
      <c r="K355" s="223"/>
    </row>
    <row r="356" spans="2:11" s="1" customFormat="1">
      <c r="B356" s="5"/>
      <c r="C356" s="6" t="s">
        <v>120</v>
      </c>
      <c r="D356" s="7">
        <v>7</v>
      </c>
      <c r="E356" s="7">
        <v>6</v>
      </c>
      <c r="F356" s="7">
        <v>5</v>
      </c>
      <c r="G356" s="7">
        <v>4</v>
      </c>
      <c r="H356" s="7">
        <v>3</v>
      </c>
      <c r="I356" s="7">
        <v>2</v>
      </c>
      <c r="J356" s="7">
        <v>1</v>
      </c>
      <c r="K356" s="7">
        <v>0</v>
      </c>
    </row>
    <row r="357" spans="2:11" s="1" customFormat="1" ht="13.5" customHeight="1">
      <c r="B357" s="5"/>
      <c r="C357" s="8" t="s">
        <v>6</v>
      </c>
      <c r="D357" s="176" t="s">
        <v>841</v>
      </c>
      <c r="E357" s="102"/>
      <c r="F357" s="102"/>
      <c r="G357" s="102"/>
      <c r="H357" s="102"/>
      <c r="I357" s="102"/>
      <c r="J357" s="102"/>
      <c r="K357" s="177"/>
    </row>
    <row r="358" spans="2:11" s="1" customFormat="1">
      <c r="B358" s="5" t="str">
        <f>CONCATENATE(D358,E358,F358,G358,H358,I358,J358,K358)</f>
        <v>00000000</v>
      </c>
      <c r="C358" s="8" t="s">
        <v>123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</row>
    <row r="359" spans="2:11" s="1" customFormat="1">
      <c r="B359" s="5"/>
      <c r="C359" s="102"/>
      <c r="D359" s="102"/>
      <c r="E359" s="102"/>
      <c r="F359" s="102"/>
      <c r="G359" s="102"/>
      <c r="H359" s="102"/>
      <c r="I359" s="102"/>
      <c r="J359" s="102"/>
      <c r="K359" s="102"/>
    </row>
    <row r="360" spans="2:11" s="1" customFormat="1" ht="13.5">
      <c r="B360" s="3"/>
      <c r="C360" s="10" t="s">
        <v>6</v>
      </c>
      <c r="D360" s="143" t="s">
        <v>125</v>
      </c>
      <c r="E360" s="143"/>
      <c r="F360" s="10" t="s">
        <v>126</v>
      </c>
      <c r="G360" s="143" t="s">
        <v>127</v>
      </c>
      <c r="H360" s="143"/>
      <c r="I360" s="143"/>
      <c r="J360" s="143"/>
      <c r="K360" s="10" t="s">
        <v>123</v>
      </c>
    </row>
    <row r="361" spans="2:11" s="1" customFormat="1" ht="13.5" customHeight="1">
      <c r="B361" s="3"/>
      <c r="C361" s="10" t="str">
        <f>D357</f>
        <v>RECEIVED_POWER_VALUE[15:8]</v>
      </c>
      <c r="D361" s="143" t="s">
        <v>842</v>
      </c>
      <c r="E361" s="143"/>
      <c r="F361" s="10" t="s">
        <v>721</v>
      </c>
      <c r="G361" s="143" t="s">
        <v>840</v>
      </c>
      <c r="H361" s="143"/>
      <c r="I361" s="143"/>
      <c r="J361" s="143"/>
      <c r="K361" s="10" t="s">
        <v>722</v>
      </c>
    </row>
    <row r="363" spans="2:11" s="1" customFormat="1" ht="12.75" customHeight="1">
      <c r="B363" s="5">
        <f>B355+1</f>
        <v>64</v>
      </c>
      <c r="C363" s="221" t="str">
        <f>"4.6."&amp;B363-59&amp;" Addr 0x"&amp;DEC2HEX(B363,8)&amp;" Operation information.Vrect.L"</f>
        <v>4.6.5 Addr 0x00000040 Operation information.Vrect.L</v>
      </c>
      <c r="D363" s="222"/>
      <c r="E363" s="222"/>
      <c r="F363" s="222"/>
      <c r="G363" s="222"/>
      <c r="H363" s="222"/>
      <c r="I363" s="222"/>
      <c r="J363" s="222"/>
      <c r="K363" s="223"/>
    </row>
    <row r="364" spans="2:11" s="1" customFormat="1">
      <c r="B364" s="5"/>
      <c r="C364" s="6" t="s">
        <v>120</v>
      </c>
      <c r="D364" s="7">
        <v>7</v>
      </c>
      <c r="E364" s="7">
        <v>6</v>
      </c>
      <c r="F364" s="7">
        <v>5</v>
      </c>
      <c r="G364" s="7">
        <v>4</v>
      </c>
      <c r="H364" s="7">
        <v>3</v>
      </c>
      <c r="I364" s="7">
        <v>2</v>
      </c>
      <c r="J364" s="7">
        <v>1</v>
      </c>
      <c r="K364" s="7">
        <v>0</v>
      </c>
    </row>
    <row r="365" spans="2:11" s="1" customFormat="1" ht="13.5" customHeight="1">
      <c r="B365" s="5"/>
      <c r="C365" s="8" t="s">
        <v>6</v>
      </c>
      <c r="D365" s="176" t="s">
        <v>843</v>
      </c>
      <c r="E365" s="102"/>
      <c r="F365" s="102"/>
      <c r="G365" s="102"/>
      <c r="H365" s="102"/>
      <c r="I365" s="102"/>
      <c r="J365" s="102"/>
      <c r="K365" s="177"/>
    </row>
    <row r="366" spans="2:11" s="1" customFormat="1">
      <c r="B366" s="5" t="str">
        <f>CONCATENATE(D366,E366,F366,G366,H366,I366,J366,K366)</f>
        <v>00000000</v>
      </c>
      <c r="C366" s="8" t="s">
        <v>123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</row>
    <row r="367" spans="2:11" s="1" customFormat="1">
      <c r="B367" s="5"/>
      <c r="C367" s="102"/>
      <c r="D367" s="102"/>
      <c r="E367" s="102"/>
      <c r="F367" s="102"/>
      <c r="G367" s="102"/>
      <c r="H367" s="102"/>
      <c r="I367" s="102"/>
      <c r="J367" s="102"/>
      <c r="K367" s="102"/>
    </row>
    <row r="368" spans="2:11" s="1" customFormat="1" ht="13.5">
      <c r="B368" s="3"/>
      <c r="C368" s="10" t="s">
        <v>6</v>
      </c>
      <c r="D368" s="143" t="s">
        <v>125</v>
      </c>
      <c r="E368" s="143"/>
      <c r="F368" s="10" t="s">
        <v>126</v>
      </c>
      <c r="G368" s="143" t="s">
        <v>127</v>
      </c>
      <c r="H368" s="143"/>
      <c r="I368" s="143"/>
      <c r="J368" s="143"/>
      <c r="K368" s="10" t="s">
        <v>123</v>
      </c>
    </row>
    <row r="369" spans="2:11" s="1" customFormat="1" ht="13.5" customHeight="1">
      <c r="B369" s="3"/>
      <c r="C369" s="10" t="str">
        <f>D365</f>
        <v>VRECT_VALUE[7:0]</v>
      </c>
      <c r="D369" s="143" t="s">
        <v>844</v>
      </c>
      <c r="E369" s="143"/>
      <c r="F369" s="10" t="s">
        <v>721</v>
      </c>
      <c r="G369" s="143" t="s">
        <v>845</v>
      </c>
      <c r="H369" s="143"/>
      <c r="I369" s="143"/>
      <c r="J369" s="143"/>
      <c r="K369" s="10" t="s">
        <v>722</v>
      </c>
    </row>
    <row r="371" spans="2:11" s="1" customFormat="1" ht="12.75" customHeight="1">
      <c r="B371" s="5">
        <f>B363+1</f>
        <v>65</v>
      </c>
      <c r="C371" s="221" t="str">
        <f>"4.6."&amp;B371-59&amp;" Addr 0x"&amp;DEC2HEX(B371,8)&amp;" Operation information.Vrect.H"</f>
        <v>4.6.6 Addr 0x00000041 Operation information.Vrect.H</v>
      </c>
      <c r="D371" s="222"/>
      <c r="E371" s="222"/>
      <c r="F371" s="222"/>
      <c r="G371" s="222"/>
      <c r="H371" s="222"/>
      <c r="I371" s="222"/>
      <c r="J371" s="222"/>
      <c r="K371" s="223"/>
    </row>
    <row r="372" spans="2:11" s="1" customFormat="1">
      <c r="B372" s="5"/>
      <c r="C372" s="6" t="s">
        <v>120</v>
      </c>
      <c r="D372" s="7">
        <v>7</v>
      </c>
      <c r="E372" s="7">
        <v>6</v>
      </c>
      <c r="F372" s="7">
        <v>5</v>
      </c>
      <c r="G372" s="7">
        <v>4</v>
      </c>
      <c r="H372" s="7">
        <v>3</v>
      </c>
      <c r="I372" s="7">
        <v>2</v>
      </c>
      <c r="J372" s="7">
        <v>1</v>
      </c>
      <c r="K372" s="7">
        <v>0</v>
      </c>
    </row>
    <row r="373" spans="2:11" s="1" customFormat="1" ht="13.5" customHeight="1">
      <c r="B373" s="5"/>
      <c r="C373" s="8" t="s">
        <v>6</v>
      </c>
      <c r="D373" s="176" t="s">
        <v>846</v>
      </c>
      <c r="E373" s="102"/>
      <c r="F373" s="102"/>
      <c r="G373" s="102"/>
      <c r="H373" s="102"/>
      <c r="I373" s="102"/>
      <c r="J373" s="102"/>
      <c r="K373" s="177"/>
    </row>
    <row r="374" spans="2:11" s="1" customFormat="1">
      <c r="B374" s="5" t="str">
        <f>CONCATENATE(D374,E374,F374,G374,H374,I374,J374,K374)</f>
        <v>00000000</v>
      </c>
      <c r="C374" s="8" t="s">
        <v>123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</row>
    <row r="375" spans="2:11" s="1" customFormat="1">
      <c r="B375" s="5"/>
      <c r="C375" s="102"/>
      <c r="D375" s="102"/>
      <c r="E375" s="102"/>
      <c r="F375" s="102"/>
      <c r="G375" s="102"/>
      <c r="H375" s="102"/>
      <c r="I375" s="102"/>
      <c r="J375" s="102"/>
      <c r="K375" s="102"/>
    </row>
    <row r="376" spans="2:11" s="1" customFormat="1" ht="13.5">
      <c r="B376" s="3"/>
      <c r="C376" s="10" t="s">
        <v>6</v>
      </c>
      <c r="D376" s="143" t="s">
        <v>125</v>
      </c>
      <c r="E376" s="143"/>
      <c r="F376" s="10" t="s">
        <v>126</v>
      </c>
      <c r="G376" s="143" t="s">
        <v>127</v>
      </c>
      <c r="H376" s="143"/>
      <c r="I376" s="143"/>
      <c r="J376" s="143"/>
      <c r="K376" s="10" t="s">
        <v>123</v>
      </c>
    </row>
    <row r="377" spans="2:11" s="1" customFormat="1" ht="13.5" customHeight="1">
      <c r="B377" s="3"/>
      <c r="C377" s="10" t="str">
        <f>D373</f>
        <v>VRECT_VALUE[15:8]</v>
      </c>
      <c r="D377" s="143" t="s">
        <v>847</v>
      </c>
      <c r="E377" s="143"/>
      <c r="F377" s="10" t="s">
        <v>721</v>
      </c>
      <c r="G377" s="143" t="s">
        <v>845</v>
      </c>
      <c r="H377" s="143"/>
      <c r="I377" s="143"/>
      <c r="J377" s="143"/>
      <c r="K377" s="10" t="s">
        <v>722</v>
      </c>
    </row>
    <row r="379" spans="2:11" s="1" customFormat="1" ht="12.75" customHeight="1">
      <c r="B379" s="5">
        <f>B371+1</f>
        <v>66</v>
      </c>
      <c r="C379" s="221" t="str">
        <f>"4.6."&amp;B379-59&amp;" Addr 0x"&amp;DEC2HEX(B379,8)&amp;" Operation information.Target Vrect.L"</f>
        <v>4.6.7 Addr 0x00000042 Operation information.Target Vrect.L</v>
      </c>
      <c r="D379" s="222"/>
      <c r="E379" s="222"/>
      <c r="F379" s="222"/>
      <c r="G379" s="222"/>
      <c r="H379" s="222"/>
      <c r="I379" s="222"/>
      <c r="J379" s="222"/>
      <c r="K379" s="223"/>
    </row>
    <row r="380" spans="2:11" s="1" customFormat="1">
      <c r="B380" s="5"/>
      <c r="C380" s="6" t="s">
        <v>120</v>
      </c>
      <c r="D380" s="7">
        <v>7</v>
      </c>
      <c r="E380" s="7">
        <v>6</v>
      </c>
      <c r="F380" s="7">
        <v>5</v>
      </c>
      <c r="G380" s="7">
        <v>4</v>
      </c>
      <c r="H380" s="7">
        <v>3</v>
      </c>
      <c r="I380" s="7">
        <v>2</v>
      </c>
      <c r="J380" s="7">
        <v>1</v>
      </c>
      <c r="K380" s="7">
        <v>0</v>
      </c>
    </row>
    <row r="381" spans="2:11" s="1" customFormat="1" ht="13.5" customHeight="1">
      <c r="B381" s="5"/>
      <c r="C381" s="8" t="s">
        <v>6</v>
      </c>
      <c r="D381" s="176" t="s">
        <v>848</v>
      </c>
      <c r="E381" s="102"/>
      <c r="F381" s="102"/>
      <c r="G381" s="102"/>
      <c r="H381" s="102"/>
      <c r="I381" s="102"/>
      <c r="J381" s="102"/>
      <c r="K381" s="177"/>
    </row>
    <row r="382" spans="2:11" s="1" customFormat="1">
      <c r="B382" s="5" t="str">
        <f>CONCATENATE(D382,E382,F382,G382,H382,I382,J382,K382)</f>
        <v>00000000</v>
      </c>
      <c r="C382" s="8" t="s">
        <v>123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</row>
    <row r="383" spans="2:11" s="1" customFormat="1">
      <c r="B383" s="5"/>
      <c r="C383" s="102"/>
      <c r="D383" s="102"/>
      <c r="E383" s="102"/>
      <c r="F383" s="102"/>
      <c r="G383" s="102"/>
      <c r="H383" s="102"/>
      <c r="I383" s="102"/>
      <c r="J383" s="102"/>
      <c r="K383" s="102"/>
    </row>
    <row r="384" spans="2:11" s="1" customFormat="1" ht="13.5">
      <c r="B384" s="3"/>
      <c r="C384" s="10" t="s">
        <v>6</v>
      </c>
      <c r="D384" s="143" t="s">
        <v>125</v>
      </c>
      <c r="E384" s="143"/>
      <c r="F384" s="10" t="s">
        <v>126</v>
      </c>
      <c r="G384" s="143" t="s">
        <v>127</v>
      </c>
      <c r="H384" s="143"/>
      <c r="I384" s="143"/>
      <c r="J384" s="143"/>
      <c r="K384" s="10" t="s">
        <v>123</v>
      </c>
    </row>
    <row r="385" spans="2:11" s="1" customFormat="1" ht="13.5" customHeight="1">
      <c r="B385" s="3"/>
      <c r="C385" s="10" t="str">
        <f>D381</f>
        <v>TARGET_VRECT_VALUE[7:0]</v>
      </c>
      <c r="D385" s="143" t="s">
        <v>844</v>
      </c>
      <c r="E385" s="143"/>
      <c r="F385" s="10" t="s">
        <v>721</v>
      </c>
      <c r="G385" s="143" t="s">
        <v>845</v>
      </c>
      <c r="H385" s="143"/>
      <c r="I385" s="143"/>
      <c r="J385" s="143"/>
      <c r="K385" s="10" t="s">
        <v>722</v>
      </c>
    </row>
    <row r="387" spans="2:11" s="1" customFormat="1" ht="12.75" customHeight="1">
      <c r="B387" s="5">
        <f>B379+1</f>
        <v>67</v>
      </c>
      <c r="C387" s="221" t="str">
        <f>"4.6."&amp;B387-59&amp;" Addr 0x"&amp;DEC2HEX(B387,8)&amp;" Operation information.Target Vrect.H"</f>
        <v>4.6.8 Addr 0x00000043 Operation information.Target Vrect.H</v>
      </c>
      <c r="D387" s="222"/>
      <c r="E387" s="222"/>
      <c r="F387" s="222"/>
      <c r="G387" s="222"/>
      <c r="H387" s="222"/>
      <c r="I387" s="222"/>
      <c r="J387" s="222"/>
      <c r="K387" s="223"/>
    </row>
    <row r="388" spans="2:11" s="1" customFormat="1">
      <c r="B388" s="5"/>
      <c r="C388" s="6" t="s">
        <v>120</v>
      </c>
      <c r="D388" s="7">
        <v>7</v>
      </c>
      <c r="E388" s="7">
        <v>6</v>
      </c>
      <c r="F388" s="7">
        <v>5</v>
      </c>
      <c r="G388" s="7">
        <v>4</v>
      </c>
      <c r="H388" s="7">
        <v>3</v>
      </c>
      <c r="I388" s="7">
        <v>2</v>
      </c>
      <c r="J388" s="7">
        <v>1</v>
      </c>
      <c r="K388" s="7">
        <v>0</v>
      </c>
    </row>
    <row r="389" spans="2:11" s="1" customFormat="1" ht="13.5" customHeight="1">
      <c r="B389" s="5"/>
      <c r="C389" s="8" t="s">
        <v>6</v>
      </c>
      <c r="D389" s="176" t="s">
        <v>849</v>
      </c>
      <c r="E389" s="102"/>
      <c r="F389" s="102"/>
      <c r="G389" s="102"/>
      <c r="H389" s="102"/>
      <c r="I389" s="102"/>
      <c r="J389" s="102"/>
      <c r="K389" s="177"/>
    </row>
    <row r="390" spans="2:11" s="1" customFormat="1">
      <c r="B390" s="5" t="str">
        <f>CONCATENATE(D390,E390,F390,G390,H390,I390,J390,K390)</f>
        <v>00000000</v>
      </c>
      <c r="C390" s="8" t="s">
        <v>123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</row>
    <row r="391" spans="2:11" s="1" customFormat="1">
      <c r="B391" s="5"/>
      <c r="C391" s="102"/>
      <c r="D391" s="102"/>
      <c r="E391" s="102"/>
      <c r="F391" s="102"/>
      <c r="G391" s="102"/>
      <c r="H391" s="102"/>
      <c r="I391" s="102"/>
      <c r="J391" s="102"/>
      <c r="K391" s="102"/>
    </row>
    <row r="392" spans="2:11" s="1" customFormat="1" ht="13.5">
      <c r="B392" s="3"/>
      <c r="C392" s="10" t="s">
        <v>6</v>
      </c>
      <c r="D392" s="143" t="s">
        <v>125</v>
      </c>
      <c r="E392" s="143"/>
      <c r="F392" s="10" t="s">
        <v>126</v>
      </c>
      <c r="G392" s="143" t="s">
        <v>127</v>
      </c>
      <c r="H392" s="143"/>
      <c r="I392" s="143"/>
      <c r="J392" s="143"/>
      <c r="K392" s="10" t="s">
        <v>123</v>
      </c>
    </row>
    <row r="393" spans="2:11" s="1" customFormat="1" ht="13.5" customHeight="1">
      <c r="B393" s="3"/>
      <c r="C393" s="10" t="str">
        <f>D389</f>
        <v>TARGET_VRECT_VALUE[15:8]</v>
      </c>
      <c r="D393" s="143" t="s">
        <v>847</v>
      </c>
      <c r="E393" s="143"/>
      <c r="F393" s="10" t="s">
        <v>721</v>
      </c>
      <c r="G393" s="143" t="s">
        <v>845</v>
      </c>
      <c r="H393" s="143"/>
      <c r="I393" s="143"/>
      <c r="J393" s="143"/>
      <c r="K393" s="10" t="s">
        <v>722</v>
      </c>
    </row>
    <row r="395" spans="2:11" s="1" customFormat="1" ht="12.75" customHeight="1">
      <c r="B395" s="5">
        <f>B387+1</f>
        <v>68</v>
      </c>
      <c r="C395" s="221" t="str">
        <f>"4.6."&amp;B395-59&amp;" Addr 0x"&amp;DEC2HEX(B395,8)&amp;" Operation information.Iout.L"</f>
        <v>4.6.9 Addr 0x00000044 Operation information.Iout.L</v>
      </c>
      <c r="D395" s="222"/>
      <c r="E395" s="222"/>
      <c r="F395" s="222"/>
      <c r="G395" s="222"/>
      <c r="H395" s="222"/>
      <c r="I395" s="222"/>
      <c r="J395" s="222"/>
      <c r="K395" s="223"/>
    </row>
    <row r="396" spans="2:11" s="1" customFormat="1">
      <c r="B396" s="5"/>
      <c r="C396" s="6" t="s">
        <v>120</v>
      </c>
      <c r="D396" s="7">
        <v>7</v>
      </c>
      <c r="E396" s="7">
        <v>6</v>
      </c>
      <c r="F396" s="7">
        <v>5</v>
      </c>
      <c r="G396" s="7">
        <v>4</v>
      </c>
      <c r="H396" s="7">
        <v>3</v>
      </c>
      <c r="I396" s="7">
        <v>2</v>
      </c>
      <c r="J396" s="7">
        <v>1</v>
      </c>
      <c r="K396" s="7">
        <v>0</v>
      </c>
    </row>
    <row r="397" spans="2:11" s="1" customFormat="1" ht="13.5" customHeight="1">
      <c r="B397" s="5"/>
      <c r="C397" s="8" t="s">
        <v>6</v>
      </c>
      <c r="D397" s="176" t="s">
        <v>850</v>
      </c>
      <c r="E397" s="102"/>
      <c r="F397" s="102"/>
      <c r="G397" s="102"/>
      <c r="H397" s="102"/>
      <c r="I397" s="102"/>
      <c r="J397" s="102"/>
      <c r="K397" s="177"/>
    </row>
    <row r="398" spans="2:11" s="1" customFormat="1">
      <c r="B398" s="5" t="str">
        <f>CONCATENATE(D398,E398,F398,G398,H398,I398,J398,K398)</f>
        <v>00000000</v>
      </c>
      <c r="C398" s="8" t="s">
        <v>123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</row>
    <row r="399" spans="2:11" s="1" customFormat="1">
      <c r="B399" s="5"/>
      <c r="C399" s="102"/>
      <c r="D399" s="102"/>
      <c r="E399" s="102"/>
      <c r="F399" s="102"/>
      <c r="G399" s="102"/>
      <c r="H399" s="102"/>
      <c r="I399" s="102"/>
      <c r="J399" s="102"/>
      <c r="K399" s="102"/>
    </row>
    <row r="400" spans="2:11" s="1" customFormat="1" ht="13.5">
      <c r="B400" s="3"/>
      <c r="C400" s="10" t="s">
        <v>6</v>
      </c>
      <c r="D400" s="143" t="s">
        <v>125</v>
      </c>
      <c r="E400" s="143"/>
      <c r="F400" s="10" t="s">
        <v>126</v>
      </c>
      <c r="G400" s="143" t="s">
        <v>127</v>
      </c>
      <c r="H400" s="143"/>
      <c r="I400" s="143"/>
      <c r="J400" s="143"/>
      <c r="K400" s="10" t="s">
        <v>123</v>
      </c>
    </row>
    <row r="401" spans="2:11" s="1" customFormat="1" ht="13.5" customHeight="1">
      <c r="B401" s="3"/>
      <c r="C401" s="10" t="str">
        <f>D397</f>
        <v>IOUT_VALUE[7:0]</v>
      </c>
      <c r="D401" s="143" t="s">
        <v>851</v>
      </c>
      <c r="E401" s="143"/>
      <c r="F401" s="10" t="s">
        <v>721</v>
      </c>
      <c r="G401" s="143" t="s">
        <v>852</v>
      </c>
      <c r="H401" s="143"/>
      <c r="I401" s="143"/>
      <c r="J401" s="143"/>
      <c r="K401" s="10" t="s">
        <v>722</v>
      </c>
    </row>
    <row r="403" spans="2:11" s="1" customFormat="1" ht="12.75" customHeight="1">
      <c r="B403" s="5">
        <f>B395+1</f>
        <v>69</v>
      </c>
      <c r="C403" s="221" t="str">
        <f>"4.6."&amp;B403-59&amp;" Addr 0x"&amp;DEC2HEX(B403,8)&amp;" Operation information.Iout.H"</f>
        <v>4.6.10 Addr 0x00000045 Operation information.Iout.H</v>
      </c>
      <c r="D403" s="222"/>
      <c r="E403" s="222"/>
      <c r="F403" s="222"/>
      <c r="G403" s="222"/>
      <c r="H403" s="222"/>
      <c r="I403" s="222"/>
      <c r="J403" s="222"/>
      <c r="K403" s="223"/>
    </row>
    <row r="404" spans="2:11" s="1" customFormat="1">
      <c r="B404" s="5"/>
      <c r="C404" s="6" t="s">
        <v>120</v>
      </c>
      <c r="D404" s="7">
        <v>7</v>
      </c>
      <c r="E404" s="7">
        <v>6</v>
      </c>
      <c r="F404" s="7">
        <v>5</v>
      </c>
      <c r="G404" s="7">
        <v>4</v>
      </c>
      <c r="H404" s="7">
        <v>3</v>
      </c>
      <c r="I404" s="7">
        <v>2</v>
      </c>
      <c r="J404" s="7">
        <v>1</v>
      </c>
      <c r="K404" s="7">
        <v>0</v>
      </c>
    </row>
    <row r="405" spans="2:11" s="1" customFormat="1" ht="13.5" customHeight="1">
      <c r="B405" s="5"/>
      <c r="C405" s="8" t="s">
        <v>6</v>
      </c>
      <c r="D405" s="176" t="s">
        <v>853</v>
      </c>
      <c r="E405" s="102"/>
      <c r="F405" s="102"/>
      <c r="G405" s="102"/>
      <c r="H405" s="102"/>
      <c r="I405" s="102"/>
      <c r="J405" s="102"/>
      <c r="K405" s="177"/>
    </row>
    <row r="406" spans="2:11" s="1" customFormat="1">
      <c r="B406" s="5" t="str">
        <f>CONCATENATE(D406,E406,F406,G406,H406,I406,J406,K406)</f>
        <v>00000000</v>
      </c>
      <c r="C406" s="8" t="s">
        <v>123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</row>
    <row r="407" spans="2:11" s="1" customFormat="1">
      <c r="B407" s="5"/>
      <c r="C407" s="102"/>
      <c r="D407" s="102"/>
      <c r="E407" s="102"/>
      <c r="F407" s="102"/>
      <c r="G407" s="102"/>
      <c r="H407" s="102"/>
      <c r="I407" s="102"/>
      <c r="J407" s="102"/>
      <c r="K407" s="102"/>
    </row>
    <row r="408" spans="2:11" s="1" customFormat="1" ht="13.5">
      <c r="B408" s="3"/>
      <c r="C408" s="10" t="s">
        <v>6</v>
      </c>
      <c r="D408" s="143" t="s">
        <v>125</v>
      </c>
      <c r="E408" s="143"/>
      <c r="F408" s="10" t="s">
        <v>126</v>
      </c>
      <c r="G408" s="143" t="s">
        <v>127</v>
      </c>
      <c r="H408" s="143"/>
      <c r="I408" s="143"/>
      <c r="J408" s="143"/>
      <c r="K408" s="10" t="s">
        <v>123</v>
      </c>
    </row>
    <row r="409" spans="2:11" s="1" customFormat="1" ht="13.5" customHeight="1">
      <c r="B409" s="3"/>
      <c r="C409" s="10" t="str">
        <f>D405</f>
        <v>IOUT_VALUE[15:8]</v>
      </c>
      <c r="D409" s="143" t="s">
        <v>854</v>
      </c>
      <c r="E409" s="143"/>
      <c r="F409" s="10" t="s">
        <v>721</v>
      </c>
      <c r="G409" s="143" t="s">
        <v>852</v>
      </c>
      <c r="H409" s="143"/>
      <c r="I409" s="143"/>
      <c r="J409" s="143"/>
      <c r="K409" s="10" t="s">
        <v>722</v>
      </c>
    </row>
    <row r="411" spans="2:11" s="1" customFormat="1" ht="12.75" customHeight="1">
      <c r="B411" s="5">
        <f>B403+1</f>
        <v>70</v>
      </c>
      <c r="C411" s="221" t="str">
        <f>"4.6."&amp;B411-59&amp;" Addr 0x"&amp;DEC2HEX(B411,8)&amp;" Operation information.Die temperature.L"</f>
        <v>4.6.11 Addr 0x00000046 Operation information.Die temperature.L</v>
      </c>
      <c r="D411" s="222"/>
      <c r="E411" s="222"/>
      <c r="F411" s="222"/>
      <c r="G411" s="222"/>
      <c r="H411" s="222"/>
      <c r="I411" s="222"/>
      <c r="J411" s="222"/>
      <c r="K411" s="223"/>
    </row>
    <row r="412" spans="2:11" s="1" customFormat="1">
      <c r="B412" s="5"/>
      <c r="C412" s="6" t="s">
        <v>120</v>
      </c>
      <c r="D412" s="7">
        <v>7</v>
      </c>
      <c r="E412" s="7">
        <v>6</v>
      </c>
      <c r="F412" s="7">
        <v>5</v>
      </c>
      <c r="G412" s="7">
        <v>4</v>
      </c>
      <c r="H412" s="7">
        <v>3</v>
      </c>
      <c r="I412" s="7">
        <v>2</v>
      </c>
      <c r="J412" s="7">
        <v>1</v>
      </c>
      <c r="K412" s="7">
        <v>0</v>
      </c>
    </row>
    <row r="413" spans="2:11" s="1" customFormat="1" ht="13.5" customHeight="1">
      <c r="B413" s="5"/>
      <c r="C413" s="8" t="s">
        <v>6</v>
      </c>
      <c r="D413" s="176" t="s">
        <v>855</v>
      </c>
      <c r="E413" s="102"/>
      <c r="F413" s="102"/>
      <c r="G413" s="102"/>
      <c r="H413" s="102"/>
      <c r="I413" s="102"/>
      <c r="J413" s="102"/>
      <c r="K413" s="177"/>
    </row>
    <row r="414" spans="2:11" s="1" customFormat="1">
      <c r="B414" s="5" t="str">
        <f>CONCATENATE(D414,E414,F414,G414,H414,I414,J414,K414)</f>
        <v>00000000</v>
      </c>
      <c r="C414" s="8" t="s">
        <v>123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</row>
    <row r="415" spans="2:11" s="1" customFormat="1">
      <c r="B415" s="5"/>
      <c r="C415" s="102"/>
      <c r="D415" s="102"/>
      <c r="E415" s="102"/>
      <c r="F415" s="102"/>
      <c r="G415" s="102"/>
      <c r="H415" s="102"/>
      <c r="I415" s="102"/>
      <c r="J415" s="102"/>
      <c r="K415" s="102"/>
    </row>
    <row r="416" spans="2:11" s="1" customFormat="1" ht="13.5">
      <c r="B416" s="3"/>
      <c r="C416" s="10" t="s">
        <v>6</v>
      </c>
      <c r="D416" s="143" t="s">
        <v>125</v>
      </c>
      <c r="E416" s="143"/>
      <c r="F416" s="10" t="s">
        <v>126</v>
      </c>
      <c r="G416" s="143" t="s">
        <v>127</v>
      </c>
      <c r="H416" s="143"/>
      <c r="I416" s="143"/>
      <c r="J416" s="143"/>
      <c r="K416" s="10" t="s">
        <v>123</v>
      </c>
    </row>
    <row r="417" spans="2:11" s="1" customFormat="1" ht="13.5">
      <c r="B417" s="3"/>
      <c r="C417" s="10" t="str">
        <f>D413</f>
        <v>TEMP_VALUE[7:0]</v>
      </c>
      <c r="D417" s="143" t="s">
        <v>856</v>
      </c>
      <c r="E417" s="143"/>
      <c r="F417" s="10" t="s">
        <v>721</v>
      </c>
      <c r="G417" s="143" t="s">
        <v>857</v>
      </c>
      <c r="H417" s="143"/>
      <c r="I417" s="143"/>
      <c r="J417" s="143"/>
      <c r="K417" s="10" t="s">
        <v>722</v>
      </c>
    </row>
    <row r="419" spans="2:11" s="1" customFormat="1" ht="12.75" customHeight="1">
      <c r="B419" s="5">
        <f>B411+1</f>
        <v>71</v>
      </c>
      <c r="C419" s="221" t="str">
        <f>"4.6."&amp;B419-59&amp;" Addr 0x"&amp;DEC2HEX(B419,8)&amp;" Operation information.Die temperature.H"</f>
        <v>4.6.12 Addr 0x00000047 Operation information.Die temperature.H</v>
      </c>
      <c r="D419" s="222"/>
      <c r="E419" s="222"/>
      <c r="F419" s="222"/>
      <c r="G419" s="222"/>
      <c r="H419" s="222"/>
      <c r="I419" s="222"/>
      <c r="J419" s="222"/>
      <c r="K419" s="223"/>
    </row>
    <row r="420" spans="2:11" s="1" customFormat="1">
      <c r="B420" s="5"/>
      <c r="C420" s="6" t="s">
        <v>120</v>
      </c>
      <c r="D420" s="7">
        <v>7</v>
      </c>
      <c r="E420" s="7">
        <v>6</v>
      </c>
      <c r="F420" s="7">
        <v>5</v>
      </c>
      <c r="G420" s="7">
        <v>4</v>
      </c>
      <c r="H420" s="7">
        <v>3</v>
      </c>
      <c r="I420" s="7">
        <v>2</v>
      </c>
      <c r="J420" s="7">
        <v>1</v>
      </c>
      <c r="K420" s="7">
        <v>0</v>
      </c>
    </row>
    <row r="421" spans="2:11" s="1" customFormat="1" ht="13.5" customHeight="1">
      <c r="B421" s="5"/>
      <c r="C421" s="8" t="s">
        <v>6</v>
      </c>
      <c r="D421" s="176" t="s">
        <v>858</v>
      </c>
      <c r="E421" s="102"/>
      <c r="F421" s="102"/>
      <c r="G421" s="102"/>
      <c r="H421" s="102"/>
      <c r="I421" s="102"/>
      <c r="J421" s="102"/>
      <c r="K421" s="177"/>
    </row>
    <row r="422" spans="2:11" s="1" customFormat="1">
      <c r="B422" s="5" t="str">
        <f>CONCATENATE(D422,E422,F422,G422,H422,I422,J422,K422)</f>
        <v>00000000</v>
      </c>
      <c r="C422" s="8" t="s">
        <v>123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</row>
    <row r="423" spans="2:11" s="1" customFormat="1">
      <c r="B423" s="5"/>
      <c r="C423" s="102"/>
      <c r="D423" s="102"/>
      <c r="E423" s="102"/>
      <c r="F423" s="102"/>
      <c r="G423" s="102"/>
      <c r="H423" s="102"/>
      <c r="I423" s="102"/>
      <c r="J423" s="102"/>
      <c r="K423" s="102"/>
    </row>
    <row r="424" spans="2:11" s="1" customFormat="1" ht="13.5">
      <c r="B424" s="3"/>
      <c r="C424" s="10" t="s">
        <v>6</v>
      </c>
      <c r="D424" s="143" t="s">
        <v>125</v>
      </c>
      <c r="E424" s="143"/>
      <c r="F424" s="10" t="s">
        <v>126</v>
      </c>
      <c r="G424" s="143" t="s">
        <v>127</v>
      </c>
      <c r="H424" s="143"/>
      <c r="I424" s="143"/>
      <c r="J424" s="143"/>
      <c r="K424" s="10" t="s">
        <v>123</v>
      </c>
    </row>
    <row r="425" spans="2:11" s="1" customFormat="1" ht="13.5" customHeight="1">
      <c r="B425" s="3"/>
      <c r="C425" s="10" t="str">
        <f>D421</f>
        <v>TEMP_VALUE[15:8]</v>
      </c>
      <c r="D425" s="143" t="s">
        <v>859</v>
      </c>
      <c r="E425" s="143"/>
      <c r="F425" s="10" t="s">
        <v>721</v>
      </c>
      <c r="G425" s="143" t="s">
        <v>857</v>
      </c>
      <c r="H425" s="143"/>
      <c r="I425" s="143"/>
      <c r="J425" s="143"/>
      <c r="K425" s="10" t="s">
        <v>722</v>
      </c>
    </row>
    <row r="427" spans="2:11" s="1" customFormat="1" ht="12.75" customHeight="1">
      <c r="B427" s="5">
        <f>B419+1</f>
        <v>72</v>
      </c>
      <c r="C427" s="221" t="str">
        <f>"4.6."&amp;B427-59&amp;" Addr 0x"&amp;DEC2HEX(B427,8)&amp;" Operation information.Frequency.L"</f>
        <v>4.6.13 Addr 0x00000048 Operation information.Frequency.L</v>
      </c>
      <c r="D427" s="222"/>
      <c r="E427" s="222"/>
      <c r="F427" s="222"/>
      <c r="G427" s="222"/>
      <c r="H427" s="222"/>
      <c r="I427" s="222"/>
      <c r="J427" s="222"/>
      <c r="K427" s="223"/>
    </row>
    <row r="428" spans="2:11" s="1" customFormat="1">
      <c r="B428" s="5"/>
      <c r="C428" s="6" t="s">
        <v>120</v>
      </c>
      <c r="D428" s="7">
        <v>7</v>
      </c>
      <c r="E428" s="7">
        <v>6</v>
      </c>
      <c r="F428" s="7">
        <v>5</v>
      </c>
      <c r="G428" s="7">
        <v>4</v>
      </c>
      <c r="H428" s="7">
        <v>3</v>
      </c>
      <c r="I428" s="7">
        <v>2</v>
      </c>
      <c r="J428" s="7">
        <v>1</v>
      </c>
      <c r="K428" s="7">
        <v>0</v>
      </c>
    </row>
    <row r="429" spans="2:11" s="1" customFormat="1" ht="13.5" customHeight="1">
      <c r="B429" s="5"/>
      <c r="C429" s="8" t="s">
        <v>6</v>
      </c>
      <c r="D429" s="176" t="s">
        <v>860</v>
      </c>
      <c r="E429" s="102"/>
      <c r="F429" s="102"/>
      <c r="G429" s="102"/>
      <c r="H429" s="102"/>
      <c r="I429" s="102"/>
      <c r="J429" s="102"/>
      <c r="K429" s="177"/>
    </row>
    <row r="430" spans="2:11" s="1" customFormat="1">
      <c r="B430" s="5" t="str">
        <f>CONCATENATE(D430,E430,F430,G430,H430,I430,J430,K430)</f>
        <v>00000000</v>
      </c>
      <c r="C430" s="8" t="s">
        <v>123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</row>
    <row r="431" spans="2:11" s="1" customFormat="1">
      <c r="B431" s="5"/>
      <c r="C431" s="102"/>
      <c r="D431" s="102"/>
      <c r="E431" s="102"/>
      <c r="F431" s="102"/>
      <c r="G431" s="102"/>
      <c r="H431" s="102"/>
      <c r="I431" s="102"/>
      <c r="J431" s="102"/>
      <c r="K431" s="102"/>
    </row>
    <row r="432" spans="2:11" s="1" customFormat="1" ht="13.5">
      <c r="B432" s="3"/>
      <c r="C432" s="10" t="s">
        <v>6</v>
      </c>
      <c r="D432" s="143" t="s">
        <v>125</v>
      </c>
      <c r="E432" s="143"/>
      <c r="F432" s="10" t="s">
        <v>126</v>
      </c>
      <c r="G432" s="143" t="s">
        <v>127</v>
      </c>
      <c r="H432" s="143"/>
      <c r="I432" s="143"/>
      <c r="J432" s="143"/>
      <c r="K432" s="10" t="s">
        <v>123</v>
      </c>
    </row>
    <row r="433" spans="2:11" s="1" customFormat="1" ht="13.5" customHeight="1">
      <c r="B433" s="3"/>
      <c r="C433" s="10" t="str">
        <f>D429</f>
        <v>AC_FREQ_VALUE[7:0]</v>
      </c>
      <c r="D433" s="143" t="s">
        <v>861</v>
      </c>
      <c r="E433" s="143"/>
      <c r="F433" s="10" t="s">
        <v>721</v>
      </c>
      <c r="G433" s="143" t="s">
        <v>862</v>
      </c>
      <c r="H433" s="143"/>
      <c r="I433" s="143"/>
      <c r="J433" s="143"/>
      <c r="K433" s="10" t="s">
        <v>722</v>
      </c>
    </row>
    <row r="435" spans="2:11" s="1" customFormat="1" ht="12.75" customHeight="1">
      <c r="B435" s="5">
        <f>B427+1</f>
        <v>73</v>
      </c>
      <c r="C435" s="221" t="str">
        <f>"4.6."&amp;B435-59&amp;" Addr 0x"&amp;DEC2HEX(B435,8)&amp;" Operation information.Frequency.H"</f>
        <v>4.6.14 Addr 0x00000049 Operation information.Frequency.H</v>
      </c>
      <c r="D435" s="222"/>
      <c r="E435" s="222"/>
      <c r="F435" s="222"/>
      <c r="G435" s="222"/>
      <c r="H435" s="222"/>
      <c r="I435" s="222"/>
      <c r="J435" s="222"/>
      <c r="K435" s="223"/>
    </row>
    <row r="436" spans="2:11" s="1" customFormat="1">
      <c r="B436" s="5"/>
      <c r="C436" s="6" t="s">
        <v>120</v>
      </c>
      <c r="D436" s="7">
        <v>7</v>
      </c>
      <c r="E436" s="7">
        <v>6</v>
      </c>
      <c r="F436" s="7">
        <v>5</v>
      </c>
      <c r="G436" s="7">
        <v>4</v>
      </c>
      <c r="H436" s="7">
        <v>3</v>
      </c>
      <c r="I436" s="7">
        <v>2</v>
      </c>
      <c r="J436" s="7">
        <v>1</v>
      </c>
      <c r="K436" s="7">
        <v>0</v>
      </c>
    </row>
    <row r="437" spans="2:11" s="1" customFormat="1" ht="13.5" customHeight="1">
      <c r="B437" s="5"/>
      <c r="C437" s="8" t="s">
        <v>6</v>
      </c>
      <c r="D437" s="176" t="s">
        <v>863</v>
      </c>
      <c r="E437" s="102"/>
      <c r="F437" s="102"/>
      <c r="G437" s="102"/>
      <c r="H437" s="102"/>
      <c r="I437" s="102"/>
      <c r="J437" s="102"/>
      <c r="K437" s="177"/>
    </row>
    <row r="438" spans="2:11" s="1" customFormat="1">
      <c r="B438" s="5" t="str">
        <f>CONCATENATE(D438,E438,F438,G438,H438,I438,J438,K438)</f>
        <v>00000000</v>
      </c>
      <c r="C438" s="8" t="s">
        <v>123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</row>
    <row r="439" spans="2:11" s="1" customFormat="1">
      <c r="B439" s="5"/>
      <c r="C439" s="102"/>
      <c r="D439" s="102"/>
      <c r="E439" s="102"/>
      <c r="F439" s="102"/>
      <c r="G439" s="102"/>
      <c r="H439" s="102"/>
      <c r="I439" s="102"/>
      <c r="J439" s="102"/>
      <c r="K439" s="102"/>
    </row>
    <row r="440" spans="2:11" s="1" customFormat="1" ht="13.5">
      <c r="B440" s="3"/>
      <c r="C440" s="10" t="s">
        <v>6</v>
      </c>
      <c r="D440" s="143" t="s">
        <v>125</v>
      </c>
      <c r="E440" s="143"/>
      <c r="F440" s="10" t="s">
        <v>126</v>
      </c>
      <c r="G440" s="143" t="s">
        <v>127</v>
      </c>
      <c r="H440" s="143"/>
      <c r="I440" s="143"/>
      <c r="J440" s="143"/>
      <c r="K440" s="10" t="s">
        <v>123</v>
      </c>
    </row>
    <row r="441" spans="2:11" s="1" customFormat="1" ht="13.5" customHeight="1">
      <c r="B441" s="3"/>
      <c r="C441" s="10" t="str">
        <f>D437</f>
        <v>AC_FREQ_VALUE[15:8]</v>
      </c>
      <c r="D441" s="143" t="s">
        <v>864</v>
      </c>
      <c r="E441" s="143"/>
      <c r="F441" s="10" t="s">
        <v>721</v>
      </c>
      <c r="G441" s="143" t="s">
        <v>862</v>
      </c>
      <c r="H441" s="143"/>
      <c r="I441" s="143"/>
      <c r="J441" s="143"/>
      <c r="K441" s="10" t="s">
        <v>722</v>
      </c>
    </row>
    <row r="443" spans="2:11" s="1" customFormat="1" ht="12.75" customHeight="1">
      <c r="B443" s="5">
        <f>B435+1</f>
        <v>74</v>
      </c>
      <c r="C443" s="221" t="str">
        <f>"4.6."&amp;B443-59&amp;" Addr 0x"&amp;DEC2HEX(B443,8)&amp;" Operation information.maximum charge current"</f>
        <v>4.6.15 Addr 0x0000004A Operation information.maximum charge current</v>
      </c>
      <c r="D443" s="222"/>
      <c r="E443" s="222"/>
      <c r="F443" s="222"/>
      <c r="G443" s="222"/>
      <c r="H443" s="222"/>
      <c r="I443" s="222"/>
      <c r="J443" s="222"/>
      <c r="K443" s="223"/>
    </row>
    <row r="444" spans="2:11" s="1" customFormat="1">
      <c r="B444" s="5"/>
      <c r="C444" s="6" t="s">
        <v>120</v>
      </c>
      <c r="D444" s="7">
        <v>7</v>
      </c>
      <c r="E444" s="7">
        <v>6</v>
      </c>
      <c r="F444" s="7">
        <v>5</v>
      </c>
      <c r="G444" s="7">
        <v>4</v>
      </c>
      <c r="H444" s="7">
        <v>3</v>
      </c>
      <c r="I444" s="7">
        <v>2</v>
      </c>
      <c r="J444" s="7">
        <v>1</v>
      </c>
      <c r="K444" s="7">
        <v>0</v>
      </c>
    </row>
    <row r="445" spans="2:11" s="1" customFormat="1" ht="13.5" customHeight="1">
      <c r="B445" s="5"/>
      <c r="C445" s="8" t="s">
        <v>6</v>
      </c>
      <c r="D445" s="176" t="s">
        <v>1284</v>
      </c>
      <c r="E445" s="102"/>
      <c r="F445" s="102"/>
      <c r="G445" s="102"/>
      <c r="H445" s="102"/>
      <c r="I445" s="102"/>
      <c r="J445" s="102"/>
      <c r="K445" s="177"/>
    </row>
    <row r="446" spans="2:11" s="1" customFormat="1">
      <c r="B446" s="5" t="str">
        <f>CONCATENATE(D446,E446,F446,G446,H446,I446,J446,K446)</f>
        <v>01100100</v>
      </c>
      <c r="C446" s="8" t="s">
        <v>123</v>
      </c>
      <c r="D446" s="9">
        <v>0</v>
      </c>
      <c r="E446" s="9">
        <v>1</v>
      </c>
      <c r="F446" s="9">
        <v>1</v>
      </c>
      <c r="G446" s="9">
        <v>0</v>
      </c>
      <c r="H446" s="9">
        <v>0</v>
      </c>
      <c r="I446" s="9">
        <v>1</v>
      </c>
      <c r="J446" s="9">
        <v>0</v>
      </c>
      <c r="K446" s="9">
        <v>0</v>
      </c>
    </row>
    <row r="447" spans="2:11" s="1" customFormat="1">
      <c r="B447" s="5"/>
      <c r="C447" s="102"/>
      <c r="D447" s="102"/>
      <c r="E447" s="102"/>
      <c r="F447" s="102"/>
      <c r="G447" s="102"/>
      <c r="H447" s="102"/>
      <c r="I447" s="102"/>
      <c r="J447" s="102"/>
      <c r="K447" s="102"/>
    </row>
    <row r="448" spans="2:11" s="1" customFormat="1" ht="13.5">
      <c r="B448" s="3"/>
      <c r="C448" s="10" t="s">
        <v>6</v>
      </c>
      <c r="D448" s="143" t="s">
        <v>125</v>
      </c>
      <c r="E448" s="143"/>
      <c r="F448" s="10" t="s">
        <v>126</v>
      </c>
      <c r="G448" s="143" t="s">
        <v>127</v>
      </c>
      <c r="H448" s="143"/>
      <c r="I448" s="143"/>
      <c r="J448" s="143"/>
      <c r="K448" s="10" t="s">
        <v>123</v>
      </c>
    </row>
    <row r="449" spans="2:11" s="1" customFormat="1" ht="13.5" customHeight="1">
      <c r="B449" s="3"/>
      <c r="C449" s="10" t="str">
        <f>D445</f>
        <v>MAX_CHARGE_CURRENT[7:0]</v>
      </c>
      <c r="D449" s="143" t="s">
        <v>1283</v>
      </c>
      <c r="E449" s="143"/>
      <c r="F449" s="10"/>
      <c r="G449" s="143" t="s">
        <v>1285</v>
      </c>
      <c r="H449" s="143"/>
      <c r="I449" s="143"/>
      <c r="J449" s="143"/>
      <c r="K449" s="10" t="s">
        <v>1291</v>
      </c>
    </row>
    <row r="451" spans="2:11" s="1" customFormat="1" ht="12.75" customHeight="1">
      <c r="B451" s="5">
        <f>B443+1</f>
        <v>75</v>
      </c>
      <c r="C451" s="221" t="str">
        <f>"4.6."&amp;B451-59&amp;" Addr 0x"&amp;DEC2HEX(B451,8)&amp;" Operation information.Fold back voltage"</f>
        <v>4.6.16 Addr 0x0000004B Operation information.Fold back voltage</v>
      </c>
      <c r="D451" s="222"/>
      <c r="E451" s="222"/>
      <c r="F451" s="222"/>
      <c r="G451" s="222"/>
      <c r="H451" s="222"/>
      <c r="I451" s="222"/>
      <c r="J451" s="222"/>
      <c r="K451" s="223"/>
    </row>
    <row r="452" spans="2:11" s="1" customFormat="1">
      <c r="B452" s="5"/>
      <c r="C452" s="6" t="s">
        <v>120</v>
      </c>
      <c r="D452" s="7">
        <v>7</v>
      </c>
      <c r="E452" s="7">
        <v>6</v>
      </c>
      <c r="F452" s="7">
        <v>5</v>
      </c>
      <c r="G452" s="7">
        <v>4</v>
      </c>
      <c r="H452" s="7">
        <v>3</v>
      </c>
      <c r="I452" s="7">
        <v>2</v>
      </c>
      <c r="J452" s="7">
        <v>1</v>
      </c>
      <c r="K452" s="7">
        <v>0</v>
      </c>
    </row>
    <row r="453" spans="2:11" s="1" customFormat="1" ht="13.5" customHeight="1">
      <c r="B453" s="5"/>
      <c r="C453" s="8" t="s">
        <v>6</v>
      </c>
      <c r="D453" s="176" t="s">
        <v>1286</v>
      </c>
      <c r="E453" s="102"/>
      <c r="F453" s="102"/>
      <c r="G453" s="102"/>
      <c r="H453" s="102"/>
      <c r="I453" s="102"/>
      <c r="J453" s="102"/>
      <c r="K453" s="177"/>
    </row>
    <row r="454" spans="2:11" s="1" customFormat="1">
      <c r="B454" s="5" t="str">
        <f>CONCATENATE(D454,E454,F454,G454,H454,I454,J454,K454)</f>
        <v>11001000</v>
      </c>
      <c r="C454" s="8" t="s">
        <v>123</v>
      </c>
      <c r="D454" s="9">
        <v>1</v>
      </c>
      <c r="E454" s="9">
        <v>1</v>
      </c>
      <c r="F454" s="9">
        <v>0</v>
      </c>
      <c r="G454" s="9">
        <v>0</v>
      </c>
      <c r="H454" s="9">
        <v>1</v>
      </c>
      <c r="I454" s="9">
        <v>0</v>
      </c>
      <c r="J454" s="9">
        <v>0</v>
      </c>
      <c r="K454" s="9">
        <v>0</v>
      </c>
    </row>
    <row r="455" spans="2:11" s="1" customFormat="1">
      <c r="B455" s="5"/>
      <c r="C455" s="102"/>
      <c r="D455" s="102"/>
      <c r="E455" s="102"/>
      <c r="F455" s="102"/>
      <c r="G455" s="102"/>
      <c r="H455" s="102"/>
      <c r="I455" s="102"/>
      <c r="J455" s="102"/>
      <c r="K455" s="102"/>
    </row>
    <row r="456" spans="2:11" s="1" customFormat="1" ht="13.5">
      <c r="B456" s="3"/>
      <c r="C456" s="10" t="s">
        <v>6</v>
      </c>
      <c r="D456" s="143" t="s">
        <v>125</v>
      </c>
      <c r="E456" s="143"/>
      <c r="F456" s="10" t="s">
        <v>126</v>
      </c>
      <c r="G456" s="143" t="s">
        <v>127</v>
      </c>
      <c r="H456" s="143"/>
      <c r="I456" s="143"/>
      <c r="J456" s="143"/>
      <c r="K456" s="10" t="s">
        <v>123</v>
      </c>
    </row>
    <row r="457" spans="2:11" s="1" customFormat="1" ht="25.5" customHeight="1">
      <c r="B457" s="3"/>
      <c r="C457" s="10" t="str">
        <f>D453</f>
        <v>FOLD_BACK_VOLTAGE[7:0]</v>
      </c>
      <c r="D457" s="143" t="s">
        <v>1287</v>
      </c>
      <c r="E457" s="143"/>
      <c r="F457" s="10"/>
      <c r="G457" s="143" t="s">
        <v>1296</v>
      </c>
      <c r="H457" s="143"/>
      <c r="I457" s="143"/>
      <c r="J457" s="143"/>
      <c r="K457" s="10" t="s">
        <v>1292</v>
      </c>
    </row>
    <row r="459" spans="2:11" s="1" customFormat="1" ht="12.75" customHeight="1">
      <c r="B459" s="5">
        <f>B451+1</f>
        <v>76</v>
      </c>
      <c r="C459" s="221" t="str">
        <f>"4.6."&amp;B459-59&amp;" Addr 0x"&amp;DEC2HEX(B459,8)&amp;" Operation information.low charge temperature"</f>
        <v>4.6.17 Addr 0x0000004C Operation information.low charge temperature</v>
      </c>
      <c r="D459" s="222"/>
      <c r="E459" s="222"/>
      <c r="F459" s="222"/>
      <c r="G459" s="222"/>
      <c r="H459" s="222"/>
      <c r="I459" s="222"/>
      <c r="J459" s="222"/>
      <c r="K459" s="223"/>
    </row>
    <row r="460" spans="2:11" s="1" customFormat="1">
      <c r="B460" s="5"/>
      <c r="C460" s="6" t="s">
        <v>120</v>
      </c>
      <c r="D460" s="7">
        <v>7</v>
      </c>
      <c r="E460" s="7">
        <v>6</v>
      </c>
      <c r="F460" s="7">
        <v>5</v>
      </c>
      <c r="G460" s="7">
        <v>4</v>
      </c>
      <c r="H460" s="7">
        <v>3</v>
      </c>
      <c r="I460" s="7">
        <v>2</v>
      </c>
      <c r="J460" s="7">
        <v>1</v>
      </c>
      <c r="K460" s="7">
        <v>0</v>
      </c>
    </row>
    <row r="461" spans="2:11" s="1" customFormat="1" ht="13.5" customHeight="1">
      <c r="B461" s="5"/>
      <c r="C461" s="8" t="s">
        <v>6</v>
      </c>
      <c r="D461" s="176" t="s">
        <v>1288</v>
      </c>
      <c r="E461" s="102"/>
      <c r="F461" s="102"/>
      <c r="G461" s="102"/>
      <c r="H461" s="102"/>
      <c r="I461" s="102"/>
      <c r="J461" s="102"/>
      <c r="K461" s="177"/>
    </row>
    <row r="462" spans="2:11" s="1" customFormat="1">
      <c r="B462" s="5" t="str">
        <f>CONCATENATE(D462,E462,F462,G462,H462,I462,J462,K462)</f>
        <v>00001010</v>
      </c>
      <c r="C462" s="8" t="s">
        <v>123</v>
      </c>
      <c r="D462" s="9">
        <v>0</v>
      </c>
      <c r="E462" s="9">
        <v>0</v>
      </c>
      <c r="F462" s="9">
        <v>0</v>
      </c>
      <c r="G462" s="9">
        <v>0</v>
      </c>
      <c r="H462" s="9">
        <v>1</v>
      </c>
      <c r="I462" s="9">
        <v>0</v>
      </c>
      <c r="J462" s="9">
        <v>1</v>
      </c>
      <c r="K462" s="9">
        <v>0</v>
      </c>
    </row>
    <row r="463" spans="2:11" s="1" customFormat="1">
      <c r="B463" s="5"/>
      <c r="C463" s="102"/>
      <c r="D463" s="102"/>
      <c r="E463" s="102"/>
      <c r="F463" s="102"/>
      <c r="G463" s="102"/>
      <c r="H463" s="102"/>
      <c r="I463" s="102"/>
      <c r="J463" s="102"/>
      <c r="K463" s="102"/>
    </row>
    <row r="464" spans="2:11" s="1" customFormat="1" ht="13.5">
      <c r="B464" s="3"/>
      <c r="C464" s="10" t="s">
        <v>6</v>
      </c>
      <c r="D464" s="143" t="s">
        <v>125</v>
      </c>
      <c r="E464" s="143"/>
      <c r="F464" s="10" t="s">
        <v>126</v>
      </c>
      <c r="G464" s="143" t="s">
        <v>127</v>
      </c>
      <c r="H464" s="143"/>
      <c r="I464" s="143"/>
      <c r="J464" s="143"/>
      <c r="K464" s="10" t="s">
        <v>123</v>
      </c>
    </row>
    <row r="465" spans="2:11" s="1" customFormat="1" ht="27.75" customHeight="1">
      <c r="B465" s="3"/>
      <c r="C465" s="10" t="str">
        <f>D461</f>
        <v>LOW_CHARGE_TEMP[7:0]</v>
      </c>
      <c r="D465" s="143" t="s">
        <v>1290</v>
      </c>
      <c r="E465" s="143"/>
      <c r="F465" s="10"/>
      <c r="G465" s="143" t="s">
        <v>1295</v>
      </c>
      <c r="H465" s="143"/>
      <c r="I465" s="143"/>
      <c r="J465" s="143"/>
      <c r="K465" s="10" t="s">
        <v>1293</v>
      </c>
    </row>
    <row r="467" spans="2:11" s="1" customFormat="1" ht="12.75" customHeight="1">
      <c r="B467" s="5">
        <f>B459+1</f>
        <v>77</v>
      </c>
      <c r="C467" s="221" t="str">
        <f>"4.6."&amp;B467-59&amp;" Addr 0x"&amp;DEC2HEX(B467,8)&amp;" Operation information.high charge temperature"</f>
        <v>4.6.18 Addr 0x0000004D Operation information.high charge temperature</v>
      </c>
      <c r="D467" s="222"/>
      <c r="E467" s="222"/>
      <c r="F467" s="222"/>
      <c r="G467" s="222"/>
      <c r="H467" s="222"/>
      <c r="I467" s="222"/>
      <c r="J467" s="222"/>
      <c r="K467" s="223"/>
    </row>
    <row r="468" spans="2:11" s="1" customFormat="1">
      <c r="B468" s="5"/>
      <c r="C468" s="6" t="s">
        <v>120</v>
      </c>
      <c r="D468" s="7">
        <v>7</v>
      </c>
      <c r="E468" s="7">
        <v>6</v>
      </c>
      <c r="F468" s="7">
        <v>5</v>
      </c>
      <c r="G468" s="7">
        <v>4</v>
      </c>
      <c r="H468" s="7">
        <v>3</v>
      </c>
      <c r="I468" s="7">
        <v>2</v>
      </c>
      <c r="J468" s="7">
        <v>1</v>
      </c>
      <c r="K468" s="7">
        <v>0</v>
      </c>
    </row>
    <row r="469" spans="2:11" s="1" customFormat="1" ht="13.5" customHeight="1">
      <c r="B469" s="5"/>
      <c r="C469" s="8" t="s">
        <v>6</v>
      </c>
      <c r="D469" s="176" t="s">
        <v>1289</v>
      </c>
      <c r="E469" s="102"/>
      <c r="F469" s="102"/>
      <c r="G469" s="102"/>
      <c r="H469" s="102"/>
      <c r="I469" s="102"/>
      <c r="J469" s="102"/>
      <c r="K469" s="177"/>
    </row>
    <row r="470" spans="2:11" s="1" customFormat="1">
      <c r="B470" s="5" t="str">
        <f>CONCATENATE(D470,E470,F470,G470,H470,I470,J470,K470)</f>
        <v>00101101</v>
      </c>
      <c r="C470" s="8" t="s">
        <v>123</v>
      </c>
      <c r="D470" s="85">
        <v>0</v>
      </c>
      <c r="E470" s="85">
        <v>0</v>
      </c>
      <c r="F470" s="85">
        <v>1</v>
      </c>
      <c r="G470" s="85">
        <v>0</v>
      </c>
      <c r="H470" s="85">
        <v>1</v>
      </c>
      <c r="I470" s="85">
        <v>1</v>
      </c>
      <c r="J470" s="85">
        <v>0</v>
      </c>
      <c r="K470" s="85">
        <v>1</v>
      </c>
    </row>
    <row r="471" spans="2:11" s="1" customFormat="1">
      <c r="B471" s="5"/>
      <c r="C471" s="102"/>
      <c r="D471" s="102"/>
      <c r="E471" s="102"/>
      <c r="F471" s="102"/>
      <c r="G471" s="102"/>
      <c r="H471" s="102"/>
      <c r="I471" s="102"/>
      <c r="J471" s="102"/>
      <c r="K471" s="102"/>
    </row>
    <row r="472" spans="2:11" s="1" customFormat="1" ht="13.5">
      <c r="B472" s="3"/>
      <c r="C472" s="84" t="s">
        <v>6</v>
      </c>
      <c r="D472" s="143" t="s">
        <v>125</v>
      </c>
      <c r="E472" s="143"/>
      <c r="F472" s="84" t="s">
        <v>126</v>
      </c>
      <c r="G472" s="143" t="s">
        <v>127</v>
      </c>
      <c r="H472" s="143"/>
      <c r="I472" s="143"/>
      <c r="J472" s="143"/>
      <c r="K472" s="84" t="s">
        <v>123</v>
      </c>
    </row>
    <row r="473" spans="2:11" s="1" customFormat="1" ht="25.5" customHeight="1">
      <c r="B473" s="3"/>
      <c r="C473" s="84" t="str">
        <f>D469</f>
        <v>HIGH_CHARGE_TEMP[7:0]</v>
      </c>
      <c r="D473" s="143" t="s">
        <v>1290</v>
      </c>
      <c r="E473" s="143"/>
      <c r="F473" s="84"/>
      <c r="G473" s="143" t="s">
        <v>1296</v>
      </c>
      <c r="H473" s="143"/>
      <c r="I473" s="143"/>
      <c r="J473" s="143"/>
      <c r="K473" s="84" t="s">
        <v>1294</v>
      </c>
    </row>
    <row r="475" spans="2:11" s="1" customFormat="1" ht="12.75" customHeight="1">
      <c r="B475" s="5">
        <v>78</v>
      </c>
      <c r="C475" s="218" t="str">
        <f>"4.4."&amp;B475-51&amp;" Addr 0x"&amp;DEC2HEX(B475,8)&amp;" Status.4"</f>
        <v>4.4.27 Addr 0x0000004E Status.4</v>
      </c>
      <c r="D475" s="219"/>
      <c r="E475" s="219"/>
      <c r="F475" s="219"/>
      <c r="G475" s="219"/>
      <c r="H475" s="219"/>
      <c r="I475" s="219"/>
      <c r="J475" s="219"/>
      <c r="K475" s="220"/>
    </row>
    <row r="476" spans="2:11" s="1" customFormat="1">
      <c r="B476" s="5"/>
      <c r="C476" s="6" t="s">
        <v>120</v>
      </c>
      <c r="D476" s="7">
        <v>7</v>
      </c>
      <c r="E476" s="7">
        <v>6</v>
      </c>
      <c r="F476" s="7">
        <v>5</v>
      </c>
      <c r="G476" s="7">
        <v>4</v>
      </c>
      <c r="H476" s="7">
        <v>3</v>
      </c>
      <c r="I476" s="7">
        <v>2</v>
      </c>
      <c r="J476" s="7">
        <v>1</v>
      </c>
      <c r="K476" s="7">
        <v>0</v>
      </c>
    </row>
    <row r="477" spans="2:11" s="1" customFormat="1" ht="25.5" customHeight="1">
      <c r="B477" s="5"/>
      <c r="C477" s="8" t="s">
        <v>6</v>
      </c>
      <c r="D477" s="9" t="s">
        <v>121</v>
      </c>
      <c r="E477" s="9" t="s">
        <v>121</v>
      </c>
      <c r="F477" s="9" t="s">
        <v>865</v>
      </c>
      <c r="G477" s="9" t="s">
        <v>866</v>
      </c>
      <c r="H477" s="9" t="s">
        <v>867</v>
      </c>
      <c r="I477" s="9" t="s">
        <v>121</v>
      </c>
      <c r="J477" s="9" t="s">
        <v>868</v>
      </c>
      <c r="K477" s="9" t="s">
        <v>121</v>
      </c>
    </row>
    <row r="478" spans="2:11" s="1" customFormat="1">
      <c r="B478" s="5" t="str">
        <f>CONCATENATE(D478,E478,F478,G478,H478,I478,J478,K478)</f>
        <v>00000000</v>
      </c>
      <c r="C478" s="8" t="s">
        <v>123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</row>
    <row r="479" spans="2:11" s="1" customFormat="1">
      <c r="B479" s="5"/>
      <c r="C479" s="102"/>
      <c r="D479" s="102"/>
      <c r="E479" s="102"/>
      <c r="F479" s="102"/>
      <c r="G479" s="102"/>
      <c r="H479" s="102"/>
      <c r="I479" s="102"/>
      <c r="J479" s="102"/>
      <c r="K479" s="102"/>
    </row>
    <row r="480" spans="2:11" s="1" customFormat="1" ht="13.5">
      <c r="B480" s="3"/>
      <c r="C480" s="10" t="s">
        <v>6</v>
      </c>
      <c r="D480" s="143" t="s">
        <v>125</v>
      </c>
      <c r="E480" s="143"/>
      <c r="F480" s="10" t="s">
        <v>126</v>
      </c>
      <c r="G480" s="143" t="s">
        <v>127</v>
      </c>
      <c r="H480" s="143"/>
      <c r="I480" s="143"/>
      <c r="J480" s="143"/>
      <c r="K480" s="10" t="s">
        <v>123</v>
      </c>
    </row>
    <row r="481" spans="2:11" s="1" customFormat="1" ht="13.5">
      <c r="B481" s="3"/>
      <c r="C481" s="10" t="str">
        <f>J477</f>
        <v>TOGGLE_LDO</v>
      </c>
      <c r="D481" s="144" t="s">
        <v>869</v>
      </c>
      <c r="E481" s="144"/>
      <c r="F481" s="10" t="s">
        <v>721</v>
      </c>
      <c r="G481" s="143"/>
      <c r="H481" s="143"/>
      <c r="I481" s="143"/>
      <c r="J481" s="143"/>
      <c r="K481" s="10" t="s">
        <v>262</v>
      </c>
    </row>
    <row r="482" spans="2:11" s="1" customFormat="1" ht="13.5">
      <c r="B482" s="3"/>
      <c r="C482" s="10" t="str">
        <f>H477</f>
        <v>SEND_EPT</v>
      </c>
      <c r="D482" s="144" t="s">
        <v>869</v>
      </c>
      <c r="E482" s="144"/>
      <c r="F482" s="10" t="s">
        <v>721</v>
      </c>
      <c r="G482" s="143"/>
      <c r="H482" s="143"/>
      <c r="I482" s="143"/>
      <c r="J482" s="143"/>
      <c r="K482" s="10" t="s">
        <v>262</v>
      </c>
    </row>
    <row r="483" spans="2:11" s="1" customFormat="1" ht="13.5">
      <c r="B483" s="3"/>
      <c r="C483" s="10" t="str">
        <f>G477</f>
        <v>SEND_CSP</v>
      </c>
      <c r="D483" s="144" t="s">
        <v>869</v>
      </c>
      <c r="E483" s="144"/>
      <c r="F483" s="10" t="s">
        <v>721</v>
      </c>
      <c r="G483" s="143"/>
      <c r="H483" s="143"/>
      <c r="I483" s="143"/>
      <c r="J483" s="143"/>
      <c r="K483" s="10" t="s">
        <v>262</v>
      </c>
    </row>
    <row r="484" spans="2:11" s="1" customFormat="1" ht="13.5">
      <c r="B484" s="3"/>
      <c r="C484" s="10" t="str">
        <f>F477</f>
        <v>CLEAR_INTERRUPT</v>
      </c>
      <c r="D484" s="144" t="s">
        <v>870</v>
      </c>
      <c r="E484" s="144"/>
      <c r="F484" s="10" t="s">
        <v>721</v>
      </c>
      <c r="G484" s="143" t="s">
        <v>871</v>
      </c>
      <c r="H484" s="143"/>
      <c r="I484" s="143"/>
      <c r="J484" s="143"/>
      <c r="K484" s="10" t="s">
        <v>262</v>
      </c>
    </row>
    <row r="486" spans="2:11" s="1" customFormat="1" ht="12.75" customHeight="1">
      <c r="B486" s="5">
        <v>80</v>
      </c>
      <c r="C486" s="224" t="str">
        <f>"4.7."&amp;B486-$B$486+1&amp;" Addr 0x"&amp;DEC2HEX(B486,8)&amp;" Calibration data.Valid"</f>
        <v>4.7.1 Addr 0x00000050 Calibration data.Valid</v>
      </c>
      <c r="D486" s="225"/>
      <c r="E486" s="225"/>
      <c r="F486" s="225"/>
      <c r="G486" s="225"/>
      <c r="H486" s="225"/>
      <c r="I486" s="225"/>
      <c r="J486" s="225"/>
      <c r="K486" s="226"/>
    </row>
    <row r="487" spans="2:11" s="1" customFormat="1">
      <c r="B487" s="5"/>
      <c r="C487" s="6" t="s">
        <v>120</v>
      </c>
      <c r="D487" s="7">
        <v>7</v>
      </c>
      <c r="E487" s="7">
        <v>6</v>
      </c>
      <c r="F487" s="7">
        <v>5</v>
      </c>
      <c r="G487" s="7">
        <v>4</v>
      </c>
      <c r="H487" s="7">
        <v>3</v>
      </c>
      <c r="I487" s="7">
        <v>2</v>
      </c>
      <c r="J487" s="7">
        <v>1</v>
      </c>
      <c r="K487" s="7">
        <v>0</v>
      </c>
    </row>
    <row r="488" spans="2:11" s="1" customFormat="1" ht="13.5" customHeight="1">
      <c r="B488" s="5"/>
      <c r="C488" s="8" t="s">
        <v>6</v>
      </c>
      <c r="D488" s="176" t="s">
        <v>872</v>
      </c>
      <c r="E488" s="102"/>
      <c r="F488" s="102"/>
      <c r="G488" s="102"/>
      <c r="H488" s="102"/>
      <c r="I488" s="102"/>
      <c r="J488" s="102"/>
      <c r="K488" s="177"/>
    </row>
    <row r="489" spans="2:11" s="1" customFormat="1">
      <c r="B489" s="5" t="str">
        <f>CONCATENATE(D489,E489,F489,G489,H489,I489,J489,K489)</f>
        <v>00000000</v>
      </c>
      <c r="C489" s="8" t="s">
        <v>123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</row>
    <row r="490" spans="2:11" s="1" customFormat="1">
      <c r="B490" s="5"/>
      <c r="C490" s="102"/>
      <c r="D490" s="102"/>
      <c r="E490" s="102"/>
      <c r="F490" s="102"/>
      <c r="G490" s="102"/>
      <c r="H490" s="102"/>
      <c r="I490" s="102"/>
      <c r="J490" s="102"/>
      <c r="K490" s="102"/>
    </row>
    <row r="491" spans="2:11" s="1" customFormat="1" ht="13.5">
      <c r="B491" s="3"/>
      <c r="C491" s="10" t="s">
        <v>6</v>
      </c>
      <c r="D491" s="143" t="s">
        <v>125</v>
      </c>
      <c r="E491" s="143"/>
      <c r="F491" s="10" t="s">
        <v>126</v>
      </c>
      <c r="G491" s="143" t="s">
        <v>127</v>
      </c>
      <c r="H491" s="143"/>
      <c r="I491" s="143"/>
      <c r="J491" s="143"/>
      <c r="K491" s="10" t="s">
        <v>123</v>
      </c>
    </row>
    <row r="492" spans="2:11" s="1" customFormat="1" ht="24.75" customHeight="1">
      <c r="B492" s="3"/>
      <c r="C492" s="10" t="str">
        <f>D488</f>
        <v>CAL_DATA_VALID[7:0]</v>
      </c>
      <c r="D492" s="143" t="s">
        <v>873</v>
      </c>
      <c r="E492" s="143"/>
      <c r="F492" s="10" t="s">
        <v>721</v>
      </c>
      <c r="G492" s="143" t="s">
        <v>874</v>
      </c>
      <c r="H492" s="143"/>
      <c r="I492" s="143"/>
      <c r="J492" s="143"/>
      <c r="K492" s="10" t="s">
        <v>722</v>
      </c>
    </row>
    <row r="494" spans="2:11" s="1" customFormat="1" ht="12.75" customHeight="1">
      <c r="B494" s="5">
        <f>B486+1</f>
        <v>81</v>
      </c>
      <c r="C494" s="224" t="str">
        <f>"4.7."&amp;B494-$B$486+1&amp;" Addr 0x"&amp;DEC2HEX(B494,8)&amp;" Calibration data.BGR"</f>
        <v>4.7.2 Addr 0x00000051 Calibration data.BGR</v>
      </c>
      <c r="D494" s="225"/>
      <c r="E494" s="225"/>
      <c r="F494" s="225"/>
      <c r="G494" s="225"/>
      <c r="H494" s="225"/>
      <c r="I494" s="225"/>
      <c r="J494" s="225"/>
      <c r="K494" s="226"/>
    </row>
    <row r="495" spans="2:11" s="1" customFormat="1">
      <c r="B495" s="5"/>
      <c r="C495" s="6" t="s">
        <v>120</v>
      </c>
      <c r="D495" s="7">
        <v>7</v>
      </c>
      <c r="E495" s="7">
        <v>6</v>
      </c>
      <c r="F495" s="7">
        <v>5</v>
      </c>
      <c r="G495" s="7">
        <v>4</v>
      </c>
      <c r="H495" s="7">
        <v>3</v>
      </c>
      <c r="I495" s="7">
        <v>2</v>
      </c>
      <c r="J495" s="7">
        <v>1</v>
      </c>
      <c r="K495" s="7">
        <v>0</v>
      </c>
    </row>
    <row r="496" spans="2:11" s="1" customFormat="1" ht="13.5" customHeight="1">
      <c r="B496" s="5"/>
      <c r="C496" s="8" t="s">
        <v>6</v>
      </c>
      <c r="D496" s="9" t="s">
        <v>121</v>
      </c>
      <c r="E496" s="9" t="s">
        <v>121</v>
      </c>
      <c r="F496" s="9" t="s">
        <v>121</v>
      </c>
      <c r="G496" s="227" t="s">
        <v>875</v>
      </c>
      <c r="H496" s="227"/>
      <c r="I496" s="227"/>
      <c r="J496" s="227"/>
      <c r="K496" s="227"/>
    </row>
    <row r="497" spans="2:11" s="1" customFormat="1">
      <c r="B497" s="5" t="str">
        <f>CONCATENATE(D497,E497,F497,G497,H497,I497,J497,K497)</f>
        <v>00000000</v>
      </c>
      <c r="C497" s="8" t="s">
        <v>123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</row>
    <row r="498" spans="2:11" s="1" customFormat="1">
      <c r="B498" s="5"/>
      <c r="C498" s="102"/>
      <c r="D498" s="102"/>
      <c r="E498" s="102"/>
      <c r="F498" s="102"/>
      <c r="G498" s="102"/>
      <c r="H498" s="102"/>
      <c r="I498" s="102"/>
      <c r="J498" s="102"/>
      <c r="K498" s="102"/>
    </row>
    <row r="499" spans="2:11" s="1" customFormat="1" ht="13.5">
      <c r="B499" s="3"/>
      <c r="C499" s="10" t="s">
        <v>6</v>
      </c>
      <c r="D499" s="143" t="s">
        <v>125</v>
      </c>
      <c r="E499" s="143"/>
      <c r="F499" s="10" t="s">
        <v>126</v>
      </c>
      <c r="G499" s="143" t="s">
        <v>127</v>
      </c>
      <c r="H499" s="143"/>
      <c r="I499" s="143"/>
      <c r="J499" s="143"/>
      <c r="K499" s="10" t="s">
        <v>123</v>
      </c>
    </row>
    <row r="500" spans="2:11" s="1" customFormat="1" ht="13.5">
      <c r="B500" s="3"/>
      <c r="C500" s="10" t="str">
        <f>G496</f>
        <v>CAL_DATA_BGR[4:0]</v>
      </c>
      <c r="D500" s="143" t="s">
        <v>876</v>
      </c>
      <c r="E500" s="143"/>
      <c r="F500" s="10" t="s">
        <v>721</v>
      </c>
      <c r="G500" s="143"/>
      <c r="H500" s="143"/>
      <c r="I500" s="143"/>
      <c r="J500" s="143"/>
      <c r="K500" s="10" t="s">
        <v>722</v>
      </c>
    </row>
    <row r="502" spans="2:11" s="1" customFormat="1" ht="12.75" customHeight="1">
      <c r="B502" s="5">
        <f>B494+1</f>
        <v>82</v>
      </c>
      <c r="C502" s="224" t="str">
        <f>"4.7."&amp;B502-$B$486+1&amp;" Addr 0x"&amp;DEC2HEX(B502,8)&amp;" Calibration data.RCOSC"</f>
        <v>4.7.3 Addr 0x00000052 Calibration data.RCOSC</v>
      </c>
      <c r="D502" s="225"/>
      <c r="E502" s="225"/>
      <c r="F502" s="225"/>
      <c r="G502" s="225"/>
      <c r="H502" s="225"/>
      <c r="I502" s="225"/>
      <c r="J502" s="225"/>
      <c r="K502" s="226"/>
    </row>
    <row r="503" spans="2:11" s="1" customFormat="1">
      <c r="B503" s="5"/>
      <c r="C503" s="6" t="s">
        <v>120</v>
      </c>
      <c r="D503" s="7">
        <v>7</v>
      </c>
      <c r="E503" s="7">
        <v>6</v>
      </c>
      <c r="F503" s="7">
        <v>5</v>
      </c>
      <c r="G503" s="7">
        <v>4</v>
      </c>
      <c r="H503" s="7">
        <v>3</v>
      </c>
      <c r="I503" s="7">
        <v>2</v>
      </c>
      <c r="J503" s="7">
        <v>1</v>
      </c>
      <c r="K503" s="7">
        <v>0</v>
      </c>
    </row>
    <row r="504" spans="2:11" s="1" customFormat="1" ht="13.5" customHeight="1">
      <c r="B504" s="5"/>
      <c r="C504" s="8" t="s">
        <v>6</v>
      </c>
      <c r="D504" s="9" t="s">
        <v>121</v>
      </c>
      <c r="E504" s="176" t="s">
        <v>877</v>
      </c>
      <c r="F504" s="102"/>
      <c r="G504" s="102"/>
      <c r="H504" s="102"/>
      <c r="I504" s="102"/>
      <c r="J504" s="102"/>
      <c r="K504" s="177"/>
    </row>
    <row r="505" spans="2:11" s="1" customFormat="1">
      <c r="B505" s="5" t="str">
        <f>CONCATENATE(D505,E505,F505,G505,H505,I505,J505,K505)</f>
        <v>00000000</v>
      </c>
      <c r="C505" s="8" t="s">
        <v>123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</row>
    <row r="506" spans="2:11" s="1" customFormat="1">
      <c r="B506" s="5"/>
      <c r="C506" s="102"/>
      <c r="D506" s="102"/>
      <c r="E506" s="102"/>
      <c r="F506" s="102"/>
      <c r="G506" s="102"/>
      <c r="H506" s="102"/>
      <c r="I506" s="102"/>
      <c r="J506" s="102"/>
      <c r="K506" s="102"/>
    </row>
    <row r="507" spans="2:11" s="1" customFormat="1" ht="13.5">
      <c r="B507" s="3"/>
      <c r="C507" s="10" t="s">
        <v>6</v>
      </c>
      <c r="D507" s="143" t="s">
        <v>125</v>
      </c>
      <c r="E507" s="143"/>
      <c r="F507" s="10" t="s">
        <v>126</v>
      </c>
      <c r="G507" s="143" t="s">
        <v>127</v>
      </c>
      <c r="H507" s="143"/>
      <c r="I507" s="143"/>
      <c r="J507" s="143"/>
      <c r="K507" s="10" t="s">
        <v>123</v>
      </c>
    </row>
    <row r="508" spans="2:11" s="1" customFormat="1" ht="13.5">
      <c r="B508" s="3"/>
      <c r="C508" s="10" t="str">
        <f>E504</f>
        <v>CAL_DATA_RCOSC_C[7:0]</v>
      </c>
      <c r="D508" s="143" t="s">
        <v>878</v>
      </c>
      <c r="E508" s="143"/>
      <c r="F508" s="10" t="s">
        <v>721</v>
      </c>
      <c r="G508" s="143"/>
      <c r="H508" s="143"/>
      <c r="I508" s="143"/>
      <c r="J508" s="143"/>
      <c r="K508" s="10" t="s">
        <v>722</v>
      </c>
    </row>
    <row r="509" spans="2:11" s="1" customFormat="1">
      <c r="B509" s="5"/>
      <c r="C509" s="102"/>
      <c r="D509" s="102"/>
      <c r="E509" s="102"/>
      <c r="F509" s="102"/>
      <c r="G509" s="102"/>
      <c r="H509" s="102"/>
      <c r="I509" s="102"/>
      <c r="J509" s="102"/>
      <c r="K509" s="102"/>
    </row>
    <row r="510" spans="2:11" s="1" customFormat="1" ht="12.75" customHeight="1">
      <c r="B510" s="5">
        <f>B502+1</f>
        <v>83</v>
      </c>
      <c r="C510" s="224" t="str">
        <f>"4.7."&amp;B510-$B$486+1&amp;" Addr 0x"&amp;DEC2HEX(B510,8)&amp;" Calibration data.Vrect Atten"</f>
        <v>4.7.4 Addr 0x00000053 Calibration data.Vrect Atten</v>
      </c>
      <c r="D510" s="225"/>
      <c r="E510" s="225"/>
      <c r="F510" s="225"/>
      <c r="G510" s="225"/>
      <c r="H510" s="225"/>
      <c r="I510" s="225"/>
      <c r="J510" s="225"/>
      <c r="K510" s="226"/>
    </row>
    <row r="511" spans="2:11" s="1" customFormat="1">
      <c r="B511" s="5"/>
      <c r="C511" s="6" t="s">
        <v>120</v>
      </c>
      <c r="D511" s="7">
        <v>7</v>
      </c>
      <c r="E511" s="7">
        <v>6</v>
      </c>
      <c r="F511" s="7">
        <v>5</v>
      </c>
      <c r="G511" s="7">
        <v>4</v>
      </c>
      <c r="H511" s="7">
        <v>3</v>
      </c>
      <c r="I511" s="7">
        <v>2</v>
      </c>
      <c r="J511" s="7">
        <v>1</v>
      </c>
      <c r="K511" s="7">
        <v>0</v>
      </c>
    </row>
    <row r="512" spans="2:11" s="1" customFormat="1" ht="13.5" customHeight="1">
      <c r="B512" s="5"/>
      <c r="C512" s="8" t="s">
        <v>6</v>
      </c>
      <c r="D512" s="176" t="s">
        <v>879</v>
      </c>
      <c r="E512" s="102"/>
      <c r="F512" s="102"/>
      <c r="G512" s="102"/>
      <c r="H512" s="102"/>
      <c r="I512" s="102"/>
      <c r="J512" s="102"/>
      <c r="K512" s="177"/>
    </row>
    <row r="513" spans="2:11" s="1" customFormat="1">
      <c r="B513" s="5" t="str">
        <f>CONCATENATE(D513,E513,F513,G513,H513,I513,J513,K513)</f>
        <v>00000000</v>
      </c>
      <c r="C513" s="8" t="s">
        <v>123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</row>
    <row r="514" spans="2:11" s="1" customFormat="1">
      <c r="B514" s="5"/>
      <c r="C514" s="102"/>
      <c r="D514" s="102"/>
      <c r="E514" s="102"/>
      <c r="F514" s="102"/>
      <c r="G514" s="102"/>
      <c r="H514" s="102"/>
      <c r="I514" s="102"/>
      <c r="J514" s="102"/>
      <c r="K514" s="102"/>
    </row>
    <row r="515" spans="2:11" s="1" customFormat="1" ht="13.5">
      <c r="B515" s="3"/>
      <c r="C515" s="10" t="s">
        <v>6</v>
      </c>
      <c r="D515" s="143" t="s">
        <v>125</v>
      </c>
      <c r="E515" s="143"/>
      <c r="F515" s="10" t="s">
        <v>126</v>
      </c>
      <c r="G515" s="143" t="s">
        <v>127</v>
      </c>
      <c r="H515" s="143"/>
      <c r="I515" s="143"/>
      <c r="J515" s="143"/>
      <c r="K515" s="10" t="s">
        <v>123</v>
      </c>
    </row>
    <row r="516" spans="2:11" s="1" customFormat="1" ht="27">
      <c r="B516" s="3"/>
      <c r="C516" s="10" t="str">
        <f>D512</f>
        <v>CAL_DATA_VRECT_ATTEN[7:0]</v>
      </c>
      <c r="D516" s="143" t="s">
        <v>880</v>
      </c>
      <c r="E516" s="143"/>
      <c r="F516" s="10" t="s">
        <v>721</v>
      </c>
      <c r="G516" s="143"/>
      <c r="H516" s="143"/>
      <c r="I516" s="143"/>
      <c r="J516" s="143"/>
      <c r="K516" s="10" t="s">
        <v>722</v>
      </c>
    </row>
    <row r="517" spans="2:11" s="1" customFormat="1">
      <c r="B517" s="5"/>
      <c r="C517" s="102"/>
      <c r="D517" s="102"/>
      <c r="E517" s="102"/>
      <c r="F517" s="102"/>
      <c r="G517" s="102"/>
      <c r="H517" s="102"/>
      <c r="I517" s="102"/>
      <c r="J517" s="102"/>
      <c r="K517" s="102"/>
    </row>
    <row r="518" spans="2:11" s="1" customFormat="1" ht="12.75" customHeight="1">
      <c r="B518" s="5">
        <f>B510+1</f>
        <v>84</v>
      </c>
      <c r="C518" s="224" t="str">
        <f>"4.7."&amp;B518-$B$486+1&amp;" Addr 0x"&amp;DEC2HEX(B518,8)&amp;" Calibration data.Vrect SV.L"</f>
        <v>4.7.5 Addr 0x00000054 Calibration data.Vrect SV.L</v>
      </c>
      <c r="D518" s="225"/>
      <c r="E518" s="225"/>
      <c r="F518" s="225"/>
      <c r="G518" s="225"/>
      <c r="H518" s="225"/>
      <c r="I518" s="225"/>
      <c r="J518" s="225"/>
      <c r="K518" s="226"/>
    </row>
    <row r="519" spans="2:11" s="1" customFormat="1">
      <c r="B519" s="5"/>
      <c r="C519" s="6" t="s">
        <v>120</v>
      </c>
      <c r="D519" s="7">
        <v>7</v>
      </c>
      <c r="E519" s="7">
        <v>6</v>
      </c>
      <c r="F519" s="7">
        <v>5</v>
      </c>
      <c r="G519" s="7">
        <v>4</v>
      </c>
      <c r="H519" s="7">
        <v>3</v>
      </c>
      <c r="I519" s="7">
        <v>2</v>
      </c>
      <c r="J519" s="7">
        <v>1</v>
      </c>
      <c r="K519" s="7">
        <v>0</v>
      </c>
    </row>
    <row r="520" spans="2:11" s="1" customFormat="1" ht="13.5" customHeight="1">
      <c r="B520" s="5"/>
      <c r="C520" s="8" t="s">
        <v>6</v>
      </c>
      <c r="D520" s="176" t="s">
        <v>881</v>
      </c>
      <c r="E520" s="102"/>
      <c r="F520" s="102"/>
      <c r="G520" s="102"/>
      <c r="H520" s="102"/>
      <c r="I520" s="102"/>
      <c r="J520" s="102"/>
      <c r="K520" s="177"/>
    </row>
    <row r="521" spans="2:11" s="1" customFormat="1">
      <c r="B521" s="5" t="str">
        <f>CONCATENATE(D521,E521,F521,G521,H521,I521,J521,K521)</f>
        <v>00000000</v>
      </c>
      <c r="C521" s="8" t="s">
        <v>123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</row>
    <row r="522" spans="2:11" s="1" customFormat="1">
      <c r="B522" s="5"/>
      <c r="C522" s="102"/>
      <c r="D522" s="102"/>
      <c r="E522" s="102"/>
      <c r="F522" s="102"/>
      <c r="G522" s="102"/>
      <c r="H522" s="102"/>
      <c r="I522" s="102"/>
      <c r="J522" s="102"/>
      <c r="K522" s="102"/>
    </row>
    <row r="523" spans="2:11" s="1" customFormat="1" ht="13.5">
      <c r="B523" s="3"/>
      <c r="C523" s="10" t="s">
        <v>6</v>
      </c>
      <c r="D523" s="143" t="s">
        <v>125</v>
      </c>
      <c r="E523" s="143"/>
      <c r="F523" s="10" t="s">
        <v>126</v>
      </c>
      <c r="G523" s="143" t="s">
        <v>127</v>
      </c>
      <c r="H523" s="143"/>
      <c r="I523" s="143"/>
      <c r="J523" s="143"/>
      <c r="K523" s="10" t="s">
        <v>123</v>
      </c>
    </row>
    <row r="524" spans="2:11" s="1" customFormat="1" ht="27">
      <c r="B524" s="3"/>
      <c r="C524" s="10" t="str">
        <f>D520</f>
        <v>CAL_DATA_VRECT_SV[7:0]</v>
      </c>
      <c r="D524" s="143" t="s">
        <v>882</v>
      </c>
      <c r="E524" s="143"/>
      <c r="F524" s="10" t="s">
        <v>721</v>
      </c>
      <c r="G524" s="143"/>
      <c r="H524" s="143"/>
      <c r="I524" s="143"/>
      <c r="J524" s="143"/>
      <c r="K524" s="10" t="s">
        <v>722</v>
      </c>
    </row>
    <row r="525" spans="2:11" s="1" customFormat="1">
      <c r="B525" s="5"/>
      <c r="C525" s="102"/>
      <c r="D525" s="102"/>
      <c r="E525" s="102"/>
      <c r="F525" s="102"/>
      <c r="G525" s="102"/>
      <c r="H525" s="102"/>
      <c r="I525" s="102"/>
      <c r="J525" s="102"/>
      <c r="K525" s="102"/>
    </row>
    <row r="526" spans="2:11" s="1" customFormat="1" ht="12.75" customHeight="1">
      <c r="B526" s="5">
        <f>B518+1</f>
        <v>85</v>
      </c>
      <c r="C526" s="224" t="str">
        <f>"4.7."&amp;B526-$B$486+1&amp;" Addr 0x"&amp;DEC2HEX(B526,8)&amp;" Calibration data.Vrect SV.H"</f>
        <v>4.7.6 Addr 0x00000055 Calibration data.Vrect SV.H</v>
      </c>
      <c r="D526" s="225"/>
      <c r="E526" s="225"/>
      <c r="F526" s="225"/>
      <c r="G526" s="225"/>
      <c r="H526" s="225"/>
      <c r="I526" s="225"/>
      <c r="J526" s="225"/>
      <c r="K526" s="226"/>
    </row>
    <row r="527" spans="2:11" s="1" customFormat="1">
      <c r="B527" s="5"/>
      <c r="C527" s="6" t="s">
        <v>120</v>
      </c>
      <c r="D527" s="7">
        <v>7</v>
      </c>
      <c r="E527" s="7">
        <v>6</v>
      </c>
      <c r="F527" s="7">
        <v>5</v>
      </c>
      <c r="G527" s="7">
        <v>4</v>
      </c>
      <c r="H527" s="7">
        <v>3</v>
      </c>
      <c r="I527" s="7">
        <v>2</v>
      </c>
      <c r="J527" s="7">
        <v>1</v>
      </c>
      <c r="K527" s="7">
        <v>0</v>
      </c>
    </row>
    <row r="528" spans="2:11" s="1" customFormat="1" ht="13.5" customHeight="1">
      <c r="B528" s="5"/>
      <c r="C528" s="8" t="s">
        <v>6</v>
      </c>
      <c r="D528" s="176" t="s">
        <v>883</v>
      </c>
      <c r="E528" s="102"/>
      <c r="F528" s="102"/>
      <c r="G528" s="102"/>
      <c r="H528" s="102"/>
      <c r="I528" s="102"/>
      <c r="J528" s="102"/>
      <c r="K528" s="177"/>
    </row>
    <row r="529" spans="2:11" s="1" customFormat="1">
      <c r="B529" s="5" t="str">
        <f>CONCATENATE(D529,E529,F529,G529,H529,I529,J529,K529)</f>
        <v>00000000</v>
      </c>
      <c r="C529" s="8" t="s">
        <v>123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</row>
    <row r="530" spans="2:11" s="1" customFormat="1">
      <c r="B530" s="5"/>
      <c r="C530" s="102"/>
      <c r="D530" s="102"/>
      <c r="E530" s="102"/>
      <c r="F530" s="102"/>
      <c r="G530" s="102"/>
      <c r="H530" s="102"/>
      <c r="I530" s="102"/>
      <c r="J530" s="102"/>
      <c r="K530" s="102"/>
    </row>
    <row r="531" spans="2:11" s="1" customFormat="1" ht="13.5">
      <c r="B531" s="3"/>
      <c r="C531" s="10" t="s">
        <v>6</v>
      </c>
      <c r="D531" s="143" t="s">
        <v>125</v>
      </c>
      <c r="E531" s="143"/>
      <c r="F531" s="10" t="s">
        <v>126</v>
      </c>
      <c r="G531" s="143" t="s">
        <v>127</v>
      </c>
      <c r="H531" s="143"/>
      <c r="I531" s="143"/>
      <c r="J531" s="143"/>
      <c r="K531" s="10" t="s">
        <v>123</v>
      </c>
    </row>
    <row r="532" spans="2:11" s="1" customFormat="1" ht="27">
      <c r="B532" s="3"/>
      <c r="C532" s="10" t="str">
        <f>D528</f>
        <v>CAL_DATA_VRECT_SV[15:8]</v>
      </c>
      <c r="D532" s="143" t="s">
        <v>882</v>
      </c>
      <c r="E532" s="143"/>
      <c r="F532" s="10" t="s">
        <v>721</v>
      </c>
      <c r="G532" s="143"/>
      <c r="H532" s="143"/>
      <c r="I532" s="143"/>
      <c r="J532" s="143"/>
      <c r="K532" s="10" t="s">
        <v>722</v>
      </c>
    </row>
    <row r="533" spans="2:11" s="1" customFormat="1">
      <c r="B533" s="5"/>
      <c r="C533" s="102"/>
      <c r="D533" s="102"/>
      <c r="E533" s="102"/>
      <c r="F533" s="102"/>
      <c r="G533" s="102"/>
      <c r="H533" s="102"/>
      <c r="I533" s="102"/>
      <c r="J533" s="102"/>
      <c r="K533" s="102"/>
    </row>
    <row r="534" spans="2:11" s="1" customFormat="1" ht="12.75" customHeight="1">
      <c r="B534" s="5">
        <f>B526+1</f>
        <v>86</v>
      </c>
      <c r="C534" s="224" t="str">
        <f>"4.7."&amp;B534-$B$486+1&amp;" Addr 0x"&amp;DEC2HEX(B534,8)&amp;" Calibration data.Vrect Const.L"</f>
        <v>4.7.7 Addr 0x00000056 Calibration data.Vrect Const.L</v>
      </c>
      <c r="D534" s="225"/>
      <c r="E534" s="225"/>
      <c r="F534" s="225"/>
      <c r="G534" s="225"/>
      <c r="H534" s="225"/>
      <c r="I534" s="225"/>
      <c r="J534" s="225"/>
      <c r="K534" s="226"/>
    </row>
    <row r="535" spans="2:11" s="1" customFormat="1">
      <c r="B535" s="5"/>
      <c r="C535" s="6" t="s">
        <v>120</v>
      </c>
      <c r="D535" s="7">
        <v>7</v>
      </c>
      <c r="E535" s="7">
        <v>6</v>
      </c>
      <c r="F535" s="7">
        <v>5</v>
      </c>
      <c r="G535" s="7">
        <v>4</v>
      </c>
      <c r="H535" s="7">
        <v>3</v>
      </c>
      <c r="I535" s="7">
        <v>2</v>
      </c>
      <c r="J535" s="7">
        <v>1</v>
      </c>
      <c r="K535" s="7">
        <v>0</v>
      </c>
    </row>
    <row r="536" spans="2:11" s="1" customFormat="1" ht="13.5" customHeight="1">
      <c r="B536" s="5"/>
      <c r="C536" s="8" t="s">
        <v>6</v>
      </c>
      <c r="D536" s="176" t="s">
        <v>884</v>
      </c>
      <c r="E536" s="102"/>
      <c r="F536" s="102"/>
      <c r="G536" s="102"/>
      <c r="H536" s="102"/>
      <c r="I536" s="102"/>
      <c r="J536" s="102"/>
      <c r="K536" s="177"/>
    </row>
    <row r="537" spans="2:11" s="1" customFormat="1">
      <c r="B537" s="5" t="str">
        <f>CONCATENATE(D537,E537,F537,G537,H537,I537,J537,K537)</f>
        <v>00000000</v>
      </c>
      <c r="C537" s="8" t="s">
        <v>123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</row>
    <row r="538" spans="2:11" s="1" customFormat="1">
      <c r="B538" s="5"/>
      <c r="C538" s="102"/>
      <c r="D538" s="102"/>
      <c r="E538" s="102"/>
      <c r="F538" s="102"/>
      <c r="G538" s="102"/>
      <c r="H538" s="102"/>
      <c r="I538" s="102"/>
      <c r="J538" s="102"/>
      <c r="K538" s="102"/>
    </row>
    <row r="539" spans="2:11" s="1" customFormat="1" ht="13.5">
      <c r="B539" s="3"/>
      <c r="C539" s="10" t="s">
        <v>6</v>
      </c>
      <c r="D539" s="143" t="s">
        <v>125</v>
      </c>
      <c r="E539" s="143"/>
      <c r="F539" s="10" t="s">
        <v>126</v>
      </c>
      <c r="G539" s="143" t="s">
        <v>127</v>
      </c>
      <c r="H539" s="143"/>
      <c r="I539" s="143"/>
      <c r="J539" s="143"/>
      <c r="K539" s="10" t="s">
        <v>123</v>
      </c>
    </row>
    <row r="540" spans="2:11" s="1" customFormat="1" ht="27">
      <c r="B540" s="3"/>
      <c r="C540" s="10" t="str">
        <f>D536</f>
        <v>CAL_DATA_VRECT_CONST[7:0]</v>
      </c>
      <c r="D540" s="143" t="s">
        <v>885</v>
      </c>
      <c r="E540" s="143"/>
      <c r="F540" s="10" t="s">
        <v>721</v>
      </c>
      <c r="G540" s="143"/>
      <c r="H540" s="143"/>
      <c r="I540" s="143"/>
      <c r="J540" s="143"/>
      <c r="K540" s="10" t="s">
        <v>722</v>
      </c>
    </row>
    <row r="541" spans="2:11" s="1" customFormat="1">
      <c r="B541" s="5"/>
      <c r="C541" s="102"/>
      <c r="D541" s="102"/>
      <c r="E541" s="102"/>
      <c r="F541" s="102"/>
      <c r="G541" s="102"/>
      <c r="H541" s="102"/>
      <c r="I541" s="102"/>
      <c r="J541" s="102"/>
      <c r="K541" s="102"/>
    </row>
    <row r="542" spans="2:11" s="1" customFormat="1" ht="12.75" customHeight="1">
      <c r="B542" s="5">
        <f>B534+1</f>
        <v>87</v>
      </c>
      <c r="C542" s="224" t="str">
        <f>"4.7."&amp;B542-$B$486+1&amp;" Addr 0x"&amp;DEC2HEX(B542,8)&amp;" Calibration data.Vrect Const.H"</f>
        <v>4.7.8 Addr 0x00000057 Calibration data.Vrect Const.H</v>
      </c>
      <c r="D542" s="225"/>
      <c r="E542" s="225"/>
      <c r="F542" s="225"/>
      <c r="G542" s="225"/>
      <c r="H542" s="225"/>
      <c r="I542" s="225"/>
      <c r="J542" s="225"/>
      <c r="K542" s="226"/>
    </row>
    <row r="543" spans="2:11" s="1" customFormat="1">
      <c r="B543" s="5"/>
      <c r="C543" s="6" t="s">
        <v>120</v>
      </c>
      <c r="D543" s="7">
        <v>7</v>
      </c>
      <c r="E543" s="7">
        <v>6</v>
      </c>
      <c r="F543" s="7">
        <v>5</v>
      </c>
      <c r="G543" s="7">
        <v>4</v>
      </c>
      <c r="H543" s="7">
        <v>3</v>
      </c>
      <c r="I543" s="7">
        <v>2</v>
      </c>
      <c r="J543" s="7">
        <v>1</v>
      </c>
      <c r="K543" s="7">
        <v>0</v>
      </c>
    </row>
    <row r="544" spans="2:11" s="1" customFormat="1" ht="13.5" customHeight="1">
      <c r="B544" s="5"/>
      <c r="C544" s="8" t="s">
        <v>6</v>
      </c>
      <c r="D544" s="176" t="s">
        <v>886</v>
      </c>
      <c r="E544" s="102"/>
      <c r="F544" s="102"/>
      <c r="G544" s="102"/>
      <c r="H544" s="102"/>
      <c r="I544" s="102"/>
      <c r="J544" s="102"/>
      <c r="K544" s="177"/>
    </row>
    <row r="545" spans="2:11" s="1" customFormat="1">
      <c r="B545" s="5" t="str">
        <f>CONCATENATE(D545,E545,F545,G545,H545,I545,J545,K545)</f>
        <v>00000000</v>
      </c>
      <c r="C545" s="8" t="s">
        <v>123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</row>
    <row r="546" spans="2:11" s="1" customFormat="1">
      <c r="B546" s="5"/>
      <c r="C546" s="102"/>
      <c r="D546" s="102"/>
      <c r="E546" s="102"/>
      <c r="F546" s="102"/>
      <c r="G546" s="102"/>
      <c r="H546" s="102"/>
      <c r="I546" s="102"/>
      <c r="J546" s="102"/>
      <c r="K546" s="102"/>
    </row>
    <row r="547" spans="2:11" s="1" customFormat="1" ht="13.5">
      <c r="B547" s="3"/>
      <c r="C547" s="10" t="s">
        <v>6</v>
      </c>
      <c r="D547" s="143" t="s">
        <v>125</v>
      </c>
      <c r="E547" s="143"/>
      <c r="F547" s="10" t="s">
        <v>126</v>
      </c>
      <c r="G547" s="143" t="s">
        <v>127</v>
      </c>
      <c r="H547" s="143"/>
      <c r="I547" s="143"/>
      <c r="J547" s="143"/>
      <c r="K547" s="10" t="s">
        <v>123</v>
      </c>
    </row>
    <row r="548" spans="2:11" s="1" customFormat="1" ht="27">
      <c r="B548" s="3"/>
      <c r="C548" s="10" t="str">
        <f>D544</f>
        <v>CAL_DATA_VRECT_CONST[15:8]</v>
      </c>
      <c r="D548" s="143" t="s">
        <v>885</v>
      </c>
      <c r="E548" s="143"/>
      <c r="F548" s="10" t="s">
        <v>721</v>
      </c>
      <c r="G548" s="143"/>
      <c r="H548" s="143"/>
      <c r="I548" s="143"/>
      <c r="J548" s="143"/>
      <c r="K548" s="10" t="s">
        <v>722</v>
      </c>
    </row>
    <row r="549" spans="2:11" s="1" customFormat="1">
      <c r="B549" s="5"/>
      <c r="C549" s="102"/>
      <c r="D549" s="102"/>
      <c r="E549" s="102"/>
      <c r="F549" s="102"/>
      <c r="G549" s="102"/>
      <c r="H549" s="102"/>
      <c r="I549" s="102"/>
      <c r="J549" s="102"/>
      <c r="K549" s="102"/>
    </row>
    <row r="550" spans="2:11" s="1" customFormat="1" ht="12.75" customHeight="1">
      <c r="B550" s="5">
        <f>B542+1</f>
        <v>88</v>
      </c>
      <c r="C550" s="224" t="str">
        <f>"4.7."&amp;B550-$B$486+1&amp;" Addr 0x"&amp;DEC2HEX(B550,8)&amp;" Calibration data.SetVout.SV.L"</f>
        <v>4.7.9 Addr 0x00000058 Calibration data.SetVout.SV.L</v>
      </c>
      <c r="D550" s="225"/>
      <c r="E550" s="225"/>
      <c r="F550" s="225"/>
      <c r="G550" s="225"/>
      <c r="H550" s="225"/>
      <c r="I550" s="225"/>
      <c r="J550" s="225"/>
      <c r="K550" s="226"/>
    </row>
    <row r="551" spans="2:11" s="1" customFormat="1">
      <c r="B551" s="5"/>
      <c r="C551" s="6" t="s">
        <v>120</v>
      </c>
      <c r="D551" s="7">
        <v>7</v>
      </c>
      <c r="E551" s="7">
        <v>6</v>
      </c>
      <c r="F551" s="7">
        <v>5</v>
      </c>
      <c r="G551" s="7">
        <v>4</v>
      </c>
      <c r="H551" s="7">
        <v>3</v>
      </c>
      <c r="I551" s="7">
        <v>2</v>
      </c>
      <c r="J551" s="7">
        <v>1</v>
      </c>
      <c r="K551" s="7">
        <v>0</v>
      </c>
    </row>
    <row r="552" spans="2:11" s="1" customFormat="1" ht="13.5" customHeight="1">
      <c r="B552" s="5"/>
      <c r="C552" s="8" t="s">
        <v>6</v>
      </c>
      <c r="D552" s="176" t="s">
        <v>887</v>
      </c>
      <c r="E552" s="102"/>
      <c r="F552" s="102"/>
      <c r="G552" s="102"/>
      <c r="H552" s="102"/>
      <c r="I552" s="102"/>
      <c r="J552" s="102"/>
      <c r="K552" s="177"/>
    </row>
    <row r="553" spans="2:11" s="1" customFormat="1">
      <c r="B553" s="5" t="str">
        <f>CONCATENATE(D553,E553,F553,G553,H553,I553,J553,K553)</f>
        <v>00000000</v>
      </c>
      <c r="C553" s="8" t="s">
        <v>123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</row>
    <row r="554" spans="2:11" s="1" customFormat="1">
      <c r="B554" s="5"/>
      <c r="C554" s="102"/>
      <c r="D554" s="102"/>
      <c r="E554" s="102"/>
      <c r="F554" s="102"/>
      <c r="G554" s="102"/>
      <c r="H554" s="102"/>
      <c r="I554" s="102"/>
      <c r="J554" s="102"/>
      <c r="K554" s="102"/>
    </row>
    <row r="555" spans="2:11" s="1" customFormat="1" ht="13.5">
      <c r="B555" s="3"/>
      <c r="C555" s="10" t="s">
        <v>6</v>
      </c>
      <c r="D555" s="143" t="s">
        <v>125</v>
      </c>
      <c r="E555" s="143"/>
      <c r="F555" s="10" t="s">
        <v>126</v>
      </c>
      <c r="G555" s="143" t="s">
        <v>127</v>
      </c>
      <c r="H555" s="143"/>
      <c r="I555" s="143"/>
      <c r="J555" s="143"/>
      <c r="K555" s="10" t="s">
        <v>123</v>
      </c>
    </row>
    <row r="556" spans="2:11" s="1" customFormat="1" ht="27">
      <c r="B556" s="3"/>
      <c r="C556" s="10" t="str">
        <f>D552</f>
        <v>CAL_DATA_VOSET_SV[7:0]</v>
      </c>
      <c r="D556" s="143" t="s">
        <v>888</v>
      </c>
      <c r="E556" s="143"/>
      <c r="F556" s="10" t="s">
        <v>721</v>
      </c>
      <c r="G556" s="143"/>
      <c r="H556" s="143"/>
      <c r="I556" s="143"/>
      <c r="J556" s="143"/>
      <c r="K556" s="10" t="s">
        <v>722</v>
      </c>
    </row>
    <row r="557" spans="2:11" s="1" customFormat="1">
      <c r="B557" s="5"/>
      <c r="C557" s="102"/>
      <c r="D557" s="102"/>
      <c r="E557" s="102"/>
      <c r="F557" s="102"/>
      <c r="G557" s="102"/>
      <c r="H557" s="102"/>
      <c r="I557" s="102"/>
      <c r="J557" s="102"/>
      <c r="K557" s="102"/>
    </row>
    <row r="558" spans="2:11" s="1" customFormat="1" ht="12.75" customHeight="1">
      <c r="B558" s="5">
        <f>B550+1</f>
        <v>89</v>
      </c>
      <c r="C558" s="224" t="str">
        <f>"4.7."&amp;B558-$B$486+1&amp;" Addr 0x"&amp;DEC2HEX(B558,8)&amp;" Calibration data.SetVout.SV.H"</f>
        <v>4.7.10 Addr 0x00000059 Calibration data.SetVout.SV.H</v>
      </c>
      <c r="D558" s="225"/>
      <c r="E558" s="225"/>
      <c r="F558" s="225"/>
      <c r="G558" s="225"/>
      <c r="H558" s="225"/>
      <c r="I558" s="225"/>
      <c r="J558" s="225"/>
      <c r="K558" s="226"/>
    </row>
    <row r="559" spans="2:11" s="1" customFormat="1">
      <c r="B559" s="5"/>
      <c r="C559" s="6" t="s">
        <v>120</v>
      </c>
      <c r="D559" s="7">
        <v>7</v>
      </c>
      <c r="E559" s="7">
        <v>6</v>
      </c>
      <c r="F559" s="7">
        <v>5</v>
      </c>
      <c r="G559" s="7">
        <v>4</v>
      </c>
      <c r="H559" s="7">
        <v>3</v>
      </c>
      <c r="I559" s="7">
        <v>2</v>
      </c>
      <c r="J559" s="7">
        <v>1</v>
      </c>
      <c r="K559" s="7">
        <v>0</v>
      </c>
    </row>
    <row r="560" spans="2:11" s="1" customFormat="1" ht="13.5" customHeight="1">
      <c r="B560" s="5"/>
      <c r="C560" s="8" t="s">
        <v>6</v>
      </c>
      <c r="D560" s="176" t="s">
        <v>889</v>
      </c>
      <c r="E560" s="102"/>
      <c r="F560" s="102"/>
      <c r="G560" s="102"/>
      <c r="H560" s="102"/>
      <c r="I560" s="102"/>
      <c r="J560" s="102"/>
      <c r="K560" s="177"/>
    </row>
    <row r="561" spans="2:11" s="1" customFormat="1">
      <c r="B561" s="5" t="str">
        <f>CONCATENATE(D561,E561,F561,G561,H561,I561,J561,K561)</f>
        <v>00000000</v>
      </c>
      <c r="C561" s="8" t="s">
        <v>123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</row>
    <row r="562" spans="2:11" s="1" customFormat="1">
      <c r="B562" s="5"/>
      <c r="C562" s="102"/>
      <c r="D562" s="102"/>
      <c r="E562" s="102"/>
      <c r="F562" s="102"/>
      <c r="G562" s="102"/>
      <c r="H562" s="102"/>
      <c r="I562" s="102"/>
      <c r="J562" s="102"/>
      <c r="K562" s="102"/>
    </row>
    <row r="563" spans="2:11" s="1" customFormat="1" ht="13.5">
      <c r="B563" s="3"/>
      <c r="C563" s="10" t="s">
        <v>6</v>
      </c>
      <c r="D563" s="143" t="s">
        <v>125</v>
      </c>
      <c r="E563" s="143"/>
      <c r="F563" s="10" t="s">
        <v>126</v>
      </c>
      <c r="G563" s="143" t="s">
        <v>127</v>
      </c>
      <c r="H563" s="143"/>
      <c r="I563" s="143"/>
      <c r="J563" s="143"/>
      <c r="K563" s="10" t="s">
        <v>123</v>
      </c>
    </row>
    <row r="564" spans="2:11" s="1" customFormat="1" ht="27">
      <c r="B564" s="3"/>
      <c r="C564" s="10" t="str">
        <f>D560</f>
        <v>CAL_DATA_VOSET_SV[15:8]</v>
      </c>
      <c r="D564" s="143" t="s">
        <v>888</v>
      </c>
      <c r="E564" s="143"/>
      <c r="F564" s="10" t="s">
        <v>721</v>
      </c>
      <c r="G564" s="143"/>
      <c r="H564" s="143"/>
      <c r="I564" s="143"/>
      <c r="J564" s="143"/>
      <c r="K564" s="10" t="s">
        <v>722</v>
      </c>
    </row>
    <row r="565" spans="2:11" s="1" customFormat="1">
      <c r="B565" s="5"/>
      <c r="C565" s="102"/>
      <c r="D565" s="102"/>
      <c r="E565" s="102"/>
      <c r="F565" s="102"/>
      <c r="G565" s="102"/>
      <c r="H565" s="102"/>
      <c r="I565" s="102"/>
      <c r="J565" s="102"/>
      <c r="K565" s="102"/>
    </row>
    <row r="566" spans="2:11" s="1" customFormat="1" ht="12.75" customHeight="1">
      <c r="B566" s="5">
        <f>B558+1</f>
        <v>90</v>
      </c>
      <c r="C566" s="224" t="str">
        <f>"4.7."&amp;B566-$B$486+1&amp;" Addr 0x"&amp;DEC2HEX(B566,8)&amp;" Calibration data.SetVout.Const.L"</f>
        <v>4.7.11 Addr 0x0000005A Calibration data.SetVout.Const.L</v>
      </c>
      <c r="D566" s="225"/>
      <c r="E566" s="225"/>
      <c r="F566" s="225"/>
      <c r="G566" s="225"/>
      <c r="H566" s="225"/>
      <c r="I566" s="225"/>
      <c r="J566" s="225"/>
      <c r="K566" s="226"/>
    </row>
    <row r="567" spans="2:11" s="1" customFormat="1">
      <c r="B567" s="5"/>
      <c r="C567" s="6" t="s">
        <v>120</v>
      </c>
      <c r="D567" s="7">
        <v>7</v>
      </c>
      <c r="E567" s="7">
        <v>6</v>
      </c>
      <c r="F567" s="7">
        <v>5</v>
      </c>
      <c r="G567" s="7">
        <v>4</v>
      </c>
      <c r="H567" s="7">
        <v>3</v>
      </c>
      <c r="I567" s="7">
        <v>2</v>
      </c>
      <c r="J567" s="7">
        <v>1</v>
      </c>
      <c r="K567" s="7">
        <v>0</v>
      </c>
    </row>
    <row r="568" spans="2:11" s="1" customFormat="1" ht="13.5" customHeight="1">
      <c r="B568" s="5"/>
      <c r="C568" s="8" t="s">
        <v>6</v>
      </c>
      <c r="D568" s="176" t="s">
        <v>890</v>
      </c>
      <c r="E568" s="102"/>
      <c r="F568" s="102"/>
      <c r="G568" s="102"/>
      <c r="H568" s="102"/>
      <c r="I568" s="102"/>
      <c r="J568" s="102"/>
      <c r="K568" s="177"/>
    </row>
    <row r="569" spans="2:11" s="1" customFormat="1">
      <c r="B569" s="5" t="str">
        <f>CONCATENATE(D569,E569,F569,G569,H569,I569,J569,K569)</f>
        <v>00000000</v>
      </c>
      <c r="C569" s="8" t="s">
        <v>123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</row>
    <row r="570" spans="2:11" s="1" customFormat="1">
      <c r="B570" s="5"/>
      <c r="C570" s="102"/>
      <c r="D570" s="102"/>
      <c r="E570" s="102"/>
      <c r="F570" s="102"/>
      <c r="G570" s="102"/>
      <c r="H570" s="102"/>
      <c r="I570" s="102"/>
      <c r="J570" s="102"/>
      <c r="K570" s="102"/>
    </row>
    <row r="571" spans="2:11" s="1" customFormat="1" ht="13.5">
      <c r="B571" s="3"/>
      <c r="C571" s="10" t="s">
        <v>6</v>
      </c>
      <c r="D571" s="143" t="s">
        <v>125</v>
      </c>
      <c r="E571" s="143"/>
      <c r="F571" s="10" t="s">
        <v>126</v>
      </c>
      <c r="G571" s="143" t="s">
        <v>127</v>
      </c>
      <c r="H571" s="143"/>
      <c r="I571" s="143"/>
      <c r="J571" s="143"/>
      <c r="K571" s="10" t="s">
        <v>123</v>
      </c>
    </row>
    <row r="572" spans="2:11" s="1" customFormat="1" ht="27">
      <c r="B572" s="3"/>
      <c r="C572" s="10" t="str">
        <f>D568</f>
        <v>CAL_DATA_VOSET_CONST[7:0]</v>
      </c>
      <c r="D572" s="143" t="s">
        <v>891</v>
      </c>
      <c r="E572" s="143"/>
      <c r="F572" s="10" t="s">
        <v>721</v>
      </c>
      <c r="G572" s="143"/>
      <c r="H572" s="143"/>
      <c r="I572" s="143"/>
      <c r="J572" s="143"/>
      <c r="K572" s="10" t="s">
        <v>722</v>
      </c>
    </row>
    <row r="573" spans="2:11" s="1" customFormat="1">
      <c r="B573" s="5"/>
      <c r="C573" s="102"/>
      <c r="D573" s="102"/>
      <c r="E573" s="102"/>
      <c r="F573" s="102"/>
      <c r="G573" s="102"/>
      <c r="H573" s="102"/>
      <c r="I573" s="102"/>
      <c r="J573" s="102"/>
      <c r="K573" s="102"/>
    </row>
    <row r="574" spans="2:11" s="1" customFormat="1" ht="12.75" customHeight="1">
      <c r="B574" s="5">
        <f>B566+1</f>
        <v>91</v>
      </c>
      <c r="C574" s="224" t="str">
        <f>"4.7."&amp;B574-$B$486+1&amp;" Addr 0x"&amp;DEC2HEX(B574,8)&amp;" Calibration data.SetVout.Const.H"</f>
        <v>4.7.12 Addr 0x0000005B Calibration data.SetVout.Const.H</v>
      </c>
      <c r="D574" s="225"/>
      <c r="E574" s="225"/>
      <c r="F574" s="225"/>
      <c r="G574" s="225"/>
      <c r="H574" s="225"/>
      <c r="I574" s="225"/>
      <c r="J574" s="225"/>
      <c r="K574" s="226"/>
    </row>
    <row r="575" spans="2:11" s="1" customFormat="1">
      <c r="B575" s="5"/>
      <c r="C575" s="6" t="s">
        <v>120</v>
      </c>
      <c r="D575" s="7">
        <v>7</v>
      </c>
      <c r="E575" s="7">
        <v>6</v>
      </c>
      <c r="F575" s="7">
        <v>5</v>
      </c>
      <c r="G575" s="7">
        <v>4</v>
      </c>
      <c r="H575" s="7">
        <v>3</v>
      </c>
      <c r="I575" s="7">
        <v>2</v>
      </c>
      <c r="J575" s="7">
        <v>1</v>
      </c>
      <c r="K575" s="7">
        <v>0</v>
      </c>
    </row>
    <row r="576" spans="2:11" s="1" customFormat="1" ht="13.5" customHeight="1">
      <c r="B576" s="5"/>
      <c r="C576" s="8" t="s">
        <v>6</v>
      </c>
      <c r="D576" s="176" t="s">
        <v>892</v>
      </c>
      <c r="E576" s="102"/>
      <c r="F576" s="102"/>
      <c r="G576" s="102"/>
      <c r="H576" s="102"/>
      <c r="I576" s="102"/>
      <c r="J576" s="102"/>
      <c r="K576" s="177"/>
    </row>
    <row r="577" spans="2:11" s="1" customFormat="1">
      <c r="B577" s="5" t="str">
        <f>CONCATENATE(D577,E577,F577,G577,H577,I577,J577,K577)</f>
        <v>00000000</v>
      </c>
      <c r="C577" s="8" t="s">
        <v>123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</row>
    <row r="578" spans="2:11" s="1" customFormat="1">
      <c r="B578" s="5"/>
      <c r="C578" s="102"/>
      <c r="D578" s="102"/>
      <c r="E578" s="102"/>
      <c r="F578" s="102"/>
      <c r="G578" s="102"/>
      <c r="H578" s="102"/>
      <c r="I578" s="102"/>
      <c r="J578" s="102"/>
      <c r="K578" s="102"/>
    </row>
    <row r="579" spans="2:11" s="1" customFormat="1" ht="13.5">
      <c r="B579" s="3"/>
      <c r="C579" s="10" t="s">
        <v>6</v>
      </c>
      <c r="D579" s="143" t="s">
        <v>125</v>
      </c>
      <c r="E579" s="143"/>
      <c r="F579" s="10" t="s">
        <v>126</v>
      </c>
      <c r="G579" s="143" t="s">
        <v>127</v>
      </c>
      <c r="H579" s="143"/>
      <c r="I579" s="143"/>
      <c r="J579" s="143"/>
      <c r="K579" s="10" t="s">
        <v>123</v>
      </c>
    </row>
    <row r="580" spans="2:11" s="1" customFormat="1" ht="27">
      <c r="B580" s="3"/>
      <c r="C580" s="10" t="str">
        <f>D576</f>
        <v>CAL_DATA_VOSET_CONST[15:8]</v>
      </c>
      <c r="D580" s="143" t="s">
        <v>891</v>
      </c>
      <c r="E580" s="143"/>
      <c r="F580" s="10" t="s">
        <v>721</v>
      </c>
      <c r="G580" s="143"/>
      <c r="H580" s="143"/>
      <c r="I580" s="143"/>
      <c r="J580" s="143"/>
      <c r="K580" s="10" t="s">
        <v>722</v>
      </c>
    </row>
    <row r="581" spans="2:11" s="1" customFormat="1">
      <c r="B581" s="5"/>
      <c r="C581" s="102"/>
      <c r="D581" s="102"/>
      <c r="E581" s="102"/>
      <c r="F581" s="102"/>
      <c r="G581" s="102"/>
      <c r="H581" s="102"/>
      <c r="I581" s="102"/>
      <c r="J581" s="102"/>
      <c r="K581" s="102"/>
    </row>
    <row r="582" spans="2:11" s="1" customFormat="1" ht="12.75" customHeight="1">
      <c r="B582" s="5">
        <f>B574+1</f>
        <v>92</v>
      </c>
      <c r="C582" s="224" t="str">
        <f>"4.7."&amp;B582-$B$486+1&amp;" Addr 0x"&amp;DEC2HEX(B582,8)&amp;" Calibration data.Vout.SV.L"</f>
        <v>4.7.13 Addr 0x0000005C Calibration data.Vout.SV.L</v>
      </c>
      <c r="D582" s="225"/>
      <c r="E582" s="225"/>
      <c r="F582" s="225"/>
      <c r="G582" s="225"/>
      <c r="H582" s="225"/>
      <c r="I582" s="225"/>
      <c r="J582" s="225"/>
      <c r="K582" s="226"/>
    </row>
    <row r="583" spans="2:11" s="1" customFormat="1">
      <c r="B583" s="5"/>
      <c r="C583" s="6" t="s">
        <v>120</v>
      </c>
      <c r="D583" s="7">
        <v>7</v>
      </c>
      <c r="E583" s="7">
        <v>6</v>
      </c>
      <c r="F583" s="7">
        <v>5</v>
      </c>
      <c r="G583" s="7">
        <v>4</v>
      </c>
      <c r="H583" s="7">
        <v>3</v>
      </c>
      <c r="I583" s="7">
        <v>2</v>
      </c>
      <c r="J583" s="7">
        <v>1</v>
      </c>
      <c r="K583" s="7">
        <v>0</v>
      </c>
    </row>
    <row r="584" spans="2:11" s="1" customFormat="1" ht="13.5" customHeight="1">
      <c r="B584" s="5"/>
      <c r="C584" s="8" t="s">
        <v>6</v>
      </c>
      <c r="D584" s="176" t="s">
        <v>893</v>
      </c>
      <c r="E584" s="102"/>
      <c r="F584" s="102"/>
      <c r="G584" s="102"/>
      <c r="H584" s="102"/>
      <c r="I584" s="102"/>
      <c r="J584" s="102"/>
      <c r="K584" s="177"/>
    </row>
    <row r="585" spans="2:11" s="1" customFormat="1">
      <c r="B585" s="5" t="str">
        <f>CONCATENATE(D585,E585,F585,G585,H585,I585,J585,K585)</f>
        <v>00000000</v>
      </c>
      <c r="C585" s="8" t="s">
        <v>123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</row>
    <row r="586" spans="2:11" s="1" customFormat="1">
      <c r="B586" s="5"/>
      <c r="C586" s="102"/>
      <c r="D586" s="102"/>
      <c r="E586" s="102"/>
      <c r="F586" s="102"/>
      <c r="G586" s="102"/>
      <c r="H586" s="102"/>
      <c r="I586" s="102"/>
      <c r="J586" s="102"/>
      <c r="K586" s="102"/>
    </row>
    <row r="587" spans="2:11" s="1" customFormat="1" ht="13.5">
      <c r="B587" s="3"/>
      <c r="C587" s="10" t="s">
        <v>6</v>
      </c>
      <c r="D587" s="143" t="s">
        <v>125</v>
      </c>
      <c r="E587" s="143"/>
      <c r="F587" s="10" t="s">
        <v>126</v>
      </c>
      <c r="G587" s="143" t="s">
        <v>127</v>
      </c>
      <c r="H587" s="143"/>
      <c r="I587" s="143"/>
      <c r="J587" s="143"/>
      <c r="K587" s="10" t="s">
        <v>123</v>
      </c>
    </row>
    <row r="588" spans="2:11" s="1" customFormat="1" ht="13.5">
      <c r="B588" s="3"/>
      <c r="C588" s="10" t="str">
        <f>D584</f>
        <v>CAL_DATA_VOUT_SV[7:0]</v>
      </c>
      <c r="D588" s="143" t="s">
        <v>894</v>
      </c>
      <c r="E588" s="143"/>
      <c r="F588" s="10" t="s">
        <v>721</v>
      </c>
      <c r="G588" s="143"/>
      <c r="H588" s="143"/>
      <c r="I588" s="143"/>
      <c r="J588" s="143"/>
      <c r="K588" s="10" t="s">
        <v>722</v>
      </c>
    </row>
    <row r="589" spans="2:11" s="1" customFormat="1">
      <c r="B589" s="5"/>
      <c r="C589" s="102"/>
      <c r="D589" s="102"/>
      <c r="E589" s="102"/>
      <c r="F589" s="102"/>
      <c r="G589" s="102"/>
      <c r="H589" s="102"/>
      <c r="I589" s="102"/>
      <c r="J589" s="102"/>
      <c r="K589" s="102"/>
    </row>
    <row r="590" spans="2:11" s="1" customFormat="1" ht="12.75" customHeight="1">
      <c r="B590" s="5">
        <f>B582+1</f>
        <v>93</v>
      </c>
      <c r="C590" s="224" t="str">
        <f>"4.7."&amp;B590-$B$486+1&amp;" Addr 0x"&amp;DEC2HEX(B590,8)&amp;" Calibration data.Vout.SV.H"</f>
        <v>4.7.14 Addr 0x0000005D Calibration data.Vout.SV.H</v>
      </c>
      <c r="D590" s="225"/>
      <c r="E590" s="225"/>
      <c r="F590" s="225"/>
      <c r="G590" s="225"/>
      <c r="H590" s="225"/>
      <c r="I590" s="225"/>
      <c r="J590" s="225"/>
      <c r="K590" s="226"/>
    </row>
    <row r="591" spans="2:11" s="1" customFormat="1">
      <c r="B591" s="5"/>
      <c r="C591" s="6" t="s">
        <v>120</v>
      </c>
      <c r="D591" s="7">
        <v>7</v>
      </c>
      <c r="E591" s="7">
        <v>6</v>
      </c>
      <c r="F591" s="7">
        <v>5</v>
      </c>
      <c r="G591" s="7">
        <v>4</v>
      </c>
      <c r="H591" s="7">
        <v>3</v>
      </c>
      <c r="I591" s="7">
        <v>2</v>
      </c>
      <c r="J591" s="7">
        <v>1</v>
      </c>
      <c r="K591" s="7">
        <v>0</v>
      </c>
    </row>
    <row r="592" spans="2:11" s="1" customFormat="1" ht="13.5" customHeight="1">
      <c r="B592" s="5"/>
      <c r="C592" s="8" t="s">
        <v>6</v>
      </c>
      <c r="D592" s="176" t="s">
        <v>895</v>
      </c>
      <c r="E592" s="102"/>
      <c r="F592" s="102"/>
      <c r="G592" s="102"/>
      <c r="H592" s="102"/>
      <c r="I592" s="102"/>
      <c r="J592" s="102"/>
      <c r="K592" s="177"/>
    </row>
    <row r="593" spans="2:11" s="1" customFormat="1">
      <c r="B593" s="5" t="str">
        <f>CONCATENATE(D593,E593,F593,G593,H593,I593,J593,K593)</f>
        <v>00000000</v>
      </c>
      <c r="C593" s="8" t="s">
        <v>123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</row>
    <row r="594" spans="2:11" s="1" customFormat="1">
      <c r="B594" s="5"/>
      <c r="C594" s="102"/>
      <c r="D594" s="102"/>
      <c r="E594" s="102"/>
      <c r="F594" s="102"/>
      <c r="G594" s="102"/>
      <c r="H594" s="102"/>
      <c r="I594" s="102"/>
      <c r="J594" s="102"/>
      <c r="K594" s="102"/>
    </row>
    <row r="595" spans="2:11" s="1" customFormat="1" ht="13.5">
      <c r="B595" s="3"/>
      <c r="C595" s="10" t="s">
        <v>6</v>
      </c>
      <c r="D595" s="143" t="s">
        <v>125</v>
      </c>
      <c r="E595" s="143"/>
      <c r="F595" s="10" t="s">
        <v>126</v>
      </c>
      <c r="G595" s="143" t="s">
        <v>127</v>
      </c>
      <c r="H595" s="143"/>
      <c r="I595" s="143"/>
      <c r="J595" s="143"/>
      <c r="K595" s="10" t="s">
        <v>123</v>
      </c>
    </row>
    <row r="596" spans="2:11" s="1" customFormat="1" ht="27" customHeight="1">
      <c r="B596" s="3"/>
      <c r="C596" s="10" t="str">
        <f>D592</f>
        <v>CAL_DATA_VOUT_SV[15:8]</v>
      </c>
      <c r="D596" s="143" t="s">
        <v>894</v>
      </c>
      <c r="E596" s="143"/>
      <c r="F596" s="10" t="s">
        <v>721</v>
      </c>
      <c r="G596" s="143"/>
      <c r="H596" s="143"/>
      <c r="I596" s="143"/>
      <c r="J596" s="143"/>
      <c r="K596" s="10" t="s">
        <v>722</v>
      </c>
    </row>
    <row r="597" spans="2:11" s="1" customFormat="1">
      <c r="B597" s="5"/>
      <c r="C597" s="102"/>
      <c r="D597" s="102"/>
      <c r="E597" s="102"/>
      <c r="F597" s="102"/>
      <c r="G597" s="102"/>
      <c r="H597" s="102"/>
      <c r="I597" s="102"/>
      <c r="J597" s="102"/>
      <c r="K597" s="102"/>
    </row>
    <row r="598" spans="2:11" s="1" customFormat="1" ht="12.75" customHeight="1">
      <c r="B598" s="5">
        <f>B590+1</f>
        <v>94</v>
      </c>
      <c r="C598" s="224" t="str">
        <f>"4.7."&amp;B598-$B$486+1&amp;" Addr 0x"&amp;DEC2HEX(B598,8)&amp;" Calibration data.Vout.Const.L"</f>
        <v>4.7.15 Addr 0x0000005E Calibration data.Vout.Const.L</v>
      </c>
      <c r="D598" s="225"/>
      <c r="E598" s="225"/>
      <c r="F598" s="225"/>
      <c r="G598" s="225"/>
      <c r="H598" s="225"/>
      <c r="I598" s="225"/>
      <c r="J598" s="225"/>
      <c r="K598" s="226"/>
    </row>
    <row r="599" spans="2:11" s="1" customFormat="1">
      <c r="B599" s="5"/>
      <c r="C599" s="6" t="s">
        <v>120</v>
      </c>
      <c r="D599" s="7">
        <v>7</v>
      </c>
      <c r="E599" s="7">
        <v>6</v>
      </c>
      <c r="F599" s="7">
        <v>5</v>
      </c>
      <c r="G599" s="7">
        <v>4</v>
      </c>
      <c r="H599" s="7">
        <v>3</v>
      </c>
      <c r="I599" s="7">
        <v>2</v>
      </c>
      <c r="J599" s="7">
        <v>1</v>
      </c>
      <c r="K599" s="7">
        <v>0</v>
      </c>
    </row>
    <row r="600" spans="2:11" s="1" customFormat="1" ht="13.5" customHeight="1">
      <c r="B600" s="5"/>
      <c r="C600" s="8" t="s">
        <v>6</v>
      </c>
      <c r="D600" s="176" t="s">
        <v>896</v>
      </c>
      <c r="E600" s="102"/>
      <c r="F600" s="102"/>
      <c r="G600" s="102"/>
      <c r="H600" s="102"/>
      <c r="I600" s="102"/>
      <c r="J600" s="102"/>
      <c r="K600" s="177"/>
    </row>
    <row r="601" spans="2:11" s="1" customFormat="1">
      <c r="B601" s="5" t="str">
        <f>CONCATENATE(D601,E601,F601,G601,H601,I601,J601,K601)</f>
        <v>00000000</v>
      </c>
      <c r="C601" s="8" t="s">
        <v>123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</row>
    <row r="602" spans="2:11" s="1" customFormat="1">
      <c r="B602" s="5"/>
      <c r="C602" s="102"/>
      <c r="D602" s="102"/>
      <c r="E602" s="102"/>
      <c r="F602" s="102"/>
      <c r="G602" s="102"/>
      <c r="H602" s="102"/>
      <c r="I602" s="102"/>
      <c r="J602" s="102"/>
      <c r="K602" s="102"/>
    </row>
    <row r="603" spans="2:11" s="1" customFormat="1" ht="13.5">
      <c r="B603" s="3"/>
      <c r="C603" s="10" t="s">
        <v>6</v>
      </c>
      <c r="D603" s="143" t="s">
        <v>125</v>
      </c>
      <c r="E603" s="143"/>
      <c r="F603" s="10" t="s">
        <v>126</v>
      </c>
      <c r="G603" s="143" t="s">
        <v>127</v>
      </c>
      <c r="H603" s="143"/>
      <c r="I603" s="143"/>
      <c r="J603" s="143"/>
      <c r="K603" s="10" t="s">
        <v>123</v>
      </c>
    </row>
    <row r="604" spans="2:11" s="1" customFormat="1" ht="27">
      <c r="B604" s="3"/>
      <c r="C604" s="10" t="str">
        <f>D600</f>
        <v>CAL_DATA_VOUT_CONST[7:0]</v>
      </c>
      <c r="D604" s="143" t="s">
        <v>897</v>
      </c>
      <c r="E604" s="143"/>
      <c r="F604" s="10" t="s">
        <v>721</v>
      </c>
      <c r="G604" s="143"/>
      <c r="H604" s="143"/>
      <c r="I604" s="143"/>
      <c r="J604" s="143"/>
      <c r="K604" s="10" t="s">
        <v>722</v>
      </c>
    </row>
    <row r="605" spans="2:11" s="1" customFormat="1">
      <c r="B605" s="5"/>
      <c r="C605" s="102"/>
      <c r="D605" s="102"/>
      <c r="E605" s="102"/>
      <c r="F605" s="102"/>
      <c r="G605" s="102"/>
      <c r="H605" s="102"/>
      <c r="I605" s="102"/>
      <c r="J605" s="102"/>
      <c r="K605" s="102"/>
    </row>
    <row r="606" spans="2:11" s="1" customFormat="1" ht="12.75" customHeight="1">
      <c r="B606" s="5">
        <f>B598+1</f>
        <v>95</v>
      </c>
      <c r="C606" s="224" t="str">
        <f>"4.7."&amp;B606-$B$486+1&amp;" Addr 0x"&amp;DEC2HEX(B606,8)&amp;" Calibration data.Vout.Const.H"</f>
        <v>4.7.16 Addr 0x0000005F Calibration data.Vout.Const.H</v>
      </c>
      <c r="D606" s="225"/>
      <c r="E606" s="225"/>
      <c r="F606" s="225"/>
      <c r="G606" s="225"/>
      <c r="H606" s="225"/>
      <c r="I606" s="225"/>
      <c r="J606" s="225"/>
      <c r="K606" s="226"/>
    </row>
    <row r="607" spans="2:11" s="1" customFormat="1">
      <c r="B607" s="5"/>
      <c r="C607" s="6" t="s">
        <v>120</v>
      </c>
      <c r="D607" s="7">
        <v>7</v>
      </c>
      <c r="E607" s="7">
        <v>6</v>
      </c>
      <c r="F607" s="7">
        <v>5</v>
      </c>
      <c r="G607" s="7">
        <v>4</v>
      </c>
      <c r="H607" s="7">
        <v>3</v>
      </c>
      <c r="I607" s="7">
        <v>2</v>
      </c>
      <c r="J607" s="7">
        <v>1</v>
      </c>
      <c r="K607" s="7">
        <v>0</v>
      </c>
    </row>
    <row r="608" spans="2:11" s="1" customFormat="1" ht="13.5" customHeight="1">
      <c r="B608" s="5"/>
      <c r="C608" s="8" t="s">
        <v>6</v>
      </c>
      <c r="D608" s="176" t="s">
        <v>898</v>
      </c>
      <c r="E608" s="102"/>
      <c r="F608" s="102"/>
      <c r="G608" s="102"/>
      <c r="H608" s="102"/>
      <c r="I608" s="102"/>
      <c r="J608" s="102"/>
      <c r="K608" s="177"/>
    </row>
    <row r="609" spans="2:11" s="1" customFormat="1">
      <c r="B609" s="5" t="str">
        <f>CONCATENATE(D609,E609,F609,G609,H609,I609,J609,K609)</f>
        <v>00000000</v>
      </c>
      <c r="C609" s="8" t="s">
        <v>123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</row>
    <row r="610" spans="2:11" s="1" customFormat="1">
      <c r="B610" s="5"/>
      <c r="C610" s="102"/>
      <c r="D610" s="102"/>
      <c r="E610" s="102"/>
      <c r="F610" s="102"/>
      <c r="G610" s="102"/>
      <c r="H610" s="102"/>
      <c r="I610" s="102"/>
      <c r="J610" s="102"/>
      <c r="K610" s="102"/>
    </row>
    <row r="611" spans="2:11" s="1" customFormat="1" ht="13.5">
      <c r="B611" s="3"/>
      <c r="C611" s="10" t="s">
        <v>6</v>
      </c>
      <c r="D611" s="143" t="s">
        <v>125</v>
      </c>
      <c r="E611" s="143"/>
      <c r="F611" s="10" t="s">
        <v>126</v>
      </c>
      <c r="G611" s="143" t="s">
        <v>127</v>
      </c>
      <c r="H611" s="143"/>
      <c r="I611" s="143"/>
      <c r="J611" s="143"/>
      <c r="K611" s="10" t="s">
        <v>123</v>
      </c>
    </row>
    <row r="612" spans="2:11" s="1" customFormat="1" ht="27">
      <c r="B612" s="3"/>
      <c r="C612" s="10" t="str">
        <f>D608</f>
        <v>CAL_DATA_VOUT_CONST[15:8]</v>
      </c>
      <c r="D612" s="143" t="s">
        <v>897</v>
      </c>
      <c r="E612" s="143"/>
      <c r="F612" s="10" t="s">
        <v>721</v>
      </c>
      <c r="G612" s="143"/>
      <c r="H612" s="143"/>
      <c r="I612" s="143"/>
      <c r="J612" s="143"/>
      <c r="K612" s="10" t="s">
        <v>722</v>
      </c>
    </row>
    <row r="613" spans="2:11" s="1" customFormat="1">
      <c r="B613" s="5"/>
      <c r="C613" s="102"/>
      <c r="D613" s="102"/>
      <c r="E613" s="102"/>
      <c r="F613" s="102"/>
      <c r="G613" s="102"/>
      <c r="H613" s="102"/>
      <c r="I613" s="102"/>
      <c r="J613" s="102"/>
      <c r="K613" s="102"/>
    </row>
    <row r="614" spans="2:11" s="1" customFormat="1" ht="12.75" customHeight="1">
      <c r="B614" s="5">
        <f>B606+1</f>
        <v>96</v>
      </c>
      <c r="C614" s="224" t="str">
        <f>"4.7."&amp;B614-$B$486+1&amp;" Addr 0x"&amp;DEC2HEX(B614,8)&amp;" Calibration data.DieTemp.L"</f>
        <v>4.7.17 Addr 0x00000060 Calibration data.DieTemp.L</v>
      </c>
      <c r="D614" s="225"/>
      <c r="E614" s="225"/>
      <c r="F614" s="225"/>
      <c r="G614" s="225"/>
      <c r="H614" s="225"/>
      <c r="I614" s="225"/>
      <c r="J614" s="225"/>
      <c r="K614" s="226"/>
    </row>
    <row r="615" spans="2:11" s="1" customFormat="1">
      <c r="B615" s="5"/>
      <c r="C615" s="6" t="s">
        <v>120</v>
      </c>
      <c r="D615" s="7">
        <v>7</v>
      </c>
      <c r="E615" s="7">
        <v>6</v>
      </c>
      <c r="F615" s="7">
        <v>5</v>
      </c>
      <c r="G615" s="7">
        <v>4</v>
      </c>
      <c r="H615" s="7">
        <v>3</v>
      </c>
      <c r="I615" s="7">
        <v>2</v>
      </c>
      <c r="J615" s="7">
        <v>1</v>
      </c>
      <c r="K615" s="7">
        <v>0</v>
      </c>
    </row>
    <row r="616" spans="2:11" s="1" customFormat="1" ht="13.5" customHeight="1">
      <c r="B616" s="5"/>
      <c r="C616" s="8" t="s">
        <v>6</v>
      </c>
      <c r="D616" s="176" t="s">
        <v>899</v>
      </c>
      <c r="E616" s="102"/>
      <c r="F616" s="102"/>
      <c r="G616" s="102"/>
      <c r="H616" s="102"/>
      <c r="I616" s="102"/>
      <c r="J616" s="102"/>
      <c r="K616" s="177"/>
    </row>
    <row r="617" spans="2:11" s="1" customFormat="1">
      <c r="B617" s="5" t="str">
        <f>CONCATENATE(D617,E617,F617,G617,H617,I617,J617,K617)</f>
        <v>00000000</v>
      </c>
      <c r="C617" s="8" t="s">
        <v>123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</row>
    <row r="618" spans="2:11" s="1" customFormat="1">
      <c r="B618" s="5"/>
      <c r="C618" s="102"/>
      <c r="D618" s="102"/>
      <c r="E618" s="102"/>
      <c r="F618" s="102"/>
      <c r="G618" s="102"/>
      <c r="H618" s="102"/>
      <c r="I618" s="102"/>
      <c r="J618" s="102"/>
      <c r="K618" s="102"/>
    </row>
    <row r="619" spans="2:11" s="1" customFormat="1" ht="13.5">
      <c r="B619" s="3"/>
      <c r="C619" s="10" t="s">
        <v>6</v>
      </c>
      <c r="D619" s="143" t="s">
        <v>125</v>
      </c>
      <c r="E619" s="143"/>
      <c r="F619" s="10" t="s">
        <v>126</v>
      </c>
      <c r="G619" s="143" t="s">
        <v>127</v>
      </c>
      <c r="H619" s="143"/>
      <c r="I619" s="143"/>
      <c r="J619" s="143"/>
      <c r="K619" s="10" t="s">
        <v>123</v>
      </c>
    </row>
    <row r="620" spans="2:11" s="1" customFormat="1" ht="27">
      <c r="B620" s="3"/>
      <c r="C620" s="10" t="str">
        <f>D616</f>
        <v>CAL_DATA_DIE_TEMP_L[7:0]</v>
      </c>
      <c r="D620" s="143" t="s">
        <v>900</v>
      </c>
      <c r="E620" s="143"/>
      <c r="F620" s="10" t="s">
        <v>721</v>
      </c>
      <c r="G620" s="143" t="s">
        <v>901</v>
      </c>
      <c r="H620" s="143"/>
      <c r="I620" s="143"/>
      <c r="J620" s="143"/>
      <c r="K620" s="10" t="s">
        <v>722</v>
      </c>
    </row>
    <row r="621" spans="2:11" s="1" customFormat="1">
      <c r="B621" s="5"/>
      <c r="C621" s="102"/>
      <c r="D621" s="102"/>
      <c r="E621" s="102"/>
      <c r="F621" s="102"/>
      <c r="G621" s="102"/>
      <c r="H621" s="102"/>
      <c r="I621" s="102"/>
      <c r="J621" s="102"/>
      <c r="K621" s="102"/>
    </row>
    <row r="622" spans="2:11" s="1" customFormat="1" ht="12.75" customHeight="1">
      <c r="B622" s="5">
        <f>B614+1</f>
        <v>97</v>
      </c>
      <c r="C622" s="224" t="str">
        <f>"4.7."&amp;B622-$B$486+1&amp;" Addr 0x"&amp;DEC2HEX(B622,8)&amp;" Calibration data.DieTemp.H"</f>
        <v>4.7.18 Addr 0x00000061 Calibration data.DieTemp.H</v>
      </c>
      <c r="D622" s="225"/>
      <c r="E622" s="225"/>
      <c r="F622" s="225"/>
      <c r="G622" s="225"/>
      <c r="H622" s="225"/>
      <c r="I622" s="225"/>
      <c r="J622" s="225"/>
      <c r="K622" s="226"/>
    </row>
    <row r="623" spans="2:11" s="1" customFormat="1">
      <c r="B623" s="5"/>
      <c r="C623" s="6" t="s">
        <v>120</v>
      </c>
      <c r="D623" s="7">
        <v>7</v>
      </c>
      <c r="E623" s="7">
        <v>6</v>
      </c>
      <c r="F623" s="7">
        <v>5</v>
      </c>
      <c r="G623" s="7">
        <v>4</v>
      </c>
      <c r="H623" s="7">
        <v>3</v>
      </c>
      <c r="I623" s="7">
        <v>2</v>
      </c>
      <c r="J623" s="7">
        <v>1</v>
      </c>
      <c r="K623" s="7">
        <v>0</v>
      </c>
    </row>
    <row r="624" spans="2:11" s="1" customFormat="1" ht="13.5" customHeight="1">
      <c r="B624" s="5"/>
      <c r="C624" s="8" t="s">
        <v>6</v>
      </c>
      <c r="D624" s="176" t="s">
        <v>902</v>
      </c>
      <c r="E624" s="102"/>
      <c r="F624" s="102"/>
      <c r="G624" s="102"/>
      <c r="H624" s="102"/>
      <c r="I624" s="102"/>
      <c r="J624" s="102"/>
      <c r="K624" s="177"/>
    </row>
    <row r="625" spans="2:11" s="1" customFormat="1">
      <c r="B625" s="5" t="str">
        <f>CONCATENATE(D625,E625,F625,G625,H625,I625,J625,K625)</f>
        <v>00000000</v>
      </c>
      <c r="C625" s="8" t="s">
        <v>123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</row>
    <row r="626" spans="2:11" s="1" customFormat="1">
      <c r="B626" s="5"/>
      <c r="C626" s="102"/>
      <c r="D626" s="102"/>
      <c r="E626" s="102"/>
      <c r="F626" s="102"/>
      <c r="G626" s="102"/>
      <c r="H626" s="102"/>
      <c r="I626" s="102"/>
      <c r="J626" s="102"/>
      <c r="K626" s="102"/>
    </row>
    <row r="627" spans="2:11" s="1" customFormat="1" ht="13.5">
      <c r="B627" s="3"/>
      <c r="C627" s="10" t="s">
        <v>6</v>
      </c>
      <c r="D627" s="143" t="s">
        <v>125</v>
      </c>
      <c r="E627" s="143"/>
      <c r="F627" s="10" t="s">
        <v>126</v>
      </c>
      <c r="G627" s="143" t="s">
        <v>127</v>
      </c>
      <c r="H627" s="143"/>
      <c r="I627" s="143"/>
      <c r="J627" s="143"/>
      <c r="K627" s="10" t="s">
        <v>123</v>
      </c>
    </row>
    <row r="628" spans="2:11" s="1" customFormat="1" ht="27">
      <c r="B628" s="3"/>
      <c r="C628" s="10" t="str">
        <f>D624</f>
        <v>CAL_DATA_DIE_TEMP_H[7:0]</v>
      </c>
      <c r="D628" s="143" t="s">
        <v>900</v>
      </c>
      <c r="E628" s="143"/>
      <c r="F628" s="10" t="s">
        <v>721</v>
      </c>
      <c r="G628" s="143" t="s">
        <v>901</v>
      </c>
      <c r="H628" s="143"/>
      <c r="I628" s="143"/>
      <c r="J628" s="143"/>
      <c r="K628" s="10" t="s">
        <v>722</v>
      </c>
    </row>
    <row r="629" spans="2:11" s="1" customFormat="1">
      <c r="B629" s="5"/>
      <c r="C629" s="102"/>
      <c r="D629" s="102"/>
      <c r="E629" s="102"/>
      <c r="F629" s="102"/>
      <c r="G629" s="102"/>
      <c r="H629" s="102"/>
      <c r="I629" s="102"/>
      <c r="J629" s="102"/>
      <c r="K629" s="102"/>
    </row>
    <row r="630" spans="2:11" s="1" customFormat="1" ht="12.75" customHeight="1">
      <c r="B630" s="5">
        <f>B622+1</f>
        <v>98</v>
      </c>
      <c r="C630" s="224" t="str">
        <f>"4.7."&amp;B630-$B$486+1&amp;" Addr 0x"&amp;DEC2HEX(B630,8)&amp;" Calibration data.OVP"</f>
        <v>4.7.19 Addr 0x00000062 Calibration data.OVP</v>
      </c>
      <c r="D630" s="225"/>
      <c r="E630" s="225"/>
      <c r="F630" s="225"/>
      <c r="G630" s="225"/>
      <c r="H630" s="225"/>
      <c r="I630" s="225"/>
      <c r="J630" s="225"/>
      <c r="K630" s="226"/>
    </row>
    <row r="631" spans="2:11" s="1" customFormat="1">
      <c r="B631" s="5"/>
      <c r="C631" s="6" t="s">
        <v>120</v>
      </c>
      <c r="D631" s="7">
        <v>7</v>
      </c>
      <c r="E631" s="7">
        <v>6</v>
      </c>
      <c r="F631" s="7">
        <v>5</v>
      </c>
      <c r="G631" s="7">
        <v>4</v>
      </c>
      <c r="H631" s="7">
        <v>3</v>
      </c>
      <c r="I631" s="7">
        <v>2</v>
      </c>
      <c r="J631" s="7">
        <v>1</v>
      </c>
      <c r="K631" s="7">
        <v>0</v>
      </c>
    </row>
    <row r="632" spans="2:11" s="1" customFormat="1" ht="13.5" customHeight="1">
      <c r="B632" s="5"/>
      <c r="C632" s="8" t="s">
        <v>6</v>
      </c>
      <c r="D632" s="176" t="s">
        <v>903</v>
      </c>
      <c r="E632" s="102"/>
      <c r="F632" s="102"/>
      <c r="G632" s="102"/>
      <c r="H632" s="102"/>
      <c r="I632" s="102"/>
      <c r="J632" s="102"/>
      <c r="K632" s="177"/>
    </row>
    <row r="633" spans="2:11" s="1" customFormat="1">
      <c r="B633" s="5" t="str">
        <f>CONCATENATE(D633,E633,F633,G633,H633,I633,J633,K633)</f>
        <v>00000000</v>
      </c>
      <c r="C633" s="8" t="s">
        <v>123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</row>
    <row r="634" spans="2:11" s="1" customFormat="1">
      <c r="B634" s="5"/>
      <c r="C634" s="102"/>
      <c r="D634" s="102"/>
      <c r="E634" s="102"/>
      <c r="F634" s="102"/>
      <c r="G634" s="102"/>
      <c r="H634" s="102"/>
      <c r="I634" s="102"/>
      <c r="J634" s="102"/>
      <c r="K634" s="102"/>
    </row>
    <row r="635" spans="2:11" s="1" customFormat="1" ht="13.5">
      <c r="B635" s="3"/>
      <c r="C635" s="10" t="s">
        <v>6</v>
      </c>
      <c r="D635" s="143" t="s">
        <v>125</v>
      </c>
      <c r="E635" s="143"/>
      <c r="F635" s="10" t="s">
        <v>126</v>
      </c>
      <c r="G635" s="143" t="s">
        <v>127</v>
      </c>
      <c r="H635" s="143"/>
      <c r="I635" s="143"/>
      <c r="J635" s="143"/>
      <c r="K635" s="10" t="s">
        <v>123</v>
      </c>
    </row>
    <row r="636" spans="2:11" s="1" customFormat="1" ht="25.5" customHeight="1">
      <c r="B636" s="3"/>
      <c r="C636" s="10" t="str">
        <f>D632</f>
        <v>CAL_DATA_OVP[5:0]</v>
      </c>
      <c r="D636" s="143" t="s">
        <v>904</v>
      </c>
      <c r="E636" s="143"/>
      <c r="F636" s="10" t="s">
        <v>721</v>
      </c>
      <c r="G636" s="143" t="s">
        <v>905</v>
      </c>
      <c r="H636" s="143"/>
      <c r="I636" s="143"/>
      <c r="J636" s="143"/>
      <c r="K636" s="10" t="s">
        <v>722</v>
      </c>
    </row>
    <row r="637" spans="2:11" s="1" customFormat="1">
      <c r="B637" s="5"/>
      <c r="C637" s="102"/>
      <c r="D637" s="102"/>
      <c r="E637" s="102"/>
      <c r="F637" s="102"/>
      <c r="G637" s="102"/>
      <c r="H637" s="102"/>
      <c r="I637" s="102"/>
      <c r="J637" s="102"/>
      <c r="K637" s="102"/>
    </row>
    <row r="638" spans="2:11" s="1" customFormat="1" ht="12.75" customHeight="1">
      <c r="B638" s="5">
        <f>B630+1</f>
        <v>99</v>
      </c>
      <c r="C638" s="224" t="str">
        <f>"4.7."&amp;B638-$B$486+1&amp;" Addr 0x"&amp;DEC2HEX(B638,8)&amp;" Calibration data.Reserved.0"</f>
        <v>4.7.20 Addr 0x00000063 Calibration data.Reserved.0</v>
      </c>
      <c r="D638" s="225"/>
      <c r="E638" s="225"/>
      <c r="F638" s="225"/>
      <c r="G638" s="225"/>
      <c r="H638" s="225"/>
      <c r="I638" s="225"/>
      <c r="J638" s="225"/>
      <c r="K638" s="226"/>
    </row>
    <row r="639" spans="2:11" s="1" customFormat="1">
      <c r="B639" s="5"/>
      <c r="C639" s="6" t="s">
        <v>120</v>
      </c>
      <c r="D639" s="7">
        <v>7</v>
      </c>
      <c r="E639" s="7">
        <v>6</v>
      </c>
      <c r="F639" s="7">
        <v>5</v>
      </c>
      <c r="G639" s="7">
        <v>4</v>
      </c>
      <c r="H639" s="7">
        <v>3</v>
      </c>
      <c r="I639" s="7">
        <v>2</v>
      </c>
      <c r="J639" s="7">
        <v>1</v>
      </c>
      <c r="K639" s="7">
        <v>0</v>
      </c>
    </row>
    <row r="640" spans="2:11" s="1" customFormat="1" ht="13.5" customHeight="1">
      <c r="B640" s="5"/>
      <c r="C640" s="8" t="s">
        <v>6</v>
      </c>
      <c r="D640" s="176" t="s">
        <v>906</v>
      </c>
      <c r="E640" s="102"/>
      <c r="F640" s="102"/>
      <c r="G640" s="102"/>
      <c r="H640" s="102"/>
      <c r="I640" s="102"/>
      <c r="J640" s="102"/>
      <c r="K640" s="177"/>
    </row>
    <row r="641" spans="2:11" s="1" customFormat="1">
      <c r="B641" s="5" t="str">
        <f>CONCATENATE(D641,E641,F641,G641,H641,I641,J641,K641)</f>
        <v>00000000</v>
      </c>
      <c r="C641" s="8" t="s">
        <v>123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</row>
    <row r="642" spans="2:11" s="1" customFormat="1">
      <c r="B642" s="5"/>
      <c r="C642" s="102"/>
      <c r="D642" s="102"/>
      <c r="E642" s="102"/>
      <c r="F642" s="102"/>
      <c r="G642" s="102"/>
      <c r="H642" s="102"/>
      <c r="I642" s="102"/>
      <c r="J642" s="102"/>
      <c r="K642" s="102"/>
    </row>
    <row r="643" spans="2:11" s="1" customFormat="1" ht="13.5">
      <c r="B643" s="3"/>
      <c r="C643" s="10" t="s">
        <v>6</v>
      </c>
      <c r="D643" s="143" t="s">
        <v>125</v>
      </c>
      <c r="E643" s="143"/>
      <c r="F643" s="10" t="s">
        <v>126</v>
      </c>
      <c r="G643" s="143" t="s">
        <v>127</v>
      </c>
      <c r="H643" s="143"/>
      <c r="I643" s="143"/>
      <c r="J643" s="143"/>
      <c r="K643" s="10" t="s">
        <v>123</v>
      </c>
    </row>
    <row r="644" spans="2:11" s="1" customFormat="1" ht="25.5" customHeight="1">
      <c r="B644" s="3"/>
      <c r="C644" s="10" t="str">
        <f>D640</f>
        <v>CAL_DATA_RESERVED_0[7:0]</v>
      </c>
      <c r="D644" s="143" t="s">
        <v>904</v>
      </c>
      <c r="E644" s="143"/>
      <c r="F644" s="10" t="s">
        <v>721</v>
      </c>
      <c r="G644" s="143"/>
      <c r="H644" s="143"/>
      <c r="I644" s="143"/>
      <c r="J644" s="143"/>
      <c r="K644" s="10" t="s">
        <v>722</v>
      </c>
    </row>
    <row r="645" spans="2:11" s="1" customFormat="1">
      <c r="B645" s="5"/>
      <c r="C645" s="102"/>
      <c r="D645" s="102"/>
      <c r="E645" s="102"/>
      <c r="F645" s="102"/>
      <c r="G645" s="102"/>
      <c r="H645" s="102"/>
      <c r="I645" s="102"/>
      <c r="J645" s="102"/>
      <c r="K645" s="102"/>
    </row>
    <row r="646" spans="2:11" s="1" customFormat="1" ht="12.75" customHeight="1">
      <c r="B646" s="5">
        <f>B638+1</f>
        <v>100</v>
      </c>
      <c r="C646" s="224" t="str">
        <f>"4.7."&amp;B646-$B$486+1&amp;" Addr 0x"&amp;DEC2HEX(B646,8)&amp;" Calibration data.ISen.Gain"</f>
        <v>4.7.21 Addr 0x00000064 Calibration data.ISen.Gain</v>
      </c>
      <c r="D646" s="225"/>
      <c r="E646" s="225"/>
      <c r="F646" s="225"/>
      <c r="G646" s="225"/>
      <c r="H646" s="225"/>
      <c r="I646" s="225"/>
      <c r="J646" s="225"/>
      <c r="K646" s="226"/>
    </row>
    <row r="647" spans="2:11" s="1" customFormat="1">
      <c r="B647" s="5"/>
      <c r="C647" s="6" t="s">
        <v>120</v>
      </c>
      <c r="D647" s="7">
        <v>7</v>
      </c>
      <c r="E647" s="7">
        <v>6</v>
      </c>
      <c r="F647" s="7">
        <v>5</v>
      </c>
      <c r="G647" s="7">
        <v>4</v>
      </c>
      <c r="H647" s="7">
        <v>3</v>
      </c>
      <c r="I647" s="7">
        <v>2</v>
      </c>
      <c r="J647" s="7">
        <v>1</v>
      </c>
      <c r="K647" s="7">
        <v>0</v>
      </c>
    </row>
    <row r="648" spans="2:11" s="1" customFormat="1" ht="13.5" customHeight="1">
      <c r="B648" s="5"/>
      <c r="C648" s="8" t="s">
        <v>6</v>
      </c>
      <c r="D648" s="176" t="s">
        <v>907</v>
      </c>
      <c r="E648" s="102"/>
      <c r="F648" s="102"/>
      <c r="G648" s="102"/>
      <c r="H648" s="102"/>
      <c r="I648" s="102"/>
      <c r="J648" s="102"/>
      <c r="K648" s="177"/>
    </row>
    <row r="649" spans="2:11" s="1" customFormat="1">
      <c r="B649" s="5" t="str">
        <f>CONCATENATE(D649,E649,F649,G649,H649,I649,J649,K649)</f>
        <v>00000000</v>
      </c>
      <c r="C649" s="8" t="s">
        <v>123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</row>
    <row r="650" spans="2:11" s="1" customFormat="1">
      <c r="B650" s="5"/>
      <c r="C650" s="102"/>
      <c r="D650" s="102"/>
      <c r="E650" s="102"/>
      <c r="F650" s="102"/>
      <c r="G650" s="102"/>
      <c r="H650" s="102"/>
      <c r="I650" s="102"/>
      <c r="J650" s="102"/>
      <c r="K650" s="102"/>
    </row>
    <row r="651" spans="2:11" s="1" customFormat="1" ht="13.5">
      <c r="B651" s="3"/>
      <c r="C651" s="10" t="s">
        <v>6</v>
      </c>
      <c r="D651" s="143" t="s">
        <v>125</v>
      </c>
      <c r="E651" s="143"/>
      <c r="F651" s="10" t="s">
        <v>126</v>
      </c>
      <c r="G651" s="143" t="s">
        <v>127</v>
      </c>
      <c r="H651" s="143"/>
      <c r="I651" s="143"/>
      <c r="J651" s="143"/>
      <c r="K651" s="10" t="s">
        <v>123</v>
      </c>
    </row>
    <row r="652" spans="2:11" s="1" customFormat="1" ht="27" customHeight="1">
      <c r="B652" s="3"/>
      <c r="C652" s="10" t="str">
        <f>D648</f>
        <v>CAL_DATA_ISEN_GAIN[7:0]</v>
      </c>
      <c r="D652" s="143" t="s">
        <v>908</v>
      </c>
      <c r="E652" s="143"/>
      <c r="F652" s="10" t="s">
        <v>721</v>
      </c>
      <c r="G652" s="143" t="s">
        <v>909</v>
      </c>
      <c r="H652" s="143"/>
      <c r="I652" s="143"/>
      <c r="J652" s="143"/>
      <c r="K652" s="10" t="s">
        <v>722</v>
      </c>
    </row>
    <row r="653" spans="2:11" s="1" customFormat="1">
      <c r="B653" s="5"/>
      <c r="C653" s="102"/>
      <c r="D653" s="102"/>
      <c r="E653" s="102"/>
      <c r="F653" s="102"/>
      <c r="G653" s="102"/>
      <c r="H653" s="102"/>
      <c r="I653" s="102"/>
      <c r="J653" s="102"/>
      <c r="K653" s="102"/>
    </row>
    <row r="654" spans="2:11" s="1" customFormat="1" ht="12.75" customHeight="1">
      <c r="B654" s="5">
        <f>B646+1</f>
        <v>101</v>
      </c>
      <c r="C654" s="224" t="str">
        <f>"4.7."&amp;B654-$B$486+1&amp;" Addr 0x"&amp;DEC2HEX(B654,8)&amp;" Calibration data.ISen.Offset"</f>
        <v>4.7.22 Addr 0x00000065 Calibration data.ISen.Offset</v>
      </c>
      <c r="D654" s="225"/>
      <c r="E654" s="225"/>
      <c r="F654" s="225"/>
      <c r="G654" s="225"/>
      <c r="H654" s="225"/>
      <c r="I654" s="225"/>
      <c r="J654" s="225"/>
      <c r="K654" s="226"/>
    </row>
    <row r="655" spans="2:11" s="1" customFormat="1">
      <c r="B655" s="5"/>
      <c r="C655" s="6" t="s">
        <v>120</v>
      </c>
      <c r="D655" s="7">
        <v>7</v>
      </c>
      <c r="E655" s="7">
        <v>6</v>
      </c>
      <c r="F655" s="7">
        <v>5</v>
      </c>
      <c r="G655" s="7">
        <v>4</v>
      </c>
      <c r="H655" s="7">
        <v>3</v>
      </c>
      <c r="I655" s="7">
        <v>2</v>
      </c>
      <c r="J655" s="7">
        <v>1</v>
      </c>
      <c r="K655" s="7">
        <v>0</v>
      </c>
    </row>
    <row r="656" spans="2:11" s="1" customFormat="1" ht="13.5" customHeight="1">
      <c r="B656" s="5"/>
      <c r="C656" s="8" t="s">
        <v>6</v>
      </c>
      <c r="D656" s="176" t="s">
        <v>910</v>
      </c>
      <c r="E656" s="102"/>
      <c r="F656" s="102"/>
      <c r="G656" s="102"/>
      <c r="H656" s="102"/>
      <c r="I656" s="102"/>
      <c r="J656" s="102"/>
      <c r="K656" s="177"/>
    </row>
    <row r="657" spans="2:11" s="1" customFormat="1">
      <c r="B657" s="5" t="str">
        <f>CONCATENATE(D657,E657,F657,G657,H657,I657,J657,K657)</f>
        <v>00000000</v>
      </c>
      <c r="C657" s="8" t="s">
        <v>123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</row>
    <row r="658" spans="2:11" s="1" customFormat="1">
      <c r="B658" s="5"/>
      <c r="C658" s="102"/>
      <c r="D658" s="102"/>
      <c r="E658" s="102"/>
      <c r="F658" s="102"/>
      <c r="G658" s="102"/>
      <c r="H658" s="102"/>
      <c r="I658" s="102"/>
      <c r="J658" s="102"/>
      <c r="K658" s="102"/>
    </row>
    <row r="659" spans="2:11" s="1" customFormat="1" ht="13.5">
      <c r="B659" s="3"/>
      <c r="C659" s="10" t="s">
        <v>6</v>
      </c>
      <c r="D659" s="143" t="s">
        <v>125</v>
      </c>
      <c r="E659" s="143"/>
      <c r="F659" s="10" t="s">
        <v>126</v>
      </c>
      <c r="G659" s="143" t="s">
        <v>127</v>
      </c>
      <c r="H659" s="143"/>
      <c r="I659" s="143"/>
      <c r="J659" s="143"/>
      <c r="K659" s="10" t="s">
        <v>123</v>
      </c>
    </row>
    <row r="660" spans="2:11" s="1" customFormat="1" ht="27">
      <c r="B660" s="3"/>
      <c r="C660" s="10" t="str">
        <f>D656</f>
        <v>CAL_DATA_ISEN_OFFSET[7:0]</v>
      </c>
      <c r="D660" s="143" t="s">
        <v>911</v>
      </c>
      <c r="E660" s="143"/>
      <c r="F660" s="10" t="s">
        <v>721</v>
      </c>
      <c r="G660" s="143" t="s">
        <v>912</v>
      </c>
      <c r="H660" s="143"/>
      <c r="I660" s="143"/>
      <c r="J660" s="143"/>
      <c r="K660" s="10" t="s">
        <v>722</v>
      </c>
    </row>
    <row r="661" spans="2:11" s="1" customFormat="1">
      <c r="B661" s="5"/>
      <c r="C661" s="102"/>
      <c r="D661" s="102"/>
      <c r="E661" s="102"/>
      <c r="F661" s="102"/>
      <c r="G661" s="102"/>
      <c r="H661" s="102"/>
      <c r="I661" s="102"/>
      <c r="J661" s="102"/>
      <c r="K661" s="102"/>
    </row>
    <row r="662" spans="2:11" s="1" customFormat="1" ht="12.75" customHeight="1">
      <c r="B662" s="5">
        <f>B654+1</f>
        <v>102</v>
      </c>
      <c r="C662" s="224" t="str">
        <f>"4.7."&amp;B662-$B$486+1&amp;" Addr 0x"&amp;DEC2HEX(B662,8)&amp;" Calibration data.ISen.NoLoad.L"</f>
        <v>4.7.23 Addr 0x00000066 Calibration data.ISen.NoLoad.L</v>
      </c>
      <c r="D662" s="225"/>
      <c r="E662" s="225"/>
      <c r="F662" s="225"/>
      <c r="G662" s="225"/>
      <c r="H662" s="225"/>
      <c r="I662" s="225"/>
      <c r="J662" s="225"/>
      <c r="K662" s="226"/>
    </row>
    <row r="663" spans="2:11" s="1" customFormat="1">
      <c r="B663" s="5"/>
      <c r="C663" s="6" t="s">
        <v>120</v>
      </c>
      <c r="D663" s="7">
        <v>7</v>
      </c>
      <c r="E663" s="7">
        <v>6</v>
      </c>
      <c r="F663" s="7">
        <v>5</v>
      </c>
      <c r="G663" s="7">
        <v>4</v>
      </c>
      <c r="H663" s="7">
        <v>3</v>
      </c>
      <c r="I663" s="7">
        <v>2</v>
      </c>
      <c r="J663" s="7">
        <v>1</v>
      </c>
      <c r="K663" s="7">
        <v>0</v>
      </c>
    </row>
    <row r="664" spans="2:11" s="1" customFormat="1" ht="13.5" customHeight="1">
      <c r="B664" s="5"/>
      <c r="C664" s="8" t="s">
        <v>6</v>
      </c>
      <c r="D664" s="176" t="s">
        <v>913</v>
      </c>
      <c r="E664" s="102"/>
      <c r="F664" s="102"/>
      <c r="G664" s="102"/>
      <c r="H664" s="102"/>
      <c r="I664" s="102"/>
      <c r="J664" s="102"/>
      <c r="K664" s="177"/>
    </row>
    <row r="665" spans="2:11" s="1" customFormat="1">
      <c r="B665" s="5" t="str">
        <f>CONCATENATE(D665,E665,F665,G665,H665,I665,J665,K665)</f>
        <v>00000000</v>
      </c>
      <c r="C665" s="8" t="s">
        <v>123</v>
      </c>
      <c r="D665" s="9">
        <v>0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</row>
    <row r="666" spans="2:11" s="1" customFormat="1">
      <c r="B666" s="5"/>
      <c r="C666" s="102"/>
      <c r="D666" s="102"/>
      <c r="E666" s="102"/>
      <c r="F666" s="102"/>
      <c r="G666" s="102"/>
      <c r="H666" s="102"/>
      <c r="I666" s="102"/>
      <c r="J666" s="102"/>
      <c r="K666" s="102"/>
    </row>
    <row r="667" spans="2:11" s="1" customFormat="1" ht="13.5">
      <c r="B667" s="3"/>
      <c r="C667" s="10" t="s">
        <v>6</v>
      </c>
      <c r="D667" s="143" t="s">
        <v>125</v>
      </c>
      <c r="E667" s="143"/>
      <c r="F667" s="10" t="s">
        <v>126</v>
      </c>
      <c r="G667" s="143" t="s">
        <v>127</v>
      </c>
      <c r="H667" s="143"/>
      <c r="I667" s="143"/>
      <c r="J667" s="143"/>
      <c r="K667" s="10" t="s">
        <v>123</v>
      </c>
    </row>
    <row r="668" spans="2:11" s="1" customFormat="1" ht="27">
      <c r="B668" s="3"/>
      <c r="C668" s="10" t="str">
        <f>D664</f>
        <v>CAL_DATA_ISEN_NOLOAD_L[7:0]</v>
      </c>
      <c r="D668" s="143" t="s">
        <v>914</v>
      </c>
      <c r="E668" s="143"/>
      <c r="F668" s="10" t="s">
        <v>721</v>
      </c>
      <c r="G668" s="143"/>
      <c r="H668" s="143"/>
      <c r="I668" s="143"/>
      <c r="J668" s="143"/>
      <c r="K668" s="10" t="s">
        <v>722</v>
      </c>
    </row>
    <row r="669" spans="2:11" s="1" customFormat="1">
      <c r="B669" s="5"/>
      <c r="C669" s="102"/>
      <c r="D669" s="102"/>
      <c r="E669" s="102"/>
      <c r="F669" s="102"/>
      <c r="G669" s="102"/>
      <c r="H669" s="102"/>
      <c r="I669" s="102"/>
      <c r="J669" s="102"/>
      <c r="K669" s="102"/>
    </row>
    <row r="670" spans="2:11" s="1" customFormat="1" ht="12.75" customHeight="1">
      <c r="B670" s="5">
        <f>B662+1</f>
        <v>103</v>
      </c>
      <c r="C670" s="224" t="str">
        <f>"4.7."&amp;B670-$B$486+1&amp;" Addr 0x"&amp;DEC2HEX(B670,8)&amp;" Calibration data.ISen.NoLoad.H"</f>
        <v>4.7.24 Addr 0x00000067 Calibration data.ISen.NoLoad.H</v>
      </c>
      <c r="D670" s="225"/>
      <c r="E670" s="225"/>
      <c r="F670" s="225"/>
      <c r="G670" s="225"/>
      <c r="H670" s="225"/>
      <c r="I670" s="225"/>
      <c r="J670" s="225"/>
      <c r="K670" s="226"/>
    </row>
    <row r="671" spans="2:11" s="1" customFormat="1">
      <c r="B671" s="5"/>
      <c r="C671" s="6" t="s">
        <v>120</v>
      </c>
      <c r="D671" s="7">
        <v>7</v>
      </c>
      <c r="E671" s="7">
        <v>6</v>
      </c>
      <c r="F671" s="7">
        <v>5</v>
      </c>
      <c r="G671" s="7">
        <v>4</v>
      </c>
      <c r="H671" s="7">
        <v>3</v>
      </c>
      <c r="I671" s="7">
        <v>2</v>
      </c>
      <c r="J671" s="7">
        <v>1</v>
      </c>
      <c r="K671" s="7">
        <v>0</v>
      </c>
    </row>
    <row r="672" spans="2:11" s="1" customFormat="1" ht="13.5" customHeight="1">
      <c r="B672" s="5"/>
      <c r="C672" s="8" t="s">
        <v>6</v>
      </c>
      <c r="D672" s="176" t="s">
        <v>915</v>
      </c>
      <c r="E672" s="102"/>
      <c r="F672" s="102"/>
      <c r="G672" s="102"/>
      <c r="H672" s="102"/>
      <c r="I672" s="102"/>
      <c r="J672" s="102"/>
      <c r="K672" s="177"/>
    </row>
    <row r="673" spans="2:11" s="1" customFormat="1">
      <c r="B673" s="5" t="str">
        <f>CONCATENATE(D673,E673,F673,G673,H673,I673,J673,K673)</f>
        <v>00000000</v>
      </c>
      <c r="C673" s="8" t="s">
        <v>123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</row>
    <row r="674" spans="2:11" s="1" customFormat="1">
      <c r="B674" s="5"/>
      <c r="C674" s="102"/>
      <c r="D674" s="102"/>
      <c r="E674" s="102"/>
      <c r="F674" s="102"/>
      <c r="G674" s="102"/>
      <c r="H674" s="102"/>
      <c r="I674" s="102"/>
      <c r="J674" s="102"/>
      <c r="K674" s="102"/>
    </row>
    <row r="675" spans="2:11" s="1" customFormat="1" ht="13.5">
      <c r="B675" s="3"/>
      <c r="C675" s="10" t="s">
        <v>6</v>
      </c>
      <c r="D675" s="143" t="s">
        <v>125</v>
      </c>
      <c r="E675" s="143"/>
      <c r="F675" s="10" t="s">
        <v>126</v>
      </c>
      <c r="G675" s="143" t="s">
        <v>127</v>
      </c>
      <c r="H675" s="143"/>
      <c r="I675" s="143"/>
      <c r="J675" s="143"/>
      <c r="K675" s="10" t="s">
        <v>123</v>
      </c>
    </row>
    <row r="676" spans="2:11" s="1" customFormat="1" ht="27">
      <c r="B676" s="3"/>
      <c r="C676" s="10" t="str">
        <f>D672</f>
        <v>CAL_DATA_ISEN_NOLOAD_H[7:0]</v>
      </c>
      <c r="D676" s="143" t="s">
        <v>914</v>
      </c>
      <c r="E676" s="143"/>
      <c r="F676" s="10" t="s">
        <v>721</v>
      </c>
      <c r="G676" s="143"/>
      <c r="H676" s="143"/>
      <c r="I676" s="143"/>
      <c r="J676" s="143"/>
      <c r="K676" s="10" t="s">
        <v>722</v>
      </c>
    </row>
    <row r="677" spans="2:11" s="1" customFormat="1">
      <c r="B677" s="5"/>
      <c r="C677" s="102"/>
      <c r="D677" s="102"/>
      <c r="E677" s="102"/>
      <c r="F677" s="102"/>
      <c r="G677" s="102"/>
      <c r="H677" s="102"/>
      <c r="I677" s="102"/>
      <c r="J677" s="102"/>
      <c r="K677" s="102"/>
    </row>
    <row r="678" spans="2:11" s="1" customFormat="1" ht="12.75" customHeight="1">
      <c r="B678" s="5">
        <f>B670+1</f>
        <v>104</v>
      </c>
      <c r="C678" s="224" t="str">
        <f>"4.7."&amp;B678-$B$486+1&amp;" Addr 0x"&amp;DEC2HEX(B678,8)&amp;" Calibration data.ISen.Courve.x1.L"</f>
        <v>4.7.25 Addr 0x00000068 Calibration data.ISen.Courve.x1.L</v>
      </c>
      <c r="D678" s="225"/>
      <c r="E678" s="225"/>
      <c r="F678" s="225"/>
      <c r="G678" s="225"/>
      <c r="H678" s="225"/>
      <c r="I678" s="225"/>
      <c r="J678" s="225"/>
      <c r="K678" s="226"/>
    </row>
    <row r="679" spans="2:11" s="1" customFormat="1">
      <c r="B679" s="5"/>
      <c r="C679" s="6" t="s">
        <v>120</v>
      </c>
      <c r="D679" s="7">
        <v>7</v>
      </c>
      <c r="E679" s="7">
        <v>6</v>
      </c>
      <c r="F679" s="7">
        <v>5</v>
      </c>
      <c r="G679" s="7">
        <v>4</v>
      </c>
      <c r="H679" s="7">
        <v>3</v>
      </c>
      <c r="I679" s="7">
        <v>2</v>
      </c>
      <c r="J679" s="7">
        <v>1</v>
      </c>
      <c r="K679" s="7">
        <v>0</v>
      </c>
    </row>
    <row r="680" spans="2:11" s="1" customFormat="1" ht="13.5" customHeight="1">
      <c r="B680" s="5"/>
      <c r="C680" s="8" t="s">
        <v>6</v>
      </c>
      <c r="D680" s="176" t="s">
        <v>916</v>
      </c>
      <c r="E680" s="102"/>
      <c r="F680" s="102"/>
      <c r="G680" s="102"/>
      <c r="H680" s="102"/>
      <c r="I680" s="102"/>
      <c r="J680" s="102"/>
      <c r="K680" s="177"/>
    </row>
    <row r="681" spans="2:11" s="1" customFormat="1">
      <c r="B681" s="5" t="str">
        <f>CONCATENATE(D681,E681,F681,G681,H681,I681,J681,K681)</f>
        <v>00000000</v>
      </c>
      <c r="C681" s="8" t="s">
        <v>123</v>
      </c>
      <c r="D681" s="9">
        <v>0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</row>
    <row r="682" spans="2:11" s="1" customFormat="1">
      <c r="B682" s="5"/>
      <c r="C682" s="102"/>
      <c r="D682" s="102"/>
      <c r="E682" s="102"/>
      <c r="F682" s="102"/>
      <c r="G682" s="102"/>
      <c r="H682" s="102"/>
      <c r="I682" s="102"/>
      <c r="J682" s="102"/>
      <c r="K682" s="102"/>
    </row>
    <row r="683" spans="2:11" s="1" customFormat="1" ht="13.5">
      <c r="B683" s="3"/>
      <c r="C683" s="10" t="s">
        <v>6</v>
      </c>
      <c r="D683" s="143" t="s">
        <v>125</v>
      </c>
      <c r="E683" s="143"/>
      <c r="F683" s="10" t="s">
        <v>126</v>
      </c>
      <c r="G683" s="143" t="s">
        <v>127</v>
      </c>
      <c r="H683" s="143"/>
      <c r="I683" s="143"/>
      <c r="J683" s="143"/>
      <c r="K683" s="10" t="s">
        <v>123</v>
      </c>
    </row>
    <row r="684" spans="2:11" s="1" customFormat="1" ht="13.5">
      <c r="B684" s="3"/>
      <c r="C684" s="10" t="str">
        <f>D680</f>
        <v>CAL_DATA_ISEN_X1[7:0]</v>
      </c>
      <c r="D684" s="143" t="s">
        <v>917</v>
      </c>
      <c r="E684" s="143"/>
      <c r="F684" s="10" t="s">
        <v>721</v>
      </c>
      <c r="G684" s="143" t="s">
        <v>918</v>
      </c>
      <c r="H684" s="143"/>
      <c r="I684" s="143"/>
      <c r="J684" s="143"/>
      <c r="K684" s="10" t="s">
        <v>722</v>
      </c>
    </row>
    <row r="685" spans="2:11" s="1" customFormat="1">
      <c r="B685" s="5"/>
      <c r="C685" s="102"/>
      <c r="D685" s="102"/>
      <c r="E685" s="102"/>
      <c r="F685" s="102"/>
      <c r="G685" s="102"/>
      <c r="H685" s="102"/>
      <c r="I685" s="102"/>
      <c r="J685" s="102"/>
      <c r="K685" s="102"/>
    </row>
    <row r="686" spans="2:11" s="1" customFormat="1" ht="12.75" customHeight="1">
      <c r="B686" s="5">
        <f>B678+1</f>
        <v>105</v>
      </c>
      <c r="C686" s="224" t="str">
        <f>"4.7."&amp;B686-$B$486+1&amp;" Addr 0x"&amp;DEC2HEX(B686,8)&amp;" Calibration data.ISen.Courve.x1.H"</f>
        <v>4.7.26 Addr 0x00000069 Calibration data.ISen.Courve.x1.H</v>
      </c>
      <c r="D686" s="225"/>
      <c r="E686" s="225"/>
      <c r="F686" s="225"/>
      <c r="G686" s="225"/>
      <c r="H686" s="225"/>
      <c r="I686" s="225"/>
      <c r="J686" s="225"/>
      <c r="K686" s="226"/>
    </row>
    <row r="687" spans="2:11" s="1" customFormat="1">
      <c r="B687" s="5"/>
      <c r="C687" s="6" t="s">
        <v>120</v>
      </c>
      <c r="D687" s="7">
        <v>7</v>
      </c>
      <c r="E687" s="7">
        <v>6</v>
      </c>
      <c r="F687" s="7">
        <v>5</v>
      </c>
      <c r="G687" s="7">
        <v>4</v>
      </c>
      <c r="H687" s="7">
        <v>3</v>
      </c>
      <c r="I687" s="7">
        <v>2</v>
      </c>
      <c r="J687" s="7">
        <v>1</v>
      </c>
      <c r="K687" s="7">
        <v>0</v>
      </c>
    </row>
    <row r="688" spans="2:11" s="1" customFormat="1" ht="13.5" customHeight="1">
      <c r="B688" s="5"/>
      <c r="C688" s="8" t="s">
        <v>6</v>
      </c>
      <c r="D688" s="176" t="s">
        <v>919</v>
      </c>
      <c r="E688" s="102"/>
      <c r="F688" s="102"/>
      <c r="G688" s="102"/>
      <c r="H688" s="102"/>
      <c r="I688" s="102"/>
      <c r="J688" s="102"/>
      <c r="K688" s="177"/>
    </row>
    <row r="689" spans="2:11" s="1" customFormat="1">
      <c r="B689" s="5" t="str">
        <f>CONCATENATE(D689,E689,F689,G689,H689,I689,J689,K689)</f>
        <v>00000000</v>
      </c>
      <c r="C689" s="8" t="s">
        <v>123</v>
      </c>
      <c r="D689" s="9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</row>
    <row r="690" spans="2:11" s="1" customFormat="1">
      <c r="B690" s="5"/>
      <c r="C690" s="102"/>
      <c r="D690" s="102"/>
      <c r="E690" s="102"/>
      <c r="F690" s="102"/>
      <c r="G690" s="102"/>
      <c r="H690" s="102"/>
      <c r="I690" s="102"/>
      <c r="J690" s="102"/>
      <c r="K690" s="102"/>
    </row>
    <row r="691" spans="2:11" s="1" customFormat="1" ht="13.5">
      <c r="B691" s="3"/>
      <c r="C691" s="10" t="s">
        <v>6</v>
      </c>
      <c r="D691" s="143" t="s">
        <v>125</v>
      </c>
      <c r="E691" s="143"/>
      <c r="F691" s="10" t="s">
        <v>126</v>
      </c>
      <c r="G691" s="143" t="s">
        <v>127</v>
      </c>
      <c r="H691" s="143"/>
      <c r="I691" s="143"/>
      <c r="J691" s="143"/>
      <c r="K691" s="10" t="s">
        <v>123</v>
      </c>
    </row>
    <row r="692" spans="2:11" s="1" customFormat="1" ht="13.5">
      <c r="B692" s="3"/>
      <c r="C692" s="10" t="str">
        <f>D688</f>
        <v>CAL_DATA_ISEN_X1[15:8]</v>
      </c>
      <c r="D692" s="143" t="s">
        <v>917</v>
      </c>
      <c r="E692" s="143"/>
      <c r="F692" s="10" t="s">
        <v>721</v>
      </c>
      <c r="G692" s="143" t="s">
        <v>918</v>
      </c>
      <c r="H692" s="143"/>
      <c r="I692" s="143"/>
      <c r="J692" s="143"/>
      <c r="K692" s="10" t="s">
        <v>722</v>
      </c>
    </row>
    <row r="693" spans="2:11" s="1" customFormat="1">
      <c r="B693" s="5"/>
      <c r="C693" s="102"/>
      <c r="D693" s="102"/>
      <c r="E693" s="102"/>
      <c r="F693" s="102"/>
      <c r="G693" s="102"/>
      <c r="H693" s="102"/>
      <c r="I693" s="102"/>
      <c r="J693" s="102"/>
      <c r="K693" s="102"/>
    </row>
    <row r="694" spans="2:11" s="1" customFormat="1" ht="12.75" customHeight="1">
      <c r="B694" s="5">
        <f>B686+1</f>
        <v>106</v>
      </c>
      <c r="C694" s="224" t="str">
        <f>"4.7."&amp;B694-$B$486+1&amp;" Addr 0x"&amp;DEC2HEX(B694,8)&amp;" Calibration data.ISen.Courve.y1.L"</f>
        <v>4.7.27 Addr 0x0000006A Calibration data.ISen.Courve.y1.L</v>
      </c>
      <c r="D694" s="225"/>
      <c r="E694" s="225"/>
      <c r="F694" s="225"/>
      <c r="G694" s="225"/>
      <c r="H694" s="225"/>
      <c r="I694" s="225"/>
      <c r="J694" s="225"/>
      <c r="K694" s="226"/>
    </row>
    <row r="695" spans="2:11" s="1" customFormat="1">
      <c r="B695" s="5"/>
      <c r="C695" s="6" t="s">
        <v>120</v>
      </c>
      <c r="D695" s="7">
        <v>7</v>
      </c>
      <c r="E695" s="7">
        <v>6</v>
      </c>
      <c r="F695" s="7">
        <v>5</v>
      </c>
      <c r="G695" s="7">
        <v>4</v>
      </c>
      <c r="H695" s="7">
        <v>3</v>
      </c>
      <c r="I695" s="7">
        <v>2</v>
      </c>
      <c r="J695" s="7">
        <v>1</v>
      </c>
      <c r="K695" s="7">
        <v>0</v>
      </c>
    </row>
    <row r="696" spans="2:11" s="1" customFormat="1" ht="13.5" customHeight="1">
      <c r="B696" s="5"/>
      <c r="C696" s="8" t="s">
        <v>6</v>
      </c>
      <c r="D696" s="176" t="s">
        <v>920</v>
      </c>
      <c r="E696" s="102"/>
      <c r="F696" s="102"/>
      <c r="G696" s="102"/>
      <c r="H696" s="102"/>
      <c r="I696" s="102"/>
      <c r="J696" s="102"/>
      <c r="K696" s="177"/>
    </row>
    <row r="697" spans="2:11" s="1" customFormat="1">
      <c r="B697" s="5" t="str">
        <f>CONCATENATE(D697,E697,F697,G697,H697,I697,J697,K697)</f>
        <v>00000000</v>
      </c>
      <c r="C697" s="8" t="s">
        <v>123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</row>
    <row r="698" spans="2:11" s="1" customFormat="1">
      <c r="B698" s="5"/>
      <c r="C698" s="102"/>
      <c r="D698" s="102"/>
      <c r="E698" s="102"/>
      <c r="F698" s="102"/>
      <c r="G698" s="102"/>
      <c r="H698" s="102"/>
      <c r="I698" s="102"/>
      <c r="J698" s="102"/>
      <c r="K698" s="102"/>
    </row>
    <row r="699" spans="2:11" s="1" customFormat="1" ht="13.5">
      <c r="B699" s="3"/>
      <c r="C699" s="10" t="s">
        <v>6</v>
      </c>
      <c r="D699" s="143" t="s">
        <v>125</v>
      </c>
      <c r="E699" s="143"/>
      <c r="F699" s="10" t="s">
        <v>126</v>
      </c>
      <c r="G699" s="143" t="s">
        <v>127</v>
      </c>
      <c r="H699" s="143"/>
      <c r="I699" s="143"/>
      <c r="J699" s="143"/>
      <c r="K699" s="10" t="s">
        <v>123</v>
      </c>
    </row>
    <row r="700" spans="2:11" s="1" customFormat="1" ht="13.5" customHeight="1">
      <c r="B700" s="3"/>
      <c r="C700" s="10" t="str">
        <f>D696</f>
        <v>CAL_DATA_ISEN_Y1[7:0]</v>
      </c>
      <c r="D700" s="143" t="s">
        <v>921</v>
      </c>
      <c r="E700" s="143"/>
      <c r="F700" s="10" t="s">
        <v>721</v>
      </c>
      <c r="G700" s="143" t="s">
        <v>922</v>
      </c>
      <c r="H700" s="143"/>
      <c r="I700" s="143"/>
      <c r="J700" s="143"/>
      <c r="K700" s="10" t="s">
        <v>722</v>
      </c>
    </row>
    <row r="701" spans="2:11" s="1" customFormat="1">
      <c r="B701" s="5"/>
      <c r="C701" s="102"/>
      <c r="D701" s="102"/>
      <c r="E701" s="102"/>
      <c r="F701" s="102"/>
      <c r="G701" s="102"/>
      <c r="H701" s="102"/>
      <c r="I701" s="102"/>
      <c r="J701" s="102"/>
      <c r="K701" s="102"/>
    </row>
    <row r="702" spans="2:11" s="1" customFormat="1" ht="12.75" customHeight="1">
      <c r="B702" s="5">
        <f>B694+1</f>
        <v>107</v>
      </c>
      <c r="C702" s="224" t="str">
        <f>"4.7."&amp;B702-$B$486+1&amp;" Addr 0x"&amp;DEC2HEX(B702,8)&amp;" Calibration data.ISen.Courve.y1.H"</f>
        <v>4.7.28 Addr 0x0000006B Calibration data.ISen.Courve.y1.H</v>
      </c>
      <c r="D702" s="225"/>
      <c r="E702" s="225"/>
      <c r="F702" s="225"/>
      <c r="G702" s="225"/>
      <c r="H702" s="225"/>
      <c r="I702" s="225"/>
      <c r="J702" s="225"/>
      <c r="K702" s="226"/>
    </row>
    <row r="703" spans="2:11" s="1" customFormat="1">
      <c r="B703" s="5"/>
      <c r="C703" s="6" t="s">
        <v>120</v>
      </c>
      <c r="D703" s="7">
        <v>7</v>
      </c>
      <c r="E703" s="7">
        <v>6</v>
      </c>
      <c r="F703" s="7">
        <v>5</v>
      </c>
      <c r="G703" s="7">
        <v>4</v>
      </c>
      <c r="H703" s="7">
        <v>3</v>
      </c>
      <c r="I703" s="7">
        <v>2</v>
      </c>
      <c r="J703" s="7">
        <v>1</v>
      </c>
      <c r="K703" s="7">
        <v>0</v>
      </c>
    </row>
    <row r="704" spans="2:11" s="1" customFormat="1" ht="13.5" customHeight="1">
      <c r="B704" s="5"/>
      <c r="C704" s="8" t="s">
        <v>6</v>
      </c>
      <c r="D704" s="176" t="s">
        <v>923</v>
      </c>
      <c r="E704" s="102"/>
      <c r="F704" s="102"/>
      <c r="G704" s="102"/>
      <c r="H704" s="102"/>
      <c r="I704" s="102"/>
      <c r="J704" s="102"/>
      <c r="K704" s="177"/>
    </row>
    <row r="705" spans="2:11" s="1" customFormat="1">
      <c r="B705" s="5" t="str">
        <f>CONCATENATE(D705,E705,F705,G705,H705,I705,J705,K705)</f>
        <v>00000000</v>
      </c>
      <c r="C705" s="8" t="s">
        <v>123</v>
      </c>
      <c r="D705" s="9">
        <v>0</v>
      </c>
      <c r="E705" s="9">
        <v>0</v>
      </c>
      <c r="F705" s="9">
        <v>0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</row>
    <row r="706" spans="2:11" s="1" customFormat="1">
      <c r="B706" s="5"/>
      <c r="C706" s="102"/>
      <c r="D706" s="102"/>
      <c r="E706" s="102"/>
      <c r="F706" s="102"/>
      <c r="G706" s="102"/>
      <c r="H706" s="102"/>
      <c r="I706" s="102"/>
      <c r="J706" s="102"/>
      <c r="K706" s="102"/>
    </row>
    <row r="707" spans="2:11" s="1" customFormat="1" ht="13.5">
      <c r="B707" s="3"/>
      <c r="C707" s="10" t="s">
        <v>6</v>
      </c>
      <c r="D707" s="143" t="s">
        <v>125</v>
      </c>
      <c r="E707" s="143"/>
      <c r="F707" s="10" t="s">
        <v>126</v>
      </c>
      <c r="G707" s="143" t="s">
        <v>127</v>
      </c>
      <c r="H707" s="143"/>
      <c r="I707" s="143"/>
      <c r="J707" s="143"/>
      <c r="K707" s="10" t="s">
        <v>123</v>
      </c>
    </row>
    <row r="708" spans="2:11" s="1" customFormat="1" ht="13.5">
      <c r="B708" s="3"/>
      <c r="C708" s="10" t="str">
        <f>D704</f>
        <v>CAL_DATA_ISEN_Y1[15:8]</v>
      </c>
      <c r="D708" s="143" t="s">
        <v>921</v>
      </c>
      <c r="E708" s="143"/>
      <c r="F708" s="10" t="s">
        <v>721</v>
      </c>
      <c r="G708" s="143" t="s">
        <v>922</v>
      </c>
      <c r="H708" s="143"/>
      <c r="I708" s="143"/>
      <c r="J708" s="143"/>
      <c r="K708" s="10" t="s">
        <v>722</v>
      </c>
    </row>
    <row r="709" spans="2:11" s="1" customFormat="1">
      <c r="B709" s="5"/>
      <c r="C709" s="102"/>
      <c r="D709" s="102"/>
      <c r="E709" s="102"/>
      <c r="F709" s="102"/>
      <c r="G709" s="102"/>
      <c r="H709" s="102"/>
      <c r="I709" s="102"/>
      <c r="J709" s="102"/>
      <c r="K709" s="102"/>
    </row>
    <row r="710" spans="2:11" s="1" customFormat="1" ht="12.75" customHeight="1">
      <c r="B710" s="5">
        <f>B702+1</f>
        <v>108</v>
      </c>
      <c r="C710" s="224" t="str">
        <f>"4.7."&amp;B710-$B$486+1&amp;" Addr 0x"&amp;DEC2HEX(B710,8)&amp;" Calibration data.ISen.Courve.x2.L"</f>
        <v>4.7.29 Addr 0x0000006C Calibration data.ISen.Courve.x2.L</v>
      </c>
      <c r="D710" s="225"/>
      <c r="E710" s="225"/>
      <c r="F710" s="225"/>
      <c r="G710" s="225"/>
      <c r="H710" s="225"/>
      <c r="I710" s="225"/>
      <c r="J710" s="225"/>
      <c r="K710" s="226"/>
    </row>
    <row r="711" spans="2:11" s="1" customFormat="1">
      <c r="B711" s="5"/>
      <c r="C711" s="6" t="s">
        <v>120</v>
      </c>
      <c r="D711" s="7">
        <v>7</v>
      </c>
      <c r="E711" s="7">
        <v>6</v>
      </c>
      <c r="F711" s="7">
        <v>5</v>
      </c>
      <c r="G711" s="7">
        <v>4</v>
      </c>
      <c r="H711" s="7">
        <v>3</v>
      </c>
      <c r="I711" s="7">
        <v>2</v>
      </c>
      <c r="J711" s="7">
        <v>1</v>
      </c>
      <c r="K711" s="7">
        <v>0</v>
      </c>
    </row>
    <row r="712" spans="2:11" s="1" customFormat="1" ht="13.5" customHeight="1">
      <c r="B712" s="5"/>
      <c r="C712" s="8" t="s">
        <v>6</v>
      </c>
      <c r="D712" s="176" t="s">
        <v>924</v>
      </c>
      <c r="E712" s="102"/>
      <c r="F712" s="102"/>
      <c r="G712" s="102"/>
      <c r="H712" s="102"/>
      <c r="I712" s="102"/>
      <c r="J712" s="102"/>
      <c r="K712" s="177"/>
    </row>
    <row r="713" spans="2:11" s="1" customFormat="1">
      <c r="B713" s="5" t="str">
        <f>CONCATENATE(D713,E713,F713,G713,H713,I713,J713,K713)</f>
        <v>00000000</v>
      </c>
      <c r="C713" s="8" t="s">
        <v>123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</row>
    <row r="714" spans="2:11" s="1" customFormat="1">
      <c r="B714" s="5"/>
      <c r="C714" s="102"/>
      <c r="D714" s="102"/>
      <c r="E714" s="102"/>
      <c r="F714" s="102"/>
      <c r="G714" s="102"/>
      <c r="H714" s="102"/>
      <c r="I714" s="102"/>
      <c r="J714" s="102"/>
      <c r="K714" s="102"/>
    </row>
    <row r="715" spans="2:11" s="1" customFormat="1" ht="13.5">
      <c r="B715" s="3"/>
      <c r="C715" s="10" t="s">
        <v>6</v>
      </c>
      <c r="D715" s="143" t="s">
        <v>125</v>
      </c>
      <c r="E715" s="143"/>
      <c r="F715" s="10" t="s">
        <v>126</v>
      </c>
      <c r="G715" s="143" t="s">
        <v>127</v>
      </c>
      <c r="H715" s="143"/>
      <c r="I715" s="143"/>
      <c r="J715" s="143"/>
      <c r="K715" s="10" t="s">
        <v>123</v>
      </c>
    </row>
    <row r="716" spans="2:11" s="1" customFormat="1" ht="13.5" customHeight="1">
      <c r="B716" s="3"/>
      <c r="C716" s="10" t="str">
        <f>D712</f>
        <v>CAL_DATA_ISEN_X2[7:0]</v>
      </c>
      <c r="D716" s="143" t="s">
        <v>925</v>
      </c>
      <c r="E716" s="143"/>
      <c r="F716" s="10" t="s">
        <v>721</v>
      </c>
      <c r="G716" s="143" t="s">
        <v>926</v>
      </c>
      <c r="H716" s="143"/>
      <c r="I716" s="143"/>
      <c r="J716" s="143"/>
      <c r="K716" s="10" t="s">
        <v>722</v>
      </c>
    </row>
    <row r="717" spans="2:11" s="1" customFormat="1">
      <c r="B717" s="5"/>
      <c r="C717" s="102"/>
      <c r="D717" s="102"/>
      <c r="E717" s="102"/>
      <c r="F717" s="102"/>
      <c r="G717" s="102"/>
      <c r="H717" s="102"/>
      <c r="I717" s="102"/>
      <c r="J717" s="102"/>
      <c r="K717" s="102"/>
    </row>
    <row r="718" spans="2:11" s="1" customFormat="1" ht="12.75" customHeight="1">
      <c r="B718" s="5">
        <f>B710+1</f>
        <v>109</v>
      </c>
      <c r="C718" s="224" t="str">
        <f>"4.7."&amp;B718-$B$486+1&amp;" Addr 0x"&amp;DEC2HEX(B718,8)&amp;" Calibration data.ISen.Courve.x2.H"</f>
        <v>4.7.30 Addr 0x0000006D Calibration data.ISen.Courve.x2.H</v>
      </c>
      <c r="D718" s="225"/>
      <c r="E718" s="225"/>
      <c r="F718" s="225"/>
      <c r="G718" s="225"/>
      <c r="H718" s="225"/>
      <c r="I718" s="225"/>
      <c r="J718" s="225"/>
      <c r="K718" s="226"/>
    </row>
    <row r="719" spans="2:11" s="1" customFormat="1">
      <c r="B719" s="5"/>
      <c r="C719" s="6" t="s">
        <v>120</v>
      </c>
      <c r="D719" s="7">
        <v>7</v>
      </c>
      <c r="E719" s="7">
        <v>6</v>
      </c>
      <c r="F719" s="7">
        <v>5</v>
      </c>
      <c r="G719" s="7">
        <v>4</v>
      </c>
      <c r="H719" s="7">
        <v>3</v>
      </c>
      <c r="I719" s="7">
        <v>2</v>
      </c>
      <c r="J719" s="7">
        <v>1</v>
      </c>
      <c r="K719" s="7">
        <v>0</v>
      </c>
    </row>
    <row r="720" spans="2:11" s="1" customFormat="1" ht="13.5" customHeight="1">
      <c r="B720" s="5"/>
      <c r="C720" s="8" t="s">
        <v>6</v>
      </c>
      <c r="D720" s="176" t="s">
        <v>927</v>
      </c>
      <c r="E720" s="102"/>
      <c r="F720" s="102"/>
      <c r="G720" s="102"/>
      <c r="H720" s="102"/>
      <c r="I720" s="102"/>
      <c r="J720" s="102"/>
      <c r="K720" s="177"/>
    </row>
    <row r="721" spans="2:11" s="1" customFormat="1">
      <c r="B721" s="5" t="str">
        <f>CONCATENATE(D721,E721,F721,G721,H721,I721,J721,K721)</f>
        <v>00000000</v>
      </c>
      <c r="C721" s="8" t="s">
        <v>123</v>
      </c>
      <c r="D721" s="9">
        <v>0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</row>
    <row r="722" spans="2:11" s="1" customFormat="1">
      <c r="B722" s="5"/>
      <c r="C722" s="102"/>
      <c r="D722" s="102"/>
      <c r="E722" s="102"/>
      <c r="F722" s="102"/>
      <c r="G722" s="102"/>
      <c r="H722" s="102"/>
      <c r="I722" s="102"/>
      <c r="J722" s="102"/>
      <c r="K722" s="102"/>
    </row>
    <row r="723" spans="2:11" s="1" customFormat="1" ht="13.5">
      <c r="B723" s="3"/>
      <c r="C723" s="10" t="s">
        <v>6</v>
      </c>
      <c r="D723" s="143" t="s">
        <v>125</v>
      </c>
      <c r="E723" s="143"/>
      <c r="F723" s="10" t="s">
        <v>126</v>
      </c>
      <c r="G723" s="143" t="s">
        <v>127</v>
      </c>
      <c r="H723" s="143"/>
      <c r="I723" s="143"/>
      <c r="J723" s="143"/>
      <c r="K723" s="10" t="s">
        <v>123</v>
      </c>
    </row>
    <row r="724" spans="2:11" s="1" customFormat="1" ht="13.5">
      <c r="B724" s="3"/>
      <c r="C724" s="10" t="str">
        <f>D720</f>
        <v>CAL_DATA_ISEN_X2[15:8]</v>
      </c>
      <c r="D724" s="143" t="s">
        <v>925</v>
      </c>
      <c r="E724" s="143"/>
      <c r="F724" s="10" t="s">
        <v>721</v>
      </c>
      <c r="G724" s="143" t="s">
        <v>926</v>
      </c>
      <c r="H724" s="143"/>
      <c r="I724" s="143"/>
      <c r="J724" s="143"/>
      <c r="K724" s="10" t="s">
        <v>722</v>
      </c>
    </row>
    <row r="725" spans="2:11" s="1" customFormat="1">
      <c r="B725" s="5"/>
      <c r="C725" s="102"/>
      <c r="D725" s="102"/>
      <c r="E725" s="102"/>
      <c r="F725" s="102"/>
      <c r="G725" s="102"/>
      <c r="H725" s="102"/>
      <c r="I725" s="102"/>
      <c r="J725" s="102"/>
      <c r="K725" s="102"/>
    </row>
    <row r="726" spans="2:11" s="1" customFormat="1" ht="12.75" customHeight="1">
      <c r="B726" s="5">
        <f>B718+1</f>
        <v>110</v>
      </c>
      <c r="C726" s="224" t="str">
        <f>"4.7."&amp;B726-$B$486+1&amp;" Addr 0x"&amp;DEC2HEX(B726,8)&amp;" Calibration data.ISen.Courve.y2.L"</f>
        <v>4.7.31 Addr 0x0000006E Calibration data.ISen.Courve.y2.L</v>
      </c>
      <c r="D726" s="225"/>
      <c r="E726" s="225"/>
      <c r="F726" s="225"/>
      <c r="G726" s="225"/>
      <c r="H726" s="225"/>
      <c r="I726" s="225"/>
      <c r="J726" s="225"/>
      <c r="K726" s="226"/>
    </row>
    <row r="727" spans="2:11" s="1" customFormat="1">
      <c r="B727" s="5"/>
      <c r="C727" s="6" t="s">
        <v>120</v>
      </c>
      <c r="D727" s="7">
        <v>7</v>
      </c>
      <c r="E727" s="7">
        <v>6</v>
      </c>
      <c r="F727" s="7">
        <v>5</v>
      </c>
      <c r="G727" s="7">
        <v>4</v>
      </c>
      <c r="H727" s="7">
        <v>3</v>
      </c>
      <c r="I727" s="7">
        <v>2</v>
      </c>
      <c r="J727" s="7">
        <v>1</v>
      </c>
      <c r="K727" s="7">
        <v>0</v>
      </c>
    </row>
    <row r="728" spans="2:11" s="1" customFormat="1" ht="13.5" customHeight="1">
      <c r="B728" s="5"/>
      <c r="C728" s="8" t="s">
        <v>6</v>
      </c>
      <c r="D728" s="176" t="s">
        <v>928</v>
      </c>
      <c r="E728" s="102"/>
      <c r="F728" s="102"/>
      <c r="G728" s="102"/>
      <c r="H728" s="102"/>
      <c r="I728" s="102"/>
      <c r="J728" s="102"/>
      <c r="K728" s="177"/>
    </row>
    <row r="729" spans="2:11" s="1" customFormat="1">
      <c r="B729" s="5" t="str">
        <f>CONCATENATE(D729,E729,F729,G729,H729,I729,J729,K729)</f>
        <v>00000000</v>
      </c>
      <c r="C729" s="8" t="s">
        <v>123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</row>
    <row r="730" spans="2:11" s="1" customFormat="1">
      <c r="B730" s="5"/>
      <c r="C730" s="102"/>
      <c r="D730" s="102"/>
      <c r="E730" s="102"/>
      <c r="F730" s="102"/>
      <c r="G730" s="102"/>
      <c r="H730" s="102"/>
      <c r="I730" s="102"/>
      <c r="J730" s="102"/>
      <c r="K730" s="102"/>
    </row>
    <row r="731" spans="2:11" s="1" customFormat="1" ht="13.5">
      <c r="B731" s="3"/>
      <c r="C731" s="10" t="s">
        <v>6</v>
      </c>
      <c r="D731" s="143" t="s">
        <v>125</v>
      </c>
      <c r="E731" s="143"/>
      <c r="F731" s="10" t="s">
        <v>126</v>
      </c>
      <c r="G731" s="143" t="s">
        <v>127</v>
      </c>
      <c r="H731" s="143"/>
      <c r="I731" s="143"/>
      <c r="J731" s="143"/>
      <c r="K731" s="10" t="s">
        <v>123</v>
      </c>
    </row>
    <row r="732" spans="2:11" s="1" customFormat="1" ht="13.5" customHeight="1">
      <c r="B732" s="3"/>
      <c r="C732" s="10" t="str">
        <f>D728</f>
        <v>CAL_DATA_ISEN_Y2[7:0]</v>
      </c>
      <c r="D732" s="143" t="s">
        <v>929</v>
      </c>
      <c r="E732" s="143"/>
      <c r="F732" s="10" t="s">
        <v>721</v>
      </c>
      <c r="G732" s="143" t="s">
        <v>930</v>
      </c>
      <c r="H732" s="143"/>
      <c r="I732" s="143"/>
      <c r="J732" s="143"/>
      <c r="K732" s="10" t="s">
        <v>722</v>
      </c>
    </row>
    <row r="733" spans="2:11" s="1" customFormat="1">
      <c r="B733" s="5"/>
      <c r="C733" s="102"/>
      <c r="D733" s="102"/>
      <c r="E733" s="102"/>
      <c r="F733" s="102"/>
      <c r="G733" s="102"/>
      <c r="H733" s="102"/>
      <c r="I733" s="102"/>
      <c r="J733" s="102"/>
      <c r="K733" s="102"/>
    </row>
    <row r="734" spans="2:11" s="1" customFormat="1" ht="12.75" customHeight="1">
      <c r="B734" s="5">
        <f>B726+1</f>
        <v>111</v>
      </c>
      <c r="C734" s="224" t="str">
        <f>"4.7."&amp;B734-$B$486+1&amp;" Addr 0x"&amp;DEC2HEX(B734,8)&amp;" Calibration data.ISen.Courve.y2.H"</f>
        <v>4.7.32 Addr 0x0000006F Calibration data.ISen.Courve.y2.H</v>
      </c>
      <c r="D734" s="225"/>
      <c r="E734" s="225"/>
      <c r="F734" s="225"/>
      <c r="G734" s="225"/>
      <c r="H734" s="225"/>
      <c r="I734" s="225"/>
      <c r="J734" s="225"/>
      <c r="K734" s="226"/>
    </row>
    <row r="735" spans="2:11" s="1" customFormat="1">
      <c r="B735" s="5"/>
      <c r="C735" s="6" t="s">
        <v>120</v>
      </c>
      <c r="D735" s="7">
        <v>7</v>
      </c>
      <c r="E735" s="7">
        <v>6</v>
      </c>
      <c r="F735" s="7">
        <v>5</v>
      </c>
      <c r="G735" s="7">
        <v>4</v>
      </c>
      <c r="H735" s="7">
        <v>3</v>
      </c>
      <c r="I735" s="7">
        <v>2</v>
      </c>
      <c r="J735" s="7">
        <v>1</v>
      </c>
      <c r="K735" s="7">
        <v>0</v>
      </c>
    </row>
    <row r="736" spans="2:11" s="1" customFormat="1" ht="13.5" customHeight="1">
      <c r="B736" s="5"/>
      <c r="C736" s="8" t="s">
        <v>6</v>
      </c>
      <c r="D736" s="176" t="s">
        <v>931</v>
      </c>
      <c r="E736" s="102"/>
      <c r="F736" s="102"/>
      <c r="G736" s="102"/>
      <c r="H736" s="102"/>
      <c r="I736" s="102"/>
      <c r="J736" s="102"/>
      <c r="K736" s="177"/>
    </row>
    <row r="737" spans="2:11" s="1" customFormat="1">
      <c r="B737" s="5" t="str">
        <f>CONCATENATE(D737,E737,F737,G737,H737,I737,J737,K737)</f>
        <v>00000000</v>
      </c>
      <c r="C737" s="8" t="s">
        <v>123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</row>
    <row r="738" spans="2:11" s="1" customFormat="1">
      <c r="B738" s="5"/>
      <c r="C738" s="102"/>
      <c r="D738" s="102"/>
      <c r="E738" s="102"/>
      <c r="F738" s="102"/>
      <c r="G738" s="102"/>
      <c r="H738" s="102"/>
      <c r="I738" s="102"/>
      <c r="J738" s="102"/>
      <c r="K738" s="102"/>
    </row>
    <row r="739" spans="2:11" s="1" customFormat="1" ht="13.5">
      <c r="B739" s="3"/>
      <c r="C739" s="10" t="s">
        <v>6</v>
      </c>
      <c r="D739" s="143" t="s">
        <v>125</v>
      </c>
      <c r="E739" s="143"/>
      <c r="F739" s="10" t="s">
        <v>126</v>
      </c>
      <c r="G739" s="143" t="s">
        <v>127</v>
      </c>
      <c r="H739" s="143"/>
      <c r="I739" s="143"/>
      <c r="J739" s="143"/>
      <c r="K739" s="10" t="s">
        <v>123</v>
      </c>
    </row>
    <row r="740" spans="2:11" s="1" customFormat="1" ht="13.5" customHeight="1">
      <c r="B740" s="3"/>
      <c r="C740" s="10" t="str">
        <f>D736</f>
        <v>CAL_DATA_ISEN_Y2[15:8]</v>
      </c>
      <c r="D740" s="143" t="s">
        <v>929</v>
      </c>
      <c r="E740" s="143"/>
      <c r="F740" s="10" t="s">
        <v>721</v>
      </c>
      <c r="G740" s="143" t="s">
        <v>930</v>
      </c>
      <c r="H740" s="143"/>
      <c r="I740" s="143"/>
      <c r="J740" s="143"/>
      <c r="K740" s="10" t="s">
        <v>722</v>
      </c>
    </row>
    <row r="741" spans="2:11" s="1" customFormat="1">
      <c r="B741" s="5"/>
      <c r="C741" s="102"/>
      <c r="D741" s="102"/>
      <c r="E741" s="102"/>
      <c r="F741" s="102"/>
      <c r="G741" s="102"/>
      <c r="H741" s="102"/>
      <c r="I741" s="102"/>
      <c r="J741" s="102"/>
      <c r="K741" s="102"/>
    </row>
    <row r="742" spans="2:11" s="1" customFormat="1" ht="12.75" customHeight="1">
      <c r="B742" s="5">
        <f>B734+1</f>
        <v>112</v>
      </c>
      <c r="C742" s="224" t="str">
        <f>"4.7."&amp;B742-$B$486+1&amp;" Addr 0x"&amp;DEC2HEX(B742,8)&amp;" Calibration data.ISenH.SV.L"</f>
        <v>4.7.33 Addr 0x00000070 Calibration data.ISenH.SV.L</v>
      </c>
      <c r="D742" s="225"/>
      <c r="E742" s="225"/>
      <c r="F742" s="225"/>
      <c r="G742" s="225"/>
      <c r="H742" s="225"/>
      <c r="I742" s="225"/>
      <c r="J742" s="225"/>
      <c r="K742" s="226"/>
    </row>
    <row r="743" spans="2:11" s="1" customFormat="1">
      <c r="B743" s="5"/>
      <c r="C743" s="6" t="s">
        <v>120</v>
      </c>
      <c r="D743" s="7">
        <v>7</v>
      </c>
      <c r="E743" s="7">
        <v>6</v>
      </c>
      <c r="F743" s="7">
        <v>5</v>
      </c>
      <c r="G743" s="7">
        <v>4</v>
      </c>
      <c r="H743" s="7">
        <v>3</v>
      </c>
      <c r="I743" s="7">
        <v>2</v>
      </c>
      <c r="J743" s="7">
        <v>1</v>
      </c>
      <c r="K743" s="7">
        <v>0</v>
      </c>
    </row>
    <row r="744" spans="2:11" s="1" customFormat="1" ht="13.5" customHeight="1">
      <c r="B744" s="5"/>
      <c r="C744" s="8" t="s">
        <v>6</v>
      </c>
      <c r="D744" s="176" t="s">
        <v>932</v>
      </c>
      <c r="E744" s="102"/>
      <c r="F744" s="102"/>
      <c r="G744" s="102"/>
      <c r="H744" s="102"/>
      <c r="I744" s="102"/>
      <c r="J744" s="102"/>
      <c r="K744" s="177"/>
    </row>
    <row r="745" spans="2:11" s="1" customFormat="1">
      <c r="B745" s="5" t="str">
        <f>CONCATENATE(D745,E745,F745,G745,H745,I745,J745,K745)</f>
        <v>00000000</v>
      </c>
      <c r="C745" s="8" t="s">
        <v>123</v>
      </c>
      <c r="D745" s="9">
        <v>0</v>
      </c>
      <c r="E745" s="9">
        <v>0</v>
      </c>
      <c r="F745" s="9">
        <v>0</v>
      </c>
      <c r="G745" s="9">
        <v>0</v>
      </c>
      <c r="H745" s="9">
        <v>0</v>
      </c>
      <c r="I745" s="9">
        <v>0</v>
      </c>
      <c r="J745" s="9">
        <v>0</v>
      </c>
      <c r="K745" s="9">
        <v>0</v>
      </c>
    </row>
    <row r="746" spans="2:11" s="1" customFormat="1">
      <c r="B746" s="5"/>
      <c r="C746" s="102"/>
      <c r="D746" s="102"/>
      <c r="E746" s="102"/>
      <c r="F746" s="102"/>
      <c r="G746" s="102"/>
      <c r="H746" s="102"/>
      <c r="I746" s="102"/>
      <c r="J746" s="102"/>
      <c r="K746" s="102"/>
    </row>
    <row r="747" spans="2:11" s="1" customFormat="1" ht="13.5">
      <c r="B747" s="3"/>
      <c r="C747" s="10" t="s">
        <v>6</v>
      </c>
      <c r="D747" s="143" t="s">
        <v>125</v>
      </c>
      <c r="E747" s="143"/>
      <c r="F747" s="10" t="s">
        <v>126</v>
      </c>
      <c r="G747" s="143" t="s">
        <v>127</v>
      </c>
      <c r="H747" s="143"/>
      <c r="I747" s="143"/>
      <c r="J747" s="143"/>
      <c r="K747" s="10" t="s">
        <v>123</v>
      </c>
    </row>
    <row r="748" spans="2:11" s="1" customFormat="1" ht="13.5" customHeight="1">
      <c r="B748" s="3"/>
      <c r="C748" s="10" t="str">
        <f>D744</f>
        <v>CAL_DATA_ISEN_H_SV[7:0]</v>
      </c>
      <c r="D748" s="143" t="s">
        <v>933</v>
      </c>
      <c r="E748" s="143"/>
      <c r="F748" s="10" t="s">
        <v>721</v>
      </c>
      <c r="G748" s="143"/>
      <c r="H748" s="143"/>
      <c r="I748" s="143"/>
      <c r="J748" s="143"/>
      <c r="K748" s="10" t="s">
        <v>722</v>
      </c>
    </row>
    <row r="749" spans="2:11" s="1" customFormat="1">
      <c r="B749" s="5"/>
      <c r="C749" s="102"/>
      <c r="D749" s="102"/>
      <c r="E749" s="102"/>
      <c r="F749" s="102"/>
      <c r="G749" s="102"/>
      <c r="H749" s="102"/>
      <c r="I749" s="102"/>
      <c r="J749" s="102"/>
      <c r="K749" s="102"/>
    </row>
    <row r="750" spans="2:11" s="1" customFormat="1" ht="12.75" customHeight="1">
      <c r="B750" s="5">
        <f>B742+1</f>
        <v>113</v>
      </c>
      <c r="C750" s="224" t="str">
        <f>"4.7."&amp;B750-$B$486+1&amp;" Addr 0x"&amp;DEC2HEX(B750,8)&amp;" Calibration data.ISenH.SV.H"</f>
        <v>4.7.34 Addr 0x00000071 Calibration data.ISenH.SV.H</v>
      </c>
      <c r="D750" s="225"/>
      <c r="E750" s="225"/>
      <c r="F750" s="225"/>
      <c r="G750" s="225"/>
      <c r="H750" s="225"/>
      <c r="I750" s="225"/>
      <c r="J750" s="225"/>
      <c r="K750" s="226"/>
    </row>
    <row r="751" spans="2:11" s="1" customFormat="1">
      <c r="B751" s="5"/>
      <c r="C751" s="6" t="s">
        <v>120</v>
      </c>
      <c r="D751" s="7">
        <v>7</v>
      </c>
      <c r="E751" s="7">
        <v>6</v>
      </c>
      <c r="F751" s="7">
        <v>5</v>
      </c>
      <c r="G751" s="7">
        <v>4</v>
      </c>
      <c r="H751" s="7">
        <v>3</v>
      </c>
      <c r="I751" s="7">
        <v>2</v>
      </c>
      <c r="J751" s="7">
        <v>1</v>
      </c>
      <c r="K751" s="7">
        <v>0</v>
      </c>
    </row>
    <row r="752" spans="2:11" s="1" customFormat="1" ht="13.5" customHeight="1">
      <c r="B752" s="5"/>
      <c r="C752" s="8" t="s">
        <v>6</v>
      </c>
      <c r="D752" s="176" t="s">
        <v>934</v>
      </c>
      <c r="E752" s="102"/>
      <c r="F752" s="102"/>
      <c r="G752" s="102"/>
      <c r="H752" s="102"/>
      <c r="I752" s="102"/>
      <c r="J752" s="102"/>
      <c r="K752" s="177"/>
    </row>
    <row r="753" spans="2:11" s="1" customFormat="1">
      <c r="B753" s="5" t="str">
        <f>CONCATENATE(D753,E753,F753,G753,H753,I753,J753,K753)</f>
        <v>00000000</v>
      </c>
      <c r="C753" s="8" t="s">
        <v>123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</row>
    <row r="754" spans="2:11" s="1" customFormat="1">
      <c r="B754" s="5"/>
      <c r="C754" s="102"/>
      <c r="D754" s="102"/>
      <c r="E754" s="102"/>
      <c r="F754" s="102"/>
      <c r="G754" s="102"/>
      <c r="H754" s="102"/>
      <c r="I754" s="102"/>
      <c r="J754" s="102"/>
      <c r="K754" s="102"/>
    </row>
    <row r="755" spans="2:11" s="1" customFormat="1" ht="13.5">
      <c r="B755" s="3"/>
      <c r="C755" s="10" t="s">
        <v>6</v>
      </c>
      <c r="D755" s="143" t="s">
        <v>125</v>
      </c>
      <c r="E755" s="143"/>
      <c r="F755" s="10" t="s">
        <v>126</v>
      </c>
      <c r="G755" s="143" t="s">
        <v>127</v>
      </c>
      <c r="H755" s="143"/>
      <c r="I755" s="143"/>
      <c r="J755" s="143"/>
      <c r="K755" s="10" t="s">
        <v>123</v>
      </c>
    </row>
    <row r="756" spans="2:11" s="1" customFormat="1" ht="13.5" customHeight="1">
      <c r="B756" s="3"/>
      <c r="C756" s="10" t="str">
        <f>D752</f>
        <v>CAL_DATA_ISEN_H_SV[15:8]</v>
      </c>
      <c r="D756" s="143" t="s">
        <v>933</v>
      </c>
      <c r="E756" s="143"/>
      <c r="F756" s="10" t="s">
        <v>721</v>
      </c>
      <c r="G756" s="143"/>
      <c r="H756" s="143"/>
      <c r="I756" s="143"/>
      <c r="J756" s="143"/>
      <c r="K756" s="10" t="s">
        <v>722</v>
      </c>
    </row>
    <row r="757" spans="2:11" s="1" customFormat="1">
      <c r="B757" s="5"/>
      <c r="C757" s="102"/>
      <c r="D757" s="102"/>
      <c r="E757" s="102"/>
      <c r="F757" s="102"/>
      <c r="G757" s="102"/>
      <c r="H757" s="102"/>
      <c r="I757" s="102"/>
      <c r="J757" s="102"/>
      <c r="K757" s="102"/>
    </row>
    <row r="758" spans="2:11" s="1" customFormat="1" ht="12.75" customHeight="1">
      <c r="B758" s="5">
        <f>B750+1</f>
        <v>114</v>
      </c>
      <c r="C758" s="224" t="str">
        <f>"4.7."&amp;B758-$B$486+1&amp;" Addr 0x"&amp;DEC2HEX(B758,8)&amp;" Calibration data.ISenH.Const.L"</f>
        <v>4.7.35 Addr 0x00000072 Calibration data.ISenH.Const.L</v>
      </c>
      <c r="D758" s="225"/>
      <c r="E758" s="225"/>
      <c r="F758" s="225"/>
      <c r="G758" s="225"/>
      <c r="H758" s="225"/>
      <c r="I758" s="225"/>
      <c r="J758" s="225"/>
      <c r="K758" s="226"/>
    </row>
    <row r="759" spans="2:11" s="1" customFormat="1">
      <c r="B759" s="5"/>
      <c r="C759" s="6" t="s">
        <v>120</v>
      </c>
      <c r="D759" s="7">
        <v>7</v>
      </c>
      <c r="E759" s="7">
        <v>6</v>
      </c>
      <c r="F759" s="7">
        <v>5</v>
      </c>
      <c r="G759" s="7">
        <v>4</v>
      </c>
      <c r="H759" s="7">
        <v>3</v>
      </c>
      <c r="I759" s="7">
        <v>2</v>
      </c>
      <c r="J759" s="7">
        <v>1</v>
      </c>
      <c r="K759" s="7">
        <v>0</v>
      </c>
    </row>
    <row r="760" spans="2:11" s="1" customFormat="1" ht="13.5" customHeight="1">
      <c r="B760" s="5"/>
      <c r="C760" s="8" t="s">
        <v>6</v>
      </c>
      <c r="D760" s="176" t="s">
        <v>935</v>
      </c>
      <c r="E760" s="102"/>
      <c r="F760" s="102"/>
      <c r="G760" s="102"/>
      <c r="H760" s="102"/>
      <c r="I760" s="102"/>
      <c r="J760" s="102"/>
      <c r="K760" s="177"/>
    </row>
    <row r="761" spans="2:11" s="1" customFormat="1">
      <c r="B761" s="5" t="str">
        <f>CONCATENATE(D761,E761,F761,G761,H761,I761,J761,K761)</f>
        <v>00000000</v>
      </c>
      <c r="C761" s="8" t="s">
        <v>123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</row>
    <row r="762" spans="2:11" s="1" customFormat="1">
      <c r="B762" s="5"/>
      <c r="C762" s="102"/>
      <c r="D762" s="102"/>
      <c r="E762" s="102"/>
      <c r="F762" s="102"/>
      <c r="G762" s="102"/>
      <c r="H762" s="102"/>
      <c r="I762" s="102"/>
      <c r="J762" s="102"/>
      <c r="K762" s="102"/>
    </row>
    <row r="763" spans="2:11" s="1" customFormat="1" ht="13.5">
      <c r="B763" s="3"/>
      <c r="C763" s="10" t="s">
        <v>6</v>
      </c>
      <c r="D763" s="143" t="s">
        <v>125</v>
      </c>
      <c r="E763" s="143"/>
      <c r="F763" s="10" t="s">
        <v>126</v>
      </c>
      <c r="G763" s="143" t="s">
        <v>127</v>
      </c>
      <c r="H763" s="143"/>
      <c r="I763" s="143"/>
      <c r="J763" s="143"/>
      <c r="K763" s="10" t="s">
        <v>123</v>
      </c>
    </row>
    <row r="764" spans="2:11" s="1" customFormat="1" ht="13.5" customHeight="1">
      <c r="B764" s="3"/>
      <c r="C764" s="10" t="str">
        <f>D760</f>
        <v>CAL_DATA_ISEN_H_CONST[7:0]</v>
      </c>
      <c r="D764" s="143" t="s">
        <v>936</v>
      </c>
      <c r="E764" s="143"/>
      <c r="F764" s="10" t="s">
        <v>721</v>
      </c>
      <c r="G764" s="143"/>
      <c r="H764" s="143"/>
      <c r="I764" s="143"/>
      <c r="J764" s="143"/>
      <c r="K764" s="10" t="s">
        <v>722</v>
      </c>
    </row>
    <row r="765" spans="2:11" s="1" customFormat="1">
      <c r="B765" s="5"/>
      <c r="C765" s="102"/>
      <c r="D765" s="102"/>
      <c r="E765" s="102"/>
      <c r="F765" s="102"/>
      <c r="G765" s="102"/>
      <c r="H765" s="102"/>
      <c r="I765" s="102"/>
      <c r="J765" s="102"/>
      <c r="K765" s="102"/>
    </row>
    <row r="766" spans="2:11" s="1" customFormat="1" ht="12.75" customHeight="1">
      <c r="B766" s="5">
        <f>B758+1</f>
        <v>115</v>
      </c>
      <c r="C766" s="224" t="str">
        <f>"4.7."&amp;B766-$B$486+1&amp;" Addr 0x"&amp;DEC2HEX(B766,8)&amp;" Calibration data.ISenH.Const.H"</f>
        <v>4.7.36 Addr 0x00000073 Calibration data.ISenH.Const.H</v>
      </c>
      <c r="D766" s="225"/>
      <c r="E766" s="225"/>
      <c r="F766" s="225"/>
      <c r="G766" s="225"/>
      <c r="H766" s="225"/>
      <c r="I766" s="225"/>
      <c r="J766" s="225"/>
      <c r="K766" s="226"/>
    </row>
    <row r="767" spans="2:11" s="1" customFormat="1">
      <c r="B767" s="5"/>
      <c r="C767" s="6" t="s">
        <v>120</v>
      </c>
      <c r="D767" s="7">
        <v>7</v>
      </c>
      <c r="E767" s="7">
        <v>6</v>
      </c>
      <c r="F767" s="7">
        <v>5</v>
      </c>
      <c r="G767" s="7">
        <v>4</v>
      </c>
      <c r="H767" s="7">
        <v>3</v>
      </c>
      <c r="I767" s="7">
        <v>2</v>
      </c>
      <c r="J767" s="7">
        <v>1</v>
      </c>
      <c r="K767" s="7">
        <v>0</v>
      </c>
    </row>
    <row r="768" spans="2:11" s="1" customFormat="1" ht="13.5" customHeight="1">
      <c r="B768" s="5"/>
      <c r="C768" s="8" t="s">
        <v>6</v>
      </c>
      <c r="D768" s="176" t="s">
        <v>937</v>
      </c>
      <c r="E768" s="102"/>
      <c r="F768" s="102"/>
      <c r="G768" s="102"/>
      <c r="H768" s="102"/>
      <c r="I768" s="102"/>
      <c r="J768" s="102"/>
      <c r="K768" s="177"/>
    </row>
    <row r="769" spans="2:11" s="1" customFormat="1">
      <c r="B769" s="5" t="str">
        <f>CONCATENATE(D769,E769,F769,G769,H769,I769,J769,K769)</f>
        <v>00000000</v>
      </c>
      <c r="C769" s="8" t="s">
        <v>123</v>
      </c>
      <c r="D769" s="9">
        <v>0</v>
      </c>
      <c r="E769" s="9">
        <v>0</v>
      </c>
      <c r="F769" s="9">
        <v>0</v>
      </c>
      <c r="G769" s="9">
        <v>0</v>
      </c>
      <c r="H769" s="9">
        <v>0</v>
      </c>
      <c r="I769" s="9">
        <v>0</v>
      </c>
      <c r="J769" s="9">
        <v>0</v>
      </c>
      <c r="K769" s="9">
        <v>0</v>
      </c>
    </row>
    <row r="770" spans="2:11" s="1" customFormat="1">
      <c r="B770" s="5"/>
      <c r="C770" s="102"/>
      <c r="D770" s="102"/>
      <c r="E770" s="102"/>
      <c r="F770" s="102"/>
      <c r="G770" s="102"/>
      <c r="H770" s="102"/>
      <c r="I770" s="102"/>
      <c r="J770" s="102"/>
      <c r="K770" s="102"/>
    </row>
    <row r="771" spans="2:11" s="1" customFormat="1" ht="13.5">
      <c r="B771" s="3"/>
      <c r="C771" s="10" t="s">
        <v>6</v>
      </c>
      <c r="D771" s="143" t="s">
        <v>125</v>
      </c>
      <c r="E771" s="143"/>
      <c r="F771" s="10" t="s">
        <v>126</v>
      </c>
      <c r="G771" s="143" t="s">
        <v>127</v>
      </c>
      <c r="H771" s="143"/>
      <c r="I771" s="143"/>
      <c r="J771" s="143"/>
      <c r="K771" s="10" t="s">
        <v>123</v>
      </c>
    </row>
    <row r="772" spans="2:11" s="1" customFormat="1" ht="13.5" customHeight="1">
      <c r="B772" s="3"/>
      <c r="C772" s="10" t="str">
        <f>D768</f>
        <v>CAL_DATA_ISEN_H_CONST[15:8]</v>
      </c>
      <c r="D772" s="143" t="s">
        <v>936</v>
      </c>
      <c r="E772" s="143"/>
      <c r="F772" s="10" t="s">
        <v>721</v>
      </c>
      <c r="G772" s="143"/>
      <c r="H772" s="143"/>
      <c r="I772" s="143"/>
      <c r="J772" s="143"/>
      <c r="K772" s="10" t="s">
        <v>722</v>
      </c>
    </row>
    <row r="773" spans="2:11" s="1" customFormat="1">
      <c r="B773" s="5"/>
      <c r="C773" s="102"/>
      <c r="D773" s="102"/>
      <c r="E773" s="102"/>
      <c r="F773" s="102"/>
      <c r="G773" s="102"/>
      <c r="H773" s="102"/>
      <c r="I773" s="102"/>
      <c r="J773" s="102"/>
      <c r="K773" s="102"/>
    </row>
    <row r="774" spans="2:11" s="1" customFormat="1" ht="12.75" customHeight="1">
      <c r="B774" s="5">
        <f>B766+1</f>
        <v>116</v>
      </c>
      <c r="C774" s="224" t="str">
        <f>"4.7."&amp;B774-$B$486+1&amp;" Addr 0x"&amp;DEC2HEX(B774,8)&amp;" Calibration data.ISenL.SV.L"</f>
        <v>4.7.37 Addr 0x00000074 Calibration data.ISenL.SV.L</v>
      </c>
      <c r="D774" s="225"/>
      <c r="E774" s="225"/>
      <c r="F774" s="225"/>
      <c r="G774" s="225"/>
      <c r="H774" s="225"/>
      <c r="I774" s="225"/>
      <c r="J774" s="225"/>
      <c r="K774" s="226"/>
    </row>
    <row r="775" spans="2:11" s="1" customFormat="1">
      <c r="B775" s="5"/>
      <c r="C775" s="6" t="s">
        <v>120</v>
      </c>
      <c r="D775" s="7">
        <v>7</v>
      </c>
      <c r="E775" s="7">
        <v>6</v>
      </c>
      <c r="F775" s="7">
        <v>5</v>
      </c>
      <c r="G775" s="7">
        <v>4</v>
      </c>
      <c r="H775" s="7">
        <v>3</v>
      </c>
      <c r="I775" s="7">
        <v>2</v>
      </c>
      <c r="J775" s="7">
        <v>1</v>
      </c>
      <c r="K775" s="7">
        <v>0</v>
      </c>
    </row>
    <row r="776" spans="2:11" s="1" customFormat="1" ht="13.5" customHeight="1">
      <c r="B776" s="5"/>
      <c r="C776" s="8" t="s">
        <v>6</v>
      </c>
      <c r="D776" s="176" t="s">
        <v>938</v>
      </c>
      <c r="E776" s="102"/>
      <c r="F776" s="102"/>
      <c r="G776" s="102"/>
      <c r="H776" s="102"/>
      <c r="I776" s="102"/>
      <c r="J776" s="102"/>
      <c r="K776" s="177"/>
    </row>
    <row r="777" spans="2:11" s="1" customFormat="1">
      <c r="B777" s="5" t="str">
        <f>CONCATENATE(D777,E777,F777,G777,H777,I777,J777,K777)</f>
        <v>00000000</v>
      </c>
      <c r="C777" s="8" t="s">
        <v>123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</row>
    <row r="778" spans="2:11" s="1" customFormat="1">
      <c r="B778" s="5"/>
      <c r="C778" s="102"/>
      <c r="D778" s="102"/>
      <c r="E778" s="102"/>
      <c r="F778" s="102"/>
      <c r="G778" s="102"/>
      <c r="H778" s="102"/>
      <c r="I778" s="102"/>
      <c r="J778" s="102"/>
      <c r="K778" s="102"/>
    </row>
    <row r="779" spans="2:11" s="1" customFormat="1" ht="13.5">
      <c r="B779" s="3"/>
      <c r="C779" s="10" t="s">
        <v>6</v>
      </c>
      <c r="D779" s="143" t="s">
        <v>125</v>
      </c>
      <c r="E779" s="143"/>
      <c r="F779" s="10" t="s">
        <v>126</v>
      </c>
      <c r="G779" s="143" t="s">
        <v>127</v>
      </c>
      <c r="H779" s="143"/>
      <c r="I779" s="143"/>
      <c r="J779" s="143"/>
      <c r="K779" s="10" t="s">
        <v>123</v>
      </c>
    </row>
    <row r="780" spans="2:11" s="1" customFormat="1" ht="13.5" customHeight="1">
      <c r="B780" s="3"/>
      <c r="C780" s="10" t="str">
        <f>D776</f>
        <v>CAL_DATA_ISEN_L_SV[7:0]</v>
      </c>
      <c r="D780" s="143" t="s">
        <v>933</v>
      </c>
      <c r="E780" s="143"/>
      <c r="F780" s="10" t="s">
        <v>721</v>
      </c>
      <c r="G780" s="143"/>
      <c r="H780" s="143"/>
      <c r="I780" s="143"/>
      <c r="J780" s="143"/>
      <c r="K780" s="10" t="s">
        <v>722</v>
      </c>
    </row>
    <row r="781" spans="2:11" s="1" customFormat="1">
      <c r="B781" s="5"/>
      <c r="C781" s="102"/>
      <c r="D781" s="102"/>
      <c r="E781" s="102"/>
      <c r="F781" s="102"/>
      <c r="G781" s="102"/>
      <c r="H781" s="102"/>
      <c r="I781" s="102"/>
      <c r="J781" s="102"/>
      <c r="K781" s="102"/>
    </row>
    <row r="782" spans="2:11" s="1" customFormat="1" ht="12.75" customHeight="1">
      <c r="B782" s="5">
        <f>B774+1</f>
        <v>117</v>
      </c>
      <c r="C782" s="224" t="str">
        <f>"4.7."&amp;B782-$B$486+1&amp;" Addr 0x"&amp;DEC2HEX(B782,8)&amp;" Calibration data.ISenL.SV.H"</f>
        <v>4.7.38 Addr 0x00000075 Calibration data.ISenL.SV.H</v>
      </c>
      <c r="D782" s="225"/>
      <c r="E782" s="225"/>
      <c r="F782" s="225"/>
      <c r="G782" s="225"/>
      <c r="H782" s="225"/>
      <c r="I782" s="225"/>
      <c r="J782" s="225"/>
      <c r="K782" s="226"/>
    </row>
    <row r="783" spans="2:11" s="1" customFormat="1">
      <c r="B783" s="5"/>
      <c r="C783" s="6" t="s">
        <v>120</v>
      </c>
      <c r="D783" s="7">
        <v>7</v>
      </c>
      <c r="E783" s="7">
        <v>6</v>
      </c>
      <c r="F783" s="7">
        <v>5</v>
      </c>
      <c r="G783" s="7">
        <v>4</v>
      </c>
      <c r="H783" s="7">
        <v>3</v>
      </c>
      <c r="I783" s="7">
        <v>2</v>
      </c>
      <c r="J783" s="7">
        <v>1</v>
      </c>
      <c r="K783" s="7">
        <v>0</v>
      </c>
    </row>
    <row r="784" spans="2:11" s="1" customFormat="1" ht="13.5" customHeight="1">
      <c r="B784" s="5"/>
      <c r="C784" s="8" t="s">
        <v>6</v>
      </c>
      <c r="D784" s="176" t="s">
        <v>939</v>
      </c>
      <c r="E784" s="102"/>
      <c r="F784" s="102"/>
      <c r="G784" s="102"/>
      <c r="H784" s="102"/>
      <c r="I784" s="102"/>
      <c r="J784" s="102"/>
      <c r="K784" s="177"/>
    </row>
    <row r="785" spans="2:11" s="1" customFormat="1">
      <c r="B785" s="5" t="str">
        <f>CONCATENATE(D785,E785,F785,G785,H785,I785,J785,K785)</f>
        <v>00000000</v>
      </c>
      <c r="C785" s="8" t="s">
        <v>123</v>
      </c>
      <c r="D785" s="9">
        <v>0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</row>
    <row r="786" spans="2:11" s="1" customFormat="1">
      <c r="B786" s="5"/>
      <c r="C786" s="102"/>
      <c r="D786" s="102"/>
      <c r="E786" s="102"/>
      <c r="F786" s="102"/>
      <c r="G786" s="102"/>
      <c r="H786" s="102"/>
      <c r="I786" s="102"/>
      <c r="J786" s="102"/>
      <c r="K786" s="102"/>
    </row>
    <row r="787" spans="2:11" s="1" customFormat="1" ht="13.5">
      <c r="B787" s="3"/>
      <c r="C787" s="10" t="s">
        <v>6</v>
      </c>
      <c r="D787" s="143" t="s">
        <v>125</v>
      </c>
      <c r="E787" s="143"/>
      <c r="F787" s="10" t="s">
        <v>126</v>
      </c>
      <c r="G787" s="143" t="s">
        <v>127</v>
      </c>
      <c r="H787" s="143"/>
      <c r="I787" s="143"/>
      <c r="J787" s="143"/>
      <c r="K787" s="10" t="s">
        <v>123</v>
      </c>
    </row>
    <row r="788" spans="2:11" s="1" customFormat="1" ht="13.5" customHeight="1">
      <c r="B788" s="3"/>
      <c r="C788" s="10" t="str">
        <f>D784</f>
        <v>CAL_DATA_ISEN_L_SV[15:8]</v>
      </c>
      <c r="D788" s="143" t="s">
        <v>933</v>
      </c>
      <c r="E788" s="143"/>
      <c r="F788" s="10" t="s">
        <v>721</v>
      </c>
      <c r="G788" s="143"/>
      <c r="H788" s="143"/>
      <c r="I788" s="143"/>
      <c r="J788" s="143"/>
      <c r="K788" s="10" t="s">
        <v>722</v>
      </c>
    </row>
    <row r="789" spans="2:11" s="1" customFormat="1">
      <c r="B789" s="5"/>
      <c r="C789" s="102"/>
      <c r="D789" s="102"/>
      <c r="E789" s="102"/>
      <c r="F789" s="102"/>
      <c r="G789" s="102"/>
      <c r="H789" s="102"/>
      <c r="I789" s="102"/>
      <c r="J789" s="102"/>
      <c r="K789" s="102"/>
    </row>
    <row r="790" spans="2:11" s="1" customFormat="1" ht="12.75" customHeight="1">
      <c r="B790" s="5">
        <f>B782+1</f>
        <v>118</v>
      </c>
      <c r="C790" s="224" t="str">
        <f>"4.7."&amp;B790-$B$486+1&amp;" Addr 0x"&amp;DEC2HEX(B790,8)&amp;" Calibration data.ISenL.Const.L"</f>
        <v>4.7.39 Addr 0x00000076 Calibration data.ISenL.Const.L</v>
      </c>
      <c r="D790" s="225"/>
      <c r="E790" s="225"/>
      <c r="F790" s="225"/>
      <c r="G790" s="225"/>
      <c r="H790" s="225"/>
      <c r="I790" s="225"/>
      <c r="J790" s="225"/>
      <c r="K790" s="226"/>
    </row>
    <row r="791" spans="2:11" s="1" customFormat="1">
      <c r="B791" s="5"/>
      <c r="C791" s="6" t="s">
        <v>120</v>
      </c>
      <c r="D791" s="7">
        <v>7</v>
      </c>
      <c r="E791" s="7">
        <v>6</v>
      </c>
      <c r="F791" s="7">
        <v>5</v>
      </c>
      <c r="G791" s="7">
        <v>4</v>
      </c>
      <c r="H791" s="7">
        <v>3</v>
      </c>
      <c r="I791" s="7">
        <v>2</v>
      </c>
      <c r="J791" s="7">
        <v>1</v>
      </c>
      <c r="K791" s="7">
        <v>0</v>
      </c>
    </row>
    <row r="792" spans="2:11" s="1" customFormat="1" ht="13.5" customHeight="1">
      <c r="B792" s="5"/>
      <c r="C792" s="8" t="s">
        <v>6</v>
      </c>
      <c r="D792" s="176" t="s">
        <v>940</v>
      </c>
      <c r="E792" s="102"/>
      <c r="F792" s="102"/>
      <c r="G792" s="102"/>
      <c r="H792" s="102"/>
      <c r="I792" s="102"/>
      <c r="J792" s="102"/>
      <c r="K792" s="177"/>
    </row>
    <row r="793" spans="2:11" s="1" customFormat="1">
      <c r="B793" s="5" t="str">
        <f>CONCATENATE(D793,E793,F793,G793,H793,I793,J793,K793)</f>
        <v>00000000</v>
      </c>
      <c r="C793" s="8" t="s">
        <v>123</v>
      </c>
      <c r="D793" s="9">
        <v>0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</row>
    <row r="794" spans="2:11" s="1" customFormat="1">
      <c r="B794" s="5"/>
      <c r="C794" s="102"/>
      <c r="D794" s="102"/>
      <c r="E794" s="102"/>
      <c r="F794" s="102"/>
      <c r="G794" s="102"/>
      <c r="H794" s="102"/>
      <c r="I794" s="102"/>
      <c r="J794" s="102"/>
      <c r="K794" s="102"/>
    </row>
    <row r="795" spans="2:11" s="1" customFormat="1" ht="13.5">
      <c r="B795" s="3"/>
      <c r="C795" s="10" t="s">
        <v>6</v>
      </c>
      <c r="D795" s="143" t="s">
        <v>125</v>
      </c>
      <c r="E795" s="143"/>
      <c r="F795" s="10" t="s">
        <v>126</v>
      </c>
      <c r="G795" s="143" t="s">
        <v>127</v>
      </c>
      <c r="H795" s="143"/>
      <c r="I795" s="143"/>
      <c r="J795" s="143"/>
      <c r="K795" s="10" t="s">
        <v>123</v>
      </c>
    </row>
    <row r="796" spans="2:11" s="1" customFormat="1" ht="13.5" customHeight="1">
      <c r="B796" s="3"/>
      <c r="C796" s="10" t="str">
        <f>D792</f>
        <v>CAL_DATA_ISEN_L_CONST[7:0]</v>
      </c>
      <c r="D796" s="143" t="s">
        <v>936</v>
      </c>
      <c r="E796" s="143"/>
      <c r="F796" s="10" t="s">
        <v>721</v>
      </c>
      <c r="G796" s="143"/>
      <c r="H796" s="143"/>
      <c r="I796" s="143"/>
      <c r="J796" s="143"/>
      <c r="K796" s="10" t="s">
        <v>722</v>
      </c>
    </row>
    <row r="797" spans="2:11" s="1" customFormat="1">
      <c r="B797" s="5"/>
      <c r="C797" s="102"/>
      <c r="D797" s="102"/>
      <c r="E797" s="102"/>
      <c r="F797" s="102"/>
      <c r="G797" s="102"/>
      <c r="H797" s="102"/>
      <c r="I797" s="102"/>
      <c r="J797" s="102"/>
      <c r="K797" s="102"/>
    </row>
    <row r="798" spans="2:11" s="1" customFormat="1" ht="12.75" customHeight="1">
      <c r="B798" s="5">
        <f>B790+1</f>
        <v>119</v>
      </c>
      <c r="C798" s="224" t="str">
        <f>"4.7."&amp;B798-$B$486+1&amp;" Addr 0x"&amp;DEC2HEX(B798,8)&amp;" Calibration data.ISenL.Const.H"</f>
        <v>4.7.40 Addr 0x00000077 Calibration data.ISenL.Const.H</v>
      </c>
      <c r="D798" s="225"/>
      <c r="E798" s="225"/>
      <c r="F798" s="225"/>
      <c r="G798" s="225"/>
      <c r="H798" s="225"/>
      <c r="I798" s="225"/>
      <c r="J798" s="225"/>
      <c r="K798" s="226"/>
    </row>
    <row r="799" spans="2:11" s="1" customFormat="1">
      <c r="B799" s="5"/>
      <c r="C799" s="6" t="s">
        <v>120</v>
      </c>
      <c r="D799" s="7">
        <v>7</v>
      </c>
      <c r="E799" s="7">
        <v>6</v>
      </c>
      <c r="F799" s="7">
        <v>5</v>
      </c>
      <c r="G799" s="7">
        <v>4</v>
      </c>
      <c r="H799" s="7">
        <v>3</v>
      </c>
      <c r="I799" s="7">
        <v>2</v>
      </c>
      <c r="J799" s="7">
        <v>1</v>
      </c>
      <c r="K799" s="7">
        <v>0</v>
      </c>
    </row>
    <row r="800" spans="2:11" s="1" customFormat="1" ht="13.5" customHeight="1">
      <c r="B800" s="5"/>
      <c r="C800" s="8" t="s">
        <v>6</v>
      </c>
      <c r="D800" s="176" t="s">
        <v>941</v>
      </c>
      <c r="E800" s="102"/>
      <c r="F800" s="102"/>
      <c r="G800" s="102"/>
      <c r="H800" s="102"/>
      <c r="I800" s="102"/>
      <c r="J800" s="102"/>
      <c r="K800" s="177"/>
    </row>
    <row r="801" spans="2:11" s="1" customFormat="1">
      <c r="B801" s="5" t="str">
        <f>CONCATENATE(D801,E801,F801,G801,H801,I801,J801,K801)</f>
        <v>00000000</v>
      </c>
      <c r="C801" s="8" t="s">
        <v>123</v>
      </c>
      <c r="D801" s="9">
        <v>0</v>
      </c>
      <c r="E801" s="9">
        <v>0</v>
      </c>
      <c r="F801" s="9">
        <v>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</row>
    <row r="802" spans="2:11" s="1" customFormat="1">
      <c r="B802" s="5"/>
      <c r="C802" s="102"/>
      <c r="D802" s="102"/>
      <c r="E802" s="102"/>
      <c r="F802" s="102"/>
      <c r="G802" s="102"/>
      <c r="H802" s="102"/>
      <c r="I802" s="102"/>
      <c r="J802" s="102"/>
      <c r="K802" s="102"/>
    </row>
    <row r="803" spans="2:11" s="1" customFormat="1" ht="13.5">
      <c r="B803" s="3"/>
      <c r="C803" s="10" t="s">
        <v>6</v>
      </c>
      <c r="D803" s="143" t="s">
        <v>125</v>
      </c>
      <c r="E803" s="143"/>
      <c r="F803" s="10" t="s">
        <v>126</v>
      </c>
      <c r="G803" s="143" t="s">
        <v>127</v>
      </c>
      <c r="H803" s="143"/>
      <c r="I803" s="143"/>
      <c r="J803" s="143"/>
      <c r="K803" s="10" t="s">
        <v>123</v>
      </c>
    </row>
    <row r="804" spans="2:11" s="1" customFormat="1" ht="13.5" customHeight="1">
      <c r="B804" s="3"/>
      <c r="C804" s="10" t="str">
        <f>D800</f>
        <v>CAL_DATA_ISEN_L_CONST[15:8]</v>
      </c>
      <c r="D804" s="143" t="s">
        <v>936</v>
      </c>
      <c r="E804" s="143"/>
      <c r="F804" s="10" t="s">
        <v>721</v>
      </c>
      <c r="G804" s="143"/>
      <c r="H804" s="143"/>
      <c r="I804" s="143"/>
      <c r="J804" s="143"/>
      <c r="K804" s="10" t="s">
        <v>722</v>
      </c>
    </row>
    <row r="805" spans="2:11" s="1" customFormat="1">
      <c r="B805" s="5"/>
      <c r="C805" s="102"/>
      <c r="D805" s="102"/>
      <c r="E805" s="102"/>
      <c r="F805" s="102"/>
      <c r="G805" s="102"/>
      <c r="H805" s="102"/>
      <c r="I805" s="102"/>
      <c r="J805" s="102"/>
      <c r="K805" s="102"/>
    </row>
    <row r="806" spans="2:11" s="1" customFormat="1" ht="12.75" customHeight="1">
      <c r="B806" s="5">
        <f>B798+1</f>
        <v>120</v>
      </c>
      <c r="C806" s="224" t="str">
        <f>"4.7."&amp;B806-$B$486+1&amp;" Addr 0x"&amp;DEC2HEX(B806, 8)&amp;" Calibration data.ISenL.SV.L"</f>
        <v>4.7.41 Addr 0x00000078 Calibration data.ISenL.SV.L</v>
      </c>
      <c r="D806" s="225"/>
      <c r="E806" s="225"/>
      <c r="F806" s="225"/>
      <c r="G806" s="225"/>
      <c r="H806" s="225"/>
      <c r="I806" s="225"/>
      <c r="J806" s="225"/>
      <c r="K806" s="226"/>
    </row>
    <row r="807" spans="2:11" s="1" customFormat="1">
      <c r="B807" s="5"/>
      <c r="C807" s="6" t="s">
        <v>120</v>
      </c>
      <c r="D807" s="7">
        <v>7</v>
      </c>
      <c r="E807" s="7">
        <v>6</v>
      </c>
      <c r="F807" s="7">
        <v>5</v>
      </c>
      <c r="G807" s="7">
        <v>4</v>
      </c>
      <c r="H807" s="7">
        <v>3</v>
      </c>
      <c r="I807" s="7">
        <v>2</v>
      </c>
      <c r="J807" s="7">
        <v>1</v>
      </c>
      <c r="K807" s="7">
        <v>0</v>
      </c>
    </row>
    <row r="808" spans="2:11" s="1" customFormat="1" ht="13.5" customHeight="1">
      <c r="B808" s="5"/>
      <c r="C808" s="8" t="s">
        <v>6</v>
      </c>
      <c r="D808" s="176" t="s">
        <v>1273</v>
      </c>
      <c r="E808" s="102"/>
      <c r="F808" s="102"/>
      <c r="G808" s="102"/>
      <c r="H808" s="102"/>
      <c r="I808" s="102"/>
      <c r="J808" s="102"/>
      <c r="K808" s="177"/>
    </row>
    <row r="809" spans="2:11" s="1" customFormat="1">
      <c r="B809" s="5" t="str">
        <f>CONCATENATE(D809,E809,F809,G809,H809,I809,J809,K809)</f>
        <v>00000000</v>
      </c>
      <c r="C809" s="8" t="s">
        <v>123</v>
      </c>
      <c r="D809" s="83">
        <v>0</v>
      </c>
      <c r="E809" s="83">
        <v>0</v>
      </c>
      <c r="F809" s="83">
        <v>0</v>
      </c>
      <c r="G809" s="83">
        <v>0</v>
      </c>
      <c r="H809" s="83">
        <v>0</v>
      </c>
      <c r="I809" s="83">
        <v>0</v>
      </c>
      <c r="J809" s="83">
        <v>0</v>
      </c>
      <c r="K809" s="83">
        <v>0</v>
      </c>
    </row>
    <row r="810" spans="2:11" s="1" customFormat="1">
      <c r="B810" s="5"/>
      <c r="C810" s="102"/>
      <c r="D810" s="102"/>
      <c r="E810" s="102"/>
      <c r="F810" s="102"/>
      <c r="G810" s="102"/>
      <c r="H810" s="102"/>
      <c r="I810" s="102"/>
      <c r="J810" s="102"/>
      <c r="K810" s="102"/>
    </row>
    <row r="811" spans="2:11" s="1" customFormat="1" ht="13.5">
      <c r="B811" s="3"/>
      <c r="C811" s="82" t="s">
        <v>6</v>
      </c>
      <c r="D811" s="143" t="s">
        <v>125</v>
      </c>
      <c r="E811" s="143"/>
      <c r="F811" s="82" t="s">
        <v>126</v>
      </c>
      <c r="G811" s="143" t="s">
        <v>127</v>
      </c>
      <c r="H811" s="143"/>
      <c r="I811" s="143"/>
      <c r="J811" s="143"/>
      <c r="K811" s="82" t="s">
        <v>123</v>
      </c>
    </row>
    <row r="812" spans="2:11" s="1" customFormat="1" ht="13.5" customHeight="1">
      <c r="B812" s="3"/>
      <c r="C812" s="82" t="str">
        <f>D808</f>
        <v>CAL_DATA_ADC_SV[7:0]</v>
      </c>
      <c r="D812" s="143" t="s">
        <v>1274</v>
      </c>
      <c r="E812" s="143"/>
      <c r="F812" s="82" t="s">
        <v>1275</v>
      </c>
      <c r="G812" s="143"/>
      <c r="H812" s="143"/>
      <c r="I812" s="143"/>
      <c r="J812" s="143"/>
      <c r="K812" s="82" t="s">
        <v>1276</v>
      </c>
    </row>
    <row r="813" spans="2:11" s="1" customFormat="1">
      <c r="B813" s="5"/>
      <c r="C813" s="102"/>
      <c r="D813" s="102"/>
      <c r="E813" s="102"/>
      <c r="F813" s="102"/>
      <c r="G813" s="102"/>
      <c r="H813" s="102"/>
      <c r="I813" s="102"/>
      <c r="J813" s="102"/>
      <c r="K813" s="102"/>
    </row>
    <row r="814" spans="2:11" s="1" customFormat="1" ht="12.75" customHeight="1">
      <c r="B814" s="5">
        <f>B806+1</f>
        <v>121</v>
      </c>
      <c r="C814" s="224" t="str">
        <f>"4.7."&amp;B814-$B$486+1&amp;" Addr 0x"&amp;DEC2HEX(B814, 8)&amp;" Calibration data.ISenL.SV.H"</f>
        <v>4.7.42 Addr 0x00000079 Calibration data.ISenL.SV.H</v>
      </c>
      <c r="D814" s="225"/>
      <c r="E814" s="225"/>
      <c r="F814" s="225"/>
      <c r="G814" s="225"/>
      <c r="H814" s="225"/>
      <c r="I814" s="225"/>
      <c r="J814" s="225"/>
      <c r="K814" s="226"/>
    </row>
    <row r="815" spans="2:11" s="1" customFormat="1">
      <c r="B815" s="5"/>
      <c r="C815" s="6" t="s">
        <v>120</v>
      </c>
      <c r="D815" s="7">
        <v>7</v>
      </c>
      <c r="E815" s="7">
        <v>6</v>
      </c>
      <c r="F815" s="7">
        <v>5</v>
      </c>
      <c r="G815" s="7">
        <v>4</v>
      </c>
      <c r="H815" s="7">
        <v>3</v>
      </c>
      <c r="I815" s="7">
        <v>2</v>
      </c>
      <c r="J815" s="7">
        <v>1</v>
      </c>
      <c r="K815" s="7">
        <v>0</v>
      </c>
    </row>
    <row r="816" spans="2:11" s="1" customFormat="1" ht="13.5" customHeight="1">
      <c r="B816" s="5"/>
      <c r="C816" s="8" t="s">
        <v>6</v>
      </c>
      <c r="D816" s="176" t="s">
        <v>1277</v>
      </c>
      <c r="E816" s="102"/>
      <c r="F816" s="102"/>
      <c r="G816" s="102"/>
      <c r="H816" s="102"/>
      <c r="I816" s="102"/>
      <c r="J816" s="102"/>
      <c r="K816" s="177"/>
    </row>
    <row r="817" spans="2:11" s="1" customFormat="1">
      <c r="B817" s="5" t="str">
        <f>CONCATENATE(D817,E817,F817,G817,H817,I817,J817,K817)</f>
        <v>00000000</v>
      </c>
      <c r="C817" s="8" t="s">
        <v>123</v>
      </c>
      <c r="D817" s="83">
        <v>0</v>
      </c>
      <c r="E817" s="83">
        <v>0</v>
      </c>
      <c r="F817" s="83">
        <v>0</v>
      </c>
      <c r="G817" s="83">
        <v>0</v>
      </c>
      <c r="H817" s="83">
        <v>0</v>
      </c>
      <c r="I817" s="83">
        <v>0</v>
      </c>
      <c r="J817" s="83">
        <v>0</v>
      </c>
      <c r="K817" s="83">
        <v>0</v>
      </c>
    </row>
    <row r="818" spans="2:11" s="1" customFormat="1">
      <c r="B818" s="5"/>
      <c r="C818" s="102"/>
      <c r="D818" s="102"/>
      <c r="E818" s="102"/>
      <c r="F818" s="102"/>
      <c r="G818" s="102"/>
      <c r="H818" s="102"/>
      <c r="I818" s="102"/>
      <c r="J818" s="102"/>
      <c r="K818" s="102"/>
    </row>
    <row r="819" spans="2:11" s="1" customFormat="1" ht="13.5">
      <c r="B819" s="3"/>
      <c r="C819" s="82" t="s">
        <v>6</v>
      </c>
      <c r="D819" s="143" t="s">
        <v>125</v>
      </c>
      <c r="E819" s="143"/>
      <c r="F819" s="82" t="s">
        <v>126</v>
      </c>
      <c r="G819" s="143" t="s">
        <v>127</v>
      </c>
      <c r="H819" s="143"/>
      <c r="I819" s="143"/>
      <c r="J819" s="143"/>
      <c r="K819" s="82" t="s">
        <v>123</v>
      </c>
    </row>
    <row r="820" spans="2:11" s="1" customFormat="1" ht="13.5" customHeight="1">
      <c r="B820" s="3"/>
      <c r="C820" s="82" t="str">
        <f>D816</f>
        <v>CAL_DATA_ADC_SV[15:8]</v>
      </c>
      <c r="D820" s="143" t="s">
        <v>1274</v>
      </c>
      <c r="E820" s="143"/>
      <c r="F820" s="82" t="s">
        <v>1275</v>
      </c>
      <c r="G820" s="143"/>
      <c r="H820" s="143"/>
      <c r="I820" s="143"/>
      <c r="J820" s="143"/>
      <c r="K820" s="82" t="s">
        <v>1276</v>
      </c>
    </row>
    <row r="821" spans="2:11" s="1" customFormat="1">
      <c r="B821" s="5"/>
      <c r="C821" s="102"/>
      <c r="D821" s="102"/>
      <c r="E821" s="102"/>
      <c r="F821" s="102"/>
      <c r="G821" s="102"/>
      <c r="H821" s="102"/>
      <c r="I821" s="102"/>
      <c r="J821" s="102"/>
      <c r="K821" s="102"/>
    </row>
    <row r="822" spans="2:11" s="1" customFormat="1" ht="12.75" customHeight="1">
      <c r="B822" s="5">
        <f>B814+1</f>
        <v>122</v>
      </c>
      <c r="C822" s="224" t="str">
        <f>"4.7."&amp;B822-$B$486+1&amp;" Addr 0x"&amp;DEC2HEX(B822, 8)&amp;" Calibration data.ISenL.Const.L"</f>
        <v>4.7.43 Addr 0x0000007A Calibration data.ISenL.Const.L</v>
      </c>
      <c r="D822" s="225"/>
      <c r="E822" s="225"/>
      <c r="F822" s="225"/>
      <c r="G822" s="225"/>
      <c r="H822" s="225"/>
      <c r="I822" s="225"/>
      <c r="J822" s="225"/>
      <c r="K822" s="226"/>
    </row>
    <row r="823" spans="2:11" s="1" customFormat="1">
      <c r="B823" s="5"/>
      <c r="C823" s="6" t="s">
        <v>120</v>
      </c>
      <c r="D823" s="7">
        <v>7</v>
      </c>
      <c r="E823" s="7">
        <v>6</v>
      </c>
      <c r="F823" s="7">
        <v>5</v>
      </c>
      <c r="G823" s="7">
        <v>4</v>
      </c>
      <c r="H823" s="7">
        <v>3</v>
      </c>
      <c r="I823" s="7">
        <v>2</v>
      </c>
      <c r="J823" s="7">
        <v>1</v>
      </c>
      <c r="K823" s="7">
        <v>0</v>
      </c>
    </row>
    <row r="824" spans="2:11" s="1" customFormat="1" ht="13.5" customHeight="1">
      <c r="B824" s="5"/>
      <c r="C824" s="8" t="s">
        <v>6</v>
      </c>
      <c r="D824" s="176" t="s">
        <v>1278</v>
      </c>
      <c r="E824" s="102"/>
      <c r="F824" s="102"/>
      <c r="G824" s="102"/>
      <c r="H824" s="102"/>
      <c r="I824" s="102"/>
      <c r="J824" s="102"/>
      <c r="K824" s="177"/>
    </row>
    <row r="825" spans="2:11" s="1" customFormat="1">
      <c r="B825" s="5" t="str">
        <f>CONCATENATE(D825,E825,F825,G825,H825,I825,J825,K825)</f>
        <v>00000000</v>
      </c>
      <c r="C825" s="8" t="s">
        <v>123</v>
      </c>
      <c r="D825" s="83">
        <v>0</v>
      </c>
      <c r="E825" s="83">
        <v>0</v>
      </c>
      <c r="F825" s="83">
        <v>0</v>
      </c>
      <c r="G825" s="83">
        <v>0</v>
      </c>
      <c r="H825" s="83">
        <v>0</v>
      </c>
      <c r="I825" s="83">
        <v>0</v>
      </c>
      <c r="J825" s="83">
        <v>0</v>
      </c>
      <c r="K825" s="83">
        <v>0</v>
      </c>
    </row>
    <row r="826" spans="2:11" s="1" customFormat="1">
      <c r="B826" s="5"/>
      <c r="C826" s="102"/>
      <c r="D826" s="102"/>
      <c r="E826" s="102"/>
      <c r="F826" s="102"/>
      <c r="G826" s="102"/>
      <c r="H826" s="102"/>
      <c r="I826" s="102"/>
      <c r="J826" s="102"/>
      <c r="K826" s="102"/>
    </row>
    <row r="827" spans="2:11" s="1" customFormat="1" ht="13.5">
      <c r="B827" s="3"/>
      <c r="C827" s="82" t="s">
        <v>6</v>
      </c>
      <c r="D827" s="143" t="s">
        <v>125</v>
      </c>
      <c r="E827" s="143"/>
      <c r="F827" s="82" t="s">
        <v>126</v>
      </c>
      <c r="G827" s="143" t="s">
        <v>127</v>
      </c>
      <c r="H827" s="143"/>
      <c r="I827" s="143"/>
      <c r="J827" s="143"/>
      <c r="K827" s="82" t="s">
        <v>123</v>
      </c>
    </row>
    <row r="828" spans="2:11" s="1" customFormat="1" ht="13.5" customHeight="1">
      <c r="B828" s="3"/>
      <c r="C828" s="82" t="str">
        <f>D824</f>
        <v>CAL_DATA_ADC_CONST[7:0]</v>
      </c>
      <c r="D828" s="143" t="s">
        <v>1279</v>
      </c>
      <c r="E828" s="143"/>
      <c r="F828" s="82" t="s">
        <v>1275</v>
      </c>
      <c r="G828" s="143"/>
      <c r="H828" s="143"/>
      <c r="I828" s="143"/>
      <c r="J828" s="143"/>
      <c r="K828" s="82" t="s">
        <v>1276</v>
      </c>
    </row>
    <row r="829" spans="2:11" s="1" customFormat="1">
      <c r="B829" s="5"/>
      <c r="C829" s="102"/>
      <c r="D829" s="102"/>
      <c r="E829" s="102"/>
      <c r="F829" s="102"/>
      <c r="G829" s="102"/>
      <c r="H829" s="102"/>
      <c r="I829" s="102"/>
      <c r="J829" s="102"/>
      <c r="K829" s="102"/>
    </row>
    <row r="830" spans="2:11" s="1" customFormat="1" ht="12.75" customHeight="1">
      <c r="B830" s="5">
        <f>B822+1</f>
        <v>123</v>
      </c>
      <c r="C830" s="224" t="str">
        <f>"4.7."&amp;B830-$B$486+1&amp;" Addr 0x"&amp;DEC2HEX(B830, 8)&amp;" Calibration data.ISenL.Const.H"</f>
        <v>4.7.44 Addr 0x0000007B Calibration data.ISenL.Const.H</v>
      </c>
      <c r="D830" s="225"/>
      <c r="E830" s="225"/>
      <c r="F830" s="225"/>
      <c r="G830" s="225"/>
      <c r="H830" s="225"/>
      <c r="I830" s="225"/>
      <c r="J830" s="225"/>
      <c r="K830" s="226"/>
    </row>
    <row r="831" spans="2:11" s="1" customFormat="1">
      <c r="B831" s="5"/>
      <c r="C831" s="6" t="s">
        <v>120</v>
      </c>
      <c r="D831" s="7">
        <v>7</v>
      </c>
      <c r="E831" s="7">
        <v>6</v>
      </c>
      <c r="F831" s="7">
        <v>5</v>
      </c>
      <c r="G831" s="7">
        <v>4</v>
      </c>
      <c r="H831" s="7">
        <v>3</v>
      </c>
      <c r="I831" s="7">
        <v>2</v>
      </c>
      <c r="J831" s="7">
        <v>1</v>
      </c>
      <c r="K831" s="7">
        <v>0</v>
      </c>
    </row>
    <row r="832" spans="2:11" s="1" customFormat="1" ht="13.5" customHeight="1">
      <c r="B832" s="5"/>
      <c r="C832" s="8" t="s">
        <v>6</v>
      </c>
      <c r="D832" s="176" t="s">
        <v>1280</v>
      </c>
      <c r="E832" s="102"/>
      <c r="F832" s="102"/>
      <c r="G832" s="102"/>
      <c r="H832" s="102"/>
      <c r="I832" s="102"/>
      <c r="J832" s="102"/>
      <c r="K832" s="177"/>
    </row>
    <row r="833" spans="2:11" s="1" customFormat="1">
      <c r="B833" s="5" t="str">
        <f>CONCATENATE(D833,E833,F833,G833,H833,I833,J833,K833)</f>
        <v>00000000</v>
      </c>
      <c r="C833" s="8" t="s">
        <v>123</v>
      </c>
      <c r="D833" s="83">
        <v>0</v>
      </c>
      <c r="E833" s="83">
        <v>0</v>
      </c>
      <c r="F833" s="83">
        <v>0</v>
      </c>
      <c r="G833" s="83">
        <v>0</v>
      </c>
      <c r="H833" s="83">
        <v>0</v>
      </c>
      <c r="I833" s="83">
        <v>0</v>
      </c>
      <c r="J833" s="83">
        <v>0</v>
      </c>
      <c r="K833" s="83">
        <v>0</v>
      </c>
    </row>
    <row r="834" spans="2:11" s="1" customFormat="1">
      <c r="B834" s="5"/>
      <c r="C834" s="102"/>
      <c r="D834" s="102"/>
      <c r="E834" s="102"/>
      <c r="F834" s="102"/>
      <c r="G834" s="102"/>
      <c r="H834" s="102"/>
      <c r="I834" s="102"/>
      <c r="J834" s="102"/>
      <c r="K834" s="102"/>
    </row>
    <row r="835" spans="2:11" s="1" customFormat="1" ht="13.5">
      <c r="B835" s="3"/>
      <c r="C835" s="82" t="s">
        <v>6</v>
      </c>
      <c r="D835" s="143" t="s">
        <v>125</v>
      </c>
      <c r="E835" s="143"/>
      <c r="F835" s="82" t="s">
        <v>126</v>
      </c>
      <c r="G835" s="143" t="s">
        <v>127</v>
      </c>
      <c r="H835" s="143"/>
      <c r="I835" s="143"/>
      <c r="J835" s="143"/>
      <c r="K835" s="82" t="s">
        <v>123</v>
      </c>
    </row>
    <row r="836" spans="2:11" s="1" customFormat="1" ht="13.5" customHeight="1">
      <c r="B836" s="3"/>
      <c r="C836" s="82" t="str">
        <f>D832</f>
        <v>CAL_DATA_ADC_CONST[15:8]</v>
      </c>
      <c r="D836" s="143" t="s">
        <v>1279</v>
      </c>
      <c r="E836" s="143"/>
      <c r="F836" s="82" t="s">
        <v>1275</v>
      </c>
      <c r="G836" s="143"/>
      <c r="H836" s="143"/>
      <c r="I836" s="143"/>
      <c r="J836" s="143"/>
      <c r="K836" s="82" t="s">
        <v>1276</v>
      </c>
    </row>
    <row r="837" spans="2:11" s="1" customFormat="1">
      <c r="B837" s="5"/>
      <c r="C837" s="102"/>
      <c r="D837" s="102"/>
      <c r="E837" s="102"/>
      <c r="F837" s="102"/>
      <c r="G837" s="102"/>
      <c r="H837" s="102"/>
      <c r="I837" s="102"/>
      <c r="J837" s="102"/>
      <c r="K837" s="102"/>
    </row>
    <row r="838" spans="2:11" s="1" customFormat="1" ht="12.75" customHeight="1">
      <c r="B838" s="5">
        <f>B830+1</f>
        <v>124</v>
      </c>
      <c r="C838" s="224" t="str">
        <f>"4.7."&amp;B838-$B$486+1&amp;" Addr 0x"&amp;DEC2HEX(B838, 8)&amp;" Calibration data.VOSET.Low 63"</f>
        <v>4.7.45 Addr 0x0000007C Calibration data.VOSET.Low 63</v>
      </c>
      <c r="D838" s="225"/>
      <c r="E838" s="225"/>
      <c r="F838" s="225"/>
      <c r="G838" s="225"/>
      <c r="H838" s="225"/>
      <c r="I838" s="225"/>
      <c r="J838" s="225"/>
      <c r="K838" s="226"/>
    </row>
    <row r="839" spans="2:11" s="1" customFormat="1">
      <c r="B839" s="5"/>
      <c r="C839" s="6" t="s">
        <v>120</v>
      </c>
      <c r="D839" s="7">
        <v>7</v>
      </c>
      <c r="E839" s="7">
        <v>6</v>
      </c>
      <c r="F839" s="7">
        <v>5</v>
      </c>
      <c r="G839" s="7">
        <v>4</v>
      </c>
      <c r="H839" s="7">
        <v>3</v>
      </c>
      <c r="I839" s="7">
        <v>2</v>
      </c>
      <c r="J839" s="7">
        <v>1</v>
      </c>
      <c r="K839" s="7">
        <v>0</v>
      </c>
    </row>
    <row r="840" spans="2:11" s="1" customFormat="1" ht="13.5" customHeight="1">
      <c r="B840" s="5"/>
      <c r="C840" s="8" t="s">
        <v>6</v>
      </c>
      <c r="D840" s="176" t="s">
        <v>1321</v>
      </c>
      <c r="E840" s="102"/>
      <c r="F840" s="102"/>
      <c r="G840" s="102"/>
      <c r="H840" s="102"/>
      <c r="I840" s="102"/>
      <c r="J840" s="102"/>
      <c r="K840" s="177"/>
    </row>
    <row r="841" spans="2:11" s="1" customFormat="1">
      <c r="B841" s="5" t="str">
        <f>CONCATENATE(D841,E841,F841,G841,H841,I841,J841,K841)</f>
        <v>00000000</v>
      </c>
      <c r="C841" s="8" t="s">
        <v>123</v>
      </c>
      <c r="D841" s="90">
        <v>0</v>
      </c>
      <c r="E841" s="90">
        <v>0</v>
      </c>
      <c r="F841" s="90">
        <v>0</v>
      </c>
      <c r="G841" s="90">
        <v>0</v>
      </c>
      <c r="H841" s="90">
        <v>0</v>
      </c>
      <c r="I841" s="90">
        <v>0</v>
      </c>
      <c r="J841" s="90">
        <v>0</v>
      </c>
      <c r="K841" s="90">
        <v>0</v>
      </c>
    </row>
    <row r="842" spans="2:11" s="1" customFormat="1">
      <c r="B842" s="5"/>
      <c r="C842" s="102"/>
      <c r="D842" s="102"/>
      <c r="E842" s="102"/>
      <c r="F842" s="102"/>
      <c r="G842" s="102"/>
      <c r="H842" s="102"/>
      <c r="I842" s="102"/>
      <c r="J842" s="102"/>
      <c r="K842" s="102"/>
    </row>
    <row r="843" spans="2:11" s="1" customFormat="1" ht="13.5">
      <c r="B843" s="3"/>
      <c r="C843" s="89" t="s">
        <v>6</v>
      </c>
      <c r="D843" s="143" t="s">
        <v>125</v>
      </c>
      <c r="E843" s="143"/>
      <c r="F843" s="89" t="s">
        <v>126</v>
      </c>
      <c r="G843" s="143" t="s">
        <v>127</v>
      </c>
      <c r="H843" s="143"/>
      <c r="I843" s="143"/>
      <c r="J843" s="143"/>
      <c r="K843" s="89" t="s">
        <v>123</v>
      </c>
    </row>
    <row r="844" spans="2:11" s="1" customFormat="1" ht="13.5" customHeight="1">
      <c r="B844" s="3"/>
      <c r="C844" s="89" t="str">
        <f>D840</f>
        <v>CAL_DATA_VOSET_L63[7:0]</v>
      </c>
      <c r="D844" s="143" t="s">
        <v>1322</v>
      </c>
      <c r="E844" s="143"/>
      <c r="F844" s="89" t="s">
        <v>1275</v>
      </c>
      <c r="G844" s="143" t="s">
        <v>1324</v>
      </c>
      <c r="H844" s="143"/>
      <c r="I844" s="143"/>
      <c r="J844" s="143"/>
      <c r="K844" s="89" t="s">
        <v>1276</v>
      </c>
    </row>
    <row r="845" spans="2:11" s="1" customFormat="1">
      <c r="B845" s="5"/>
      <c r="C845" s="102"/>
      <c r="D845" s="102"/>
      <c r="E845" s="102"/>
      <c r="F845" s="102"/>
      <c r="G845" s="102"/>
      <c r="H845" s="102"/>
      <c r="I845" s="102"/>
      <c r="J845" s="102"/>
      <c r="K845" s="102"/>
    </row>
    <row r="846" spans="2:11" s="1" customFormat="1" ht="12.75" customHeight="1">
      <c r="B846" s="5">
        <f>B838+1</f>
        <v>125</v>
      </c>
      <c r="C846" s="224" t="str">
        <f>"4.7."&amp;B846-$B$486+1&amp;" Addr 0x"&amp;DEC2HEX(B846, 8)&amp;" Calibration data.VOSET.High 63"</f>
        <v>4.7.46 Addr 0x0000007D Calibration data.VOSET.High 63</v>
      </c>
      <c r="D846" s="225"/>
      <c r="E846" s="225"/>
      <c r="F846" s="225"/>
      <c r="G846" s="225"/>
      <c r="H846" s="225"/>
      <c r="I846" s="225"/>
      <c r="J846" s="225"/>
      <c r="K846" s="226"/>
    </row>
    <row r="847" spans="2:11" s="1" customFormat="1">
      <c r="B847" s="5"/>
      <c r="C847" s="6" t="s">
        <v>120</v>
      </c>
      <c r="D847" s="7">
        <v>7</v>
      </c>
      <c r="E847" s="7">
        <v>6</v>
      </c>
      <c r="F847" s="7">
        <v>5</v>
      </c>
      <c r="G847" s="7">
        <v>4</v>
      </c>
      <c r="H847" s="7">
        <v>3</v>
      </c>
      <c r="I847" s="7">
        <v>2</v>
      </c>
      <c r="J847" s="7">
        <v>1</v>
      </c>
      <c r="K847" s="7">
        <v>0</v>
      </c>
    </row>
    <row r="848" spans="2:11" s="1" customFormat="1" ht="13.5" customHeight="1">
      <c r="B848" s="5"/>
      <c r="C848" s="8" t="s">
        <v>6</v>
      </c>
      <c r="D848" s="176" t="s">
        <v>1323</v>
      </c>
      <c r="E848" s="102"/>
      <c r="F848" s="102"/>
      <c r="G848" s="102"/>
      <c r="H848" s="102"/>
      <c r="I848" s="102"/>
      <c r="J848" s="102"/>
      <c r="K848" s="177"/>
    </row>
    <row r="849" spans="2:11" s="1" customFormat="1">
      <c r="B849" s="5" t="str">
        <f>CONCATENATE(D849,E849,F849,G849,H849,I849,J849,K849)</f>
        <v>00000000</v>
      </c>
      <c r="C849" s="8" t="s">
        <v>123</v>
      </c>
      <c r="D849" s="90">
        <v>0</v>
      </c>
      <c r="E849" s="90">
        <v>0</v>
      </c>
      <c r="F849" s="90">
        <v>0</v>
      </c>
      <c r="G849" s="90">
        <v>0</v>
      </c>
      <c r="H849" s="90">
        <v>0</v>
      </c>
      <c r="I849" s="90">
        <v>0</v>
      </c>
      <c r="J849" s="90">
        <v>0</v>
      </c>
      <c r="K849" s="90">
        <v>0</v>
      </c>
    </row>
    <row r="850" spans="2:11" s="1" customFormat="1">
      <c r="B850" s="5"/>
      <c r="C850" s="102"/>
      <c r="D850" s="102"/>
      <c r="E850" s="102"/>
      <c r="F850" s="102"/>
      <c r="G850" s="102"/>
      <c r="H850" s="102"/>
      <c r="I850" s="102"/>
      <c r="J850" s="102"/>
      <c r="K850" s="102"/>
    </row>
    <row r="851" spans="2:11" s="1" customFormat="1" ht="13.5">
      <c r="B851" s="3"/>
      <c r="C851" s="89" t="s">
        <v>6</v>
      </c>
      <c r="D851" s="143" t="s">
        <v>125</v>
      </c>
      <c r="E851" s="143"/>
      <c r="F851" s="89" t="s">
        <v>126</v>
      </c>
      <c r="G851" s="143" t="s">
        <v>127</v>
      </c>
      <c r="H851" s="143"/>
      <c r="I851" s="143"/>
      <c r="J851" s="143"/>
      <c r="K851" s="89" t="s">
        <v>123</v>
      </c>
    </row>
    <row r="852" spans="2:11" s="1" customFormat="1" ht="13.5" customHeight="1">
      <c r="B852" s="3"/>
      <c r="C852" s="89" t="str">
        <f>D848</f>
        <v>CAL_DATA_VOSET_H63[7:0]</v>
      </c>
      <c r="D852" s="143" t="s">
        <v>1322</v>
      </c>
      <c r="E852" s="143"/>
      <c r="F852" s="89" t="s">
        <v>1275</v>
      </c>
      <c r="G852" s="143" t="s">
        <v>1324</v>
      </c>
      <c r="H852" s="143"/>
      <c r="I852" s="143"/>
      <c r="J852" s="143"/>
      <c r="K852" s="89" t="s">
        <v>1276</v>
      </c>
    </row>
    <row r="853" spans="2:11" s="1" customFormat="1">
      <c r="B853" s="5"/>
      <c r="C853" s="102"/>
      <c r="D853" s="102"/>
      <c r="E853" s="102"/>
      <c r="F853" s="102"/>
      <c r="G853" s="102"/>
      <c r="H853" s="102"/>
      <c r="I853" s="102"/>
      <c r="J853" s="102"/>
      <c r="K853" s="102"/>
    </row>
    <row r="854" spans="2:11" s="1" customFormat="1" ht="12.75" customHeight="1">
      <c r="B854" s="5">
        <v>127</v>
      </c>
      <c r="C854" s="224" t="str">
        <f>"4.7."&amp;B854-$B$486+1&amp;" Addr 0x"&amp;DEC2HEX(B854,8)&amp;" Calibration data.Version"</f>
        <v>4.7.48 Addr 0x0000007F Calibration data.Version</v>
      </c>
      <c r="D854" s="225"/>
      <c r="E854" s="225"/>
      <c r="F854" s="225"/>
      <c r="G854" s="225"/>
      <c r="H854" s="225"/>
      <c r="I854" s="225"/>
      <c r="J854" s="225"/>
      <c r="K854" s="226"/>
    </row>
    <row r="855" spans="2:11" s="1" customFormat="1">
      <c r="B855" s="5"/>
      <c r="C855" s="6" t="s">
        <v>120</v>
      </c>
      <c r="D855" s="7">
        <v>7</v>
      </c>
      <c r="E855" s="7">
        <v>6</v>
      </c>
      <c r="F855" s="7">
        <v>5</v>
      </c>
      <c r="G855" s="7">
        <v>4</v>
      </c>
      <c r="H855" s="7">
        <v>3</v>
      </c>
      <c r="I855" s="7">
        <v>2</v>
      </c>
      <c r="J855" s="7">
        <v>1</v>
      </c>
      <c r="K855" s="7">
        <v>0</v>
      </c>
    </row>
    <row r="856" spans="2:11" s="1" customFormat="1" ht="13.5" customHeight="1">
      <c r="B856" s="5"/>
      <c r="C856" s="8" t="s">
        <v>6</v>
      </c>
      <c r="D856" s="176" t="s">
        <v>942</v>
      </c>
      <c r="E856" s="102"/>
      <c r="F856" s="102"/>
      <c r="G856" s="102"/>
      <c r="H856" s="102"/>
      <c r="I856" s="102"/>
      <c r="J856" s="102"/>
      <c r="K856" s="177"/>
    </row>
    <row r="857" spans="2:11" s="1" customFormat="1">
      <c r="B857" s="5" t="str">
        <f>CONCATENATE(D857,E857,F857,G857,H857,I857,J857,K857)</f>
        <v>00000000</v>
      </c>
      <c r="C857" s="8" t="s">
        <v>123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</row>
    <row r="858" spans="2:11" s="1" customFormat="1">
      <c r="B858" s="5"/>
      <c r="C858" s="102"/>
      <c r="D858" s="102"/>
      <c r="E858" s="102"/>
      <c r="F858" s="102"/>
      <c r="G858" s="102"/>
      <c r="H858" s="102"/>
      <c r="I858" s="102"/>
      <c r="J858" s="102"/>
      <c r="K858" s="102"/>
    </row>
    <row r="859" spans="2:11" s="1" customFormat="1" ht="13.5">
      <c r="B859" s="3"/>
      <c r="C859" s="10" t="s">
        <v>6</v>
      </c>
      <c r="D859" s="143" t="s">
        <v>125</v>
      </c>
      <c r="E859" s="143"/>
      <c r="F859" s="10" t="s">
        <v>126</v>
      </c>
      <c r="G859" s="143" t="s">
        <v>127</v>
      </c>
      <c r="H859" s="143"/>
      <c r="I859" s="143"/>
      <c r="J859" s="143"/>
      <c r="K859" s="10" t="s">
        <v>123</v>
      </c>
    </row>
    <row r="860" spans="2:11" s="1" customFormat="1" ht="13.5" customHeight="1">
      <c r="B860" s="3"/>
      <c r="C860" s="10" t="str">
        <f>D856</f>
        <v>CAL_DATA_VERSION[7:0]</v>
      </c>
      <c r="D860" s="143" t="s">
        <v>943</v>
      </c>
      <c r="E860" s="143"/>
      <c r="F860" s="10" t="s">
        <v>721</v>
      </c>
      <c r="G860" s="143"/>
      <c r="H860" s="143"/>
      <c r="I860" s="143"/>
      <c r="J860" s="143"/>
      <c r="K860" s="10" t="s">
        <v>722</v>
      </c>
    </row>
    <row r="861" spans="2:11" s="1" customFormat="1">
      <c r="B861" s="5"/>
      <c r="C861" s="102"/>
      <c r="D861" s="102"/>
      <c r="E861" s="102"/>
      <c r="F861" s="102"/>
      <c r="G861" s="102"/>
      <c r="H861" s="102"/>
      <c r="I861" s="102"/>
      <c r="J861" s="102"/>
      <c r="K861" s="102"/>
    </row>
    <row r="862" spans="2:11" s="1" customFormat="1" ht="12.75" customHeight="1">
      <c r="B862" s="5">
        <v>144</v>
      </c>
      <c r="C862" s="228" t="str">
        <f>"4.8."&amp;B862-$B$862+1&amp;" Addr 0x"&amp;DEC2HEX(B862,8)&amp;" Control.Passive To Half"</f>
        <v>4.8.1 Addr 0x00000090 Control.Passive To Half</v>
      </c>
      <c r="D862" s="229"/>
      <c r="E862" s="229"/>
      <c r="F862" s="229"/>
      <c r="G862" s="229"/>
      <c r="H862" s="229"/>
      <c r="I862" s="229"/>
      <c r="J862" s="229"/>
      <c r="K862" s="230"/>
    </row>
    <row r="863" spans="2:11" s="1" customFormat="1">
      <c r="B863" s="5"/>
      <c r="C863" s="6" t="s">
        <v>120</v>
      </c>
      <c r="D863" s="7">
        <v>7</v>
      </c>
      <c r="E863" s="7">
        <v>6</v>
      </c>
      <c r="F863" s="7">
        <v>5</v>
      </c>
      <c r="G863" s="7">
        <v>4</v>
      </c>
      <c r="H863" s="7">
        <v>3</v>
      </c>
      <c r="I863" s="7">
        <v>2</v>
      </c>
      <c r="J863" s="7">
        <v>1</v>
      </c>
      <c r="K863" s="7">
        <v>0</v>
      </c>
    </row>
    <row r="864" spans="2:11" s="1" customFormat="1" ht="13.5" customHeight="1">
      <c r="B864" s="5"/>
      <c r="C864" s="8" t="s">
        <v>6</v>
      </c>
      <c r="D864" s="176" t="s">
        <v>944</v>
      </c>
      <c r="E864" s="102"/>
      <c r="F864" s="102"/>
      <c r="G864" s="102"/>
      <c r="H864" s="102"/>
      <c r="I864" s="102"/>
      <c r="J864" s="102"/>
      <c r="K864" s="177"/>
    </row>
    <row r="865" spans="2:11" s="1" customFormat="1">
      <c r="B865" s="5" t="str">
        <f>CONCATENATE(D865,E865,F865,G865,H865,I865,J865,K865)</f>
        <v>00000000</v>
      </c>
      <c r="C865" s="8" t="s">
        <v>123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</row>
    <row r="866" spans="2:11" s="1" customFormat="1">
      <c r="B866" s="5"/>
      <c r="C866" s="102"/>
      <c r="D866" s="102"/>
      <c r="E866" s="102"/>
      <c r="F866" s="102"/>
      <c r="G866" s="102"/>
      <c r="H866" s="102"/>
      <c r="I866" s="102"/>
      <c r="J866" s="102"/>
      <c r="K866" s="102"/>
    </row>
    <row r="867" spans="2:11" s="1" customFormat="1" ht="13.5">
      <c r="B867" s="3"/>
      <c r="C867" s="10" t="s">
        <v>6</v>
      </c>
      <c r="D867" s="143" t="s">
        <v>125</v>
      </c>
      <c r="E867" s="143"/>
      <c r="F867" s="10" t="s">
        <v>126</v>
      </c>
      <c r="G867" s="143" t="s">
        <v>127</v>
      </c>
      <c r="H867" s="143"/>
      <c r="I867" s="143"/>
      <c r="J867" s="143"/>
      <c r="K867" s="10" t="s">
        <v>123</v>
      </c>
    </row>
    <row r="868" spans="2:11" s="1" customFormat="1" ht="27">
      <c r="B868" s="3"/>
      <c r="C868" s="10" t="str">
        <f>D864</f>
        <v>CTRL_PASSIVE_TO_HALF[7:0]</v>
      </c>
      <c r="D868" s="143" t="s">
        <v>945</v>
      </c>
      <c r="E868" s="143"/>
      <c r="F868" s="10" t="s">
        <v>721</v>
      </c>
      <c r="G868" s="143" t="s">
        <v>946</v>
      </c>
      <c r="H868" s="143"/>
      <c r="I868" s="143"/>
      <c r="J868" s="143"/>
      <c r="K868" s="10" t="s">
        <v>722</v>
      </c>
    </row>
    <row r="870" spans="2:11" ht="12.75" customHeight="1">
      <c r="B870" s="5">
        <f>B862+1</f>
        <v>145</v>
      </c>
      <c r="C870" s="228" t="str">
        <f>"4.8."&amp;B870-$B$862+1&amp;" Addr 0x"&amp;DEC2HEX(B870,8)&amp;" Control.Half To Passive"</f>
        <v>4.8.2 Addr 0x00000091 Control.Half To Passive</v>
      </c>
      <c r="D870" s="229"/>
      <c r="E870" s="229"/>
      <c r="F870" s="229"/>
      <c r="G870" s="229"/>
      <c r="H870" s="229"/>
      <c r="I870" s="229"/>
      <c r="J870" s="229"/>
      <c r="K870" s="230"/>
    </row>
    <row r="871" spans="2:11">
      <c r="B871" s="5"/>
      <c r="C871" s="6" t="s">
        <v>120</v>
      </c>
      <c r="D871" s="7">
        <v>7</v>
      </c>
      <c r="E871" s="7">
        <v>6</v>
      </c>
      <c r="F871" s="7">
        <v>5</v>
      </c>
      <c r="G871" s="7">
        <v>4</v>
      </c>
      <c r="H871" s="7">
        <v>3</v>
      </c>
      <c r="I871" s="7">
        <v>2</v>
      </c>
      <c r="J871" s="7">
        <v>1</v>
      </c>
      <c r="K871" s="7">
        <v>0</v>
      </c>
    </row>
    <row r="872" spans="2:11">
      <c r="B872" s="5"/>
      <c r="C872" s="8" t="s">
        <v>6</v>
      </c>
      <c r="D872" s="176" t="s">
        <v>947</v>
      </c>
      <c r="E872" s="102"/>
      <c r="F872" s="102"/>
      <c r="G872" s="102"/>
      <c r="H872" s="102"/>
      <c r="I872" s="102"/>
      <c r="J872" s="102"/>
      <c r="K872" s="177"/>
    </row>
    <row r="873" spans="2:11">
      <c r="B873" s="5" t="str">
        <f>CONCATENATE(D873,E873,F873,G873,H873,I873,J873,K873)</f>
        <v>00000000</v>
      </c>
      <c r="C873" s="8" t="s">
        <v>123</v>
      </c>
      <c r="D873" s="9">
        <v>0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9">
        <v>0</v>
      </c>
      <c r="K873" s="9">
        <v>0</v>
      </c>
    </row>
    <row r="874" spans="2:11">
      <c r="B874" s="5"/>
      <c r="C874" s="102"/>
      <c r="D874" s="102"/>
      <c r="E874" s="102"/>
      <c r="F874" s="102"/>
      <c r="G874" s="102"/>
      <c r="H874" s="102"/>
      <c r="I874" s="102"/>
      <c r="J874" s="102"/>
      <c r="K874" s="102"/>
    </row>
    <row r="875" spans="2:11" ht="13.5">
      <c r="B875" s="3"/>
      <c r="C875" s="10" t="s">
        <v>6</v>
      </c>
      <c r="D875" s="143" t="s">
        <v>125</v>
      </c>
      <c r="E875" s="143"/>
      <c r="F875" s="10" t="s">
        <v>126</v>
      </c>
      <c r="G875" s="143" t="s">
        <v>127</v>
      </c>
      <c r="H875" s="143"/>
      <c r="I875" s="143"/>
      <c r="J875" s="143"/>
      <c r="K875" s="10" t="s">
        <v>123</v>
      </c>
    </row>
    <row r="876" spans="2:11" ht="27">
      <c r="B876" s="3"/>
      <c r="C876" s="10" t="str">
        <f>D872</f>
        <v>CTRL_HALF_TO_PASSIVE[7:0]</v>
      </c>
      <c r="D876" s="143" t="s">
        <v>948</v>
      </c>
      <c r="E876" s="143"/>
      <c r="F876" s="10" t="s">
        <v>721</v>
      </c>
      <c r="G876" s="143" t="s">
        <v>946</v>
      </c>
      <c r="H876" s="143"/>
      <c r="I876" s="143"/>
      <c r="J876" s="143"/>
      <c r="K876" s="10" t="s">
        <v>722</v>
      </c>
    </row>
    <row r="878" spans="2:11" ht="12.75" customHeight="1">
      <c r="B878" s="5">
        <f>B870+1</f>
        <v>146</v>
      </c>
      <c r="C878" s="228" t="str">
        <f>"4.8."&amp;B878-$B$862+1&amp;" Addr 0x"&amp;DEC2HEX(B878,8)&amp;" Control.Half To Full"</f>
        <v>4.8.3 Addr 0x00000092 Control.Half To Full</v>
      </c>
      <c r="D878" s="229"/>
      <c r="E878" s="229"/>
      <c r="F878" s="229"/>
      <c r="G878" s="229"/>
      <c r="H878" s="229"/>
      <c r="I878" s="229"/>
      <c r="J878" s="229"/>
      <c r="K878" s="230"/>
    </row>
    <row r="879" spans="2:11">
      <c r="B879" s="5"/>
      <c r="C879" s="6" t="s">
        <v>120</v>
      </c>
      <c r="D879" s="7">
        <v>7</v>
      </c>
      <c r="E879" s="7">
        <v>6</v>
      </c>
      <c r="F879" s="7">
        <v>5</v>
      </c>
      <c r="G879" s="7">
        <v>4</v>
      </c>
      <c r="H879" s="7">
        <v>3</v>
      </c>
      <c r="I879" s="7">
        <v>2</v>
      </c>
      <c r="J879" s="7">
        <v>1</v>
      </c>
      <c r="K879" s="7">
        <v>0</v>
      </c>
    </row>
    <row r="880" spans="2:11">
      <c r="B880" s="5"/>
      <c r="C880" s="8" t="s">
        <v>6</v>
      </c>
      <c r="D880" s="176" t="s">
        <v>949</v>
      </c>
      <c r="E880" s="102"/>
      <c r="F880" s="102"/>
      <c r="G880" s="102"/>
      <c r="H880" s="102"/>
      <c r="I880" s="102"/>
      <c r="J880" s="102"/>
      <c r="K880" s="177"/>
    </row>
    <row r="881" spans="2:11">
      <c r="B881" s="5" t="str">
        <f>CONCATENATE(D881,E881,F881,G881,H881,I881,J881,K881)</f>
        <v>00000000</v>
      </c>
      <c r="C881" s="8" t="s">
        <v>123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</row>
    <row r="882" spans="2:11">
      <c r="B882" s="5"/>
      <c r="C882" s="102"/>
      <c r="D882" s="102"/>
      <c r="E882" s="102"/>
      <c r="F882" s="102"/>
      <c r="G882" s="102"/>
      <c r="H882" s="102"/>
      <c r="I882" s="102"/>
      <c r="J882" s="102"/>
      <c r="K882" s="102"/>
    </row>
    <row r="883" spans="2:11" ht="13.5">
      <c r="B883" s="3"/>
      <c r="C883" s="10" t="s">
        <v>6</v>
      </c>
      <c r="D883" s="143" t="s">
        <v>125</v>
      </c>
      <c r="E883" s="143"/>
      <c r="F883" s="10" t="s">
        <v>126</v>
      </c>
      <c r="G883" s="143" t="s">
        <v>127</v>
      </c>
      <c r="H883" s="143"/>
      <c r="I883" s="143"/>
      <c r="J883" s="143"/>
      <c r="K883" s="10" t="s">
        <v>123</v>
      </c>
    </row>
    <row r="884" spans="2:11" ht="13.5">
      <c r="B884" s="3"/>
      <c r="C884" s="10" t="str">
        <f>D880</f>
        <v>CTRL_HALF_TO_FULL[7:0]</v>
      </c>
      <c r="D884" s="143" t="s">
        <v>950</v>
      </c>
      <c r="E884" s="143"/>
      <c r="F884" s="10" t="s">
        <v>721</v>
      </c>
      <c r="G884" s="143" t="s">
        <v>946</v>
      </c>
      <c r="H884" s="143"/>
      <c r="I884" s="143"/>
      <c r="J884" s="143"/>
      <c r="K884" s="10" t="s">
        <v>722</v>
      </c>
    </row>
    <row r="886" spans="2:11">
      <c r="B886" s="5">
        <f>B878+1</f>
        <v>147</v>
      </c>
      <c r="C886" s="228" t="str">
        <f>"4.8."&amp;B886-$B$862+1&amp;" Addr 0x"&amp;DEC2HEX(B886,8)&amp;" Control.Full To Half"</f>
        <v>4.8.4 Addr 0x00000093 Control.Full To Half</v>
      </c>
      <c r="D886" s="229"/>
      <c r="E886" s="229"/>
      <c r="F886" s="229"/>
      <c r="G886" s="229"/>
      <c r="H886" s="229"/>
      <c r="I886" s="229"/>
      <c r="J886" s="229"/>
      <c r="K886" s="230"/>
    </row>
    <row r="887" spans="2:11">
      <c r="B887" s="5"/>
      <c r="C887" s="6" t="s">
        <v>120</v>
      </c>
      <c r="D887" s="7">
        <v>7</v>
      </c>
      <c r="E887" s="7">
        <v>6</v>
      </c>
      <c r="F887" s="7">
        <v>5</v>
      </c>
      <c r="G887" s="7">
        <v>4</v>
      </c>
      <c r="H887" s="7">
        <v>3</v>
      </c>
      <c r="I887" s="7">
        <v>2</v>
      </c>
      <c r="J887" s="7">
        <v>1</v>
      </c>
      <c r="K887" s="7">
        <v>0</v>
      </c>
    </row>
    <row r="888" spans="2:11">
      <c r="B888" s="5"/>
      <c r="C888" s="8" t="s">
        <v>6</v>
      </c>
      <c r="D888" s="176" t="s">
        <v>951</v>
      </c>
      <c r="E888" s="102"/>
      <c r="F888" s="102"/>
      <c r="G888" s="102"/>
      <c r="H888" s="102"/>
      <c r="I888" s="102"/>
      <c r="J888" s="102"/>
      <c r="K888" s="177"/>
    </row>
    <row r="889" spans="2:11">
      <c r="B889" s="5" t="str">
        <f>CONCATENATE(D889,E889,F889,G889,H889,I889,J889,K889)</f>
        <v>00000000</v>
      </c>
      <c r="C889" s="8" t="s">
        <v>123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</row>
    <row r="890" spans="2:11">
      <c r="B890" s="5"/>
      <c r="C890" s="102"/>
      <c r="D890" s="102"/>
      <c r="E890" s="102"/>
      <c r="F890" s="102"/>
      <c r="G890" s="102"/>
      <c r="H890" s="102"/>
      <c r="I890" s="102"/>
      <c r="J890" s="102"/>
      <c r="K890" s="102"/>
    </row>
    <row r="891" spans="2:11" ht="13.5">
      <c r="B891" s="3"/>
      <c r="C891" s="10" t="s">
        <v>6</v>
      </c>
      <c r="D891" s="143" t="s">
        <v>125</v>
      </c>
      <c r="E891" s="143"/>
      <c r="F891" s="10" t="s">
        <v>126</v>
      </c>
      <c r="G891" s="143" t="s">
        <v>127</v>
      </c>
      <c r="H891" s="143"/>
      <c r="I891" s="143"/>
      <c r="J891" s="143"/>
      <c r="K891" s="10" t="s">
        <v>123</v>
      </c>
    </row>
    <row r="892" spans="2:11" ht="13.5">
      <c r="B892" s="3"/>
      <c r="C892" s="10" t="str">
        <f>D888</f>
        <v>CTRL_FULL_TO_HALF[7:0]</v>
      </c>
      <c r="D892" s="143" t="s">
        <v>952</v>
      </c>
      <c r="E892" s="143"/>
      <c r="F892" s="10" t="s">
        <v>721</v>
      </c>
      <c r="G892" s="143" t="s">
        <v>946</v>
      </c>
      <c r="H892" s="143"/>
      <c r="I892" s="143"/>
      <c r="J892" s="143"/>
      <c r="K892" s="10" t="s">
        <v>722</v>
      </c>
    </row>
    <row r="894" spans="2:11">
      <c r="B894" s="5">
        <f>B886+1</f>
        <v>148</v>
      </c>
      <c r="C894" s="228" t="str">
        <f>"4.8."&amp;B894-$B$862+1&amp;" Addr 0x"&amp;DEC2HEX(B894,8)&amp;" Control.BPP Vout"</f>
        <v>4.8.5 Addr 0x00000094 Control.BPP Vout</v>
      </c>
      <c r="D894" s="229"/>
      <c r="E894" s="229"/>
      <c r="F894" s="229"/>
      <c r="G894" s="229"/>
      <c r="H894" s="229"/>
      <c r="I894" s="229"/>
      <c r="J894" s="229"/>
      <c r="K894" s="230"/>
    </row>
    <row r="895" spans="2:11">
      <c r="B895" s="5"/>
      <c r="C895" s="6" t="s">
        <v>120</v>
      </c>
      <c r="D895" s="7">
        <v>7</v>
      </c>
      <c r="E895" s="7">
        <v>6</v>
      </c>
      <c r="F895" s="7">
        <v>5</v>
      </c>
      <c r="G895" s="7">
        <v>4</v>
      </c>
      <c r="H895" s="7">
        <v>3</v>
      </c>
      <c r="I895" s="7">
        <v>2</v>
      </c>
      <c r="J895" s="7">
        <v>1</v>
      </c>
      <c r="K895" s="7">
        <v>0</v>
      </c>
    </row>
    <row r="896" spans="2:11" ht="12.75" customHeight="1">
      <c r="B896" s="5"/>
      <c r="C896" s="8" t="s">
        <v>6</v>
      </c>
      <c r="D896" s="176" t="s">
        <v>953</v>
      </c>
      <c r="E896" s="102"/>
      <c r="F896" s="102"/>
      <c r="G896" s="102"/>
      <c r="H896" s="102"/>
      <c r="I896" s="102"/>
      <c r="J896" s="102"/>
      <c r="K896" s="177"/>
    </row>
    <row r="897" spans="2:11">
      <c r="B897" s="5" t="str">
        <f>CONCATENATE(D897,E897,F897,G897,H897,I897,J897,K897)</f>
        <v>00000000</v>
      </c>
      <c r="C897" s="8" t="s">
        <v>123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</row>
    <row r="898" spans="2:11">
      <c r="B898" s="5"/>
      <c r="C898" s="102"/>
      <c r="D898" s="102"/>
      <c r="E898" s="102"/>
      <c r="F898" s="102"/>
      <c r="G898" s="102"/>
      <c r="H898" s="102"/>
      <c r="I898" s="102"/>
      <c r="J898" s="102"/>
      <c r="K898" s="102"/>
    </row>
    <row r="899" spans="2:11" ht="13.5">
      <c r="B899" s="3"/>
      <c r="C899" s="10" t="s">
        <v>6</v>
      </c>
      <c r="D899" s="143" t="s">
        <v>125</v>
      </c>
      <c r="E899" s="143"/>
      <c r="F899" s="10" t="s">
        <v>126</v>
      </c>
      <c r="G899" s="143" t="s">
        <v>127</v>
      </c>
      <c r="H899" s="143"/>
      <c r="I899" s="143"/>
      <c r="J899" s="143"/>
      <c r="K899" s="10" t="s">
        <v>123</v>
      </c>
    </row>
    <row r="900" spans="2:11" ht="13.5">
      <c r="B900" s="3"/>
      <c r="C900" s="10" t="str">
        <f>D896</f>
        <v>CTRL_BPP_VOUTSET[7:0]</v>
      </c>
      <c r="D900" s="143" t="s">
        <v>954</v>
      </c>
      <c r="E900" s="143"/>
      <c r="F900" s="10" t="s">
        <v>721</v>
      </c>
      <c r="G900" s="143" t="s">
        <v>955</v>
      </c>
      <c r="H900" s="143"/>
      <c r="I900" s="143"/>
      <c r="J900" s="143"/>
      <c r="K900" s="10" t="s">
        <v>722</v>
      </c>
    </row>
    <row r="902" spans="2:11" ht="12.75" customHeight="1">
      <c r="B902" s="5">
        <f>B894+1</f>
        <v>149</v>
      </c>
      <c r="C902" s="228" t="str">
        <f>"4.8."&amp;B902-$B$862+1&amp;" Addr 0x"&amp;DEC2HEX(B902,8)&amp;" Control.EPP Vout"</f>
        <v>4.8.6 Addr 0x00000095 Control.EPP Vout</v>
      </c>
      <c r="D902" s="229"/>
      <c r="E902" s="229"/>
      <c r="F902" s="229"/>
      <c r="G902" s="229"/>
      <c r="H902" s="229"/>
      <c r="I902" s="229"/>
      <c r="J902" s="229"/>
      <c r="K902" s="230"/>
    </row>
    <row r="903" spans="2:11">
      <c r="B903" s="5"/>
      <c r="C903" s="6" t="s">
        <v>120</v>
      </c>
      <c r="D903" s="7">
        <v>7</v>
      </c>
      <c r="E903" s="7">
        <v>6</v>
      </c>
      <c r="F903" s="7">
        <v>5</v>
      </c>
      <c r="G903" s="7">
        <v>4</v>
      </c>
      <c r="H903" s="7">
        <v>3</v>
      </c>
      <c r="I903" s="7">
        <v>2</v>
      </c>
      <c r="J903" s="7">
        <v>1</v>
      </c>
      <c r="K903" s="7">
        <v>0</v>
      </c>
    </row>
    <row r="904" spans="2:11" ht="12.75" customHeight="1">
      <c r="B904" s="5"/>
      <c r="C904" s="8" t="s">
        <v>6</v>
      </c>
      <c r="D904" s="176" t="s">
        <v>956</v>
      </c>
      <c r="E904" s="102"/>
      <c r="F904" s="102"/>
      <c r="G904" s="102"/>
      <c r="H904" s="102"/>
      <c r="I904" s="102"/>
      <c r="J904" s="102"/>
      <c r="K904" s="177"/>
    </row>
    <row r="905" spans="2:11">
      <c r="B905" s="5" t="str">
        <f>CONCATENATE(D905,E905,F905,G905,H905,I905,J905,K905)</f>
        <v>00000000</v>
      </c>
      <c r="C905" s="8" t="s">
        <v>123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</row>
    <row r="906" spans="2:11">
      <c r="B906" s="5"/>
      <c r="C906" s="102"/>
      <c r="D906" s="102"/>
      <c r="E906" s="102"/>
      <c r="F906" s="102"/>
      <c r="G906" s="102"/>
      <c r="H906" s="102"/>
      <c r="I906" s="102"/>
      <c r="J906" s="102"/>
      <c r="K906" s="102"/>
    </row>
    <row r="907" spans="2:11" ht="13.5">
      <c r="B907" s="3"/>
      <c r="C907" s="10" t="s">
        <v>6</v>
      </c>
      <c r="D907" s="143" t="s">
        <v>125</v>
      </c>
      <c r="E907" s="143"/>
      <c r="F907" s="10" t="s">
        <v>126</v>
      </c>
      <c r="G907" s="143" t="s">
        <v>127</v>
      </c>
      <c r="H907" s="143"/>
      <c r="I907" s="143"/>
      <c r="J907" s="143"/>
      <c r="K907" s="10" t="s">
        <v>123</v>
      </c>
    </row>
    <row r="908" spans="2:11" ht="13.5">
      <c r="B908" s="3"/>
      <c r="C908" s="10" t="str">
        <f>D904</f>
        <v>CTRL_EPP_VOUTSET[7:0]</v>
      </c>
      <c r="D908" s="143" t="s">
        <v>957</v>
      </c>
      <c r="E908" s="143"/>
      <c r="F908" s="10" t="s">
        <v>721</v>
      </c>
      <c r="G908" s="143" t="s">
        <v>958</v>
      </c>
      <c r="H908" s="143"/>
      <c r="I908" s="143"/>
      <c r="J908" s="143"/>
      <c r="K908" s="10" t="s">
        <v>722</v>
      </c>
    </row>
    <row r="910" spans="2:11">
      <c r="B910" s="5">
        <f>B902+1</f>
        <v>150</v>
      </c>
      <c r="C910" s="228" t="str">
        <f>"4.8."&amp;B910-$B$862+1&amp;" Addr 0x"&amp;DEC2HEX(B910,8)&amp;" Control.Q Factor"</f>
        <v>4.8.7 Addr 0x00000096 Control.Q Factor</v>
      </c>
      <c r="D910" s="229"/>
      <c r="E910" s="229"/>
      <c r="F910" s="229"/>
      <c r="G910" s="229"/>
      <c r="H910" s="229"/>
      <c r="I910" s="229"/>
      <c r="J910" s="229"/>
      <c r="K910" s="230"/>
    </row>
    <row r="911" spans="2:11">
      <c r="B911" s="5"/>
      <c r="C911" s="6" t="s">
        <v>120</v>
      </c>
      <c r="D911" s="7">
        <v>7</v>
      </c>
      <c r="E911" s="7">
        <v>6</v>
      </c>
      <c r="F911" s="7">
        <v>5</v>
      </c>
      <c r="G911" s="7">
        <v>4</v>
      </c>
      <c r="H911" s="7">
        <v>3</v>
      </c>
      <c r="I911" s="7">
        <v>2</v>
      </c>
      <c r="J911" s="7">
        <v>1</v>
      </c>
      <c r="K911" s="7">
        <v>0</v>
      </c>
    </row>
    <row r="912" spans="2:11" ht="12.75" customHeight="1">
      <c r="B912" s="5"/>
      <c r="C912" s="8" t="s">
        <v>6</v>
      </c>
      <c r="D912" s="176" t="s">
        <v>959</v>
      </c>
      <c r="E912" s="102"/>
      <c r="F912" s="102"/>
      <c r="G912" s="102"/>
      <c r="H912" s="102"/>
      <c r="I912" s="102"/>
      <c r="J912" s="102"/>
      <c r="K912" s="177"/>
    </row>
    <row r="913" spans="2:11">
      <c r="B913" s="5" t="str">
        <f>CONCATENATE(D913,E913,F913,G913,H913,I913,J913,K913)</f>
        <v>00000000</v>
      </c>
      <c r="C913" s="8" t="s">
        <v>123</v>
      </c>
      <c r="D913" s="9">
        <v>0</v>
      </c>
      <c r="E913" s="9">
        <v>0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</row>
    <row r="914" spans="2:11">
      <c r="B914" s="5"/>
      <c r="C914" s="102"/>
      <c r="D914" s="102"/>
      <c r="E914" s="102"/>
      <c r="F914" s="102"/>
      <c r="G914" s="102"/>
      <c r="H914" s="102"/>
      <c r="I914" s="102"/>
      <c r="J914" s="102"/>
      <c r="K914" s="102"/>
    </row>
    <row r="915" spans="2:11" ht="13.5">
      <c r="B915" s="3"/>
      <c r="C915" s="10" t="s">
        <v>6</v>
      </c>
      <c r="D915" s="143" t="s">
        <v>125</v>
      </c>
      <c r="E915" s="143"/>
      <c r="F915" s="10" t="s">
        <v>126</v>
      </c>
      <c r="G915" s="143" t="s">
        <v>127</v>
      </c>
      <c r="H915" s="143"/>
      <c r="I915" s="143"/>
      <c r="J915" s="143"/>
      <c r="K915" s="10" t="s">
        <v>123</v>
      </c>
    </row>
    <row r="916" spans="2:11" ht="13.5">
      <c r="B916" s="3"/>
      <c r="C916" s="10" t="str">
        <f>D912</f>
        <v>CTRL_Q_FACTOR[7:0]</v>
      </c>
      <c r="D916" s="143" t="s">
        <v>960</v>
      </c>
      <c r="E916" s="143"/>
      <c r="F916" s="10" t="s">
        <v>774</v>
      </c>
      <c r="G916" s="143"/>
      <c r="H916" s="143"/>
      <c r="I916" s="143"/>
      <c r="J916" s="143"/>
      <c r="K916" s="10" t="s">
        <v>722</v>
      </c>
    </row>
    <row r="918" spans="2:11">
      <c r="B918" s="5">
        <f>B910+1</f>
        <v>151</v>
      </c>
      <c r="C918" s="228" t="str">
        <f>"4.8."&amp;B918-$B$862+1&amp;" Addr 0x"&amp;DEC2HEX(B918,8)&amp;" Control.Vrect offset threshold"</f>
        <v>4.8.8 Addr 0x00000097 Control.Vrect offset threshold</v>
      </c>
      <c r="D918" s="229"/>
      <c r="E918" s="229"/>
      <c r="F918" s="229"/>
      <c r="G918" s="229"/>
      <c r="H918" s="229"/>
      <c r="I918" s="229"/>
      <c r="J918" s="229"/>
      <c r="K918" s="230"/>
    </row>
    <row r="919" spans="2:11">
      <c r="B919" s="5"/>
      <c r="C919" s="6" t="s">
        <v>120</v>
      </c>
      <c r="D919" s="7">
        <v>7</v>
      </c>
      <c r="E919" s="7">
        <v>6</v>
      </c>
      <c r="F919" s="7">
        <v>5</v>
      </c>
      <c r="G919" s="7">
        <v>4</v>
      </c>
      <c r="H919" s="7">
        <v>3</v>
      </c>
      <c r="I919" s="7">
        <v>2</v>
      </c>
      <c r="J919" s="7">
        <v>1</v>
      </c>
      <c r="K919" s="7">
        <v>0</v>
      </c>
    </row>
    <row r="920" spans="2:11">
      <c r="B920" s="5"/>
      <c r="C920" s="8" t="s">
        <v>6</v>
      </c>
      <c r="D920" s="176" t="s">
        <v>961</v>
      </c>
      <c r="E920" s="102"/>
      <c r="F920" s="102"/>
      <c r="G920" s="102"/>
      <c r="H920" s="102"/>
      <c r="I920" s="102"/>
      <c r="J920" s="102"/>
      <c r="K920" s="177"/>
    </row>
    <row r="921" spans="2:11">
      <c r="B921" s="5" t="str">
        <f>CONCATENATE(D921,E921,F921,G921,H921,I921,J921,K921)</f>
        <v>00000000</v>
      </c>
      <c r="C921" s="8" t="s">
        <v>123</v>
      </c>
      <c r="D921" s="9">
        <v>0</v>
      </c>
      <c r="E921" s="9">
        <v>0</v>
      </c>
      <c r="F921" s="9">
        <v>0</v>
      </c>
      <c r="G921" s="9">
        <v>0</v>
      </c>
      <c r="H921" s="9">
        <v>0</v>
      </c>
      <c r="I921" s="9">
        <v>0</v>
      </c>
      <c r="J921" s="9">
        <v>0</v>
      </c>
      <c r="K921" s="9">
        <v>0</v>
      </c>
    </row>
    <row r="922" spans="2:11">
      <c r="B922" s="5"/>
      <c r="C922" s="102"/>
      <c r="D922" s="102"/>
      <c r="E922" s="102"/>
      <c r="F922" s="102"/>
      <c r="G922" s="102"/>
      <c r="H922" s="102"/>
      <c r="I922" s="102"/>
      <c r="J922" s="102"/>
      <c r="K922" s="102"/>
    </row>
    <row r="923" spans="2:11" ht="13.5">
      <c r="B923" s="3"/>
      <c r="C923" s="10" t="s">
        <v>6</v>
      </c>
      <c r="D923" s="143" t="s">
        <v>125</v>
      </c>
      <c r="E923" s="143"/>
      <c r="F923" s="10" t="s">
        <v>126</v>
      </c>
      <c r="G923" s="143" t="s">
        <v>127</v>
      </c>
      <c r="H923" s="143"/>
      <c r="I923" s="143"/>
      <c r="J923" s="143"/>
      <c r="K923" s="10" t="s">
        <v>123</v>
      </c>
    </row>
    <row r="924" spans="2:11" ht="13.5">
      <c r="B924" s="3"/>
      <c r="C924" s="10" t="str">
        <f>D920</f>
        <v>CTRL_VRECT_OFS_TH[7:0]</v>
      </c>
      <c r="D924" s="143" t="s">
        <v>962</v>
      </c>
      <c r="E924" s="143"/>
      <c r="F924" s="10" t="s">
        <v>721</v>
      </c>
      <c r="G924" s="143" t="s">
        <v>963</v>
      </c>
      <c r="H924" s="143"/>
      <c r="I924" s="143"/>
      <c r="J924" s="143"/>
      <c r="K924" s="10" t="s">
        <v>722</v>
      </c>
    </row>
    <row r="926" spans="2:11">
      <c r="B926" s="5">
        <f>B918+1</f>
        <v>152</v>
      </c>
      <c r="C926" s="228" t="str">
        <f>"4.8."&amp;B926-$B$862+1&amp;" Addr 0x"&amp;DEC2HEX(B926,8)&amp;" Control.Vrect offset 0.0"</f>
        <v>4.8.9 Addr 0x00000098 Control.Vrect offset 0.0</v>
      </c>
      <c r="D926" s="229"/>
      <c r="E926" s="229"/>
      <c r="F926" s="229"/>
      <c r="G926" s="229"/>
      <c r="H926" s="229"/>
      <c r="I926" s="229"/>
      <c r="J926" s="229"/>
      <c r="K926" s="230"/>
    </row>
    <row r="927" spans="2:11">
      <c r="B927" s="5"/>
      <c r="C927" s="6" t="s">
        <v>120</v>
      </c>
      <c r="D927" s="7">
        <v>7</v>
      </c>
      <c r="E927" s="7">
        <v>6</v>
      </c>
      <c r="F927" s="7">
        <v>5</v>
      </c>
      <c r="G927" s="7">
        <v>4</v>
      </c>
      <c r="H927" s="7">
        <v>3</v>
      </c>
      <c r="I927" s="7">
        <v>2</v>
      </c>
      <c r="J927" s="7">
        <v>1</v>
      </c>
      <c r="K927" s="7">
        <v>0</v>
      </c>
    </row>
    <row r="928" spans="2:11">
      <c r="B928" s="5"/>
      <c r="C928" s="8" t="s">
        <v>6</v>
      </c>
      <c r="D928" s="176" t="s">
        <v>964</v>
      </c>
      <c r="E928" s="102"/>
      <c r="F928" s="102"/>
      <c r="G928" s="102"/>
      <c r="H928" s="102"/>
      <c r="I928" s="102"/>
      <c r="J928" s="102"/>
      <c r="K928" s="177"/>
    </row>
    <row r="929" spans="2:11">
      <c r="B929" s="5" t="str">
        <f>CONCATENATE(D929,E929,F929,G929,H929,I929,J929,K929)</f>
        <v>00000000</v>
      </c>
      <c r="C929" s="8" t="s">
        <v>123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</row>
    <row r="930" spans="2:11">
      <c r="B930" s="5"/>
      <c r="C930" s="102"/>
      <c r="D930" s="102"/>
      <c r="E930" s="102"/>
      <c r="F930" s="102"/>
      <c r="G930" s="102"/>
      <c r="H930" s="102"/>
      <c r="I930" s="102"/>
      <c r="J930" s="102"/>
      <c r="K930" s="102"/>
    </row>
    <row r="931" spans="2:11" ht="13.5">
      <c r="B931" s="3"/>
      <c r="C931" s="10" t="s">
        <v>6</v>
      </c>
      <c r="D931" s="143" t="s">
        <v>125</v>
      </c>
      <c r="E931" s="143"/>
      <c r="F931" s="10" t="s">
        <v>126</v>
      </c>
      <c r="G931" s="143" t="s">
        <v>127</v>
      </c>
      <c r="H931" s="143"/>
      <c r="I931" s="143"/>
      <c r="J931" s="143"/>
      <c r="K931" s="10" t="s">
        <v>123</v>
      </c>
    </row>
    <row r="932" spans="2:11" ht="27">
      <c r="B932" s="3"/>
      <c r="C932" s="10" t="str">
        <f>D928</f>
        <v>CTRL_VRECT_OFFSET_0_0[7:0]</v>
      </c>
      <c r="D932" s="143" t="s">
        <v>965</v>
      </c>
      <c r="E932" s="143"/>
      <c r="F932" s="10" t="s">
        <v>721</v>
      </c>
      <c r="G932" s="143" t="s">
        <v>966</v>
      </c>
      <c r="H932" s="143"/>
      <c r="I932" s="143"/>
      <c r="J932" s="143"/>
      <c r="K932" s="10" t="s">
        <v>722</v>
      </c>
    </row>
    <row r="934" spans="2:11">
      <c r="B934" s="5">
        <f>B926+1</f>
        <v>153</v>
      </c>
      <c r="C934" s="228" t="str">
        <f>"4.8."&amp;B934-$B$862+1&amp;" Addr 0x"&amp;DEC2HEX(B934,8)&amp;" Control.Vrect offset 0.1"</f>
        <v>4.8.10 Addr 0x00000099 Control.Vrect offset 0.1</v>
      </c>
      <c r="D934" s="229"/>
      <c r="E934" s="229"/>
      <c r="F934" s="229"/>
      <c r="G934" s="229"/>
      <c r="H934" s="229"/>
      <c r="I934" s="229"/>
      <c r="J934" s="229"/>
      <c r="K934" s="230"/>
    </row>
    <row r="935" spans="2:11">
      <c r="B935" s="5"/>
      <c r="C935" s="6" t="s">
        <v>120</v>
      </c>
      <c r="D935" s="7">
        <v>7</v>
      </c>
      <c r="E935" s="7">
        <v>6</v>
      </c>
      <c r="F935" s="7">
        <v>5</v>
      </c>
      <c r="G935" s="7">
        <v>4</v>
      </c>
      <c r="H935" s="7">
        <v>3</v>
      </c>
      <c r="I935" s="7">
        <v>2</v>
      </c>
      <c r="J935" s="7">
        <v>1</v>
      </c>
      <c r="K935" s="7">
        <v>0</v>
      </c>
    </row>
    <row r="936" spans="2:11">
      <c r="B936" s="5"/>
      <c r="C936" s="8" t="s">
        <v>6</v>
      </c>
      <c r="D936" s="176" t="s">
        <v>967</v>
      </c>
      <c r="E936" s="102"/>
      <c r="F936" s="102"/>
      <c r="G936" s="102"/>
      <c r="H936" s="102"/>
      <c r="I936" s="102"/>
      <c r="J936" s="102"/>
      <c r="K936" s="177"/>
    </row>
    <row r="937" spans="2:11">
      <c r="B937" s="5" t="str">
        <f>CONCATENATE(D937,E937,F937,G937,H937,I937,J937,K937)</f>
        <v>00000000</v>
      </c>
      <c r="C937" s="8" t="s">
        <v>123</v>
      </c>
      <c r="D937" s="9">
        <v>0</v>
      </c>
      <c r="E937" s="9">
        <v>0</v>
      </c>
      <c r="F937" s="9">
        <v>0</v>
      </c>
      <c r="G937" s="9">
        <v>0</v>
      </c>
      <c r="H937" s="9">
        <v>0</v>
      </c>
      <c r="I937" s="9">
        <v>0</v>
      </c>
      <c r="J937" s="9">
        <v>0</v>
      </c>
      <c r="K937" s="9">
        <v>0</v>
      </c>
    </row>
    <row r="938" spans="2:11">
      <c r="B938" s="5"/>
      <c r="C938" s="102"/>
      <c r="D938" s="102"/>
      <c r="E938" s="102"/>
      <c r="F938" s="102"/>
      <c r="G938" s="102"/>
      <c r="H938" s="102"/>
      <c r="I938" s="102"/>
      <c r="J938" s="102"/>
      <c r="K938" s="102"/>
    </row>
    <row r="939" spans="2:11" ht="13.5">
      <c r="B939" s="3"/>
      <c r="C939" s="10" t="s">
        <v>6</v>
      </c>
      <c r="D939" s="143" t="s">
        <v>125</v>
      </c>
      <c r="E939" s="143"/>
      <c r="F939" s="10" t="s">
        <v>126</v>
      </c>
      <c r="G939" s="143" t="s">
        <v>127</v>
      </c>
      <c r="H939" s="143"/>
      <c r="I939" s="143"/>
      <c r="J939" s="143"/>
      <c r="K939" s="10" t="s">
        <v>123</v>
      </c>
    </row>
    <row r="940" spans="2:11" ht="27" customHeight="1">
      <c r="B940" s="3"/>
      <c r="C940" s="10" t="str">
        <f>D936</f>
        <v>CTRL_VRECT_OFFSET_0_1[7:0]</v>
      </c>
      <c r="D940" s="143" t="s">
        <v>965</v>
      </c>
      <c r="E940" s="143"/>
      <c r="F940" s="10" t="s">
        <v>721</v>
      </c>
      <c r="G940" s="143" t="s">
        <v>968</v>
      </c>
      <c r="H940" s="143"/>
      <c r="I940" s="143"/>
      <c r="J940" s="143"/>
      <c r="K940" s="10" t="s">
        <v>722</v>
      </c>
    </row>
    <row r="942" spans="2:11">
      <c r="B942" s="5">
        <f>B934+1</f>
        <v>154</v>
      </c>
      <c r="C942" s="228" t="str">
        <f>"4.8."&amp;B942-$B$862+1&amp;" Addr 0x"&amp;DEC2HEX(B942,8)&amp;" Control.Vrect offset 0.2"</f>
        <v>4.8.11 Addr 0x0000009A Control.Vrect offset 0.2</v>
      </c>
      <c r="D942" s="229"/>
      <c r="E942" s="229"/>
      <c r="F942" s="229"/>
      <c r="G942" s="229"/>
      <c r="H942" s="229"/>
      <c r="I942" s="229"/>
      <c r="J942" s="229"/>
      <c r="K942" s="230"/>
    </row>
    <row r="943" spans="2:11">
      <c r="B943" s="5"/>
      <c r="C943" s="6" t="s">
        <v>120</v>
      </c>
      <c r="D943" s="7">
        <v>7</v>
      </c>
      <c r="E943" s="7">
        <v>6</v>
      </c>
      <c r="F943" s="7">
        <v>5</v>
      </c>
      <c r="G943" s="7">
        <v>4</v>
      </c>
      <c r="H943" s="7">
        <v>3</v>
      </c>
      <c r="I943" s="7">
        <v>2</v>
      </c>
      <c r="J943" s="7">
        <v>1</v>
      </c>
      <c r="K943" s="7">
        <v>0</v>
      </c>
    </row>
    <row r="944" spans="2:11">
      <c r="B944" s="5"/>
      <c r="C944" s="8" t="s">
        <v>6</v>
      </c>
      <c r="D944" s="176" t="s">
        <v>969</v>
      </c>
      <c r="E944" s="102"/>
      <c r="F944" s="102"/>
      <c r="G944" s="102"/>
      <c r="H944" s="102"/>
      <c r="I944" s="102"/>
      <c r="J944" s="102"/>
      <c r="K944" s="177"/>
    </row>
    <row r="945" spans="2:11">
      <c r="B945" s="5" t="str">
        <f>CONCATENATE(D945,E945,F945,G945,H945,I945,J945,K945)</f>
        <v>00000000</v>
      </c>
      <c r="C945" s="8" t="s">
        <v>123</v>
      </c>
      <c r="D945" s="9">
        <v>0</v>
      </c>
      <c r="E945" s="9">
        <v>0</v>
      </c>
      <c r="F945" s="9">
        <v>0</v>
      </c>
      <c r="G945" s="9">
        <v>0</v>
      </c>
      <c r="H945" s="9">
        <v>0</v>
      </c>
      <c r="I945" s="9">
        <v>0</v>
      </c>
      <c r="J945" s="9">
        <v>0</v>
      </c>
      <c r="K945" s="9">
        <v>0</v>
      </c>
    </row>
    <row r="946" spans="2:11">
      <c r="B946" s="5"/>
      <c r="C946" s="102"/>
      <c r="D946" s="102"/>
      <c r="E946" s="102"/>
      <c r="F946" s="102"/>
      <c r="G946" s="102"/>
      <c r="H946" s="102"/>
      <c r="I946" s="102"/>
      <c r="J946" s="102"/>
      <c r="K946" s="102"/>
    </row>
    <row r="947" spans="2:11" ht="13.5">
      <c r="B947" s="3"/>
      <c r="C947" s="10" t="s">
        <v>6</v>
      </c>
      <c r="D947" s="143" t="s">
        <v>125</v>
      </c>
      <c r="E947" s="143"/>
      <c r="F947" s="10" t="s">
        <v>126</v>
      </c>
      <c r="G947" s="143" t="s">
        <v>127</v>
      </c>
      <c r="H947" s="143"/>
      <c r="I947" s="143"/>
      <c r="J947" s="143"/>
      <c r="K947" s="10" t="s">
        <v>123</v>
      </c>
    </row>
    <row r="948" spans="2:11" ht="27" customHeight="1">
      <c r="B948" s="3"/>
      <c r="C948" s="10" t="str">
        <f>D944</f>
        <v>CTRL_VRECT_OFFSET_0_2[7:0]</v>
      </c>
      <c r="D948" s="143" t="s">
        <v>965</v>
      </c>
      <c r="E948" s="143"/>
      <c r="F948" s="10" t="s">
        <v>721</v>
      </c>
      <c r="G948" s="143" t="s">
        <v>970</v>
      </c>
      <c r="H948" s="143"/>
      <c r="I948" s="143"/>
      <c r="J948" s="143"/>
      <c r="K948" s="10" t="s">
        <v>722</v>
      </c>
    </row>
    <row r="950" spans="2:11">
      <c r="B950" s="5">
        <f>B942+1</f>
        <v>155</v>
      </c>
      <c r="C950" s="228" t="str">
        <f>"4.8."&amp;B950-$B$862+1&amp;" Addr 0x"&amp;DEC2HEX(B950,8)&amp;" Control.Vrect offset 0.3"</f>
        <v>4.8.12 Addr 0x0000009B Control.Vrect offset 0.3</v>
      </c>
      <c r="D950" s="229"/>
      <c r="E950" s="229"/>
      <c r="F950" s="229"/>
      <c r="G950" s="229"/>
      <c r="H950" s="229"/>
      <c r="I950" s="229"/>
      <c r="J950" s="229"/>
      <c r="K950" s="230"/>
    </row>
    <row r="951" spans="2:11">
      <c r="B951" s="5"/>
      <c r="C951" s="6" t="s">
        <v>120</v>
      </c>
      <c r="D951" s="7">
        <v>7</v>
      </c>
      <c r="E951" s="7">
        <v>6</v>
      </c>
      <c r="F951" s="7">
        <v>5</v>
      </c>
      <c r="G951" s="7">
        <v>4</v>
      </c>
      <c r="H951" s="7">
        <v>3</v>
      </c>
      <c r="I951" s="7">
        <v>2</v>
      </c>
      <c r="J951" s="7">
        <v>1</v>
      </c>
      <c r="K951" s="7">
        <v>0</v>
      </c>
    </row>
    <row r="952" spans="2:11">
      <c r="B952" s="5"/>
      <c r="C952" s="8" t="s">
        <v>6</v>
      </c>
      <c r="D952" s="176" t="s">
        <v>971</v>
      </c>
      <c r="E952" s="102"/>
      <c r="F952" s="102"/>
      <c r="G952" s="102"/>
      <c r="H952" s="102"/>
      <c r="I952" s="102"/>
      <c r="J952" s="102"/>
      <c r="K952" s="177"/>
    </row>
    <row r="953" spans="2:11">
      <c r="B953" s="5" t="str">
        <f>CONCATENATE(D953,E953,F953,G953,H953,I953,J953,K953)</f>
        <v>00000000</v>
      </c>
      <c r="C953" s="8" t="s">
        <v>123</v>
      </c>
      <c r="D953" s="9">
        <v>0</v>
      </c>
      <c r="E953" s="9">
        <v>0</v>
      </c>
      <c r="F953" s="9">
        <v>0</v>
      </c>
      <c r="G953" s="9">
        <v>0</v>
      </c>
      <c r="H953" s="9">
        <v>0</v>
      </c>
      <c r="I953" s="9">
        <v>0</v>
      </c>
      <c r="J953" s="9">
        <v>0</v>
      </c>
      <c r="K953" s="9">
        <v>0</v>
      </c>
    </row>
    <row r="954" spans="2:11">
      <c r="B954" s="5"/>
      <c r="C954" s="102"/>
      <c r="D954" s="102"/>
      <c r="E954" s="102"/>
      <c r="F954" s="102"/>
      <c r="G954" s="102"/>
      <c r="H954" s="102"/>
      <c r="I954" s="102"/>
      <c r="J954" s="102"/>
      <c r="K954" s="102"/>
    </row>
    <row r="955" spans="2:11" ht="13.5">
      <c r="B955" s="3"/>
      <c r="C955" s="10" t="s">
        <v>6</v>
      </c>
      <c r="D955" s="143" t="s">
        <v>125</v>
      </c>
      <c r="E955" s="143"/>
      <c r="F955" s="10" t="s">
        <v>126</v>
      </c>
      <c r="G955" s="143" t="s">
        <v>127</v>
      </c>
      <c r="H955" s="143"/>
      <c r="I955" s="143"/>
      <c r="J955" s="143"/>
      <c r="K955" s="10" t="s">
        <v>123</v>
      </c>
    </row>
    <row r="956" spans="2:11" ht="27" customHeight="1">
      <c r="B956" s="3"/>
      <c r="C956" s="10" t="str">
        <f>D952</f>
        <v>CTRL_VRECT_OFFSET_0_3[7:0]</v>
      </c>
      <c r="D956" s="143" t="s">
        <v>965</v>
      </c>
      <c r="E956" s="143"/>
      <c r="F956" s="10" t="s">
        <v>721</v>
      </c>
      <c r="G956" s="143" t="s">
        <v>972</v>
      </c>
      <c r="H956" s="143"/>
      <c r="I956" s="143"/>
      <c r="J956" s="143"/>
      <c r="K956" s="10" t="s">
        <v>722</v>
      </c>
    </row>
    <row r="958" spans="2:11">
      <c r="B958" s="5">
        <f>B950+1</f>
        <v>156</v>
      </c>
      <c r="C958" s="228" t="str">
        <f>"4.8."&amp;B958-$B$862+1&amp;" Addr 0x"&amp;DEC2HEX(B958,8)&amp;" Control.Vrect offset 0.4"</f>
        <v>4.8.13 Addr 0x0000009C Control.Vrect offset 0.4</v>
      </c>
      <c r="D958" s="229"/>
      <c r="E958" s="229"/>
      <c r="F958" s="229"/>
      <c r="G958" s="229"/>
      <c r="H958" s="229"/>
      <c r="I958" s="229"/>
      <c r="J958" s="229"/>
      <c r="K958" s="230"/>
    </row>
    <row r="959" spans="2:11">
      <c r="B959" s="5"/>
      <c r="C959" s="6" t="s">
        <v>120</v>
      </c>
      <c r="D959" s="7">
        <v>7</v>
      </c>
      <c r="E959" s="7">
        <v>6</v>
      </c>
      <c r="F959" s="7">
        <v>5</v>
      </c>
      <c r="G959" s="7">
        <v>4</v>
      </c>
      <c r="H959" s="7">
        <v>3</v>
      </c>
      <c r="I959" s="7">
        <v>2</v>
      </c>
      <c r="J959" s="7">
        <v>1</v>
      </c>
      <c r="K959" s="7">
        <v>0</v>
      </c>
    </row>
    <row r="960" spans="2:11">
      <c r="B960" s="5"/>
      <c r="C960" s="8" t="s">
        <v>6</v>
      </c>
      <c r="D960" s="176" t="s">
        <v>973</v>
      </c>
      <c r="E960" s="102"/>
      <c r="F960" s="102"/>
      <c r="G960" s="102"/>
      <c r="H960" s="102"/>
      <c r="I960" s="102"/>
      <c r="J960" s="102"/>
      <c r="K960" s="177"/>
    </row>
    <row r="961" spans="2:11">
      <c r="B961" s="5" t="str">
        <f>CONCATENATE(D961,E961,F961,G961,H961,I961,J961,K961)</f>
        <v>00000000</v>
      </c>
      <c r="C961" s="8" t="s">
        <v>123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</row>
    <row r="962" spans="2:11">
      <c r="B962" s="5"/>
      <c r="C962" s="102"/>
      <c r="D962" s="102"/>
      <c r="E962" s="102"/>
      <c r="F962" s="102"/>
      <c r="G962" s="102"/>
      <c r="H962" s="102"/>
      <c r="I962" s="102"/>
      <c r="J962" s="102"/>
      <c r="K962" s="102"/>
    </row>
    <row r="963" spans="2:11" ht="13.5">
      <c r="B963" s="3"/>
      <c r="C963" s="10" t="s">
        <v>6</v>
      </c>
      <c r="D963" s="143" t="s">
        <v>125</v>
      </c>
      <c r="E963" s="143"/>
      <c r="F963" s="10" t="s">
        <v>126</v>
      </c>
      <c r="G963" s="143" t="s">
        <v>127</v>
      </c>
      <c r="H963" s="143"/>
      <c r="I963" s="143"/>
      <c r="J963" s="143"/>
      <c r="K963" s="10" t="s">
        <v>123</v>
      </c>
    </row>
    <row r="964" spans="2:11" ht="27" customHeight="1">
      <c r="B964" s="3"/>
      <c r="C964" s="10" t="str">
        <f>D960</f>
        <v>CTRL_VRECT_OFFSET_0_4[7:0]</v>
      </c>
      <c r="D964" s="143" t="s">
        <v>965</v>
      </c>
      <c r="E964" s="143"/>
      <c r="F964" s="10" t="s">
        <v>721</v>
      </c>
      <c r="G964" s="143" t="s">
        <v>974</v>
      </c>
      <c r="H964" s="143"/>
      <c r="I964" s="143"/>
      <c r="J964" s="143"/>
      <c r="K964" s="10" t="s">
        <v>722</v>
      </c>
    </row>
    <row r="966" spans="2:11">
      <c r="B966" s="5">
        <f>B958+1</f>
        <v>157</v>
      </c>
      <c r="C966" s="228" t="str">
        <f>"4.8."&amp;B966-$B$862+1&amp;" Addr 0x"&amp;DEC2HEX(B966,8)&amp;" Control.Vrect offset 0.5"</f>
        <v>4.8.14 Addr 0x0000009D Control.Vrect offset 0.5</v>
      </c>
      <c r="D966" s="229"/>
      <c r="E966" s="229"/>
      <c r="F966" s="229"/>
      <c r="G966" s="229"/>
      <c r="H966" s="229"/>
      <c r="I966" s="229"/>
      <c r="J966" s="229"/>
      <c r="K966" s="230"/>
    </row>
    <row r="967" spans="2:11">
      <c r="B967" s="5"/>
      <c r="C967" s="6" t="s">
        <v>120</v>
      </c>
      <c r="D967" s="7">
        <v>7</v>
      </c>
      <c r="E967" s="7">
        <v>6</v>
      </c>
      <c r="F967" s="7">
        <v>5</v>
      </c>
      <c r="G967" s="7">
        <v>4</v>
      </c>
      <c r="H967" s="7">
        <v>3</v>
      </c>
      <c r="I967" s="7">
        <v>2</v>
      </c>
      <c r="J967" s="7">
        <v>1</v>
      </c>
      <c r="K967" s="7">
        <v>0</v>
      </c>
    </row>
    <row r="968" spans="2:11">
      <c r="B968" s="5"/>
      <c r="C968" s="8" t="s">
        <v>6</v>
      </c>
      <c r="D968" s="176" t="s">
        <v>975</v>
      </c>
      <c r="E968" s="102"/>
      <c r="F968" s="102"/>
      <c r="G968" s="102"/>
      <c r="H968" s="102"/>
      <c r="I968" s="102"/>
      <c r="J968" s="102"/>
      <c r="K968" s="177"/>
    </row>
    <row r="969" spans="2:11">
      <c r="B969" s="5" t="str">
        <f>CONCATENATE(D969,E969,F969,G969,H969,I969,J969,K969)</f>
        <v>00000000</v>
      </c>
      <c r="C969" s="8" t="s">
        <v>123</v>
      </c>
      <c r="D969" s="9">
        <v>0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</row>
    <row r="970" spans="2:11">
      <c r="B970" s="5"/>
      <c r="C970" s="102"/>
      <c r="D970" s="102"/>
      <c r="E970" s="102"/>
      <c r="F970" s="102"/>
      <c r="G970" s="102"/>
      <c r="H970" s="102"/>
      <c r="I970" s="102"/>
      <c r="J970" s="102"/>
      <c r="K970" s="102"/>
    </row>
    <row r="971" spans="2:11" ht="13.5">
      <c r="B971" s="3"/>
      <c r="C971" s="10" t="s">
        <v>6</v>
      </c>
      <c r="D971" s="143" t="s">
        <v>125</v>
      </c>
      <c r="E971" s="143"/>
      <c r="F971" s="10" t="s">
        <v>126</v>
      </c>
      <c r="G971" s="143" t="s">
        <v>127</v>
      </c>
      <c r="H971" s="143"/>
      <c r="I971" s="143"/>
      <c r="J971" s="143"/>
      <c r="K971" s="10" t="s">
        <v>123</v>
      </c>
    </row>
    <row r="972" spans="2:11" ht="27" customHeight="1">
      <c r="B972" s="3"/>
      <c r="C972" s="10" t="str">
        <f>D968</f>
        <v>CTRL_VRECT_OFFSET_0_5[7:0]</v>
      </c>
      <c r="D972" s="143" t="s">
        <v>965</v>
      </c>
      <c r="E972" s="143"/>
      <c r="F972" s="10" t="s">
        <v>721</v>
      </c>
      <c r="G972" s="143" t="s">
        <v>976</v>
      </c>
      <c r="H972" s="143"/>
      <c r="I972" s="143"/>
      <c r="J972" s="143"/>
      <c r="K972" s="10" t="s">
        <v>722</v>
      </c>
    </row>
    <row r="974" spans="2:11">
      <c r="B974" s="5">
        <f>B966+1</f>
        <v>158</v>
      </c>
      <c r="C974" s="228" t="str">
        <f>"4.8."&amp;B974-$B$862+1&amp;" Addr 0x"&amp;DEC2HEX(B974,8)&amp;" Control.Vrect offset 0.6"</f>
        <v>4.8.15 Addr 0x0000009E Control.Vrect offset 0.6</v>
      </c>
      <c r="D974" s="229"/>
      <c r="E974" s="229"/>
      <c r="F974" s="229"/>
      <c r="G974" s="229"/>
      <c r="H974" s="229"/>
      <c r="I974" s="229"/>
      <c r="J974" s="229"/>
      <c r="K974" s="230"/>
    </row>
    <row r="975" spans="2:11">
      <c r="B975" s="5"/>
      <c r="C975" s="6" t="s">
        <v>120</v>
      </c>
      <c r="D975" s="7">
        <v>7</v>
      </c>
      <c r="E975" s="7">
        <v>6</v>
      </c>
      <c r="F975" s="7">
        <v>5</v>
      </c>
      <c r="G975" s="7">
        <v>4</v>
      </c>
      <c r="H975" s="7">
        <v>3</v>
      </c>
      <c r="I975" s="7">
        <v>2</v>
      </c>
      <c r="J975" s="7">
        <v>1</v>
      </c>
      <c r="K975" s="7">
        <v>0</v>
      </c>
    </row>
    <row r="976" spans="2:11">
      <c r="B976" s="5"/>
      <c r="C976" s="8" t="s">
        <v>6</v>
      </c>
      <c r="D976" s="176" t="s">
        <v>977</v>
      </c>
      <c r="E976" s="102"/>
      <c r="F976" s="102"/>
      <c r="G976" s="102"/>
      <c r="H976" s="102"/>
      <c r="I976" s="102"/>
      <c r="J976" s="102"/>
      <c r="K976" s="177"/>
    </row>
    <row r="977" spans="2:11">
      <c r="B977" s="5" t="str">
        <f>CONCATENATE(D977,E977,F977,G977,H977,I977,J977,K977)</f>
        <v>00000000</v>
      </c>
      <c r="C977" s="8" t="s">
        <v>123</v>
      </c>
      <c r="D977" s="9">
        <v>0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</row>
    <row r="978" spans="2:11">
      <c r="B978" s="5"/>
      <c r="C978" s="102"/>
      <c r="D978" s="102"/>
      <c r="E978" s="102"/>
      <c r="F978" s="102"/>
      <c r="G978" s="102"/>
      <c r="H978" s="102"/>
      <c r="I978" s="102"/>
      <c r="J978" s="102"/>
      <c r="K978" s="102"/>
    </row>
    <row r="979" spans="2:11" ht="13.5">
      <c r="B979" s="3"/>
      <c r="C979" s="10" t="s">
        <v>6</v>
      </c>
      <c r="D979" s="143" t="s">
        <v>125</v>
      </c>
      <c r="E979" s="143"/>
      <c r="F979" s="10" t="s">
        <v>126</v>
      </c>
      <c r="G979" s="143" t="s">
        <v>127</v>
      </c>
      <c r="H979" s="143"/>
      <c r="I979" s="143"/>
      <c r="J979" s="143"/>
      <c r="K979" s="10" t="s">
        <v>123</v>
      </c>
    </row>
    <row r="980" spans="2:11" ht="27" customHeight="1">
      <c r="B980" s="3"/>
      <c r="C980" s="10" t="str">
        <f>D976</f>
        <v>CTRL_VRECT_OFFSET_0_6[7:0]</v>
      </c>
      <c r="D980" s="143" t="s">
        <v>965</v>
      </c>
      <c r="E980" s="143"/>
      <c r="F980" s="10" t="s">
        <v>721</v>
      </c>
      <c r="G980" s="143" t="s">
        <v>978</v>
      </c>
      <c r="H980" s="143"/>
      <c r="I980" s="143"/>
      <c r="J980" s="143"/>
      <c r="K980" s="10" t="s">
        <v>722</v>
      </c>
    </row>
    <row r="982" spans="2:11">
      <c r="B982" s="5">
        <f>B974+1</f>
        <v>159</v>
      </c>
      <c r="C982" s="228" t="str">
        <f>"4.8."&amp;B982-$B$862+1&amp;" Addr 0x"&amp;DEC2HEX(B982,8)&amp;" Control.Vrect offset 0.7"</f>
        <v>4.8.16 Addr 0x0000009F Control.Vrect offset 0.7</v>
      </c>
      <c r="D982" s="229"/>
      <c r="E982" s="229"/>
      <c r="F982" s="229"/>
      <c r="G982" s="229"/>
      <c r="H982" s="229"/>
      <c r="I982" s="229"/>
      <c r="J982" s="229"/>
      <c r="K982" s="230"/>
    </row>
    <row r="983" spans="2:11">
      <c r="B983" s="5"/>
      <c r="C983" s="6" t="s">
        <v>120</v>
      </c>
      <c r="D983" s="7">
        <v>7</v>
      </c>
      <c r="E983" s="7">
        <v>6</v>
      </c>
      <c r="F983" s="7">
        <v>5</v>
      </c>
      <c r="G983" s="7">
        <v>4</v>
      </c>
      <c r="H983" s="7">
        <v>3</v>
      </c>
      <c r="I983" s="7">
        <v>2</v>
      </c>
      <c r="J983" s="7">
        <v>1</v>
      </c>
      <c r="K983" s="7">
        <v>0</v>
      </c>
    </row>
    <row r="984" spans="2:11">
      <c r="B984" s="5"/>
      <c r="C984" s="8" t="s">
        <v>6</v>
      </c>
      <c r="D984" s="176" t="s">
        <v>979</v>
      </c>
      <c r="E984" s="102"/>
      <c r="F984" s="102"/>
      <c r="G984" s="102"/>
      <c r="H984" s="102"/>
      <c r="I984" s="102"/>
      <c r="J984" s="102"/>
      <c r="K984" s="177"/>
    </row>
    <row r="985" spans="2:11">
      <c r="B985" s="5" t="str">
        <f>CONCATENATE(D985,E985,F985,G985,H985,I985,J985,K985)</f>
        <v>00000000</v>
      </c>
      <c r="C985" s="8" t="s">
        <v>123</v>
      </c>
      <c r="D985" s="9">
        <v>0</v>
      </c>
      <c r="E985" s="9">
        <v>0</v>
      </c>
      <c r="F985" s="9">
        <v>0</v>
      </c>
      <c r="G985" s="9">
        <v>0</v>
      </c>
      <c r="H985" s="9">
        <v>0</v>
      </c>
      <c r="I985" s="9">
        <v>0</v>
      </c>
      <c r="J985" s="9">
        <v>0</v>
      </c>
      <c r="K985" s="9">
        <v>0</v>
      </c>
    </row>
    <row r="986" spans="2:11">
      <c r="B986" s="5"/>
      <c r="C986" s="102"/>
      <c r="D986" s="102"/>
      <c r="E986" s="102"/>
      <c r="F986" s="102"/>
      <c r="G986" s="102"/>
      <c r="H986" s="102"/>
      <c r="I986" s="102"/>
      <c r="J986" s="102"/>
      <c r="K986" s="102"/>
    </row>
    <row r="987" spans="2:11" ht="13.5">
      <c r="B987" s="3"/>
      <c r="C987" s="10" t="s">
        <v>6</v>
      </c>
      <c r="D987" s="143" t="s">
        <v>125</v>
      </c>
      <c r="E987" s="143"/>
      <c r="F987" s="10" t="s">
        <v>126</v>
      </c>
      <c r="G987" s="143" t="s">
        <v>127</v>
      </c>
      <c r="H987" s="143"/>
      <c r="I987" s="143"/>
      <c r="J987" s="143"/>
      <c r="K987" s="10" t="s">
        <v>123</v>
      </c>
    </row>
    <row r="988" spans="2:11" ht="27" customHeight="1">
      <c r="B988" s="3"/>
      <c r="C988" s="10" t="str">
        <f>D984</f>
        <v>CTRL_VRECT_OFFSET_0_7[7:0]</v>
      </c>
      <c r="D988" s="143" t="s">
        <v>965</v>
      </c>
      <c r="E988" s="143"/>
      <c r="F988" s="10" t="s">
        <v>721</v>
      </c>
      <c r="G988" s="143" t="s">
        <v>980</v>
      </c>
      <c r="H988" s="143"/>
      <c r="I988" s="143"/>
      <c r="J988" s="143"/>
      <c r="K988" s="10" t="s">
        <v>722</v>
      </c>
    </row>
    <row r="990" spans="2:11">
      <c r="B990" s="5">
        <f>B982+1</f>
        <v>160</v>
      </c>
      <c r="C990" s="228" t="str">
        <f>"4.8."&amp;B990-$B$862+1&amp;" Addr 0x"&amp;DEC2HEX(B990,8)&amp;" Control.Vrect offset 0.8"</f>
        <v>4.8.17 Addr 0x000000A0 Control.Vrect offset 0.8</v>
      </c>
      <c r="D990" s="229"/>
      <c r="E990" s="229"/>
      <c r="F990" s="229"/>
      <c r="G990" s="229"/>
      <c r="H990" s="229"/>
      <c r="I990" s="229"/>
      <c r="J990" s="229"/>
      <c r="K990" s="230"/>
    </row>
    <row r="991" spans="2:11">
      <c r="B991" s="5"/>
      <c r="C991" s="6" t="s">
        <v>120</v>
      </c>
      <c r="D991" s="7">
        <v>7</v>
      </c>
      <c r="E991" s="7">
        <v>6</v>
      </c>
      <c r="F991" s="7">
        <v>5</v>
      </c>
      <c r="G991" s="7">
        <v>4</v>
      </c>
      <c r="H991" s="7">
        <v>3</v>
      </c>
      <c r="I991" s="7">
        <v>2</v>
      </c>
      <c r="J991" s="7">
        <v>1</v>
      </c>
      <c r="K991" s="7">
        <v>0</v>
      </c>
    </row>
    <row r="992" spans="2:11">
      <c r="B992" s="5"/>
      <c r="C992" s="8" t="s">
        <v>6</v>
      </c>
      <c r="D992" s="176" t="s">
        <v>981</v>
      </c>
      <c r="E992" s="102"/>
      <c r="F992" s="102"/>
      <c r="G992" s="102"/>
      <c r="H992" s="102"/>
      <c r="I992" s="102"/>
      <c r="J992" s="102"/>
      <c r="K992" s="177"/>
    </row>
    <row r="993" spans="2:11">
      <c r="B993" s="5" t="str">
        <f>CONCATENATE(D993,E993,F993,G993,H993,I993,J993,K993)</f>
        <v>00000000</v>
      </c>
      <c r="C993" s="8" t="s">
        <v>123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</row>
    <row r="994" spans="2:11">
      <c r="B994" s="5"/>
      <c r="C994" s="102"/>
      <c r="D994" s="102"/>
      <c r="E994" s="102"/>
      <c r="F994" s="102"/>
      <c r="G994" s="102"/>
      <c r="H994" s="102"/>
      <c r="I994" s="102"/>
      <c r="J994" s="102"/>
      <c r="K994" s="102"/>
    </row>
    <row r="995" spans="2:11" ht="13.5">
      <c r="B995" s="3"/>
      <c r="C995" s="10" t="s">
        <v>6</v>
      </c>
      <c r="D995" s="143" t="s">
        <v>125</v>
      </c>
      <c r="E995" s="143"/>
      <c r="F995" s="10" t="s">
        <v>126</v>
      </c>
      <c r="G995" s="143" t="s">
        <v>127</v>
      </c>
      <c r="H995" s="143"/>
      <c r="I995" s="143"/>
      <c r="J995" s="143"/>
      <c r="K995" s="10" t="s">
        <v>123</v>
      </c>
    </row>
    <row r="996" spans="2:11" ht="27" customHeight="1">
      <c r="B996" s="3"/>
      <c r="C996" s="10" t="str">
        <f>D992</f>
        <v>CTRL_VRECT_OFFSET_0_8[7:0]</v>
      </c>
      <c r="D996" s="143" t="s">
        <v>965</v>
      </c>
      <c r="E996" s="143"/>
      <c r="F996" s="10" t="s">
        <v>721</v>
      </c>
      <c r="G996" s="143" t="s">
        <v>982</v>
      </c>
      <c r="H996" s="143"/>
      <c r="I996" s="143"/>
      <c r="J996" s="143"/>
      <c r="K996" s="10" t="s">
        <v>722</v>
      </c>
    </row>
    <row r="998" spans="2:11">
      <c r="B998" s="5">
        <f>B990+1</f>
        <v>161</v>
      </c>
      <c r="C998" s="228" t="str">
        <f>"4.8."&amp;B998-$B$862+1&amp;" Addr 0x"&amp;DEC2HEX(B998,8)&amp;" Control.Vrect offset 0.9"</f>
        <v>4.8.18 Addr 0x000000A1 Control.Vrect offset 0.9</v>
      </c>
      <c r="D998" s="229"/>
      <c r="E998" s="229"/>
      <c r="F998" s="229"/>
      <c r="G998" s="229"/>
      <c r="H998" s="229"/>
      <c r="I998" s="229"/>
      <c r="J998" s="229"/>
      <c r="K998" s="230"/>
    </row>
    <row r="999" spans="2:11">
      <c r="B999" s="5"/>
      <c r="C999" s="6" t="s">
        <v>120</v>
      </c>
      <c r="D999" s="7">
        <v>7</v>
      </c>
      <c r="E999" s="7">
        <v>6</v>
      </c>
      <c r="F999" s="7">
        <v>5</v>
      </c>
      <c r="G999" s="7">
        <v>4</v>
      </c>
      <c r="H999" s="7">
        <v>3</v>
      </c>
      <c r="I999" s="7">
        <v>2</v>
      </c>
      <c r="J999" s="7">
        <v>1</v>
      </c>
      <c r="K999" s="7">
        <v>0</v>
      </c>
    </row>
    <row r="1000" spans="2:11">
      <c r="B1000" s="5"/>
      <c r="C1000" s="8" t="s">
        <v>6</v>
      </c>
      <c r="D1000" s="176" t="s">
        <v>983</v>
      </c>
      <c r="E1000" s="102"/>
      <c r="F1000" s="102"/>
      <c r="G1000" s="102"/>
      <c r="H1000" s="102"/>
      <c r="I1000" s="102"/>
      <c r="J1000" s="102"/>
      <c r="K1000" s="177"/>
    </row>
    <row r="1001" spans="2:11">
      <c r="B1001" s="5" t="str">
        <f>CONCATENATE(D1001,E1001,F1001,G1001,H1001,I1001,J1001,K1001)</f>
        <v>00000000</v>
      </c>
      <c r="C1001" s="8" t="s">
        <v>123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</row>
    <row r="1002" spans="2:11">
      <c r="B1002" s="5"/>
      <c r="C1002" s="102"/>
      <c r="D1002" s="102"/>
      <c r="E1002" s="102"/>
      <c r="F1002" s="102"/>
      <c r="G1002" s="102"/>
      <c r="H1002" s="102"/>
      <c r="I1002" s="102"/>
      <c r="J1002" s="102"/>
      <c r="K1002" s="102"/>
    </row>
    <row r="1003" spans="2:11" ht="13.5">
      <c r="B1003" s="3"/>
      <c r="C1003" s="10" t="s">
        <v>6</v>
      </c>
      <c r="D1003" s="143" t="s">
        <v>125</v>
      </c>
      <c r="E1003" s="143"/>
      <c r="F1003" s="10" t="s">
        <v>126</v>
      </c>
      <c r="G1003" s="143" t="s">
        <v>127</v>
      </c>
      <c r="H1003" s="143"/>
      <c r="I1003" s="143"/>
      <c r="J1003" s="143"/>
      <c r="K1003" s="10" t="s">
        <v>123</v>
      </c>
    </row>
    <row r="1004" spans="2:11" ht="27" customHeight="1">
      <c r="B1004" s="3"/>
      <c r="C1004" s="10" t="str">
        <f>D1000</f>
        <v>CTRL_VRECT_OFFSET_0_9[7:0]</v>
      </c>
      <c r="D1004" s="143" t="s">
        <v>965</v>
      </c>
      <c r="E1004" s="143"/>
      <c r="F1004" s="10" t="s">
        <v>721</v>
      </c>
      <c r="G1004" s="143" t="s">
        <v>984</v>
      </c>
      <c r="H1004" s="143"/>
      <c r="I1004" s="143"/>
      <c r="J1004" s="143"/>
      <c r="K1004" s="10" t="s">
        <v>722</v>
      </c>
    </row>
    <row r="1006" spans="2:11">
      <c r="B1006" s="5">
        <f>B998+1</f>
        <v>162</v>
      </c>
      <c r="C1006" s="228" t="str">
        <f>"4.8."&amp;B1006-$B$862+1&amp;" Addr 0x"&amp;DEC2HEX(B1006,8)&amp;" Control.Vrect offset 0.10"</f>
        <v>4.8.19 Addr 0x000000A2 Control.Vrect offset 0.10</v>
      </c>
      <c r="D1006" s="229"/>
      <c r="E1006" s="229"/>
      <c r="F1006" s="229"/>
      <c r="G1006" s="229"/>
      <c r="H1006" s="229"/>
      <c r="I1006" s="229"/>
      <c r="J1006" s="229"/>
      <c r="K1006" s="230"/>
    </row>
    <row r="1007" spans="2:11">
      <c r="B1007" s="5"/>
      <c r="C1007" s="6" t="s">
        <v>120</v>
      </c>
      <c r="D1007" s="7">
        <v>7</v>
      </c>
      <c r="E1007" s="7">
        <v>6</v>
      </c>
      <c r="F1007" s="7">
        <v>5</v>
      </c>
      <c r="G1007" s="7">
        <v>4</v>
      </c>
      <c r="H1007" s="7">
        <v>3</v>
      </c>
      <c r="I1007" s="7">
        <v>2</v>
      </c>
      <c r="J1007" s="7">
        <v>1</v>
      </c>
      <c r="K1007" s="7">
        <v>0</v>
      </c>
    </row>
    <row r="1008" spans="2:11">
      <c r="B1008" s="5"/>
      <c r="C1008" s="8" t="s">
        <v>6</v>
      </c>
      <c r="D1008" s="176" t="s">
        <v>985</v>
      </c>
      <c r="E1008" s="102"/>
      <c r="F1008" s="102"/>
      <c r="G1008" s="102"/>
      <c r="H1008" s="102"/>
      <c r="I1008" s="102"/>
      <c r="J1008" s="102"/>
      <c r="K1008" s="177"/>
    </row>
    <row r="1009" spans="2:11">
      <c r="B1009" s="5" t="str">
        <f>CONCATENATE(D1009,E1009,F1009,G1009,H1009,I1009,J1009,K1009)</f>
        <v>00000000</v>
      </c>
      <c r="C1009" s="8" t="s">
        <v>123</v>
      </c>
      <c r="D1009" s="9">
        <v>0</v>
      </c>
      <c r="E1009" s="9">
        <v>0</v>
      </c>
      <c r="F1009" s="9">
        <v>0</v>
      </c>
      <c r="G1009" s="9">
        <v>0</v>
      </c>
      <c r="H1009" s="9">
        <v>0</v>
      </c>
      <c r="I1009" s="9">
        <v>0</v>
      </c>
      <c r="J1009" s="9">
        <v>0</v>
      </c>
      <c r="K1009" s="9">
        <v>0</v>
      </c>
    </row>
    <row r="1010" spans="2:11">
      <c r="B1010" s="5"/>
      <c r="C1010" s="102"/>
      <c r="D1010" s="102"/>
      <c r="E1010" s="102"/>
      <c r="F1010" s="102"/>
      <c r="G1010" s="102"/>
      <c r="H1010" s="102"/>
      <c r="I1010" s="102"/>
      <c r="J1010" s="102"/>
      <c r="K1010" s="102"/>
    </row>
    <row r="1011" spans="2:11" ht="13.5">
      <c r="B1011" s="3"/>
      <c r="C1011" s="10" t="s">
        <v>6</v>
      </c>
      <c r="D1011" s="143" t="s">
        <v>125</v>
      </c>
      <c r="E1011" s="143"/>
      <c r="F1011" s="10" t="s">
        <v>126</v>
      </c>
      <c r="G1011" s="143" t="s">
        <v>127</v>
      </c>
      <c r="H1011" s="143"/>
      <c r="I1011" s="143"/>
      <c r="J1011" s="143"/>
      <c r="K1011" s="10" t="s">
        <v>123</v>
      </c>
    </row>
    <row r="1012" spans="2:11" ht="27" customHeight="1">
      <c r="B1012" s="3"/>
      <c r="C1012" s="10" t="str">
        <f>D1008</f>
        <v>CTRL_VRECT_OFFSET_0_10[7:0]</v>
      </c>
      <c r="D1012" s="143" t="s">
        <v>965</v>
      </c>
      <c r="E1012" s="143"/>
      <c r="F1012" s="10" t="s">
        <v>721</v>
      </c>
      <c r="G1012" s="143" t="s">
        <v>986</v>
      </c>
      <c r="H1012" s="143"/>
      <c r="I1012" s="143"/>
      <c r="J1012" s="143"/>
      <c r="K1012" s="10" t="s">
        <v>722</v>
      </c>
    </row>
    <row r="1014" spans="2:11">
      <c r="B1014" s="5">
        <f>B1006+1</f>
        <v>163</v>
      </c>
      <c r="C1014" s="228" t="str">
        <f>"4.8."&amp;B1014-$B$862+1&amp;" Addr 0x"&amp;DEC2HEX(B1014,8)&amp;" Control.Vrect offset 0.11"</f>
        <v>4.8.20 Addr 0x000000A3 Control.Vrect offset 0.11</v>
      </c>
      <c r="D1014" s="229"/>
      <c r="E1014" s="229"/>
      <c r="F1014" s="229"/>
      <c r="G1014" s="229"/>
      <c r="H1014" s="229"/>
      <c r="I1014" s="229"/>
      <c r="J1014" s="229"/>
      <c r="K1014" s="230"/>
    </row>
    <row r="1015" spans="2:11">
      <c r="B1015" s="5"/>
      <c r="C1015" s="6" t="s">
        <v>120</v>
      </c>
      <c r="D1015" s="7">
        <v>7</v>
      </c>
      <c r="E1015" s="7">
        <v>6</v>
      </c>
      <c r="F1015" s="7">
        <v>5</v>
      </c>
      <c r="G1015" s="7">
        <v>4</v>
      </c>
      <c r="H1015" s="7">
        <v>3</v>
      </c>
      <c r="I1015" s="7">
        <v>2</v>
      </c>
      <c r="J1015" s="7">
        <v>1</v>
      </c>
      <c r="K1015" s="7">
        <v>0</v>
      </c>
    </row>
    <row r="1016" spans="2:11">
      <c r="B1016" s="5"/>
      <c r="C1016" s="8" t="s">
        <v>6</v>
      </c>
      <c r="D1016" s="176" t="s">
        <v>987</v>
      </c>
      <c r="E1016" s="102"/>
      <c r="F1016" s="102"/>
      <c r="G1016" s="102"/>
      <c r="H1016" s="102"/>
      <c r="I1016" s="102"/>
      <c r="J1016" s="102"/>
      <c r="K1016" s="177"/>
    </row>
    <row r="1017" spans="2:11">
      <c r="B1017" s="5" t="str">
        <f>CONCATENATE(D1017,E1017,F1017,G1017,H1017,I1017,J1017,K1017)</f>
        <v>00000000</v>
      </c>
      <c r="C1017" s="8" t="s">
        <v>123</v>
      </c>
      <c r="D1017" s="9">
        <v>0</v>
      </c>
      <c r="E1017" s="9">
        <v>0</v>
      </c>
      <c r="F1017" s="9">
        <v>0</v>
      </c>
      <c r="G1017" s="9">
        <v>0</v>
      </c>
      <c r="H1017" s="9">
        <v>0</v>
      </c>
      <c r="I1017" s="9">
        <v>0</v>
      </c>
      <c r="J1017" s="9">
        <v>0</v>
      </c>
      <c r="K1017" s="9">
        <v>0</v>
      </c>
    </row>
    <row r="1018" spans="2:11">
      <c r="B1018" s="5"/>
      <c r="C1018" s="102"/>
      <c r="D1018" s="102"/>
      <c r="E1018" s="102"/>
      <c r="F1018" s="102"/>
      <c r="G1018" s="102"/>
      <c r="H1018" s="102"/>
      <c r="I1018" s="102"/>
      <c r="J1018" s="102"/>
      <c r="K1018" s="102"/>
    </row>
    <row r="1019" spans="2:11" ht="13.5">
      <c r="B1019" s="3"/>
      <c r="C1019" s="10" t="s">
        <v>6</v>
      </c>
      <c r="D1019" s="143" t="s">
        <v>125</v>
      </c>
      <c r="E1019" s="143"/>
      <c r="F1019" s="10" t="s">
        <v>126</v>
      </c>
      <c r="G1019" s="143" t="s">
        <v>127</v>
      </c>
      <c r="H1019" s="143"/>
      <c r="I1019" s="143"/>
      <c r="J1019" s="143"/>
      <c r="K1019" s="10" t="s">
        <v>123</v>
      </c>
    </row>
    <row r="1020" spans="2:11" ht="27" customHeight="1">
      <c r="B1020" s="3"/>
      <c r="C1020" s="10" t="str">
        <f>D1016</f>
        <v>CTRL_VRECT_OFFSET_0_11[7:0]</v>
      </c>
      <c r="D1020" s="143" t="s">
        <v>965</v>
      </c>
      <c r="E1020" s="143"/>
      <c r="F1020" s="10" t="s">
        <v>721</v>
      </c>
      <c r="G1020" s="143" t="s">
        <v>988</v>
      </c>
      <c r="H1020" s="143"/>
      <c r="I1020" s="143"/>
      <c r="J1020" s="143"/>
      <c r="K1020" s="10" t="s">
        <v>722</v>
      </c>
    </row>
    <row r="1022" spans="2:11">
      <c r="B1022" s="5">
        <f>B1014+1</f>
        <v>164</v>
      </c>
      <c r="C1022" s="228" t="str">
        <f>"4.8."&amp;B1022-$B$862+1&amp;" Addr 0x"&amp;DEC2HEX(B1022,8)&amp;" Control.Vrect offset 1.0"</f>
        <v>4.8.21 Addr 0x000000A4 Control.Vrect offset 1.0</v>
      </c>
      <c r="D1022" s="229"/>
      <c r="E1022" s="229"/>
      <c r="F1022" s="229"/>
      <c r="G1022" s="229"/>
      <c r="H1022" s="229"/>
      <c r="I1022" s="229"/>
      <c r="J1022" s="229"/>
      <c r="K1022" s="230"/>
    </row>
    <row r="1023" spans="2:11">
      <c r="B1023" s="5"/>
      <c r="C1023" s="6" t="s">
        <v>120</v>
      </c>
      <c r="D1023" s="7">
        <v>7</v>
      </c>
      <c r="E1023" s="7">
        <v>6</v>
      </c>
      <c r="F1023" s="7">
        <v>5</v>
      </c>
      <c r="G1023" s="7">
        <v>4</v>
      </c>
      <c r="H1023" s="7">
        <v>3</v>
      </c>
      <c r="I1023" s="7">
        <v>2</v>
      </c>
      <c r="J1023" s="7">
        <v>1</v>
      </c>
      <c r="K1023" s="7">
        <v>0</v>
      </c>
    </row>
    <row r="1024" spans="2:11">
      <c r="B1024" s="5"/>
      <c r="C1024" s="8" t="s">
        <v>6</v>
      </c>
      <c r="D1024" s="176" t="s">
        <v>989</v>
      </c>
      <c r="E1024" s="102"/>
      <c r="F1024" s="102"/>
      <c r="G1024" s="102"/>
      <c r="H1024" s="102"/>
      <c r="I1024" s="102"/>
      <c r="J1024" s="102"/>
      <c r="K1024" s="177"/>
    </row>
    <row r="1025" spans="2:11">
      <c r="B1025" s="5" t="str">
        <f>CONCATENATE(D1025,E1025,F1025,G1025,H1025,I1025,J1025,K1025)</f>
        <v>00000000</v>
      </c>
      <c r="C1025" s="8" t="s">
        <v>123</v>
      </c>
      <c r="D1025" s="9">
        <v>0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</row>
    <row r="1026" spans="2:11">
      <c r="B1026" s="5"/>
      <c r="C1026" s="102"/>
      <c r="D1026" s="102"/>
      <c r="E1026" s="102"/>
      <c r="F1026" s="102"/>
      <c r="G1026" s="102"/>
      <c r="H1026" s="102"/>
      <c r="I1026" s="102"/>
      <c r="J1026" s="102"/>
      <c r="K1026" s="102"/>
    </row>
    <row r="1027" spans="2:11" ht="13.5">
      <c r="B1027" s="3"/>
      <c r="C1027" s="10" t="s">
        <v>6</v>
      </c>
      <c r="D1027" s="143" t="s">
        <v>125</v>
      </c>
      <c r="E1027" s="143"/>
      <c r="F1027" s="10" t="s">
        <v>126</v>
      </c>
      <c r="G1027" s="143" t="s">
        <v>127</v>
      </c>
      <c r="H1027" s="143"/>
      <c r="I1027" s="143"/>
      <c r="J1027" s="143"/>
      <c r="K1027" s="10" t="s">
        <v>123</v>
      </c>
    </row>
    <row r="1028" spans="2:11" ht="27" customHeight="1">
      <c r="B1028" s="3"/>
      <c r="C1028" s="10" t="str">
        <f>D1024</f>
        <v>CTRL_VRECT_OFFSET_1_0[7:0]</v>
      </c>
      <c r="D1028" s="143" t="s">
        <v>965</v>
      </c>
      <c r="E1028" s="143"/>
      <c r="F1028" s="10" t="s">
        <v>721</v>
      </c>
      <c r="G1028" s="143" t="s">
        <v>990</v>
      </c>
      <c r="H1028" s="143"/>
      <c r="I1028" s="143"/>
      <c r="J1028" s="143"/>
      <c r="K1028" s="10" t="s">
        <v>722</v>
      </c>
    </row>
    <row r="1030" spans="2:11">
      <c r="B1030" s="5">
        <f>B1022+1</f>
        <v>165</v>
      </c>
      <c r="C1030" s="228" t="str">
        <f>"4.8."&amp;B1030-$B$862+1&amp;" Addr 0x"&amp;DEC2HEX(B1030,8)&amp;" Control.Vrect offset 1.1"</f>
        <v>4.8.22 Addr 0x000000A5 Control.Vrect offset 1.1</v>
      </c>
      <c r="D1030" s="229"/>
      <c r="E1030" s="229"/>
      <c r="F1030" s="229"/>
      <c r="G1030" s="229"/>
      <c r="H1030" s="229"/>
      <c r="I1030" s="229"/>
      <c r="J1030" s="229"/>
      <c r="K1030" s="230"/>
    </row>
    <row r="1031" spans="2:11">
      <c r="B1031" s="5"/>
      <c r="C1031" s="6" t="s">
        <v>120</v>
      </c>
      <c r="D1031" s="7">
        <v>7</v>
      </c>
      <c r="E1031" s="7">
        <v>6</v>
      </c>
      <c r="F1031" s="7">
        <v>5</v>
      </c>
      <c r="G1031" s="7">
        <v>4</v>
      </c>
      <c r="H1031" s="7">
        <v>3</v>
      </c>
      <c r="I1031" s="7">
        <v>2</v>
      </c>
      <c r="J1031" s="7">
        <v>1</v>
      </c>
      <c r="K1031" s="7">
        <v>0</v>
      </c>
    </row>
    <row r="1032" spans="2:11">
      <c r="B1032" s="5"/>
      <c r="C1032" s="8" t="s">
        <v>6</v>
      </c>
      <c r="D1032" s="176" t="s">
        <v>991</v>
      </c>
      <c r="E1032" s="102"/>
      <c r="F1032" s="102"/>
      <c r="G1032" s="102"/>
      <c r="H1032" s="102"/>
      <c r="I1032" s="102"/>
      <c r="J1032" s="102"/>
      <c r="K1032" s="177"/>
    </row>
    <row r="1033" spans="2:11">
      <c r="B1033" s="5" t="str">
        <f>CONCATENATE(D1033,E1033,F1033,G1033,H1033,I1033,J1033,K1033)</f>
        <v>00000000</v>
      </c>
      <c r="C1033" s="8" t="s">
        <v>123</v>
      </c>
      <c r="D1033" s="9">
        <v>0</v>
      </c>
      <c r="E1033" s="9">
        <v>0</v>
      </c>
      <c r="F1033" s="9">
        <v>0</v>
      </c>
      <c r="G1033" s="9">
        <v>0</v>
      </c>
      <c r="H1033" s="9">
        <v>0</v>
      </c>
      <c r="I1033" s="9">
        <v>0</v>
      </c>
      <c r="J1033" s="9">
        <v>0</v>
      </c>
      <c r="K1033" s="9">
        <v>0</v>
      </c>
    </row>
    <row r="1034" spans="2:11">
      <c r="B1034" s="5"/>
      <c r="C1034" s="102"/>
      <c r="D1034" s="102"/>
      <c r="E1034" s="102"/>
      <c r="F1034" s="102"/>
      <c r="G1034" s="102"/>
      <c r="H1034" s="102"/>
      <c r="I1034" s="102"/>
      <c r="J1034" s="102"/>
      <c r="K1034" s="102"/>
    </row>
    <row r="1035" spans="2:11" ht="13.5">
      <c r="B1035" s="3"/>
      <c r="C1035" s="10" t="s">
        <v>6</v>
      </c>
      <c r="D1035" s="143" t="s">
        <v>125</v>
      </c>
      <c r="E1035" s="143"/>
      <c r="F1035" s="10" t="s">
        <v>126</v>
      </c>
      <c r="G1035" s="143" t="s">
        <v>127</v>
      </c>
      <c r="H1035" s="143"/>
      <c r="I1035" s="143"/>
      <c r="J1035" s="143"/>
      <c r="K1035" s="10" t="s">
        <v>123</v>
      </c>
    </row>
    <row r="1036" spans="2:11" ht="27" customHeight="1">
      <c r="B1036" s="3"/>
      <c r="C1036" s="10" t="str">
        <f>D1032</f>
        <v>CTRL_VRECT_OFFSET_1_1[7:0]</v>
      </c>
      <c r="D1036" s="143" t="s">
        <v>965</v>
      </c>
      <c r="E1036" s="143"/>
      <c r="F1036" s="10" t="s">
        <v>721</v>
      </c>
      <c r="G1036" s="143" t="s">
        <v>992</v>
      </c>
      <c r="H1036" s="143"/>
      <c r="I1036" s="143"/>
      <c r="J1036" s="143"/>
      <c r="K1036" s="10" t="s">
        <v>722</v>
      </c>
    </row>
    <row r="1038" spans="2:11">
      <c r="B1038" s="5">
        <f>B1030+1</f>
        <v>166</v>
      </c>
      <c r="C1038" s="228" t="str">
        <f>"4.8."&amp;B1038-$B$862+1&amp;" Addr 0x"&amp;DEC2HEX(B1038,8)&amp;" Control.Vrect offset 1.2"</f>
        <v>4.8.23 Addr 0x000000A6 Control.Vrect offset 1.2</v>
      </c>
      <c r="D1038" s="229"/>
      <c r="E1038" s="229"/>
      <c r="F1038" s="229"/>
      <c r="G1038" s="229"/>
      <c r="H1038" s="229"/>
      <c r="I1038" s="229"/>
      <c r="J1038" s="229"/>
      <c r="K1038" s="230"/>
    </row>
    <row r="1039" spans="2:11">
      <c r="B1039" s="5"/>
      <c r="C1039" s="6" t="s">
        <v>120</v>
      </c>
      <c r="D1039" s="7">
        <v>7</v>
      </c>
      <c r="E1039" s="7">
        <v>6</v>
      </c>
      <c r="F1039" s="7">
        <v>5</v>
      </c>
      <c r="G1039" s="7">
        <v>4</v>
      </c>
      <c r="H1039" s="7">
        <v>3</v>
      </c>
      <c r="I1039" s="7">
        <v>2</v>
      </c>
      <c r="J1039" s="7">
        <v>1</v>
      </c>
      <c r="K1039" s="7">
        <v>0</v>
      </c>
    </row>
    <row r="1040" spans="2:11">
      <c r="B1040" s="5"/>
      <c r="C1040" s="8" t="s">
        <v>6</v>
      </c>
      <c r="D1040" s="176" t="s">
        <v>993</v>
      </c>
      <c r="E1040" s="102"/>
      <c r="F1040" s="102"/>
      <c r="G1040" s="102"/>
      <c r="H1040" s="102"/>
      <c r="I1040" s="102"/>
      <c r="J1040" s="102"/>
      <c r="K1040" s="177"/>
    </row>
    <row r="1041" spans="2:11">
      <c r="B1041" s="5" t="str">
        <f>CONCATENATE(D1041,E1041,F1041,G1041,H1041,I1041,J1041,K1041)</f>
        <v>00000000</v>
      </c>
      <c r="C1041" s="8" t="s">
        <v>123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</row>
    <row r="1042" spans="2:11">
      <c r="B1042" s="5"/>
      <c r="C1042" s="102"/>
      <c r="D1042" s="102"/>
      <c r="E1042" s="102"/>
      <c r="F1042" s="102"/>
      <c r="G1042" s="102"/>
      <c r="H1042" s="102"/>
      <c r="I1042" s="102"/>
      <c r="J1042" s="102"/>
      <c r="K1042" s="102"/>
    </row>
    <row r="1043" spans="2:11" ht="13.5">
      <c r="B1043" s="3"/>
      <c r="C1043" s="10" t="s">
        <v>6</v>
      </c>
      <c r="D1043" s="143" t="s">
        <v>125</v>
      </c>
      <c r="E1043" s="143"/>
      <c r="F1043" s="10" t="s">
        <v>126</v>
      </c>
      <c r="G1043" s="143" t="s">
        <v>127</v>
      </c>
      <c r="H1043" s="143"/>
      <c r="I1043" s="143"/>
      <c r="J1043" s="143"/>
      <c r="K1043" s="10" t="s">
        <v>123</v>
      </c>
    </row>
    <row r="1044" spans="2:11" ht="27" customHeight="1">
      <c r="B1044" s="3"/>
      <c r="C1044" s="10" t="str">
        <f>D1040</f>
        <v>CTRL_VRECT_OFFSET_1_2[7:0]</v>
      </c>
      <c r="D1044" s="143" t="s">
        <v>965</v>
      </c>
      <c r="E1044" s="143"/>
      <c r="F1044" s="10" t="s">
        <v>721</v>
      </c>
      <c r="G1044" s="143" t="s">
        <v>994</v>
      </c>
      <c r="H1044" s="143"/>
      <c r="I1044" s="143"/>
      <c r="J1044" s="143"/>
      <c r="K1044" s="10" t="s">
        <v>722</v>
      </c>
    </row>
    <row r="1046" spans="2:11">
      <c r="B1046" s="5">
        <f>B1038+1</f>
        <v>167</v>
      </c>
      <c r="C1046" s="228" t="str">
        <f>"4.8."&amp;B1046-$B$862+1&amp;" Addr 0x"&amp;DEC2HEX(B1046,8)&amp;" Control.Vrect offset 1.3"</f>
        <v>4.8.24 Addr 0x000000A7 Control.Vrect offset 1.3</v>
      </c>
      <c r="D1046" s="229"/>
      <c r="E1046" s="229"/>
      <c r="F1046" s="229"/>
      <c r="G1046" s="229"/>
      <c r="H1046" s="229"/>
      <c r="I1046" s="229"/>
      <c r="J1046" s="229"/>
      <c r="K1046" s="230"/>
    </row>
    <row r="1047" spans="2:11">
      <c r="B1047" s="5"/>
      <c r="C1047" s="6" t="s">
        <v>120</v>
      </c>
      <c r="D1047" s="7">
        <v>7</v>
      </c>
      <c r="E1047" s="7">
        <v>6</v>
      </c>
      <c r="F1047" s="7">
        <v>5</v>
      </c>
      <c r="G1047" s="7">
        <v>4</v>
      </c>
      <c r="H1047" s="7">
        <v>3</v>
      </c>
      <c r="I1047" s="7">
        <v>2</v>
      </c>
      <c r="J1047" s="7">
        <v>1</v>
      </c>
      <c r="K1047" s="7">
        <v>0</v>
      </c>
    </row>
    <row r="1048" spans="2:11">
      <c r="B1048" s="5"/>
      <c r="C1048" s="8" t="s">
        <v>6</v>
      </c>
      <c r="D1048" s="176" t="s">
        <v>995</v>
      </c>
      <c r="E1048" s="102"/>
      <c r="F1048" s="102"/>
      <c r="G1048" s="102"/>
      <c r="H1048" s="102"/>
      <c r="I1048" s="102"/>
      <c r="J1048" s="102"/>
      <c r="K1048" s="177"/>
    </row>
    <row r="1049" spans="2:11">
      <c r="B1049" s="5" t="str">
        <f>CONCATENATE(D1049,E1049,F1049,G1049,H1049,I1049,J1049,K1049)</f>
        <v>00000000</v>
      </c>
      <c r="C1049" s="8" t="s">
        <v>123</v>
      </c>
      <c r="D1049" s="9">
        <v>0</v>
      </c>
      <c r="E1049" s="9">
        <v>0</v>
      </c>
      <c r="F1049" s="9">
        <v>0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</row>
    <row r="1050" spans="2:11">
      <c r="B1050" s="5"/>
      <c r="C1050" s="102"/>
      <c r="D1050" s="102"/>
      <c r="E1050" s="102"/>
      <c r="F1050" s="102"/>
      <c r="G1050" s="102"/>
      <c r="H1050" s="102"/>
      <c r="I1050" s="102"/>
      <c r="J1050" s="102"/>
      <c r="K1050" s="102"/>
    </row>
    <row r="1051" spans="2:11" ht="13.5">
      <c r="B1051" s="3"/>
      <c r="C1051" s="10" t="s">
        <v>6</v>
      </c>
      <c r="D1051" s="143" t="s">
        <v>125</v>
      </c>
      <c r="E1051" s="143"/>
      <c r="F1051" s="10" t="s">
        <v>126</v>
      </c>
      <c r="G1051" s="143" t="s">
        <v>127</v>
      </c>
      <c r="H1051" s="143"/>
      <c r="I1051" s="143"/>
      <c r="J1051" s="143"/>
      <c r="K1051" s="10" t="s">
        <v>123</v>
      </c>
    </row>
    <row r="1052" spans="2:11" ht="27" customHeight="1">
      <c r="B1052" s="3"/>
      <c r="C1052" s="10" t="str">
        <f>D1048</f>
        <v>CTRL_VRECT_OFFSET_1_3[7:0]</v>
      </c>
      <c r="D1052" s="143" t="s">
        <v>965</v>
      </c>
      <c r="E1052" s="143"/>
      <c r="F1052" s="10" t="s">
        <v>721</v>
      </c>
      <c r="G1052" s="143" t="s">
        <v>996</v>
      </c>
      <c r="H1052" s="143"/>
      <c r="I1052" s="143"/>
      <c r="J1052" s="143"/>
      <c r="K1052" s="10" t="s">
        <v>722</v>
      </c>
    </row>
    <row r="1054" spans="2:11">
      <c r="B1054" s="5">
        <f>B1046+1</f>
        <v>168</v>
      </c>
      <c r="C1054" s="228" t="str">
        <f>"4.8."&amp;B1054-$B$862+1&amp;" Addr 0x"&amp;DEC2HEX(B1054,8)&amp;" Control.Vrect offset 1.4"</f>
        <v>4.8.25 Addr 0x000000A8 Control.Vrect offset 1.4</v>
      </c>
      <c r="D1054" s="229"/>
      <c r="E1054" s="229"/>
      <c r="F1054" s="229"/>
      <c r="G1054" s="229"/>
      <c r="H1054" s="229"/>
      <c r="I1054" s="229"/>
      <c r="J1054" s="229"/>
      <c r="K1054" s="230"/>
    </row>
    <row r="1055" spans="2:11">
      <c r="B1055" s="5"/>
      <c r="C1055" s="6" t="s">
        <v>120</v>
      </c>
      <c r="D1055" s="7">
        <v>7</v>
      </c>
      <c r="E1055" s="7">
        <v>6</v>
      </c>
      <c r="F1055" s="7">
        <v>5</v>
      </c>
      <c r="G1055" s="7">
        <v>4</v>
      </c>
      <c r="H1055" s="7">
        <v>3</v>
      </c>
      <c r="I1055" s="7">
        <v>2</v>
      </c>
      <c r="J1055" s="7">
        <v>1</v>
      </c>
      <c r="K1055" s="7">
        <v>0</v>
      </c>
    </row>
    <row r="1056" spans="2:11">
      <c r="B1056" s="5"/>
      <c r="C1056" s="8" t="s">
        <v>6</v>
      </c>
      <c r="D1056" s="176" t="s">
        <v>997</v>
      </c>
      <c r="E1056" s="102"/>
      <c r="F1056" s="102"/>
      <c r="G1056" s="102"/>
      <c r="H1056" s="102"/>
      <c r="I1056" s="102"/>
      <c r="J1056" s="102"/>
      <c r="K1056" s="177"/>
    </row>
    <row r="1057" spans="2:11">
      <c r="B1057" s="5" t="str">
        <f>CONCATENATE(D1057,E1057,F1057,G1057,H1057,I1057,J1057,K1057)</f>
        <v>00000000</v>
      </c>
      <c r="C1057" s="8" t="s">
        <v>123</v>
      </c>
      <c r="D1057" s="9">
        <v>0</v>
      </c>
      <c r="E1057" s="9">
        <v>0</v>
      </c>
      <c r="F1057" s="9">
        <v>0</v>
      </c>
      <c r="G1057" s="9">
        <v>0</v>
      </c>
      <c r="H1057" s="9">
        <v>0</v>
      </c>
      <c r="I1057" s="9">
        <v>0</v>
      </c>
      <c r="J1057" s="9">
        <v>0</v>
      </c>
      <c r="K1057" s="9">
        <v>0</v>
      </c>
    </row>
    <row r="1058" spans="2:11">
      <c r="B1058" s="5"/>
      <c r="C1058" s="102"/>
      <c r="D1058" s="102"/>
      <c r="E1058" s="102"/>
      <c r="F1058" s="102"/>
      <c r="G1058" s="102"/>
      <c r="H1058" s="102"/>
      <c r="I1058" s="102"/>
      <c r="J1058" s="102"/>
      <c r="K1058" s="102"/>
    </row>
    <row r="1059" spans="2:11" ht="13.5">
      <c r="B1059" s="3"/>
      <c r="C1059" s="10" t="s">
        <v>6</v>
      </c>
      <c r="D1059" s="143" t="s">
        <v>125</v>
      </c>
      <c r="E1059" s="143"/>
      <c r="F1059" s="10" t="s">
        <v>126</v>
      </c>
      <c r="G1059" s="143" t="s">
        <v>127</v>
      </c>
      <c r="H1059" s="143"/>
      <c r="I1059" s="143"/>
      <c r="J1059" s="143"/>
      <c r="K1059" s="10" t="s">
        <v>123</v>
      </c>
    </row>
    <row r="1060" spans="2:11" ht="27" customHeight="1">
      <c r="B1060" s="3"/>
      <c r="C1060" s="10" t="str">
        <f>D1056</f>
        <v>CTRL_VRECT_OFFSET_1_4[7:0]</v>
      </c>
      <c r="D1060" s="143" t="s">
        <v>965</v>
      </c>
      <c r="E1060" s="143"/>
      <c r="F1060" s="10" t="s">
        <v>721</v>
      </c>
      <c r="G1060" s="143" t="s">
        <v>998</v>
      </c>
      <c r="H1060" s="143"/>
      <c r="I1060" s="143"/>
      <c r="J1060" s="143"/>
      <c r="K1060" s="10" t="s">
        <v>722</v>
      </c>
    </row>
    <row r="1062" spans="2:11">
      <c r="B1062" s="5">
        <f>B1054+1</f>
        <v>169</v>
      </c>
      <c r="C1062" s="228" t="str">
        <f>"4.8."&amp;B1062-$B$862+1&amp;" Addr 0x"&amp;DEC2HEX(B1062,8)&amp;" Control.Vrect offset 1.5"</f>
        <v>4.8.26 Addr 0x000000A9 Control.Vrect offset 1.5</v>
      </c>
      <c r="D1062" s="229"/>
      <c r="E1062" s="229"/>
      <c r="F1062" s="229"/>
      <c r="G1062" s="229"/>
      <c r="H1062" s="229"/>
      <c r="I1062" s="229"/>
      <c r="J1062" s="229"/>
      <c r="K1062" s="230"/>
    </row>
    <row r="1063" spans="2:11">
      <c r="B1063" s="5"/>
      <c r="C1063" s="6" t="s">
        <v>120</v>
      </c>
      <c r="D1063" s="7">
        <v>7</v>
      </c>
      <c r="E1063" s="7">
        <v>6</v>
      </c>
      <c r="F1063" s="7">
        <v>5</v>
      </c>
      <c r="G1063" s="7">
        <v>4</v>
      </c>
      <c r="H1063" s="7">
        <v>3</v>
      </c>
      <c r="I1063" s="7">
        <v>2</v>
      </c>
      <c r="J1063" s="7">
        <v>1</v>
      </c>
      <c r="K1063" s="7">
        <v>0</v>
      </c>
    </row>
    <row r="1064" spans="2:11">
      <c r="B1064" s="5"/>
      <c r="C1064" s="8" t="s">
        <v>6</v>
      </c>
      <c r="D1064" s="176" t="s">
        <v>999</v>
      </c>
      <c r="E1064" s="102"/>
      <c r="F1064" s="102"/>
      <c r="G1064" s="102"/>
      <c r="H1064" s="102"/>
      <c r="I1064" s="102"/>
      <c r="J1064" s="102"/>
      <c r="K1064" s="177"/>
    </row>
    <row r="1065" spans="2:11">
      <c r="B1065" s="5" t="str">
        <f>CONCATENATE(D1065,E1065,F1065,G1065,H1065,I1065,J1065,K1065)</f>
        <v>00000000</v>
      </c>
      <c r="C1065" s="8" t="s">
        <v>123</v>
      </c>
      <c r="D1065" s="9">
        <v>0</v>
      </c>
      <c r="E1065" s="9">
        <v>0</v>
      </c>
      <c r="F1065" s="9">
        <v>0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</row>
    <row r="1066" spans="2:11">
      <c r="B1066" s="5"/>
      <c r="C1066" s="102"/>
      <c r="D1066" s="102"/>
      <c r="E1066" s="102"/>
      <c r="F1066" s="102"/>
      <c r="G1066" s="102"/>
      <c r="H1066" s="102"/>
      <c r="I1066" s="102"/>
      <c r="J1066" s="102"/>
      <c r="K1066" s="102"/>
    </row>
    <row r="1067" spans="2:11" ht="13.5">
      <c r="B1067" s="3"/>
      <c r="C1067" s="10" t="s">
        <v>6</v>
      </c>
      <c r="D1067" s="143" t="s">
        <v>125</v>
      </c>
      <c r="E1067" s="143"/>
      <c r="F1067" s="10" t="s">
        <v>126</v>
      </c>
      <c r="G1067" s="143" t="s">
        <v>127</v>
      </c>
      <c r="H1067" s="143"/>
      <c r="I1067" s="143"/>
      <c r="J1067" s="143"/>
      <c r="K1067" s="10" t="s">
        <v>123</v>
      </c>
    </row>
    <row r="1068" spans="2:11" ht="27" customHeight="1">
      <c r="B1068" s="3"/>
      <c r="C1068" s="10" t="str">
        <f>D1064</f>
        <v>CTRL_VRECT_OFFSET_1_5[7:0]</v>
      </c>
      <c r="D1068" s="143" t="s">
        <v>965</v>
      </c>
      <c r="E1068" s="143"/>
      <c r="F1068" s="10" t="s">
        <v>721</v>
      </c>
      <c r="G1068" s="143" t="s">
        <v>1000</v>
      </c>
      <c r="H1068" s="143"/>
      <c r="I1068" s="143"/>
      <c r="J1068" s="143"/>
      <c r="K1068" s="10" t="s">
        <v>722</v>
      </c>
    </row>
    <row r="1070" spans="2:11">
      <c r="B1070" s="5">
        <f>B1062+1</f>
        <v>170</v>
      </c>
      <c r="C1070" s="228" t="str">
        <f>"4.8."&amp;B1070-$B$862+1&amp;" Addr 0x"&amp;DEC2HEX(B1070,8)&amp;" Control.Vrect offset 1.6"</f>
        <v>4.8.27 Addr 0x000000AA Control.Vrect offset 1.6</v>
      </c>
      <c r="D1070" s="229"/>
      <c r="E1070" s="229"/>
      <c r="F1070" s="229"/>
      <c r="G1070" s="229"/>
      <c r="H1070" s="229"/>
      <c r="I1070" s="229"/>
      <c r="J1070" s="229"/>
      <c r="K1070" s="230"/>
    </row>
    <row r="1071" spans="2:11">
      <c r="B1071" s="5"/>
      <c r="C1071" s="6" t="s">
        <v>120</v>
      </c>
      <c r="D1071" s="7">
        <v>7</v>
      </c>
      <c r="E1071" s="7">
        <v>6</v>
      </c>
      <c r="F1071" s="7">
        <v>5</v>
      </c>
      <c r="G1071" s="7">
        <v>4</v>
      </c>
      <c r="H1071" s="7">
        <v>3</v>
      </c>
      <c r="I1071" s="7">
        <v>2</v>
      </c>
      <c r="J1071" s="7">
        <v>1</v>
      </c>
      <c r="K1071" s="7">
        <v>0</v>
      </c>
    </row>
    <row r="1072" spans="2:11">
      <c r="B1072" s="5"/>
      <c r="C1072" s="8" t="s">
        <v>6</v>
      </c>
      <c r="D1072" s="176" t="s">
        <v>1001</v>
      </c>
      <c r="E1072" s="102"/>
      <c r="F1072" s="102"/>
      <c r="G1072" s="102"/>
      <c r="H1072" s="102"/>
      <c r="I1072" s="102"/>
      <c r="J1072" s="102"/>
      <c r="K1072" s="177"/>
    </row>
    <row r="1073" spans="2:11">
      <c r="B1073" s="5" t="str">
        <f>CONCATENATE(D1073,E1073,F1073,G1073,H1073,I1073,J1073,K1073)</f>
        <v>00000000</v>
      </c>
      <c r="C1073" s="8" t="s">
        <v>123</v>
      </c>
      <c r="D1073" s="9">
        <v>0</v>
      </c>
      <c r="E1073" s="9">
        <v>0</v>
      </c>
      <c r="F1073" s="9">
        <v>0</v>
      </c>
      <c r="G1073" s="9">
        <v>0</v>
      </c>
      <c r="H1073" s="9">
        <v>0</v>
      </c>
      <c r="I1073" s="9">
        <v>0</v>
      </c>
      <c r="J1073" s="9">
        <v>0</v>
      </c>
      <c r="K1073" s="9">
        <v>0</v>
      </c>
    </row>
    <row r="1074" spans="2:11">
      <c r="B1074" s="5"/>
      <c r="C1074" s="102"/>
      <c r="D1074" s="102"/>
      <c r="E1074" s="102"/>
      <c r="F1074" s="102"/>
      <c r="G1074" s="102"/>
      <c r="H1074" s="102"/>
      <c r="I1074" s="102"/>
      <c r="J1074" s="102"/>
      <c r="K1074" s="102"/>
    </row>
    <row r="1075" spans="2:11" ht="13.5">
      <c r="B1075" s="3"/>
      <c r="C1075" s="10" t="s">
        <v>6</v>
      </c>
      <c r="D1075" s="143" t="s">
        <v>125</v>
      </c>
      <c r="E1075" s="143"/>
      <c r="F1075" s="10" t="s">
        <v>126</v>
      </c>
      <c r="G1075" s="143" t="s">
        <v>127</v>
      </c>
      <c r="H1075" s="143"/>
      <c r="I1075" s="143"/>
      <c r="J1075" s="143"/>
      <c r="K1075" s="10" t="s">
        <v>123</v>
      </c>
    </row>
    <row r="1076" spans="2:11" ht="27" customHeight="1">
      <c r="B1076" s="3"/>
      <c r="C1076" s="10" t="str">
        <f>D1072</f>
        <v>CTRL_VRECT_OFFSET_1_6[7:0]</v>
      </c>
      <c r="D1076" s="143" t="s">
        <v>965</v>
      </c>
      <c r="E1076" s="143"/>
      <c r="F1076" s="10" t="s">
        <v>721</v>
      </c>
      <c r="G1076" s="143" t="s">
        <v>1002</v>
      </c>
      <c r="H1076" s="143"/>
      <c r="I1076" s="143"/>
      <c r="J1076" s="143"/>
      <c r="K1076" s="10" t="s">
        <v>722</v>
      </c>
    </row>
    <row r="1078" spans="2:11">
      <c r="B1078" s="5">
        <f>B1070+1</f>
        <v>171</v>
      </c>
      <c r="C1078" s="228" t="str">
        <f>"4.8."&amp;B1078-$B$862+1&amp;" Addr 0x"&amp;DEC2HEX(B1078,8)&amp;" Control.Vrect offset 1.7"</f>
        <v>4.8.28 Addr 0x000000AB Control.Vrect offset 1.7</v>
      </c>
      <c r="D1078" s="229"/>
      <c r="E1078" s="229"/>
      <c r="F1078" s="229"/>
      <c r="G1078" s="229"/>
      <c r="H1078" s="229"/>
      <c r="I1078" s="229"/>
      <c r="J1078" s="229"/>
      <c r="K1078" s="230"/>
    </row>
    <row r="1079" spans="2:11">
      <c r="B1079" s="5"/>
      <c r="C1079" s="6" t="s">
        <v>120</v>
      </c>
      <c r="D1079" s="7">
        <v>7</v>
      </c>
      <c r="E1079" s="7">
        <v>6</v>
      </c>
      <c r="F1079" s="7">
        <v>5</v>
      </c>
      <c r="G1079" s="7">
        <v>4</v>
      </c>
      <c r="H1079" s="7">
        <v>3</v>
      </c>
      <c r="I1079" s="7">
        <v>2</v>
      </c>
      <c r="J1079" s="7">
        <v>1</v>
      </c>
      <c r="K1079" s="7">
        <v>0</v>
      </c>
    </row>
    <row r="1080" spans="2:11">
      <c r="B1080" s="5"/>
      <c r="C1080" s="8" t="s">
        <v>6</v>
      </c>
      <c r="D1080" s="176" t="s">
        <v>1003</v>
      </c>
      <c r="E1080" s="102"/>
      <c r="F1080" s="102"/>
      <c r="G1080" s="102"/>
      <c r="H1080" s="102"/>
      <c r="I1080" s="102"/>
      <c r="J1080" s="102"/>
      <c r="K1080" s="177"/>
    </row>
    <row r="1081" spans="2:11">
      <c r="B1081" s="5" t="str">
        <f>CONCATENATE(D1081,E1081,F1081,G1081,H1081,I1081,J1081,K1081)</f>
        <v>00000000</v>
      </c>
      <c r="C1081" s="8" t="s">
        <v>123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</row>
    <row r="1082" spans="2:11">
      <c r="B1082" s="5"/>
      <c r="C1082" s="102"/>
      <c r="D1082" s="102"/>
      <c r="E1082" s="102"/>
      <c r="F1082" s="102"/>
      <c r="G1082" s="102"/>
      <c r="H1082" s="102"/>
      <c r="I1082" s="102"/>
      <c r="J1082" s="102"/>
      <c r="K1082" s="102"/>
    </row>
    <row r="1083" spans="2:11" ht="13.5">
      <c r="B1083" s="3"/>
      <c r="C1083" s="10" t="s">
        <v>6</v>
      </c>
      <c r="D1083" s="143" t="s">
        <v>125</v>
      </c>
      <c r="E1083" s="143"/>
      <c r="F1083" s="10" t="s">
        <v>126</v>
      </c>
      <c r="G1083" s="143" t="s">
        <v>127</v>
      </c>
      <c r="H1083" s="143"/>
      <c r="I1083" s="143"/>
      <c r="J1083" s="143"/>
      <c r="K1083" s="10" t="s">
        <v>123</v>
      </c>
    </row>
    <row r="1084" spans="2:11" ht="27" customHeight="1">
      <c r="B1084" s="3"/>
      <c r="C1084" s="10" t="str">
        <f>D1080</f>
        <v>CTRL_VRECT_OFFSET_1_7[7:0]</v>
      </c>
      <c r="D1084" s="143" t="s">
        <v>965</v>
      </c>
      <c r="E1084" s="143"/>
      <c r="F1084" s="10" t="s">
        <v>721</v>
      </c>
      <c r="G1084" s="143" t="s">
        <v>1004</v>
      </c>
      <c r="H1084" s="143"/>
      <c r="I1084" s="143"/>
      <c r="J1084" s="143"/>
      <c r="K1084" s="10" t="s">
        <v>722</v>
      </c>
    </row>
    <row r="1086" spans="2:11">
      <c r="B1086" s="5">
        <f>B1078+1</f>
        <v>172</v>
      </c>
      <c r="C1086" s="228" t="str">
        <f>"4.8."&amp;B1086-$B$862+1&amp;" Addr 0x"&amp;DEC2HEX(B1086,8)&amp;" Control.Vrect offset 1.8"</f>
        <v>4.8.29 Addr 0x000000AC Control.Vrect offset 1.8</v>
      </c>
      <c r="D1086" s="229"/>
      <c r="E1086" s="229"/>
      <c r="F1086" s="229"/>
      <c r="G1086" s="229"/>
      <c r="H1086" s="229"/>
      <c r="I1086" s="229"/>
      <c r="J1086" s="229"/>
      <c r="K1086" s="230"/>
    </row>
    <row r="1087" spans="2:11">
      <c r="B1087" s="5"/>
      <c r="C1087" s="6" t="s">
        <v>120</v>
      </c>
      <c r="D1087" s="7">
        <v>7</v>
      </c>
      <c r="E1087" s="7">
        <v>6</v>
      </c>
      <c r="F1087" s="7">
        <v>5</v>
      </c>
      <c r="G1087" s="7">
        <v>4</v>
      </c>
      <c r="H1087" s="7">
        <v>3</v>
      </c>
      <c r="I1087" s="7">
        <v>2</v>
      </c>
      <c r="J1087" s="7">
        <v>1</v>
      </c>
      <c r="K1087" s="7">
        <v>0</v>
      </c>
    </row>
    <row r="1088" spans="2:11">
      <c r="B1088" s="5"/>
      <c r="C1088" s="8" t="s">
        <v>6</v>
      </c>
      <c r="D1088" s="176" t="s">
        <v>1005</v>
      </c>
      <c r="E1088" s="102"/>
      <c r="F1088" s="102"/>
      <c r="G1088" s="102"/>
      <c r="H1088" s="102"/>
      <c r="I1088" s="102"/>
      <c r="J1088" s="102"/>
      <c r="K1088" s="177"/>
    </row>
    <row r="1089" spans="2:11">
      <c r="B1089" s="5" t="str">
        <f>CONCATENATE(D1089,E1089,F1089,G1089,H1089,I1089,J1089,K1089)</f>
        <v>00000000</v>
      </c>
      <c r="C1089" s="8" t="s">
        <v>123</v>
      </c>
      <c r="D1089" s="9">
        <v>0</v>
      </c>
      <c r="E1089" s="9">
        <v>0</v>
      </c>
      <c r="F1089" s="9">
        <v>0</v>
      </c>
      <c r="G1089" s="9">
        <v>0</v>
      </c>
      <c r="H1089" s="9">
        <v>0</v>
      </c>
      <c r="I1089" s="9">
        <v>0</v>
      </c>
      <c r="J1089" s="9">
        <v>0</v>
      </c>
      <c r="K1089" s="9">
        <v>0</v>
      </c>
    </row>
    <row r="1090" spans="2:11">
      <c r="B1090" s="5"/>
      <c r="C1090" s="102"/>
      <c r="D1090" s="102"/>
      <c r="E1090" s="102"/>
      <c r="F1090" s="102"/>
      <c r="G1090" s="102"/>
      <c r="H1090" s="102"/>
      <c r="I1090" s="102"/>
      <c r="J1090" s="102"/>
      <c r="K1090" s="102"/>
    </row>
    <row r="1091" spans="2:11" ht="13.5">
      <c r="B1091" s="3"/>
      <c r="C1091" s="10" t="s">
        <v>6</v>
      </c>
      <c r="D1091" s="143" t="s">
        <v>125</v>
      </c>
      <c r="E1091" s="143"/>
      <c r="F1091" s="10" t="s">
        <v>126</v>
      </c>
      <c r="G1091" s="143" t="s">
        <v>127</v>
      </c>
      <c r="H1091" s="143"/>
      <c r="I1091" s="143"/>
      <c r="J1091" s="143"/>
      <c r="K1091" s="10" t="s">
        <v>123</v>
      </c>
    </row>
    <row r="1092" spans="2:11" ht="27" customHeight="1">
      <c r="B1092" s="3"/>
      <c r="C1092" s="10" t="str">
        <f>D1088</f>
        <v>CTRL_VRECT_OFFSET_1_8[7:0]</v>
      </c>
      <c r="D1092" s="143" t="s">
        <v>965</v>
      </c>
      <c r="E1092" s="143"/>
      <c r="F1092" s="10" t="s">
        <v>721</v>
      </c>
      <c r="G1092" s="143" t="s">
        <v>1006</v>
      </c>
      <c r="H1092" s="143"/>
      <c r="I1092" s="143"/>
      <c r="J1092" s="143"/>
      <c r="K1092" s="10" t="s">
        <v>722</v>
      </c>
    </row>
    <row r="1094" spans="2:11">
      <c r="B1094" s="5">
        <f>B1086+1</f>
        <v>173</v>
      </c>
      <c r="C1094" s="228" t="str">
        <f>"4.8."&amp;B1094-$B$862+1&amp;" Addr 0x"&amp;DEC2HEX(B1094,8)&amp;" Control.Vrect offset 1.9"</f>
        <v>4.8.30 Addr 0x000000AD Control.Vrect offset 1.9</v>
      </c>
      <c r="D1094" s="229"/>
      <c r="E1094" s="229"/>
      <c r="F1094" s="229"/>
      <c r="G1094" s="229"/>
      <c r="H1094" s="229"/>
      <c r="I1094" s="229"/>
      <c r="J1094" s="229"/>
      <c r="K1094" s="230"/>
    </row>
    <row r="1095" spans="2:11">
      <c r="B1095" s="5"/>
      <c r="C1095" s="6" t="s">
        <v>120</v>
      </c>
      <c r="D1095" s="7">
        <v>7</v>
      </c>
      <c r="E1095" s="7">
        <v>6</v>
      </c>
      <c r="F1095" s="7">
        <v>5</v>
      </c>
      <c r="G1095" s="7">
        <v>4</v>
      </c>
      <c r="H1095" s="7">
        <v>3</v>
      </c>
      <c r="I1095" s="7">
        <v>2</v>
      </c>
      <c r="J1095" s="7">
        <v>1</v>
      </c>
      <c r="K1095" s="7">
        <v>0</v>
      </c>
    </row>
    <row r="1096" spans="2:11">
      <c r="B1096" s="5"/>
      <c r="C1096" s="8" t="s">
        <v>6</v>
      </c>
      <c r="D1096" s="176" t="s">
        <v>1007</v>
      </c>
      <c r="E1096" s="102"/>
      <c r="F1096" s="102"/>
      <c r="G1096" s="102"/>
      <c r="H1096" s="102"/>
      <c r="I1096" s="102"/>
      <c r="J1096" s="102"/>
      <c r="K1096" s="177"/>
    </row>
    <row r="1097" spans="2:11">
      <c r="B1097" s="5" t="str">
        <f>CONCATENATE(D1097,E1097,F1097,G1097,H1097,I1097,J1097,K1097)</f>
        <v>00000000</v>
      </c>
      <c r="C1097" s="8" t="s">
        <v>123</v>
      </c>
      <c r="D1097" s="9">
        <v>0</v>
      </c>
      <c r="E1097" s="9">
        <v>0</v>
      </c>
      <c r="F1097" s="9">
        <v>0</v>
      </c>
      <c r="G1097" s="9">
        <v>0</v>
      </c>
      <c r="H1097" s="9">
        <v>0</v>
      </c>
      <c r="I1097" s="9">
        <v>0</v>
      </c>
      <c r="J1097" s="9">
        <v>0</v>
      </c>
      <c r="K1097" s="9">
        <v>0</v>
      </c>
    </row>
    <row r="1098" spans="2:11">
      <c r="B1098" s="5"/>
      <c r="C1098" s="102"/>
      <c r="D1098" s="102"/>
      <c r="E1098" s="102"/>
      <c r="F1098" s="102"/>
      <c r="G1098" s="102"/>
      <c r="H1098" s="102"/>
      <c r="I1098" s="102"/>
      <c r="J1098" s="102"/>
      <c r="K1098" s="102"/>
    </row>
    <row r="1099" spans="2:11" ht="13.5">
      <c r="B1099" s="3"/>
      <c r="C1099" s="10" t="s">
        <v>6</v>
      </c>
      <c r="D1099" s="143" t="s">
        <v>125</v>
      </c>
      <c r="E1099" s="143"/>
      <c r="F1099" s="10" t="s">
        <v>126</v>
      </c>
      <c r="G1099" s="143" t="s">
        <v>127</v>
      </c>
      <c r="H1099" s="143"/>
      <c r="I1099" s="143"/>
      <c r="J1099" s="143"/>
      <c r="K1099" s="10" t="s">
        <v>123</v>
      </c>
    </row>
    <row r="1100" spans="2:11" ht="27" customHeight="1">
      <c r="B1100" s="3"/>
      <c r="C1100" s="10" t="str">
        <f>D1096</f>
        <v>CTRL_VRECT_OFFSET_1_9[7:0]</v>
      </c>
      <c r="D1100" s="143" t="s">
        <v>965</v>
      </c>
      <c r="E1100" s="143"/>
      <c r="F1100" s="10" t="s">
        <v>721</v>
      </c>
      <c r="G1100" s="143" t="s">
        <v>1008</v>
      </c>
      <c r="H1100" s="143"/>
      <c r="I1100" s="143"/>
      <c r="J1100" s="143"/>
      <c r="K1100" s="10" t="s">
        <v>722</v>
      </c>
    </row>
    <row r="1102" spans="2:11">
      <c r="B1102" s="5">
        <f>B1094+1</f>
        <v>174</v>
      </c>
      <c r="C1102" s="228" t="str">
        <f>"4.8."&amp;B1102-$B$862+1&amp;" Addr 0x"&amp;DEC2HEX(B1102,8)&amp;" Control.Vrect offset 1.10"</f>
        <v>4.8.31 Addr 0x000000AE Control.Vrect offset 1.10</v>
      </c>
      <c r="D1102" s="229"/>
      <c r="E1102" s="229"/>
      <c r="F1102" s="229"/>
      <c r="G1102" s="229"/>
      <c r="H1102" s="229"/>
      <c r="I1102" s="229"/>
      <c r="J1102" s="229"/>
      <c r="K1102" s="230"/>
    </row>
    <row r="1103" spans="2:11">
      <c r="B1103" s="5"/>
      <c r="C1103" s="6" t="s">
        <v>120</v>
      </c>
      <c r="D1103" s="7">
        <v>7</v>
      </c>
      <c r="E1103" s="7">
        <v>6</v>
      </c>
      <c r="F1103" s="7">
        <v>5</v>
      </c>
      <c r="G1103" s="7">
        <v>4</v>
      </c>
      <c r="H1103" s="7">
        <v>3</v>
      </c>
      <c r="I1103" s="7">
        <v>2</v>
      </c>
      <c r="J1103" s="7">
        <v>1</v>
      </c>
      <c r="K1103" s="7">
        <v>0</v>
      </c>
    </row>
    <row r="1104" spans="2:11">
      <c r="B1104" s="5"/>
      <c r="C1104" s="8" t="s">
        <v>6</v>
      </c>
      <c r="D1104" s="176" t="s">
        <v>1009</v>
      </c>
      <c r="E1104" s="102"/>
      <c r="F1104" s="102"/>
      <c r="G1104" s="102"/>
      <c r="H1104" s="102"/>
      <c r="I1104" s="102"/>
      <c r="J1104" s="102"/>
      <c r="K1104" s="177"/>
    </row>
    <row r="1105" spans="2:11">
      <c r="B1105" s="5" t="str">
        <f>CONCATENATE(D1105,E1105,F1105,G1105,H1105,I1105,J1105,K1105)</f>
        <v>00000000</v>
      </c>
      <c r="C1105" s="8" t="s">
        <v>123</v>
      </c>
      <c r="D1105" s="9">
        <v>0</v>
      </c>
      <c r="E1105" s="9">
        <v>0</v>
      </c>
      <c r="F1105" s="9">
        <v>0</v>
      </c>
      <c r="G1105" s="9">
        <v>0</v>
      </c>
      <c r="H1105" s="9">
        <v>0</v>
      </c>
      <c r="I1105" s="9">
        <v>0</v>
      </c>
      <c r="J1105" s="9">
        <v>0</v>
      </c>
      <c r="K1105" s="9">
        <v>0</v>
      </c>
    </row>
    <row r="1106" spans="2:11">
      <c r="B1106" s="5"/>
      <c r="C1106" s="102"/>
      <c r="D1106" s="102"/>
      <c r="E1106" s="102"/>
      <c r="F1106" s="102"/>
      <c r="G1106" s="102"/>
      <c r="H1106" s="102"/>
      <c r="I1106" s="102"/>
      <c r="J1106" s="102"/>
      <c r="K1106" s="102"/>
    </row>
    <row r="1107" spans="2:11" ht="13.5">
      <c r="B1107" s="3"/>
      <c r="C1107" s="10" t="s">
        <v>6</v>
      </c>
      <c r="D1107" s="143" t="s">
        <v>125</v>
      </c>
      <c r="E1107" s="143"/>
      <c r="F1107" s="10" t="s">
        <v>126</v>
      </c>
      <c r="G1107" s="143" t="s">
        <v>127</v>
      </c>
      <c r="H1107" s="143"/>
      <c r="I1107" s="143"/>
      <c r="J1107" s="143"/>
      <c r="K1107" s="10" t="s">
        <v>123</v>
      </c>
    </row>
    <row r="1108" spans="2:11" ht="27" customHeight="1">
      <c r="B1108" s="3"/>
      <c r="C1108" s="10" t="str">
        <f>D1104</f>
        <v>CTRL_VRECT_OFFSET_1_10[7:0]</v>
      </c>
      <c r="D1108" s="143" t="s">
        <v>965</v>
      </c>
      <c r="E1108" s="143"/>
      <c r="F1108" s="10" t="s">
        <v>721</v>
      </c>
      <c r="G1108" s="143" t="s">
        <v>1010</v>
      </c>
      <c r="H1108" s="143"/>
      <c r="I1108" s="143"/>
      <c r="J1108" s="143"/>
      <c r="K1108" s="10" t="s">
        <v>722</v>
      </c>
    </row>
    <row r="1110" spans="2:11">
      <c r="B1110" s="5">
        <f>B1102+1</f>
        <v>175</v>
      </c>
      <c r="C1110" s="228" t="str">
        <f>"4.8."&amp;B1110-$B$862+1&amp;" Addr 0x"&amp;DEC2HEX(B1110,8)&amp;" Control.Vrect offset 1.11"</f>
        <v>4.8.32 Addr 0x000000AF Control.Vrect offset 1.11</v>
      </c>
      <c r="D1110" s="229"/>
      <c r="E1110" s="229"/>
      <c r="F1110" s="229"/>
      <c r="G1110" s="229"/>
      <c r="H1110" s="229"/>
      <c r="I1110" s="229"/>
      <c r="J1110" s="229"/>
      <c r="K1110" s="230"/>
    </row>
    <row r="1111" spans="2:11">
      <c r="B1111" s="5"/>
      <c r="C1111" s="6" t="s">
        <v>120</v>
      </c>
      <c r="D1111" s="7">
        <v>7</v>
      </c>
      <c r="E1111" s="7">
        <v>6</v>
      </c>
      <c r="F1111" s="7">
        <v>5</v>
      </c>
      <c r="G1111" s="7">
        <v>4</v>
      </c>
      <c r="H1111" s="7">
        <v>3</v>
      </c>
      <c r="I1111" s="7">
        <v>2</v>
      </c>
      <c r="J1111" s="7">
        <v>1</v>
      </c>
      <c r="K1111" s="7">
        <v>0</v>
      </c>
    </row>
    <row r="1112" spans="2:11">
      <c r="B1112" s="5"/>
      <c r="C1112" s="8" t="s">
        <v>6</v>
      </c>
      <c r="D1112" s="176" t="s">
        <v>1011</v>
      </c>
      <c r="E1112" s="102"/>
      <c r="F1112" s="102"/>
      <c r="G1112" s="102"/>
      <c r="H1112" s="102"/>
      <c r="I1112" s="102"/>
      <c r="J1112" s="102"/>
      <c r="K1112" s="177"/>
    </row>
    <row r="1113" spans="2:11">
      <c r="B1113" s="5" t="str">
        <f>CONCATENATE(D1113,E1113,F1113,G1113,H1113,I1113,J1113,K1113)</f>
        <v>00000000</v>
      </c>
      <c r="C1113" s="8" t="s">
        <v>123</v>
      </c>
      <c r="D1113" s="9">
        <v>0</v>
      </c>
      <c r="E1113" s="9">
        <v>0</v>
      </c>
      <c r="F1113" s="9">
        <v>0</v>
      </c>
      <c r="G1113" s="9">
        <v>0</v>
      </c>
      <c r="H1113" s="9">
        <v>0</v>
      </c>
      <c r="I1113" s="9">
        <v>0</v>
      </c>
      <c r="J1113" s="9">
        <v>0</v>
      </c>
      <c r="K1113" s="9">
        <v>0</v>
      </c>
    </row>
    <row r="1114" spans="2:11">
      <c r="B1114" s="5"/>
      <c r="C1114" s="102"/>
      <c r="D1114" s="102"/>
      <c r="E1114" s="102"/>
      <c r="F1114" s="102"/>
      <c r="G1114" s="102"/>
      <c r="H1114" s="102"/>
      <c r="I1114" s="102"/>
      <c r="J1114" s="102"/>
      <c r="K1114" s="102"/>
    </row>
    <row r="1115" spans="2:11" ht="13.5">
      <c r="B1115" s="3"/>
      <c r="C1115" s="10" t="s">
        <v>6</v>
      </c>
      <c r="D1115" s="143" t="s">
        <v>125</v>
      </c>
      <c r="E1115" s="143"/>
      <c r="F1115" s="10" t="s">
        <v>126</v>
      </c>
      <c r="G1115" s="143" t="s">
        <v>127</v>
      </c>
      <c r="H1115" s="143"/>
      <c r="I1115" s="143"/>
      <c r="J1115" s="143"/>
      <c r="K1115" s="10" t="s">
        <v>123</v>
      </c>
    </row>
    <row r="1116" spans="2:11" ht="27" customHeight="1">
      <c r="B1116" s="3"/>
      <c r="C1116" s="10" t="str">
        <f>D1112</f>
        <v>CTRL_VRECT_OFFSET_1_11[7:0]</v>
      </c>
      <c r="D1116" s="143" t="s">
        <v>965</v>
      </c>
      <c r="E1116" s="143"/>
      <c r="F1116" s="10" t="s">
        <v>721</v>
      </c>
      <c r="G1116" s="143" t="s">
        <v>1012</v>
      </c>
      <c r="H1116" s="143"/>
      <c r="I1116" s="143"/>
      <c r="J1116" s="143"/>
      <c r="K1116" s="10" t="s">
        <v>722</v>
      </c>
    </row>
    <row r="1118" spans="2:11">
      <c r="B1118" s="5">
        <f>B1110+1</f>
        <v>176</v>
      </c>
      <c r="C1118" s="228" t="str">
        <f>"4.8."&amp;B1118-$B$862+1&amp;" Addr 0x"&amp;DEC2HEX(B1118,8)&amp;" Control.Efficiency table "&amp;B1118-$B$1118</f>
        <v>4.8.33 Addr 0x000000B0 Control.Efficiency table 0</v>
      </c>
      <c r="D1118" s="229"/>
      <c r="E1118" s="229"/>
      <c r="F1118" s="229"/>
      <c r="G1118" s="229"/>
      <c r="H1118" s="229"/>
      <c r="I1118" s="229"/>
      <c r="J1118" s="229"/>
      <c r="K1118" s="230"/>
    </row>
    <row r="1119" spans="2:11">
      <c r="B1119" s="5"/>
      <c r="C1119" s="6" t="s">
        <v>120</v>
      </c>
      <c r="D1119" s="7">
        <v>7</v>
      </c>
      <c r="E1119" s="7">
        <v>6</v>
      </c>
      <c r="F1119" s="7">
        <v>5</v>
      </c>
      <c r="G1119" s="7">
        <v>4</v>
      </c>
      <c r="H1119" s="7">
        <v>3</v>
      </c>
      <c r="I1119" s="7">
        <v>2</v>
      </c>
      <c r="J1119" s="7">
        <v>1</v>
      </c>
      <c r="K1119" s="7">
        <v>0</v>
      </c>
    </row>
    <row r="1120" spans="2:11">
      <c r="B1120" s="5"/>
      <c r="C1120" s="8" t="s">
        <v>6</v>
      </c>
      <c r="D1120" s="176" t="str">
        <f>"CTRL_EFF_TABLE_"&amp;B1118-$B$1118&amp;"[7:0]"</f>
        <v>CTRL_EFF_TABLE_0[7:0]</v>
      </c>
      <c r="E1120" s="102"/>
      <c r="F1120" s="102"/>
      <c r="G1120" s="102"/>
      <c r="H1120" s="102"/>
      <c r="I1120" s="102"/>
      <c r="J1120" s="102"/>
      <c r="K1120" s="177"/>
    </row>
    <row r="1121" spans="2:11">
      <c r="B1121" s="5" t="str">
        <f>CONCATENATE(D1121,E1121,F1121,G1121,H1121,I1121,J1121,K1121)</f>
        <v>00000000</v>
      </c>
      <c r="C1121" s="8" t="s">
        <v>123</v>
      </c>
      <c r="D1121" s="9">
        <v>0</v>
      </c>
      <c r="E1121" s="9">
        <v>0</v>
      </c>
      <c r="F1121" s="9">
        <v>0</v>
      </c>
      <c r="G1121" s="9">
        <v>0</v>
      </c>
      <c r="H1121" s="9">
        <v>0</v>
      </c>
      <c r="I1121" s="9">
        <v>0</v>
      </c>
      <c r="J1121" s="9">
        <v>0</v>
      </c>
      <c r="K1121" s="9">
        <v>0</v>
      </c>
    </row>
    <row r="1122" spans="2:11">
      <c r="B1122" s="5"/>
      <c r="C1122" s="102"/>
      <c r="D1122" s="102"/>
      <c r="E1122" s="102"/>
      <c r="F1122" s="102"/>
      <c r="G1122" s="102"/>
      <c r="H1122" s="102"/>
      <c r="I1122" s="102"/>
      <c r="J1122" s="102"/>
      <c r="K1122" s="102"/>
    </row>
    <row r="1123" spans="2:11" ht="13.5">
      <c r="B1123" s="3"/>
      <c r="C1123" s="10" t="s">
        <v>6</v>
      </c>
      <c r="D1123" s="143" t="s">
        <v>125</v>
      </c>
      <c r="E1123" s="143"/>
      <c r="F1123" s="10" t="s">
        <v>126</v>
      </c>
      <c r="G1123" s="143">
        <v>11</v>
      </c>
      <c r="H1123" s="143"/>
      <c r="I1123" s="143"/>
      <c r="J1123" s="143"/>
      <c r="K1123" s="10" t="s">
        <v>123</v>
      </c>
    </row>
    <row r="1124" spans="2:11" ht="13.5">
      <c r="B1124" s="3"/>
      <c r="C1124" s="10" t="str">
        <f>D1120</f>
        <v>CTRL_EFF_TABLE_0[7:0]</v>
      </c>
      <c r="D1124" s="143" t="s">
        <v>1013</v>
      </c>
      <c r="E1124" s="143"/>
      <c r="F1124" s="10" t="s">
        <v>721</v>
      </c>
      <c r="G1124" s="143" t="str">
        <f>"Power efficieny when Iout is "&amp;(B1118-$B$1118)*50&amp;" to "&amp;(B1118-$B$1118+1)*50&amp;"mA"</f>
        <v>Power efficieny when Iout is 0 to 50mA</v>
      </c>
      <c r="H1124" s="143"/>
      <c r="I1124" s="143"/>
      <c r="J1124" s="143"/>
      <c r="K1124" s="10" t="s">
        <v>722</v>
      </c>
    </row>
    <row r="1126" spans="2:11">
      <c r="B1126" s="5">
        <f>B1118+1</f>
        <v>177</v>
      </c>
      <c r="C1126" s="228" t="str">
        <f>"4.8."&amp;B1126-$B$862+1&amp;" Addr 0x"&amp;DEC2HEX(B1126,8)&amp;" Control.Efficiency table "&amp;B1126-$B$1118</f>
        <v>4.8.34 Addr 0x000000B1 Control.Efficiency table 1</v>
      </c>
      <c r="D1126" s="229"/>
      <c r="E1126" s="229"/>
      <c r="F1126" s="229"/>
      <c r="G1126" s="229"/>
      <c r="H1126" s="229"/>
      <c r="I1126" s="229"/>
      <c r="J1126" s="229"/>
      <c r="K1126" s="230"/>
    </row>
    <row r="1127" spans="2:11">
      <c r="B1127" s="5"/>
      <c r="C1127" s="6" t="s">
        <v>120</v>
      </c>
      <c r="D1127" s="7">
        <v>7</v>
      </c>
      <c r="E1127" s="7">
        <v>6</v>
      </c>
      <c r="F1127" s="7">
        <v>5</v>
      </c>
      <c r="G1127" s="7">
        <v>4</v>
      </c>
      <c r="H1127" s="7">
        <v>3</v>
      </c>
      <c r="I1127" s="7">
        <v>2</v>
      </c>
      <c r="J1127" s="7">
        <v>1</v>
      </c>
      <c r="K1127" s="7">
        <v>0</v>
      </c>
    </row>
    <row r="1128" spans="2:11">
      <c r="B1128" s="5"/>
      <c r="C1128" s="8" t="s">
        <v>6</v>
      </c>
      <c r="D1128" s="176" t="str">
        <f>"CTRL_EFF_TABLE_"&amp;B1126-$B$1118&amp;"[7:0]"</f>
        <v>CTRL_EFF_TABLE_1[7:0]</v>
      </c>
      <c r="E1128" s="102"/>
      <c r="F1128" s="102"/>
      <c r="G1128" s="102"/>
      <c r="H1128" s="102"/>
      <c r="I1128" s="102"/>
      <c r="J1128" s="102"/>
      <c r="K1128" s="177"/>
    </row>
    <row r="1129" spans="2:11">
      <c r="B1129" s="5" t="str">
        <f>CONCATENATE(D1129,E1129,F1129,G1129,H1129,I1129,J1129,K1129)</f>
        <v>00000000</v>
      </c>
      <c r="C1129" s="8" t="s">
        <v>123</v>
      </c>
      <c r="D1129" s="9">
        <v>0</v>
      </c>
      <c r="E1129" s="9">
        <v>0</v>
      </c>
      <c r="F1129" s="9">
        <v>0</v>
      </c>
      <c r="G1129" s="9">
        <v>0</v>
      </c>
      <c r="H1129" s="9">
        <v>0</v>
      </c>
      <c r="I1129" s="9">
        <v>0</v>
      </c>
      <c r="J1129" s="9">
        <v>0</v>
      </c>
      <c r="K1129" s="9">
        <v>0</v>
      </c>
    </row>
    <row r="1130" spans="2:11">
      <c r="B1130" s="5"/>
      <c r="C1130" s="102"/>
      <c r="D1130" s="102"/>
      <c r="E1130" s="102"/>
      <c r="F1130" s="102"/>
      <c r="G1130" s="102"/>
      <c r="H1130" s="102"/>
      <c r="I1130" s="102"/>
      <c r="J1130" s="102"/>
      <c r="K1130" s="102"/>
    </row>
    <row r="1131" spans="2:11" ht="13.5">
      <c r="B1131" s="3"/>
      <c r="C1131" s="10" t="s">
        <v>6</v>
      </c>
      <c r="D1131" s="143" t="s">
        <v>125</v>
      </c>
      <c r="E1131" s="143"/>
      <c r="F1131" s="10" t="s">
        <v>126</v>
      </c>
      <c r="G1131" s="143" t="s">
        <v>127</v>
      </c>
      <c r="H1131" s="143"/>
      <c r="I1131" s="143"/>
      <c r="J1131" s="143"/>
      <c r="K1131" s="10" t="s">
        <v>123</v>
      </c>
    </row>
    <row r="1132" spans="2:11" ht="13.5" customHeight="1">
      <c r="B1132" s="3"/>
      <c r="C1132" s="10" t="str">
        <f>D1128</f>
        <v>CTRL_EFF_TABLE_1[7:0]</v>
      </c>
      <c r="D1132" s="143" t="s">
        <v>1013</v>
      </c>
      <c r="E1132" s="143"/>
      <c r="F1132" s="10" t="s">
        <v>721</v>
      </c>
      <c r="G1132" s="143" t="str">
        <f>"Power efficieny when Iout is "&amp;(B1126-$B$1118)*50&amp;" to "&amp;(B1126-$B$1118+1)*50&amp;"mA"</f>
        <v>Power efficieny when Iout is 50 to 100mA</v>
      </c>
      <c r="H1132" s="143"/>
      <c r="I1132" s="143"/>
      <c r="J1132" s="143"/>
      <c r="K1132" s="10" t="s">
        <v>722</v>
      </c>
    </row>
    <row r="1134" spans="2:11">
      <c r="B1134" s="5">
        <f>B1126+1</f>
        <v>178</v>
      </c>
      <c r="C1134" s="228" t="str">
        <f>"4.8."&amp;B1134-$B$862+1&amp;" Addr 0x"&amp;DEC2HEX(B1134,8)&amp;" Control.Efficiency table "&amp;B1134-$B$1118</f>
        <v>4.8.35 Addr 0x000000B2 Control.Efficiency table 2</v>
      </c>
      <c r="D1134" s="229"/>
      <c r="E1134" s="229"/>
      <c r="F1134" s="229"/>
      <c r="G1134" s="229"/>
      <c r="H1134" s="229"/>
      <c r="I1134" s="229"/>
      <c r="J1134" s="229"/>
      <c r="K1134" s="230"/>
    </row>
    <row r="1135" spans="2:11">
      <c r="B1135" s="5"/>
      <c r="C1135" s="6" t="s">
        <v>120</v>
      </c>
      <c r="D1135" s="7">
        <v>7</v>
      </c>
      <c r="E1135" s="7">
        <v>6</v>
      </c>
      <c r="F1135" s="7">
        <v>5</v>
      </c>
      <c r="G1135" s="7">
        <v>4</v>
      </c>
      <c r="H1135" s="7">
        <v>3</v>
      </c>
      <c r="I1135" s="7">
        <v>2</v>
      </c>
      <c r="J1135" s="7">
        <v>1</v>
      </c>
      <c r="K1135" s="7">
        <v>0</v>
      </c>
    </row>
    <row r="1136" spans="2:11">
      <c r="B1136" s="5"/>
      <c r="C1136" s="8" t="s">
        <v>6</v>
      </c>
      <c r="D1136" s="176" t="str">
        <f>"CTRL_EFF_TABLE_"&amp;B1134-$B$1118&amp;"[7:0]"</f>
        <v>CTRL_EFF_TABLE_2[7:0]</v>
      </c>
      <c r="E1136" s="102"/>
      <c r="F1136" s="102"/>
      <c r="G1136" s="102"/>
      <c r="H1136" s="102"/>
      <c r="I1136" s="102"/>
      <c r="J1136" s="102"/>
      <c r="K1136" s="177"/>
    </row>
    <row r="1137" spans="2:11">
      <c r="B1137" s="5" t="str">
        <f>CONCATENATE(D1137,E1137,F1137,G1137,H1137,I1137,J1137,K1137)</f>
        <v>00000000</v>
      </c>
      <c r="C1137" s="8" t="s">
        <v>123</v>
      </c>
      <c r="D1137" s="9">
        <v>0</v>
      </c>
      <c r="E1137" s="9">
        <v>0</v>
      </c>
      <c r="F1137" s="9">
        <v>0</v>
      </c>
      <c r="G1137" s="9">
        <v>0</v>
      </c>
      <c r="H1137" s="9">
        <v>0</v>
      </c>
      <c r="I1137" s="9">
        <v>0</v>
      </c>
      <c r="J1137" s="9">
        <v>0</v>
      </c>
      <c r="K1137" s="9">
        <v>0</v>
      </c>
    </row>
    <row r="1138" spans="2:11">
      <c r="B1138" s="5"/>
      <c r="C1138" s="102"/>
      <c r="D1138" s="102"/>
      <c r="E1138" s="102"/>
      <c r="F1138" s="102"/>
      <c r="G1138" s="102"/>
      <c r="H1138" s="102"/>
      <c r="I1138" s="102"/>
      <c r="J1138" s="102"/>
      <c r="K1138" s="102"/>
    </row>
    <row r="1139" spans="2:11" ht="13.5">
      <c r="B1139" s="3"/>
      <c r="C1139" s="10" t="s">
        <v>6</v>
      </c>
      <c r="D1139" s="143" t="s">
        <v>125</v>
      </c>
      <c r="E1139" s="143"/>
      <c r="F1139" s="10" t="s">
        <v>126</v>
      </c>
      <c r="G1139" s="143" t="s">
        <v>127</v>
      </c>
      <c r="H1139" s="143"/>
      <c r="I1139" s="143"/>
      <c r="J1139" s="143"/>
      <c r="K1139" s="10" t="s">
        <v>123</v>
      </c>
    </row>
    <row r="1140" spans="2:11" ht="13.5" customHeight="1">
      <c r="B1140" s="3"/>
      <c r="C1140" s="10" t="str">
        <f>D1136</f>
        <v>CTRL_EFF_TABLE_2[7:0]</v>
      </c>
      <c r="D1140" s="143" t="s">
        <v>1013</v>
      </c>
      <c r="E1140" s="143"/>
      <c r="F1140" s="10" t="s">
        <v>721</v>
      </c>
      <c r="G1140" s="143" t="str">
        <f>"Power efficieny when Iout is "&amp;(B1134-$B$1118)*50&amp;" to "&amp;(B1134-$B$1118+1)*50&amp;"mA"</f>
        <v>Power efficieny when Iout is 100 to 150mA</v>
      </c>
      <c r="H1140" s="143"/>
      <c r="I1140" s="143"/>
      <c r="J1140" s="143"/>
      <c r="K1140" s="10" t="s">
        <v>722</v>
      </c>
    </row>
    <row r="1142" spans="2:11">
      <c r="B1142" s="5">
        <f>B1134+1</f>
        <v>179</v>
      </c>
      <c r="C1142" s="228" t="str">
        <f>"4.8."&amp;B1142-$B$862+1&amp;" Addr 0x"&amp;DEC2HEX(B1142,8)&amp;" Control.Efficiency table "&amp;B1142-$B$1118</f>
        <v>4.8.36 Addr 0x000000B3 Control.Efficiency table 3</v>
      </c>
      <c r="D1142" s="229"/>
      <c r="E1142" s="229"/>
      <c r="F1142" s="229"/>
      <c r="G1142" s="229"/>
      <c r="H1142" s="229"/>
      <c r="I1142" s="229"/>
      <c r="J1142" s="229"/>
      <c r="K1142" s="230"/>
    </row>
    <row r="1143" spans="2:11">
      <c r="B1143" s="5"/>
      <c r="C1143" s="6" t="s">
        <v>120</v>
      </c>
      <c r="D1143" s="7">
        <v>7</v>
      </c>
      <c r="E1143" s="7">
        <v>6</v>
      </c>
      <c r="F1143" s="7">
        <v>5</v>
      </c>
      <c r="G1143" s="7">
        <v>4</v>
      </c>
      <c r="H1143" s="7">
        <v>3</v>
      </c>
      <c r="I1143" s="7">
        <v>2</v>
      </c>
      <c r="J1143" s="7">
        <v>1</v>
      </c>
      <c r="K1143" s="7">
        <v>0</v>
      </c>
    </row>
    <row r="1144" spans="2:11">
      <c r="B1144" s="5"/>
      <c r="C1144" s="8" t="s">
        <v>6</v>
      </c>
      <c r="D1144" s="176" t="str">
        <f>"CTRL_EFF_TABLE_"&amp;B1142-$B$1118&amp;"[7:0]"</f>
        <v>CTRL_EFF_TABLE_3[7:0]</v>
      </c>
      <c r="E1144" s="102"/>
      <c r="F1144" s="102"/>
      <c r="G1144" s="102"/>
      <c r="H1144" s="102"/>
      <c r="I1144" s="102"/>
      <c r="J1144" s="102"/>
      <c r="K1144" s="177"/>
    </row>
    <row r="1145" spans="2:11">
      <c r="B1145" s="5" t="str">
        <f>CONCATENATE(D1145,E1145,F1145,G1145,H1145,I1145,J1145,K1145)</f>
        <v>00000000</v>
      </c>
      <c r="C1145" s="8" t="s">
        <v>123</v>
      </c>
      <c r="D1145" s="9">
        <v>0</v>
      </c>
      <c r="E1145" s="9">
        <v>0</v>
      </c>
      <c r="F1145" s="9">
        <v>0</v>
      </c>
      <c r="G1145" s="9">
        <v>0</v>
      </c>
      <c r="H1145" s="9">
        <v>0</v>
      </c>
      <c r="I1145" s="9">
        <v>0</v>
      </c>
      <c r="J1145" s="9">
        <v>0</v>
      </c>
      <c r="K1145" s="9">
        <v>0</v>
      </c>
    </row>
    <row r="1146" spans="2:11">
      <c r="B1146" s="5"/>
      <c r="C1146" s="102"/>
      <c r="D1146" s="102"/>
      <c r="E1146" s="102"/>
      <c r="F1146" s="102"/>
      <c r="G1146" s="102"/>
      <c r="H1146" s="102"/>
      <c r="I1146" s="102"/>
      <c r="J1146" s="102"/>
      <c r="K1146" s="102"/>
    </row>
    <row r="1147" spans="2:11" ht="13.5">
      <c r="B1147" s="3"/>
      <c r="C1147" s="10" t="s">
        <v>6</v>
      </c>
      <c r="D1147" s="143" t="s">
        <v>125</v>
      </c>
      <c r="E1147" s="143"/>
      <c r="F1147" s="10" t="s">
        <v>126</v>
      </c>
      <c r="G1147" s="143" t="s">
        <v>127</v>
      </c>
      <c r="H1147" s="143"/>
      <c r="I1147" s="143"/>
      <c r="J1147" s="143"/>
      <c r="K1147" s="10" t="s">
        <v>123</v>
      </c>
    </row>
    <row r="1148" spans="2:11" ht="13.5" customHeight="1">
      <c r="B1148" s="3"/>
      <c r="C1148" s="10" t="str">
        <f>D1144</f>
        <v>CTRL_EFF_TABLE_3[7:0]</v>
      </c>
      <c r="D1148" s="143" t="s">
        <v>1013</v>
      </c>
      <c r="E1148" s="143"/>
      <c r="F1148" s="10" t="s">
        <v>721</v>
      </c>
      <c r="G1148" s="143" t="str">
        <f>"Power efficieny when Iout is "&amp;(B1142-$B$1118)*50&amp;" to "&amp;(B1142-$B$1118+1)*50&amp;"mA"</f>
        <v>Power efficieny when Iout is 150 to 200mA</v>
      </c>
      <c r="H1148" s="143"/>
      <c r="I1148" s="143"/>
      <c r="J1148" s="143"/>
      <c r="K1148" s="10" t="s">
        <v>722</v>
      </c>
    </row>
    <row r="1150" spans="2:11">
      <c r="B1150" s="5">
        <f>B1142+1</f>
        <v>180</v>
      </c>
      <c r="C1150" s="228" t="str">
        <f>"4.8."&amp;B1150-$B$862+1&amp;" Addr 0x"&amp;DEC2HEX(B1150,8)&amp;" Control.Efficiency table "&amp;B1150-$B$1118</f>
        <v>4.8.37 Addr 0x000000B4 Control.Efficiency table 4</v>
      </c>
      <c r="D1150" s="229"/>
      <c r="E1150" s="229"/>
      <c r="F1150" s="229"/>
      <c r="G1150" s="229"/>
      <c r="H1150" s="229"/>
      <c r="I1150" s="229"/>
      <c r="J1150" s="229"/>
      <c r="K1150" s="230"/>
    </row>
    <row r="1151" spans="2:11">
      <c r="B1151" s="5"/>
      <c r="C1151" s="6" t="s">
        <v>120</v>
      </c>
      <c r="D1151" s="7">
        <v>7</v>
      </c>
      <c r="E1151" s="7">
        <v>6</v>
      </c>
      <c r="F1151" s="7">
        <v>5</v>
      </c>
      <c r="G1151" s="7">
        <v>4</v>
      </c>
      <c r="H1151" s="7">
        <v>3</v>
      </c>
      <c r="I1151" s="7">
        <v>2</v>
      </c>
      <c r="J1151" s="7">
        <v>1</v>
      </c>
      <c r="K1151" s="7">
        <v>0</v>
      </c>
    </row>
    <row r="1152" spans="2:11">
      <c r="B1152" s="5"/>
      <c r="C1152" s="8" t="s">
        <v>6</v>
      </c>
      <c r="D1152" s="176" t="str">
        <f>"CTRL_EFF_TABLE_"&amp;B1150-$B$1118&amp;"[7:0]"</f>
        <v>CTRL_EFF_TABLE_4[7:0]</v>
      </c>
      <c r="E1152" s="102"/>
      <c r="F1152" s="102"/>
      <c r="G1152" s="102"/>
      <c r="H1152" s="102"/>
      <c r="I1152" s="102"/>
      <c r="J1152" s="102"/>
      <c r="K1152" s="177"/>
    </row>
    <row r="1153" spans="2:11">
      <c r="B1153" s="5" t="str">
        <f>CONCATENATE(D1153,E1153,F1153,G1153,H1153,I1153,J1153,K1153)</f>
        <v>00000000</v>
      </c>
      <c r="C1153" s="8" t="s">
        <v>123</v>
      </c>
      <c r="D1153" s="9">
        <v>0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</row>
    <row r="1154" spans="2:11">
      <c r="B1154" s="5"/>
      <c r="C1154" s="102"/>
      <c r="D1154" s="102"/>
      <c r="E1154" s="102"/>
      <c r="F1154" s="102"/>
      <c r="G1154" s="102"/>
      <c r="H1154" s="102"/>
      <c r="I1154" s="102"/>
      <c r="J1154" s="102"/>
      <c r="K1154" s="102"/>
    </row>
    <row r="1155" spans="2:11" ht="13.5">
      <c r="B1155" s="3"/>
      <c r="C1155" s="10" t="s">
        <v>6</v>
      </c>
      <c r="D1155" s="143" t="s">
        <v>125</v>
      </c>
      <c r="E1155" s="143"/>
      <c r="F1155" s="10" t="s">
        <v>126</v>
      </c>
      <c r="G1155" s="143" t="s">
        <v>127</v>
      </c>
      <c r="H1155" s="143"/>
      <c r="I1155" s="143"/>
      <c r="J1155" s="143"/>
      <c r="K1155" s="10" t="s">
        <v>123</v>
      </c>
    </row>
    <row r="1156" spans="2:11" ht="13.5" customHeight="1">
      <c r="B1156" s="3"/>
      <c r="C1156" s="10" t="str">
        <f>D1152</f>
        <v>CTRL_EFF_TABLE_4[7:0]</v>
      </c>
      <c r="D1156" s="143" t="s">
        <v>1013</v>
      </c>
      <c r="E1156" s="143"/>
      <c r="F1156" s="10" t="s">
        <v>721</v>
      </c>
      <c r="G1156" s="143" t="str">
        <f>"Power efficieny when Iout is "&amp;(B1150-$B$1118)*50&amp;" to "&amp;(B1150-$B$1118+1)*50&amp;"mA"</f>
        <v>Power efficieny when Iout is 200 to 250mA</v>
      </c>
      <c r="H1156" s="143"/>
      <c r="I1156" s="143"/>
      <c r="J1156" s="143"/>
      <c r="K1156" s="10" t="s">
        <v>722</v>
      </c>
    </row>
    <row r="1158" spans="2:11">
      <c r="B1158" s="5">
        <f>B1150+1</f>
        <v>181</v>
      </c>
      <c r="C1158" s="228" t="str">
        <f>"4.8."&amp;B1158-$B$862+1&amp;" Addr 0x"&amp;DEC2HEX(B1158,8)&amp;" Control.Efficiency table "&amp;B1158-$B$1118</f>
        <v>4.8.38 Addr 0x000000B5 Control.Efficiency table 5</v>
      </c>
      <c r="D1158" s="229"/>
      <c r="E1158" s="229"/>
      <c r="F1158" s="229"/>
      <c r="G1158" s="229"/>
      <c r="H1158" s="229"/>
      <c r="I1158" s="229"/>
      <c r="J1158" s="229"/>
      <c r="K1158" s="230"/>
    </row>
    <row r="1159" spans="2:11">
      <c r="B1159" s="5"/>
      <c r="C1159" s="6" t="s">
        <v>120</v>
      </c>
      <c r="D1159" s="7">
        <v>7</v>
      </c>
      <c r="E1159" s="7">
        <v>6</v>
      </c>
      <c r="F1159" s="7">
        <v>5</v>
      </c>
      <c r="G1159" s="7">
        <v>4</v>
      </c>
      <c r="H1159" s="7">
        <v>3</v>
      </c>
      <c r="I1159" s="7">
        <v>2</v>
      </c>
      <c r="J1159" s="7">
        <v>1</v>
      </c>
      <c r="K1159" s="7">
        <v>0</v>
      </c>
    </row>
    <row r="1160" spans="2:11">
      <c r="B1160" s="5"/>
      <c r="C1160" s="8" t="s">
        <v>6</v>
      </c>
      <c r="D1160" s="176" t="str">
        <f>"CTRL_EFF_TABLE_"&amp;B1158-$B$1118&amp;"[7:0]"</f>
        <v>CTRL_EFF_TABLE_5[7:0]</v>
      </c>
      <c r="E1160" s="102"/>
      <c r="F1160" s="102"/>
      <c r="G1160" s="102"/>
      <c r="H1160" s="102"/>
      <c r="I1160" s="102"/>
      <c r="J1160" s="102"/>
      <c r="K1160" s="177"/>
    </row>
    <row r="1161" spans="2:11">
      <c r="B1161" s="5" t="str">
        <f>CONCATENATE(D1161,E1161,F1161,G1161,H1161,I1161,J1161,K1161)</f>
        <v>00000000</v>
      </c>
      <c r="C1161" s="8" t="s">
        <v>123</v>
      </c>
      <c r="D1161" s="9">
        <v>0</v>
      </c>
      <c r="E1161" s="9">
        <v>0</v>
      </c>
      <c r="F1161" s="9">
        <v>0</v>
      </c>
      <c r="G1161" s="9">
        <v>0</v>
      </c>
      <c r="H1161" s="9">
        <v>0</v>
      </c>
      <c r="I1161" s="9">
        <v>0</v>
      </c>
      <c r="J1161" s="9">
        <v>0</v>
      </c>
      <c r="K1161" s="9">
        <v>0</v>
      </c>
    </row>
    <row r="1162" spans="2:11">
      <c r="B1162" s="5"/>
      <c r="C1162" s="102"/>
      <c r="D1162" s="102"/>
      <c r="E1162" s="102"/>
      <c r="F1162" s="102"/>
      <c r="G1162" s="102"/>
      <c r="H1162" s="102"/>
      <c r="I1162" s="102"/>
      <c r="J1162" s="102"/>
      <c r="K1162" s="102"/>
    </row>
    <row r="1163" spans="2:11" ht="13.5">
      <c r="B1163" s="3"/>
      <c r="C1163" s="10" t="s">
        <v>6</v>
      </c>
      <c r="D1163" s="143" t="s">
        <v>125</v>
      </c>
      <c r="E1163" s="143"/>
      <c r="F1163" s="10" t="s">
        <v>126</v>
      </c>
      <c r="G1163" s="143" t="s">
        <v>127</v>
      </c>
      <c r="H1163" s="143"/>
      <c r="I1163" s="143"/>
      <c r="J1163" s="143"/>
      <c r="K1163" s="10" t="s">
        <v>123</v>
      </c>
    </row>
    <row r="1164" spans="2:11" ht="13.5" customHeight="1">
      <c r="B1164" s="3"/>
      <c r="C1164" s="10" t="str">
        <f>D1160</f>
        <v>CTRL_EFF_TABLE_5[7:0]</v>
      </c>
      <c r="D1164" s="143" t="s">
        <v>1013</v>
      </c>
      <c r="E1164" s="143"/>
      <c r="F1164" s="10" t="s">
        <v>721</v>
      </c>
      <c r="G1164" s="143" t="str">
        <f>"Power efficieny when Iout is "&amp;(B1158-$B$1118)*50&amp;" to "&amp;(B1158-$B$1118+1)*50&amp;"mA"</f>
        <v>Power efficieny when Iout is 250 to 300mA</v>
      </c>
      <c r="H1164" s="143"/>
      <c r="I1164" s="143"/>
      <c r="J1164" s="143"/>
      <c r="K1164" s="10" t="s">
        <v>722</v>
      </c>
    </row>
    <row r="1166" spans="2:11">
      <c r="B1166" s="5">
        <f>B1158+1</f>
        <v>182</v>
      </c>
      <c r="C1166" s="228" t="str">
        <f>"4.8."&amp;B1166-$B$862+1&amp;" Addr 0x"&amp;DEC2HEX(B1166,8)&amp;" Control.Efficiency table "&amp;B1166-$B$1118</f>
        <v>4.8.39 Addr 0x000000B6 Control.Efficiency table 6</v>
      </c>
      <c r="D1166" s="229"/>
      <c r="E1166" s="229"/>
      <c r="F1166" s="229"/>
      <c r="G1166" s="229"/>
      <c r="H1166" s="229"/>
      <c r="I1166" s="229"/>
      <c r="J1166" s="229"/>
      <c r="K1166" s="230"/>
    </row>
    <row r="1167" spans="2:11">
      <c r="B1167" s="5"/>
      <c r="C1167" s="6" t="s">
        <v>120</v>
      </c>
      <c r="D1167" s="7">
        <v>7</v>
      </c>
      <c r="E1167" s="7">
        <v>6</v>
      </c>
      <c r="F1167" s="7">
        <v>5</v>
      </c>
      <c r="G1167" s="7">
        <v>4</v>
      </c>
      <c r="H1167" s="7">
        <v>3</v>
      </c>
      <c r="I1167" s="7">
        <v>2</v>
      </c>
      <c r="J1167" s="7">
        <v>1</v>
      </c>
      <c r="K1167" s="7">
        <v>0</v>
      </c>
    </row>
    <row r="1168" spans="2:11">
      <c r="B1168" s="5"/>
      <c r="C1168" s="8" t="s">
        <v>6</v>
      </c>
      <c r="D1168" s="176" t="str">
        <f>"CTRL_EFF_TABLE_"&amp;B1166-$B$1118&amp;"[7:0]"</f>
        <v>CTRL_EFF_TABLE_6[7:0]</v>
      </c>
      <c r="E1168" s="102"/>
      <c r="F1168" s="102"/>
      <c r="G1168" s="102"/>
      <c r="H1168" s="102"/>
      <c r="I1168" s="102"/>
      <c r="J1168" s="102"/>
      <c r="K1168" s="177"/>
    </row>
    <row r="1169" spans="2:11">
      <c r="B1169" s="5" t="str">
        <f>CONCATENATE(D1169,E1169,F1169,G1169,H1169,I1169,J1169,K1169)</f>
        <v>00000000</v>
      </c>
      <c r="C1169" s="8" t="s">
        <v>123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>
        <v>0</v>
      </c>
      <c r="K1169" s="9">
        <v>0</v>
      </c>
    </row>
    <row r="1170" spans="2:11">
      <c r="B1170" s="5"/>
      <c r="C1170" s="102"/>
      <c r="D1170" s="102"/>
      <c r="E1170" s="102"/>
      <c r="F1170" s="102"/>
      <c r="G1170" s="102"/>
      <c r="H1170" s="102"/>
      <c r="I1170" s="102"/>
      <c r="J1170" s="102"/>
      <c r="K1170" s="102"/>
    </row>
    <row r="1171" spans="2:11" ht="13.5">
      <c r="B1171" s="3"/>
      <c r="C1171" s="10" t="s">
        <v>6</v>
      </c>
      <c r="D1171" s="143" t="s">
        <v>125</v>
      </c>
      <c r="E1171" s="143"/>
      <c r="F1171" s="10" t="s">
        <v>126</v>
      </c>
      <c r="G1171" s="143" t="s">
        <v>127</v>
      </c>
      <c r="H1171" s="143"/>
      <c r="I1171" s="143"/>
      <c r="J1171" s="143"/>
      <c r="K1171" s="10" t="s">
        <v>123</v>
      </c>
    </row>
    <row r="1172" spans="2:11" ht="13.5" customHeight="1">
      <c r="B1172" s="3"/>
      <c r="C1172" s="10" t="str">
        <f>D1168</f>
        <v>CTRL_EFF_TABLE_6[7:0]</v>
      </c>
      <c r="D1172" s="143" t="s">
        <v>1013</v>
      </c>
      <c r="E1172" s="143"/>
      <c r="F1172" s="10" t="s">
        <v>721</v>
      </c>
      <c r="G1172" s="143" t="str">
        <f>"Power efficieny when Iout is "&amp;(B1166-$B$1118)*50&amp;" to "&amp;(B1166-$B$1118+1)*50&amp;"mA"</f>
        <v>Power efficieny when Iout is 300 to 350mA</v>
      </c>
      <c r="H1172" s="143"/>
      <c r="I1172" s="143"/>
      <c r="J1172" s="143"/>
      <c r="K1172" s="10" t="s">
        <v>722</v>
      </c>
    </row>
    <row r="1174" spans="2:11">
      <c r="B1174" s="5">
        <f>B1166+1</f>
        <v>183</v>
      </c>
      <c r="C1174" s="228" t="str">
        <f>"4.8."&amp;B1174-$B$862+1&amp;" Addr 0x"&amp;DEC2HEX(B1174,8)&amp;" Control.Efficiency table "&amp;B1174-$B$1118</f>
        <v>4.8.40 Addr 0x000000B7 Control.Efficiency table 7</v>
      </c>
      <c r="D1174" s="229"/>
      <c r="E1174" s="229"/>
      <c r="F1174" s="229"/>
      <c r="G1174" s="229"/>
      <c r="H1174" s="229"/>
      <c r="I1174" s="229"/>
      <c r="J1174" s="229"/>
      <c r="K1174" s="230"/>
    </row>
    <row r="1175" spans="2:11">
      <c r="B1175" s="5"/>
      <c r="C1175" s="6" t="s">
        <v>120</v>
      </c>
      <c r="D1175" s="7">
        <v>7</v>
      </c>
      <c r="E1175" s="7">
        <v>6</v>
      </c>
      <c r="F1175" s="7">
        <v>5</v>
      </c>
      <c r="G1175" s="7">
        <v>4</v>
      </c>
      <c r="H1175" s="7">
        <v>3</v>
      </c>
      <c r="I1175" s="7">
        <v>2</v>
      </c>
      <c r="J1175" s="7">
        <v>1</v>
      </c>
      <c r="K1175" s="7">
        <v>0</v>
      </c>
    </row>
    <row r="1176" spans="2:11">
      <c r="B1176" s="5"/>
      <c r="C1176" s="8" t="s">
        <v>6</v>
      </c>
      <c r="D1176" s="176" t="str">
        <f>"CTRL_EFF_TABLE_"&amp;B1174-$B$1118&amp;"[7:0]"</f>
        <v>CTRL_EFF_TABLE_7[7:0]</v>
      </c>
      <c r="E1176" s="102"/>
      <c r="F1176" s="102"/>
      <c r="G1176" s="102"/>
      <c r="H1176" s="102"/>
      <c r="I1176" s="102"/>
      <c r="J1176" s="102"/>
      <c r="K1176" s="177"/>
    </row>
    <row r="1177" spans="2:11">
      <c r="B1177" s="5" t="str">
        <f>CONCATENATE(D1177,E1177,F1177,G1177,H1177,I1177,J1177,K1177)</f>
        <v>00000000</v>
      </c>
      <c r="C1177" s="8" t="s">
        <v>123</v>
      </c>
      <c r="D1177" s="9">
        <v>0</v>
      </c>
      <c r="E1177" s="9">
        <v>0</v>
      </c>
      <c r="F1177" s="9">
        <v>0</v>
      </c>
      <c r="G1177" s="9">
        <v>0</v>
      </c>
      <c r="H1177" s="9">
        <v>0</v>
      </c>
      <c r="I1177" s="9">
        <v>0</v>
      </c>
      <c r="J1177" s="9">
        <v>0</v>
      </c>
      <c r="K1177" s="9">
        <v>0</v>
      </c>
    </row>
    <row r="1178" spans="2:11">
      <c r="B1178" s="5"/>
      <c r="C1178" s="102"/>
      <c r="D1178" s="102"/>
      <c r="E1178" s="102"/>
      <c r="F1178" s="102"/>
      <c r="G1178" s="102"/>
      <c r="H1178" s="102"/>
      <c r="I1178" s="102"/>
      <c r="J1178" s="102"/>
      <c r="K1178" s="102"/>
    </row>
    <row r="1179" spans="2:11" ht="13.5">
      <c r="B1179" s="3"/>
      <c r="C1179" s="10" t="s">
        <v>6</v>
      </c>
      <c r="D1179" s="143" t="s">
        <v>125</v>
      </c>
      <c r="E1179" s="143"/>
      <c r="F1179" s="10" t="s">
        <v>126</v>
      </c>
      <c r="G1179" s="143" t="s">
        <v>127</v>
      </c>
      <c r="H1179" s="143"/>
      <c r="I1179" s="143"/>
      <c r="J1179" s="143"/>
      <c r="K1179" s="10" t="s">
        <v>123</v>
      </c>
    </row>
    <row r="1180" spans="2:11" ht="13.5" customHeight="1">
      <c r="B1180" s="3"/>
      <c r="C1180" s="10" t="str">
        <f>D1176</f>
        <v>CTRL_EFF_TABLE_7[7:0]</v>
      </c>
      <c r="D1180" s="143" t="s">
        <v>1013</v>
      </c>
      <c r="E1180" s="143"/>
      <c r="F1180" s="10" t="s">
        <v>721</v>
      </c>
      <c r="G1180" s="143" t="str">
        <f>"Power efficieny when Iout is "&amp;(B1174-$B$1118)*50&amp;" to "&amp;(B1174-$B$1118+1)*50&amp;"mA"</f>
        <v>Power efficieny when Iout is 350 to 400mA</v>
      </c>
      <c r="H1180" s="143"/>
      <c r="I1180" s="143"/>
      <c r="J1180" s="143"/>
      <c r="K1180" s="10" t="s">
        <v>722</v>
      </c>
    </row>
    <row r="1182" spans="2:11">
      <c r="B1182" s="5">
        <f>B1174+1</f>
        <v>184</v>
      </c>
      <c r="C1182" s="228" t="str">
        <f>"4.8."&amp;B1182-$B$862+1&amp;" Addr 0x"&amp;DEC2HEX(B1182,8)&amp;" Control.Efficiency table "&amp;B1182-$B$1118</f>
        <v>4.8.41 Addr 0x000000B8 Control.Efficiency table 8</v>
      </c>
      <c r="D1182" s="229"/>
      <c r="E1182" s="229"/>
      <c r="F1182" s="229"/>
      <c r="G1182" s="229"/>
      <c r="H1182" s="229"/>
      <c r="I1182" s="229"/>
      <c r="J1182" s="229"/>
      <c r="K1182" s="230"/>
    </row>
    <row r="1183" spans="2:11">
      <c r="B1183" s="5"/>
      <c r="C1183" s="6" t="s">
        <v>120</v>
      </c>
      <c r="D1183" s="7">
        <v>7</v>
      </c>
      <c r="E1183" s="7">
        <v>6</v>
      </c>
      <c r="F1183" s="7">
        <v>5</v>
      </c>
      <c r="G1183" s="7">
        <v>4</v>
      </c>
      <c r="H1183" s="7">
        <v>3</v>
      </c>
      <c r="I1183" s="7">
        <v>2</v>
      </c>
      <c r="J1183" s="7">
        <v>1</v>
      </c>
      <c r="K1183" s="7">
        <v>0</v>
      </c>
    </row>
    <row r="1184" spans="2:11">
      <c r="B1184" s="5"/>
      <c r="C1184" s="8" t="s">
        <v>6</v>
      </c>
      <c r="D1184" s="176" t="str">
        <f>"CTRL_EFF_TABLE_"&amp;B1182-$B$1118&amp;"[7:0]"</f>
        <v>CTRL_EFF_TABLE_8[7:0]</v>
      </c>
      <c r="E1184" s="102"/>
      <c r="F1184" s="102"/>
      <c r="G1184" s="102"/>
      <c r="H1184" s="102"/>
      <c r="I1184" s="102"/>
      <c r="J1184" s="102"/>
      <c r="K1184" s="177"/>
    </row>
    <row r="1185" spans="2:11">
      <c r="B1185" s="5" t="str">
        <f>CONCATENATE(D1185,E1185,F1185,G1185,H1185,I1185,J1185,K1185)</f>
        <v>00000000</v>
      </c>
      <c r="C1185" s="8" t="s">
        <v>123</v>
      </c>
      <c r="D1185" s="9">
        <v>0</v>
      </c>
      <c r="E1185" s="9">
        <v>0</v>
      </c>
      <c r="F1185" s="9">
        <v>0</v>
      </c>
      <c r="G1185" s="9">
        <v>0</v>
      </c>
      <c r="H1185" s="9">
        <v>0</v>
      </c>
      <c r="I1185" s="9">
        <v>0</v>
      </c>
      <c r="J1185" s="9">
        <v>0</v>
      </c>
      <c r="K1185" s="9">
        <v>0</v>
      </c>
    </row>
    <row r="1186" spans="2:11">
      <c r="B1186" s="5"/>
      <c r="C1186" s="102"/>
      <c r="D1186" s="102"/>
      <c r="E1186" s="102"/>
      <c r="F1186" s="102"/>
      <c r="G1186" s="102"/>
      <c r="H1186" s="102"/>
      <c r="I1186" s="102"/>
      <c r="J1186" s="102"/>
      <c r="K1186" s="102"/>
    </row>
    <row r="1187" spans="2:11" ht="13.5">
      <c r="B1187" s="3"/>
      <c r="C1187" s="10" t="s">
        <v>6</v>
      </c>
      <c r="D1187" s="143" t="s">
        <v>125</v>
      </c>
      <c r="E1187" s="143"/>
      <c r="F1187" s="10" t="s">
        <v>126</v>
      </c>
      <c r="G1187" s="143" t="s">
        <v>127</v>
      </c>
      <c r="H1187" s="143"/>
      <c r="I1187" s="143"/>
      <c r="J1187" s="143"/>
      <c r="K1187" s="10" t="s">
        <v>123</v>
      </c>
    </row>
    <row r="1188" spans="2:11" ht="13.5" customHeight="1">
      <c r="B1188" s="3"/>
      <c r="C1188" s="10" t="str">
        <f>D1184</f>
        <v>CTRL_EFF_TABLE_8[7:0]</v>
      </c>
      <c r="D1188" s="143" t="s">
        <v>1013</v>
      </c>
      <c r="E1188" s="143"/>
      <c r="F1188" s="10" t="s">
        <v>721</v>
      </c>
      <c r="G1188" s="143" t="str">
        <f>"Power efficieny when Iout is "&amp;(B1182-$B$1118)*50&amp;" to "&amp;(B1182-$B$1118+1)*50&amp;"mA"</f>
        <v>Power efficieny when Iout is 400 to 450mA</v>
      </c>
      <c r="H1188" s="143"/>
      <c r="I1188" s="143"/>
      <c r="J1188" s="143"/>
      <c r="K1188" s="10" t="s">
        <v>722</v>
      </c>
    </row>
    <row r="1190" spans="2:11">
      <c r="B1190" s="5">
        <f>B1182+1</f>
        <v>185</v>
      </c>
      <c r="C1190" s="228" t="str">
        <f>"4.8."&amp;B1190-$B$862+1&amp;" Addr 0x"&amp;DEC2HEX(B1190,8)&amp;" Control.Efficiency table "&amp;B1190-$B$1118</f>
        <v>4.8.42 Addr 0x000000B9 Control.Efficiency table 9</v>
      </c>
      <c r="D1190" s="229"/>
      <c r="E1190" s="229"/>
      <c r="F1190" s="229"/>
      <c r="G1190" s="229"/>
      <c r="H1190" s="229"/>
      <c r="I1190" s="229"/>
      <c r="J1190" s="229"/>
      <c r="K1190" s="230"/>
    </row>
    <row r="1191" spans="2:11">
      <c r="B1191" s="5"/>
      <c r="C1191" s="6" t="s">
        <v>120</v>
      </c>
      <c r="D1191" s="7">
        <v>7</v>
      </c>
      <c r="E1191" s="7">
        <v>6</v>
      </c>
      <c r="F1191" s="7">
        <v>5</v>
      </c>
      <c r="G1191" s="7">
        <v>4</v>
      </c>
      <c r="H1191" s="7">
        <v>3</v>
      </c>
      <c r="I1191" s="7">
        <v>2</v>
      </c>
      <c r="J1191" s="7">
        <v>1</v>
      </c>
      <c r="K1191" s="7">
        <v>0</v>
      </c>
    </row>
    <row r="1192" spans="2:11">
      <c r="B1192" s="5"/>
      <c r="C1192" s="8" t="s">
        <v>6</v>
      </c>
      <c r="D1192" s="176" t="str">
        <f>"CTRL_EFF_TABLE_"&amp;B1190-$B$1118&amp;"[7:0]"</f>
        <v>CTRL_EFF_TABLE_9[7:0]</v>
      </c>
      <c r="E1192" s="102"/>
      <c r="F1192" s="102"/>
      <c r="G1192" s="102"/>
      <c r="H1192" s="102"/>
      <c r="I1192" s="102"/>
      <c r="J1192" s="102"/>
      <c r="K1192" s="177"/>
    </row>
    <row r="1193" spans="2:11">
      <c r="B1193" s="5" t="str">
        <f>CONCATENATE(D1193,E1193,F1193,G1193,H1193,I1193,J1193,K1193)</f>
        <v>00000000</v>
      </c>
      <c r="C1193" s="8" t="s">
        <v>123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</row>
    <row r="1194" spans="2:11">
      <c r="B1194" s="5"/>
      <c r="C1194" s="102"/>
      <c r="D1194" s="102"/>
      <c r="E1194" s="102"/>
      <c r="F1194" s="102"/>
      <c r="G1194" s="102"/>
      <c r="H1194" s="102"/>
      <c r="I1194" s="102"/>
      <c r="J1194" s="102"/>
      <c r="K1194" s="102"/>
    </row>
    <row r="1195" spans="2:11" ht="13.5">
      <c r="B1195" s="3"/>
      <c r="C1195" s="10" t="s">
        <v>6</v>
      </c>
      <c r="D1195" s="143" t="s">
        <v>125</v>
      </c>
      <c r="E1195" s="143"/>
      <c r="F1195" s="10" t="s">
        <v>126</v>
      </c>
      <c r="G1195" s="143" t="s">
        <v>127</v>
      </c>
      <c r="H1195" s="143"/>
      <c r="I1195" s="143"/>
      <c r="J1195" s="143"/>
      <c r="K1195" s="10" t="s">
        <v>123</v>
      </c>
    </row>
    <row r="1196" spans="2:11" ht="13.5" customHeight="1">
      <c r="B1196" s="3"/>
      <c r="C1196" s="10" t="str">
        <f>D1192</f>
        <v>CTRL_EFF_TABLE_9[7:0]</v>
      </c>
      <c r="D1196" s="143" t="s">
        <v>1013</v>
      </c>
      <c r="E1196" s="143"/>
      <c r="F1196" s="10" t="s">
        <v>721</v>
      </c>
      <c r="G1196" s="143" t="str">
        <f>"Power efficieny when Iout is "&amp;(B1190-$B$1118)*50&amp;" to "&amp;(B1190-$B$1118+1)*50&amp;"mA"</f>
        <v>Power efficieny when Iout is 450 to 500mA</v>
      </c>
      <c r="H1196" s="143"/>
      <c r="I1196" s="143"/>
      <c r="J1196" s="143"/>
      <c r="K1196" s="10" t="s">
        <v>722</v>
      </c>
    </row>
    <row r="1198" spans="2:11">
      <c r="B1198" s="5">
        <f>B1190+1</f>
        <v>186</v>
      </c>
      <c r="C1198" s="228" t="str">
        <f>"4.8."&amp;B1198-$B$862+1&amp;" Addr 0x"&amp;DEC2HEX(B1198,8)&amp;" Control.Efficiency table "&amp;B1198-$B$1118</f>
        <v>4.8.43 Addr 0x000000BA Control.Efficiency table 10</v>
      </c>
      <c r="D1198" s="229"/>
      <c r="E1198" s="229"/>
      <c r="F1198" s="229"/>
      <c r="G1198" s="229"/>
      <c r="H1198" s="229"/>
      <c r="I1198" s="229"/>
      <c r="J1198" s="229"/>
      <c r="K1198" s="230"/>
    </row>
    <row r="1199" spans="2:11">
      <c r="B1199" s="5"/>
      <c r="C1199" s="6" t="s">
        <v>120</v>
      </c>
      <c r="D1199" s="7">
        <v>7</v>
      </c>
      <c r="E1199" s="7">
        <v>6</v>
      </c>
      <c r="F1199" s="7">
        <v>5</v>
      </c>
      <c r="G1199" s="7">
        <v>4</v>
      </c>
      <c r="H1199" s="7">
        <v>3</v>
      </c>
      <c r="I1199" s="7">
        <v>2</v>
      </c>
      <c r="J1199" s="7">
        <v>1</v>
      </c>
      <c r="K1199" s="7">
        <v>0</v>
      </c>
    </row>
    <row r="1200" spans="2:11">
      <c r="B1200" s="5"/>
      <c r="C1200" s="8" t="s">
        <v>6</v>
      </c>
      <c r="D1200" s="176" t="str">
        <f>"CTRL_EFF_TABLE_"&amp;B1198-$B$1118&amp;"[7:0]"</f>
        <v>CTRL_EFF_TABLE_10[7:0]</v>
      </c>
      <c r="E1200" s="102"/>
      <c r="F1200" s="102"/>
      <c r="G1200" s="102"/>
      <c r="H1200" s="102"/>
      <c r="I1200" s="102"/>
      <c r="J1200" s="102"/>
      <c r="K1200" s="177"/>
    </row>
    <row r="1201" spans="2:11">
      <c r="B1201" s="5" t="str">
        <f>CONCATENATE(D1201,E1201,F1201,G1201,H1201,I1201,J1201,K1201)</f>
        <v>00000000</v>
      </c>
      <c r="C1201" s="8" t="s">
        <v>123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0</v>
      </c>
    </row>
    <row r="1202" spans="2:11">
      <c r="B1202" s="5"/>
      <c r="C1202" s="102"/>
      <c r="D1202" s="102"/>
      <c r="E1202" s="102"/>
      <c r="F1202" s="102"/>
      <c r="G1202" s="102"/>
      <c r="H1202" s="102"/>
      <c r="I1202" s="102"/>
      <c r="J1202" s="102"/>
      <c r="K1202" s="102"/>
    </row>
    <row r="1203" spans="2:11" ht="13.5">
      <c r="B1203" s="3"/>
      <c r="C1203" s="10" t="s">
        <v>6</v>
      </c>
      <c r="D1203" s="143" t="s">
        <v>125</v>
      </c>
      <c r="E1203" s="143"/>
      <c r="F1203" s="10" t="s">
        <v>126</v>
      </c>
      <c r="G1203" s="143" t="s">
        <v>127</v>
      </c>
      <c r="H1203" s="143"/>
      <c r="I1203" s="143"/>
      <c r="J1203" s="143"/>
      <c r="K1203" s="10" t="s">
        <v>123</v>
      </c>
    </row>
    <row r="1204" spans="2:11" ht="13.5" customHeight="1">
      <c r="B1204" s="3"/>
      <c r="C1204" s="10" t="str">
        <f>D1200</f>
        <v>CTRL_EFF_TABLE_10[7:0]</v>
      </c>
      <c r="D1204" s="143" t="s">
        <v>1013</v>
      </c>
      <c r="E1204" s="143"/>
      <c r="F1204" s="10" t="s">
        <v>721</v>
      </c>
      <c r="G1204" s="143" t="str">
        <f>"Power efficieny when Iout is "&amp;(B1198-$B$1118)*50&amp;" to "&amp;(B1198-$B$1118+1)*50&amp;"mA"</f>
        <v>Power efficieny when Iout is 500 to 550mA</v>
      </c>
      <c r="H1204" s="143"/>
      <c r="I1204" s="143"/>
      <c r="J1204" s="143"/>
      <c r="K1204" s="10" t="s">
        <v>722</v>
      </c>
    </row>
    <row r="1206" spans="2:11">
      <c r="B1206" s="5">
        <f>B1198+1</f>
        <v>187</v>
      </c>
      <c r="C1206" s="228" t="str">
        <f>"4.8."&amp;B1206-$B$862+1&amp;" Addr 0x"&amp;DEC2HEX(B1206,8)&amp;" Control.Efficiency table "&amp;B1206-$B$1118</f>
        <v>4.8.44 Addr 0x000000BB Control.Efficiency table 11</v>
      </c>
      <c r="D1206" s="229"/>
      <c r="E1206" s="229"/>
      <c r="F1206" s="229"/>
      <c r="G1206" s="229"/>
      <c r="H1206" s="229"/>
      <c r="I1206" s="229"/>
      <c r="J1206" s="229"/>
      <c r="K1206" s="230"/>
    </row>
    <row r="1207" spans="2:11">
      <c r="B1207" s="5"/>
      <c r="C1207" s="6" t="s">
        <v>120</v>
      </c>
      <c r="D1207" s="7">
        <v>7</v>
      </c>
      <c r="E1207" s="7">
        <v>6</v>
      </c>
      <c r="F1207" s="7">
        <v>5</v>
      </c>
      <c r="G1207" s="7">
        <v>4</v>
      </c>
      <c r="H1207" s="7">
        <v>3</v>
      </c>
      <c r="I1207" s="7">
        <v>2</v>
      </c>
      <c r="J1207" s="7">
        <v>1</v>
      </c>
      <c r="K1207" s="7">
        <v>0</v>
      </c>
    </row>
    <row r="1208" spans="2:11">
      <c r="B1208" s="5"/>
      <c r="C1208" s="8" t="s">
        <v>6</v>
      </c>
      <c r="D1208" s="176" t="str">
        <f>"CTRL_EFF_TABLE_"&amp;B1206-$B$1118&amp;"[7:0]"</f>
        <v>CTRL_EFF_TABLE_11[7:0]</v>
      </c>
      <c r="E1208" s="102"/>
      <c r="F1208" s="102"/>
      <c r="G1208" s="102"/>
      <c r="H1208" s="102"/>
      <c r="I1208" s="102"/>
      <c r="J1208" s="102"/>
      <c r="K1208" s="177"/>
    </row>
    <row r="1209" spans="2:11">
      <c r="B1209" s="5" t="str">
        <f>CONCATENATE(D1209,E1209,F1209,G1209,H1209,I1209,J1209,K1209)</f>
        <v>00000000</v>
      </c>
      <c r="C1209" s="8" t="s">
        <v>123</v>
      </c>
      <c r="D1209" s="9">
        <v>0</v>
      </c>
      <c r="E1209" s="9">
        <v>0</v>
      </c>
      <c r="F1209" s="9">
        <v>0</v>
      </c>
      <c r="G1209" s="9">
        <v>0</v>
      </c>
      <c r="H1209" s="9">
        <v>0</v>
      </c>
      <c r="I1209" s="9">
        <v>0</v>
      </c>
      <c r="J1209" s="9">
        <v>0</v>
      </c>
      <c r="K1209" s="9">
        <v>0</v>
      </c>
    </row>
    <row r="1210" spans="2:11">
      <c r="B1210" s="5"/>
      <c r="C1210" s="102"/>
      <c r="D1210" s="102"/>
      <c r="E1210" s="102"/>
      <c r="F1210" s="102"/>
      <c r="G1210" s="102"/>
      <c r="H1210" s="102"/>
      <c r="I1210" s="102"/>
      <c r="J1210" s="102"/>
      <c r="K1210" s="102"/>
    </row>
    <row r="1211" spans="2:11" ht="13.5">
      <c r="B1211" s="3"/>
      <c r="C1211" s="10" t="s">
        <v>6</v>
      </c>
      <c r="D1211" s="143" t="s">
        <v>125</v>
      </c>
      <c r="E1211" s="143"/>
      <c r="F1211" s="10" t="s">
        <v>126</v>
      </c>
      <c r="G1211" s="143" t="s">
        <v>127</v>
      </c>
      <c r="H1211" s="143"/>
      <c r="I1211" s="143"/>
      <c r="J1211" s="143"/>
      <c r="K1211" s="10" t="s">
        <v>123</v>
      </c>
    </row>
    <row r="1212" spans="2:11" ht="13.5" customHeight="1">
      <c r="B1212" s="3"/>
      <c r="C1212" s="10" t="str">
        <f>D1208</f>
        <v>CTRL_EFF_TABLE_11[7:0]</v>
      </c>
      <c r="D1212" s="143" t="s">
        <v>1013</v>
      </c>
      <c r="E1212" s="143"/>
      <c r="F1212" s="10" t="s">
        <v>721</v>
      </c>
      <c r="G1212" s="143" t="str">
        <f>"Power efficieny when Iout is "&amp;(B1206-$B$1118)*50&amp;" to "&amp;(B1206-$B$1118+1)*50&amp;"mA"</f>
        <v>Power efficieny when Iout is 550 to 600mA</v>
      </c>
      <c r="H1212" s="143"/>
      <c r="I1212" s="143"/>
      <c r="J1212" s="143"/>
      <c r="K1212" s="10" t="s">
        <v>722</v>
      </c>
    </row>
    <row r="1214" spans="2:11">
      <c r="B1214" s="5">
        <f>B1206+1</f>
        <v>188</v>
      </c>
      <c r="C1214" s="228" t="str">
        <f>"4.8."&amp;B1214-$B$862+1&amp;" Addr 0x"&amp;DEC2HEX(B1214,8)&amp;" Control.Efficiency table "&amp;B1214-$B$1118</f>
        <v>4.8.45 Addr 0x000000BC Control.Efficiency table 12</v>
      </c>
      <c r="D1214" s="229"/>
      <c r="E1214" s="229"/>
      <c r="F1214" s="229"/>
      <c r="G1214" s="229"/>
      <c r="H1214" s="229"/>
      <c r="I1214" s="229"/>
      <c r="J1214" s="229"/>
      <c r="K1214" s="230"/>
    </row>
    <row r="1215" spans="2:11">
      <c r="B1215" s="5"/>
      <c r="C1215" s="6" t="s">
        <v>120</v>
      </c>
      <c r="D1215" s="7">
        <v>7</v>
      </c>
      <c r="E1215" s="7">
        <v>6</v>
      </c>
      <c r="F1215" s="7">
        <v>5</v>
      </c>
      <c r="G1215" s="7">
        <v>4</v>
      </c>
      <c r="H1215" s="7">
        <v>3</v>
      </c>
      <c r="I1215" s="7">
        <v>2</v>
      </c>
      <c r="J1215" s="7">
        <v>1</v>
      </c>
      <c r="K1215" s="7">
        <v>0</v>
      </c>
    </row>
    <row r="1216" spans="2:11">
      <c r="B1216" s="5"/>
      <c r="C1216" s="8" t="s">
        <v>6</v>
      </c>
      <c r="D1216" s="176" t="str">
        <f>"CTRL_EFF_TABLE_"&amp;B1214-$B$1118&amp;"[7:0]"</f>
        <v>CTRL_EFF_TABLE_12[7:0]</v>
      </c>
      <c r="E1216" s="102"/>
      <c r="F1216" s="102"/>
      <c r="G1216" s="102"/>
      <c r="H1216" s="102"/>
      <c r="I1216" s="102"/>
      <c r="J1216" s="102"/>
      <c r="K1216" s="177"/>
    </row>
    <row r="1217" spans="2:11">
      <c r="B1217" s="5" t="str">
        <f>CONCATENATE(D1217,E1217,F1217,G1217,H1217,I1217,J1217,K1217)</f>
        <v>00000000</v>
      </c>
      <c r="C1217" s="8" t="s">
        <v>123</v>
      </c>
      <c r="D1217" s="9">
        <v>0</v>
      </c>
      <c r="E1217" s="9">
        <v>0</v>
      </c>
      <c r="F1217" s="9">
        <v>0</v>
      </c>
      <c r="G1217" s="9">
        <v>0</v>
      </c>
      <c r="H1217" s="9">
        <v>0</v>
      </c>
      <c r="I1217" s="9">
        <v>0</v>
      </c>
      <c r="J1217" s="9">
        <v>0</v>
      </c>
      <c r="K1217" s="9">
        <v>0</v>
      </c>
    </row>
    <row r="1218" spans="2:11">
      <c r="B1218" s="5"/>
      <c r="C1218" s="102"/>
      <c r="D1218" s="102"/>
      <c r="E1218" s="102"/>
      <c r="F1218" s="102"/>
      <c r="G1218" s="102"/>
      <c r="H1218" s="102"/>
      <c r="I1218" s="102"/>
      <c r="J1218" s="102"/>
      <c r="K1218" s="102"/>
    </row>
    <row r="1219" spans="2:11" ht="13.5">
      <c r="B1219" s="3"/>
      <c r="C1219" s="10" t="s">
        <v>6</v>
      </c>
      <c r="D1219" s="143" t="s">
        <v>125</v>
      </c>
      <c r="E1219" s="143"/>
      <c r="F1219" s="10" t="s">
        <v>126</v>
      </c>
      <c r="G1219" s="143" t="s">
        <v>127</v>
      </c>
      <c r="H1219" s="143"/>
      <c r="I1219" s="143"/>
      <c r="J1219" s="143"/>
      <c r="K1219" s="10" t="s">
        <v>123</v>
      </c>
    </row>
    <row r="1220" spans="2:11" ht="13.5" customHeight="1">
      <c r="B1220" s="3"/>
      <c r="C1220" s="10" t="str">
        <f>D1216</f>
        <v>CTRL_EFF_TABLE_12[7:0]</v>
      </c>
      <c r="D1220" s="143" t="s">
        <v>1013</v>
      </c>
      <c r="E1220" s="143"/>
      <c r="F1220" s="10" t="s">
        <v>721</v>
      </c>
      <c r="G1220" s="143" t="str">
        <f>"Power efficieny when Iout is "&amp;(B1214-$B$1118)*50&amp;" to "&amp;(B1214-$B$1118+1)*50&amp;"mA"</f>
        <v>Power efficieny when Iout is 600 to 650mA</v>
      </c>
      <c r="H1220" s="143"/>
      <c r="I1220" s="143"/>
      <c r="J1220" s="143"/>
      <c r="K1220" s="10" t="s">
        <v>722</v>
      </c>
    </row>
    <row r="1222" spans="2:11">
      <c r="B1222" s="5">
        <f>B1214+1</f>
        <v>189</v>
      </c>
      <c r="C1222" s="228" t="str">
        <f>"4.8."&amp;B1222-$B$862+1&amp;" Addr 0x"&amp;DEC2HEX(B1222,8)&amp;" Control.Efficiency table "&amp;B1222-$B$1118</f>
        <v>4.8.46 Addr 0x000000BD Control.Efficiency table 13</v>
      </c>
      <c r="D1222" s="229"/>
      <c r="E1222" s="229"/>
      <c r="F1222" s="229"/>
      <c r="G1222" s="229"/>
      <c r="H1222" s="229"/>
      <c r="I1222" s="229"/>
      <c r="J1222" s="229"/>
      <c r="K1222" s="230"/>
    </row>
    <row r="1223" spans="2:11">
      <c r="B1223" s="5"/>
      <c r="C1223" s="6" t="s">
        <v>120</v>
      </c>
      <c r="D1223" s="7">
        <v>7</v>
      </c>
      <c r="E1223" s="7">
        <v>6</v>
      </c>
      <c r="F1223" s="7">
        <v>5</v>
      </c>
      <c r="G1223" s="7">
        <v>4</v>
      </c>
      <c r="H1223" s="7">
        <v>3</v>
      </c>
      <c r="I1223" s="7">
        <v>2</v>
      </c>
      <c r="J1223" s="7">
        <v>1</v>
      </c>
      <c r="K1223" s="7">
        <v>0</v>
      </c>
    </row>
    <row r="1224" spans="2:11">
      <c r="B1224" s="5"/>
      <c r="C1224" s="8" t="s">
        <v>6</v>
      </c>
      <c r="D1224" s="176" t="str">
        <f>"CTRL_EFF_TABLE_"&amp;B1222-$B$1118&amp;"[7:0]"</f>
        <v>CTRL_EFF_TABLE_13[7:0]</v>
      </c>
      <c r="E1224" s="102"/>
      <c r="F1224" s="102"/>
      <c r="G1224" s="102"/>
      <c r="H1224" s="102"/>
      <c r="I1224" s="102"/>
      <c r="J1224" s="102"/>
      <c r="K1224" s="177"/>
    </row>
    <row r="1225" spans="2:11">
      <c r="B1225" s="5" t="str">
        <f>CONCATENATE(D1225,E1225,F1225,G1225,H1225,I1225,J1225,K1225)</f>
        <v>00000000</v>
      </c>
      <c r="C1225" s="8" t="s">
        <v>123</v>
      </c>
      <c r="D1225" s="9">
        <v>0</v>
      </c>
      <c r="E1225" s="9">
        <v>0</v>
      </c>
      <c r="F1225" s="9">
        <v>0</v>
      </c>
      <c r="G1225" s="9">
        <v>0</v>
      </c>
      <c r="H1225" s="9">
        <v>0</v>
      </c>
      <c r="I1225" s="9">
        <v>0</v>
      </c>
      <c r="J1225" s="9">
        <v>0</v>
      </c>
      <c r="K1225" s="9">
        <v>0</v>
      </c>
    </row>
    <row r="1226" spans="2:11">
      <c r="B1226" s="5"/>
      <c r="C1226" s="102"/>
      <c r="D1226" s="102"/>
      <c r="E1226" s="102"/>
      <c r="F1226" s="102"/>
      <c r="G1226" s="102"/>
      <c r="H1226" s="102"/>
      <c r="I1226" s="102"/>
      <c r="J1226" s="102"/>
      <c r="K1226" s="102"/>
    </row>
    <row r="1227" spans="2:11" ht="13.5">
      <c r="B1227" s="3"/>
      <c r="C1227" s="10" t="s">
        <v>6</v>
      </c>
      <c r="D1227" s="143" t="s">
        <v>125</v>
      </c>
      <c r="E1227" s="143"/>
      <c r="F1227" s="10" t="s">
        <v>126</v>
      </c>
      <c r="G1227" s="143" t="s">
        <v>127</v>
      </c>
      <c r="H1227" s="143"/>
      <c r="I1227" s="143"/>
      <c r="J1227" s="143"/>
      <c r="K1227" s="10" t="s">
        <v>123</v>
      </c>
    </row>
    <row r="1228" spans="2:11" ht="13.5" customHeight="1">
      <c r="B1228" s="3"/>
      <c r="C1228" s="10" t="str">
        <f>D1224</f>
        <v>CTRL_EFF_TABLE_13[7:0]</v>
      </c>
      <c r="D1228" s="143" t="s">
        <v>1013</v>
      </c>
      <c r="E1228" s="143"/>
      <c r="F1228" s="10" t="s">
        <v>721</v>
      </c>
      <c r="G1228" s="143" t="str">
        <f>"Power efficieny when Iout is "&amp;(B1222-$B$1118)*50&amp;" to "&amp;(B1222-$B$1118+1)*50&amp;"mA"</f>
        <v>Power efficieny when Iout is 650 to 700mA</v>
      </c>
      <c r="H1228" s="143"/>
      <c r="I1228" s="143"/>
      <c r="J1228" s="143"/>
      <c r="K1228" s="10" t="s">
        <v>722</v>
      </c>
    </row>
    <row r="1230" spans="2:11">
      <c r="B1230" s="5">
        <f>B1222+1</f>
        <v>190</v>
      </c>
      <c r="C1230" s="228" t="str">
        <f>"4.8."&amp;B1230-$B$862+1&amp;" Addr 0x"&amp;DEC2HEX(B1230,8)&amp;" Control.Efficiency table "&amp;B1230-$B$1118</f>
        <v>4.8.47 Addr 0x000000BE Control.Efficiency table 14</v>
      </c>
      <c r="D1230" s="229"/>
      <c r="E1230" s="229"/>
      <c r="F1230" s="229"/>
      <c r="G1230" s="229"/>
      <c r="H1230" s="229"/>
      <c r="I1230" s="229"/>
      <c r="J1230" s="229"/>
      <c r="K1230" s="230"/>
    </row>
    <row r="1231" spans="2:11">
      <c r="B1231" s="5"/>
      <c r="C1231" s="6" t="s">
        <v>120</v>
      </c>
      <c r="D1231" s="7">
        <v>7</v>
      </c>
      <c r="E1231" s="7">
        <v>6</v>
      </c>
      <c r="F1231" s="7">
        <v>5</v>
      </c>
      <c r="G1231" s="7">
        <v>4</v>
      </c>
      <c r="H1231" s="7">
        <v>3</v>
      </c>
      <c r="I1231" s="7">
        <v>2</v>
      </c>
      <c r="J1231" s="7">
        <v>1</v>
      </c>
      <c r="K1231" s="7">
        <v>0</v>
      </c>
    </row>
    <row r="1232" spans="2:11">
      <c r="B1232" s="5"/>
      <c r="C1232" s="8" t="s">
        <v>6</v>
      </c>
      <c r="D1232" s="176" t="str">
        <f>"CTRL_EFF_TABLE_"&amp;B1230-$B$1118&amp;"[7:0]"</f>
        <v>CTRL_EFF_TABLE_14[7:0]</v>
      </c>
      <c r="E1232" s="102"/>
      <c r="F1232" s="102"/>
      <c r="G1232" s="102"/>
      <c r="H1232" s="102"/>
      <c r="I1232" s="102"/>
      <c r="J1232" s="102"/>
      <c r="K1232" s="177"/>
    </row>
    <row r="1233" spans="2:11">
      <c r="B1233" s="5" t="str">
        <f>CONCATENATE(D1233,E1233,F1233,G1233,H1233,I1233,J1233,K1233)</f>
        <v>00000000</v>
      </c>
      <c r="C1233" s="8" t="s">
        <v>123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0</v>
      </c>
    </row>
    <row r="1234" spans="2:11">
      <c r="B1234" s="5"/>
      <c r="C1234" s="102"/>
      <c r="D1234" s="102"/>
      <c r="E1234" s="102"/>
      <c r="F1234" s="102"/>
      <c r="G1234" s="102"/>
      <c r="H1234" s="102"/>
      <c r="I1234" s="102"/>
      <c r="J1234" s="102"/>
      <c r="K1234" s="102"/>
    </row>
    <row r="1235" spans="2:11" ht="13.5">
      <c r="B1235" s="3"/>
      <c r="C1235" s="10" t="s">
        <v>6</v>
      </c>
      <c r="D1235" s="143" t="s">
        <v>125</v>
      </c>
      <c r="E1235" s="143"/>
      <c r="F1235" s="10" t="s">
        <v>126</v>
      </c>
      <c r="G1235" s="143" t="s">
        <v>127</v>
      </c>
      <c r="H1235" s="143"/>
      <c r="I1235" s="143"/>
      <c r="J1235" s="143"/>
      <c r="K1235" s="10" t="s">
        <v>123</v>
      </c>
    </row>
    <row r="1236" spans="2:11" ht="13.5" customHeight="1">
      <c r="B1236" s="3"/>
      <c r="C1236" s="10" t="str">
        <f>D1232</f>
        <v>CTRL_EFF_TABLE_14[7:0]</v>
      </c>
      <c r="D1236" s="143" t="s">
        <v>1013</v>
      </c>
      <c r="E1236" s="143"/>
      <c r="F1236" s="10" t="s">
        <v>721</v>
      </c>
      <c r="G1236" s="143" t="str">
        <f>"Power efficieny when Iout is "&amp;(B1230-$B$1118)*50&amp;" to "&amp;(B1230-$B$1118+1)*50&amp;"mA"</f>
        <v>Power efficieny when Iout is 700 to 750mA</v>
      </c>
      <c r="H1236" s="143"/>
      <c r="I1236" s="143"/>
      <c r="J1236" s="143"/>
      <c r="K1236" s="10" t="s">
        <v>722</v>
      </c>
    </row>
    <row r="1238" spans="2:11">
      <c r="B1238" s="5">
        <f>B1230+1</f>
        <v>191</v>
      </c>
      <c r="C1238" s="228" t="str">
        <f>"4.8."&amp;B1238-$B$862+1&amp;" Addr 0x"&amp;DEC2HEX(B1238,8)&amp;" Control.Efficiency table "&amp;B1238-$B$1118</f>
        <v>4.8.48 Addr 0x000000BF Control.Efficiency table 15</v>
      </c>
      <c r="D1238" s="229"/>
      <c r="E1238" s="229"/>
      <c r="F1238" s="229"/>
      <c r="G1238" s="229"/>
      <c r="H1238" s="229"/>
      <c r="I1238" s="229"/>
      <c r="J1238" s="229"/>
      <c r="K1238" s="230"/>
    </row>
    <row r="1239" spans="2:11">
      <c r="B1239" s="5"/>
      <c r="C1239" s="6" t="s">
        <v>120</v>
      </c>
      <c r="D1239" s="7">
        <v>7</v>
      </c>
      <c r="E1239" s="7">
        <v>6</v>
      </c>
      <c r="F1239" s="7">
        <v>5</v>
      </c>
      <c r="G1239" s="7">
        <v>4</v>
      </c>
      <c r="H1239" s="7">
        <v>3</v>
      </c>
      <c r="I1239" s="7">
        <v>2</v>
      </c>
      <c r="J1239" s="7">
        <v>1</v>
      </c>
      <c r="K1239" s="7">
        <v>0</v>
      </c>
    </row>
    <row r="1240" spans="2:11">
      <c r="B1240" s="5"/>
      <c r="C1240" s="8" t="s">
        <v>6</v>
      </c>
      <c r="D1240" s="176" t="str">
        <f>"CTRL_EFF_TABLE_"&amp;B1238-$B$1118&amp;"[7:0]"</f>
        <v>CTRL_EFF_TABLE_15[7:0]</v>
      </c>
      <c r="E1240" s="102"/>
      <c r="F1240" s="102"/>
      <c r="G1240" s="102"/>
      <c r="H1240" s="102"/>
      <c r="I1240" s="102"/>
      <c r="J1240" s="102"/>
      <c r="K1240" s="177"/>
    </row>
    <row r="1241" spans="2:11">
      <c r="B1241" s="5" t="str">
        <f>CONCATENATE(D1241,E1241,F1241,G1241,H1241,I1241,J1241,K1241)</f>
        <v>00000000</v>
      </c>
      <c r="C1241" s="8" t="s">
        <v>123</v>
      </c>
      <c r="D1241" s="9">
        <v>0</v>
      </c>
      <c r="E1241" s="9">
        <v>0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0</v>
      </c>
    </row>
    <row r="1242" spans="2:11">
      <c r="B1242" s="5"/>
      <c r="C1242" s="102"/>
      <c r="D1242" s="102"/>
      <c r="E1242" s="102"/>
      <c r="F1242" s="102"/>
      <c r="G1242" s="102"/>
      <c r="H1242" s="102"/>
      <c r="I1242" s="102"/>
      <c r="J1242" s="102"/>
      <c r="K1242" s="102"/>
    </row>
    <row r="1243" spans="2:11" ht="13.5">
      <c r="B1243" s="3"/>
      <c r="C1243" s="10" t="s">
        <v>6</v>
      </c>
      <c r="D1243" s="143" t="s">
        <v>125</v>
      </c>
      <c r="E1243" s="143"/>
      <c r="F1243" s="10" t="s">
        <v>126</v>
      </c>
      <c r="G1243" s="143" t="s">
        <v>127</v>
      </c>
      <c r="H1243" s="143"/>
      <c r="I1243" s="143"/>
      <c r="J1243" s="143"/>
      <c r="K1243" s="10" t="s">
        <v>123</v>
      </c>
    </row>
    <row r="1244" spans="2:11" ht="13.5" customHeight="1">
      <c r="B1244" s="3"/>
      <c r="C1244" s="10" t="str">
        <f>D1240</f>
        <v>CTRL_EFF_TABLE_15[7:0]</v>
      </c>
      <c r="D1244" s="143" t="s">
        <v>1013</v>
      </c>
      <c r="E1244" s="143"/>
      <c r="F1244" s="10" t="s">
        <v>721</v>
      </c>
      <c r="G1244" s="143" t="str">
        <f>"Power efficieny when Iout is over "&amp;(B1238-$B$1118)*50&amp;"mA"</f>
        <v>Power efficieny when Iout is over 750mA</v>
      </c>
      <c r="H1244" s="143"/>
      <c r="I1244" s="143"/>
      <c r="J1244" s="143"/>
      <c r="K1244" s="10" t="s">
        <v>722</v>
      </c>
    </row>
  </sheetData>
  <mergeCells count="1143">
    <mergeCell ref="C837:K837"/>
    <mergeCell ref="C838:K838"/>
    <mergeCell ref="D840:K840"/>
    <mergeCell ref="C842:K842"/>
    <mergeCell ref="D843:E843"/>
    <mergeCell ref="G843:J843"/>
    <mergeCell ref="D844:E844"/>
    <mergeCell ref="G844:J844"/>
    <mergeCell ref="C845:K845"/>
    <mergeCell ref="C846:K846"/>
    <mergeCell ref="D848:K848"/>
    <mergeCell ref="C850:K850"/>
    <mergeCell ref="D851:E851"/>
    <mergeCell ref="G851:J851"/>
    <mergeCell ref="D852:E852"/>
    <mergeCell ref="G852:J852"/>
    <mergeCell ref="D820:E820"/>
    <mergeCell ref="G820:J820"/>
    <mergeCell ref="C821:K821"/>
    <mergeCell ref="C822:K822"/>
    <mergeCell ref="D824:K824"/>
    <mergeCell ref="C826:K826"/>
    <mergeCell ref="D827:E827"/>
    <mergeCell ref="G827:J827"/>
    <mergeCell ref="D828:E828"/>
    <mergeCell ref="G828:J828"/>
    <mergeCell ref="C829:K829"/>
    <mergeCell ref="C830:K830"/>
    <mergeCell ref="D832:K832"/>
    <mergeCell ref="C834:K834"/>
    <mergeCell ref="D835:E835"/>
    <mergeCell ref="G835:J835"/>
    <mergeCell ref="D836:E836"/>
    <mergeCell ref="G836:J836"/>
    <mergeCell ref="C1238:K1238"/>
    <mergeCell ref="D1240:K1240"/>
    <mergeCell ref="C1242:K1242"/>
    <mergeCell ref="D1243:E1243"/>
    <mergeCell ref="G1243:J1243"/>
    <mergeCell ref="D1244:E1244"/>
    <mergeCell ref="G1244:J1244"/>
    <mergeCell ref="D1219:E1219"/>
    <mergeCell ref="G1219:J1219"/>
    <mergeCell ref="D1220:E1220"/>
    <mergeCell ref="G1220:J1220"/>
    <mergeCell ref="C1222:K1222"/>
    <mergeCell ref="D1224:K1224"/>
    <mergeCell ref="C1226:K1226"/>
    <mergeCell ref="D1227:E1227"/>
    <mergeCell ref="G1227:J1227"/>
    <mergeCell ref="D1228:E1228"/>
    <mergeCell ref="G1228:J1228"/>
    <mergeCell ref="C1230:K1230"/>
    <mergeCell ref="D1232:K1232"/>
    <mergeCell ref="C1234:K1234"/>
    <mergeCell ref="D1235:E1235"/>
    <mergeCell ref="G1235:J1235"/>
    <mergeCell ref="D1236:E1236"/>
    <mergeCell ref="G1236:J1236"/>
    <mergeCell ref="C1198:K1198"/>
    <mergeCell ref="D1200:K1200"/>
    <mergeCell ref="C1202:K1202"/>
    <mergeCell ref="D1203:E1203"/>
    <mergeCell ref="G1203:J1203"/>
    <mergeCell ref="D1204:E1204"/>
    <mergeCell ref="G1204:J1204"/>
    <mergeCell ref="C1206:K1206"/>
    <mergeCell ref="D1208:K1208"/>
    <mergeCell ref="C1210:K1210"/>
    <mergeCell ref="D1211:E1211"/>
    <mergeCell ref="G1211:J1211"/>
    <mergeCell ref="D1212:E1212"/>
    <mergeCell ref="G1212:J1212"/>
    <mergeCell ref="C1214:K1214"/>
    <mergeCell ref="D1216:K1216"/>
    <mergeCell ref="C1218:K1218"/>
    <mergeCell ref="D1179:E1179"/>
    <mergeCell ref="G1179:J1179"/>
    <mergeCell ref="D1180:E1180"/>
    <mergeCell ref="G1180:J1180"/>
    <mergeCell ref="C1182:K1182"/>
    <mergeCell ref="D1184:K1184"/>
    <mergeCell ref="C1186:K1186"/>
    <mergeCell ref="D1187:E1187"/>
    <mergeCell ref="G1187:J1187"/>
    <mergeCell ref="D1188:E1188"/>
    <mergeCell ref="G1188:J1188"/>
    <mergeCell ref="C1190:K1190"/>
    <mergeCell ref="D1192:K1192"/>
    <mergeCell ref="C1194:K1194"/>
    <mergeCell ref="D1195:E1195"/>
    <mergeCell ref="G1195:J1195"/>
    <mergeCell ref="D1196:E1196"/>
    <mergeCell ref="G1196:J1196"/>
    <mergeCell ref="C1158:K1158"/>
    <mergeCell ref="D1160:K1160"/>
    <mergeCell ref="C1162:K1162"/>
    <mergeCell ref="D1163:E1163"/>
    <mergeCell ref="G1163:J1163"/>
    <mergeCell ref="D1164:E1164"/>
    <mergeCell ref="G1164:J1164"/>
    <mergeCell ref="C1166:K1166"/>
    <mergeCell ref="D1168:K1168"/>
    <mergeCell ref="C1170:K1170"/>
    <mergeCell ref="D1171:E1171"/>
    <mergeCell ref="G1171:J1171"/>
    <mergeCell ref="D1172:E1172"/>
    <mergeCell ref="G1172:J1172"/>
    <mergeCell ref="C1174:K1174"/>
    <mergeCell ref="D1176:K1176"/>
    <mergeCell ref="C1178:K1178"/>
    <mergeCell ref="D1139:E1139"/>
    <mergeCell ref="G1139:J1139"/>
    <mergeCell ref="D1140:E1140"/>
    <mergeCell ref="G1140:J1140"/>
    <mergeCell ref="C1142:K1142"/>
    <mergeCell ref="D1144:K1144"/>
    <mergeCell ref="C1146:K1146"/>
    <mergeCell ref="D1147:E1147"/>
    <mergeCell ref="G1147:J1147"/>
    <mergeCell ref="D1148:E1148"/>
    <mergeCell ref="G1148:J1148"/>
    <mergeCell ref="C1150:K1150"/>
    <mergeCell ref="D1152:K1152"/>
    <mergeCell ref="C1154:K1154"/>
    <mergeCell ref="D1155:E1155"/>
    <mergeCell ref="G1155:J1155"/>
    <mergeCell ref="D1156:E1156"/>
    <mergeCell ref="G1156:J1156"/>
    <mergeCell ref="C1118:K1118"/>
    <mergeCell ref="D1120:K1120"/>
    <mergeCell ref="C1122:K1122"/>
    <mergeCell ref="D1123:E1123"/>
    <mergeCell ref="G1123:J1123"/>
    <mergeCell ref="D1124:E1124"/>
    <mergeCell ref="G1124:J1124"/>
    <mergeCell ref="C1126:K1126"/>
    <mergeCell ref="D1128:K1128"/>
    <mergeCell ref="C1130:K1130"/>
    <mergeCell ref="D1131:E1131"/>
    <mergeCell ref="G1131:J1131"/>
    <mergeCell ref="D1132:E1132"/>
    <mergeCell ref="G1132:J1132"/>
    <mergeCell ref="C1134:K1134"/>
    <mergeCell ref="D1136:K1136"/>
    <mergeCell ref="C1138:K1138"/>
    <mergeCell ref="D1099:E1099"/>
    <mergeCell ref="G1099:J1099"/>
    <mergeCell ref="D1100:E1100"/>
    <mergeCell ref="G1100:J1100"/>
    <mergeCell ref="C1102:K1102"/>
    <mergeCell ref="D1104:K1104"/>
    <mergeCell ref="C1106:K1106"/>
    <mergeCell ref="D1107:E1107"/>
    <mergeCell ref="G1107:J1107"/>
    <mergeCell ref="D1108:E1108"/>
    <mergeCell ref="G1108:J1108"/>
    <mergeCell ref="C1110:K1110"/>
    <mergeCell ref="D1112:K1112"/>
    <mergeCell ref="C1114:K1114"/>
    <mergeCell ref="D1115:E1115"/>
    <mergeCell ref="G1115:J1115"/>
    <mergeCell ref="D1116:E1116"/>
    <mergeCell ref="G1116:J1116"/>
    <mergeCell ref="C1078:K1078"/>
    <mergeCell ref="D1080:K1080"/>
    <mergeCell ref="C1082:K1082"/>
    <mergeCell ref="D1083:E1083"/>
    <mergeCell ref="G1083:J1083"/>
    <mergeCell ref="D1084:E1084"/>
    <mergeCell ref="G1084:J1084"/>
    <mergeCell ref="C1086:K1086"/>
    <mergeCell ref="D1088:K1088"/>
    <mergeCell ref="C1090:K1090"/>
    <mergeCell ref="D1091:E1091"/>
    <mergeCell ref="G1091:J1091"/>
    <mergeCell ref="D1092:E1092"/>
    <mergeCell ref="G1092:J1092"/>
    <mergeCell ref="C1094:K1094"/>
    <mergeCell ref="D1096:K1096"/>
    <mergeCell ref="C1098:K1098"/>
    <mergeCell ref="D1059:E1059"/>
    <mergeCell ref="G1059:J1059"/>
    <mergeCell ref="D1060:E1060"/>
    <mergeCell ref="G1060:J1060"/>
    <mergeCell ref="C1062:K1062"/>
    <mergeCell ref="D1064:K1064"/>
    <mergeCell ref="C1066:K1066"/>
    <mergeCell ref="D1067:E1067"/>
    <mergeCell ref="G1067:J1067"/>
    <mergeCell ref="D1068:E1068"/>
    <mergeCell ref="G1068:J1068"/>
    <mergeCell ref="C1070:K1070"/>
    <mergeCell ref="D1072:K1072"/>
    <mergeCell ref="C1074:K1074"/>
    <mergeCell ref="D1075:E1075"/>
    <mergeCell ref="G1075:J1075"/>
    <mergeCell ref="D1076:E1076"/>
    <mergeCell ref="G1076:J1076"/>
    <mergeCell ref="C1038:K1038"/>
    <mergeCell ref="D1040:K1040"/>
    <mergeCell ref="C1042:K1042"/>
    <mergeCell ref="D1043:E1043"/>
    <mergeCell ref="G1043:J1043"/>
    <mergeCell ref="D1044:E1044"/>
    <mergeCell ref="G1044:J1044"/>
    <mergeCell ref="C1046:K1046"/>
    <mergeCell ref="D1048:K1048"/>
    <mergeCell ref="C1050:K1050"/>
    <mergeCell ref="D1051:E1051"/>
    <mergeCell ref="G1051:J1051"/>
    <mergeCell ref="D1052:E1052"/>
    <mergeCell ref="G1052:J1052"/>
    <mergeCell ref="C1054:K1054"/>
    <mergeCell ref="D1056:K1056"/>
    <mergeCell ref="C1058:K1058"/>
    <mergeCell ref="D1019:E1019"/>
    <mergeCell ref="G1019:J1019"/>
    <mergeCell ref="D1020:E1020"/>
    <mergeCell ref="G1020:J1020"/>
    <mergeCell ref="C1022:K1022"/>
    <mergeCell ref="D1024:K1024"/>
    <mergeCell ref="C1026:K1026"/>
    <mergeCell ref="D1027:E1027"/>
    <mergeCell ref="G1027:J1027"/>
    <mergeCell ref="D1028:E1028"/>
    <mergeCell ref="G1028:J1028"/>
    <mergeCell ref="C1030:K1030"/>
    <mergeCell ref="D1032:K1032"/>
    <mergeCell ref="C1034:K1034"/>
    <mergeCell ref="D1035:E1035"/>
    <mergeCell ref="G1035:J1035"/>
    <mergeCell ref="D1036:E1036"/>
    <mergeCell ref="G1036:J1036"/>
    <mergeCell ref="C998:K998"/>
    <mergeCell ref="D1000:K1000"/>
    <mergeCell ref="C1002:K1002"/>
    <mergeCell ref="D1003:E1003"/>
    <mergeCell ref="G1003:J1003"/>
    <mergeCell ref="D1004:E1004"/>
    <mergeCell ref="G1004:J1004"/>
    <mergeCell ref="C1006:K1006"/>
    <mergeCell ref="D1008:K1008"/>
    <mergeCell ref="C1010:K1010"/>
    <mergeCell ref="D1011:E1011"/>
    <mergeCell ref="G1011:J1011"/>
    <mergeCell ref="D1012:E1012"/>
    <mergeCell ref="G1012:J1012"/>
    <mergeCell ref="C1014:K1014"/>
    <mergeCell ref="D1016:K1016"/>
    <mergeCell ref="C1018:K1018"/>
    <mergeCell ref="D979:E979"/>
    <mergeCell ref="G979:J979"/>
    <mergeCell ref="D980:E980"/>
    <mergeCell ref="G980:J980"/>
    <mergeCell ref="C982:K982"/>
    <mergeCell ref="D984:K984"/>
    <mergeCell ref="C986:K986"/>
    <mergeCell ref="D987:E987"/>
    <mergeCell ref="G987:J987"/>
    <mergeCell ref="D988:E988"/>
    <mergeCell ref="G988:J988"/>
    <mergeCell ref="C990:K990"/>
    <mergeCell ref="D992:K992"/>
    <mergeCell ref="C994:K994"/>
    <mergeCell ref="D995:E995"/>
    <mergeCell ref="G995:J995"/>
    <mergeCell ref="D996:E996"/>
    <mergeCell ref="G996:J996"/>
    <mergeCell ref="C958:K958"/>
    <mergeCell ref="D960:K960"/>
    <mergeCell ref="C962:K962"/>
    <mergeCell ref="D963:E963"/>
    <mergeCell ref="G963:J963"/>
    <mergeCell ref="D964:E964"/>
    <mergeCell ref="G964:J964"/>
    <mergeCell ref="C966:K966"/>
    <mergeCell ref="D968:K968"/>
    <mergeCell ref="C970:K970"/>
    <mergeCell ref="D971:E971"/>
    <mergeCell ref="G971:J971"/>
    <mergeCell ref="D972:E972"/>
    <mergeCell ref="G972:J972"/>
    <mergeCell ref="C974:K974"/>
    <mergeCell ref="D976:K976"/>
    <mergeCell ref="C978:K978"/>
    <mergeCell ref="D939:E939"/>
    <mergeCell ref="G939:J939"/>
    <mergeCell ref="D940:E940"/>
    <mergeCell ref="G940:J940"/>
    <mergeCell ref="C942:K942"/>
    <mergeCell ref="D944:K944"/>
    <mergeCell ref="C946:K946"/>
    <mergeCell ref="D947:E947"/>
    <mergeCell ref="G947:J947"/>
    <mergeCell ref="D948:E948"/>
    <mergeCell ref="G948:J948"/>
    <mergeCell ref="C950:K950"/>
    <mergeCell ref="D952:K952"/>
    <mergeCell ref="C954:K954"/>
    <mergeCell ref="D955:E955"/>
    <mergeCell ref="G955:J955"/>
    <mergeCell ref="D956:E956"/>
    <mergeCell ref="G956:J956"/>
    <mergeCell ref="C918:K918"/>
    <mergeCell ref="D920:K920"/>
    <mergeCell ref="C922:K922"/>
    <mergeCell ref="D923:E923"/>
    <mergeCell ref="G923:J923"/>
    <mergeCell ref="D924:E924"/>
    <mergeCell ref="G924:J924"/>
    <mergeCell ref="C926:K926"/>
    <mergeCell ref="D928:K928"/>
    <mergeCell ref="C930:K930"/>
    <mergeCell ref="D931:E931"/>
    <mergeCell ref="G931:J931"/>
    <mergeCell ref="D932:E932"/>
    <mergeCell ref="G932:J932"/>
    <mergeCell ref="C934:K934"/>
    <mergeCell ref="D936:K936"/>
    <mergeCell ref="C938:K938"/>
    <mergeCell ref="D899:E899"/>
    <mergeCell ref="G899:J899"/>
    <mergeCell ref="D900:E900"/>
    <mergeCell ref="G900:J900"/>
    <mergeCell ref="C902:K902"/>
    <mergeCell ref="D904:K904"/>
    <mergeCell ref="C906:K906"/>
    <mergeCell ref="D907:E907"/>
    <mergeCell ref="G907:J907"/>
    <mergeCell ref="D908:E908"/>
    <mergeCell ref="G908:J908"/>
    <mergeCell ref="C910:K910"/>
    <mergeCell ref="D912:K912"/>
    <mergeCell ref="C914:K914"/>
    <mergeCell ref="D915:E915"/>
    <mergeCell ref="G915:J915"/>
    <mergeCell ref="D916:E916"/>
    <mergeCell ref="G916:J916"/>
    <mergeCell ref="C878:K878"/>
    <mergeCell ref="D880:K880"/>
    <mergeCell ref="C882:K882"/>
    <mergeCell ref="D883:E883"/>
    <mergeCell ref="G883:J883"/>
    <mergeCell ref="D884:E884"/>
    <mergeCell ref="G884:J884"/>
    <mergeCell ref="C886:K886"/>
    <mergeCell ref="D888:K888"/>
    <mergeCell ref="C890:K890"/>
    <mergeCell ref="D891:E891"/>
    <mergeCell ref="G891:J891"/>
    <mergeCell ref="D892:E892"/>
    <mergeCell ref="G892:J892"/>
    <mergeCell ref="C894:K894"/>
    <mergeCell ref="D896:K896"/>
    <mergeCell ref="C898:K898"/>
    <mergeCell ref="D860:E860"/>
    <mergeCell ref="G860:J860"/>
    <mergeCell ref="C861:K861"/>
    <mergeCell ref="C862:K862"/>
    <mergeCell ref="D864:K864"/>
    <mergeCell ref="C866:K866"/>
    <mergeCell ref="D867:E867"/>
    <mergeCell ref="G867:J867"/>
    <mergeCell ref="D868:E868"/>
    <mergeCell ref="G868:J868"/>
    <mergeCell ref="C870:K870"/>
    <mergeCell ref="D872:K872"/>
    <mergeCell ref="C874:K874"/>
    <mergeCell ref="D875:E875"/>
    <mergeCell ref="G875:J875"/>
    <mergeCell ref="D876:E876"/>
    <mergeCell ref="G876:J876"/>
    <mergeCell ref="D795:E795"/>
    <mergeCell ref="G795:J795"/>
    <mergeCell ref="D796:E796"/>
    <mergeCell ref="G796:J796"/>
    <mergeCell ref="C797:K797"/>
    <mergeCell ref="C798:K798"/>
    <mergeCell ref="D800:K800"/>
    <mergeCell ref="C802:K802"/>
    <mergeCell ref="D803:E803"/>
    <mergeCell ref="G803:J803"/>
    <mergeCell ref="D804:E804"/>
    <mergeCell ref="G804:J804"/>
    <mergeCell ref="C853:K853"/>
    <mergeCell ref="C854:K854"/>
    <mergeCell ref="D856:K856"/>
    <mergeCell ref="C858:K858"/>
    <mergeCell ref="D859:E859"/>
    <mergeCell ref="G859:J859"/>
    <mergeCell ref="C805:K805"/>
    <mergeCell ref="C806:K806"/>
    <mergeCell ref="D808:K808"/>
    <mergeCell ref="C810:K810"/>
    <mergeCell ref="D811:E811"/>
    <mergeCell ref="G811:J811"/>
    <mergeCell ref="D812:E812"/>
    <mergeCell ref="G812:J812"/>
    <mergeCell ref="C813:K813"/>
    <mergeCell ref="C814:K814"/>
    <mergeCell ref="D816:K816"/>
    <mergeCell ref="C818:K818"/>
    <mergeCell ref="D819:E819"/>
    <mergeCell ref="G819:J819"/>
    <mergeCell ref="C778:K778"/>
    <mergeCell ref="D779:E779"/>
    <mergeCell ref="G779:J779"/>
    <mergeCell ref="D780:E780"/>
    <mergeCell ref="G780:J780"/>
    <mergeCell ref="C781:K781"/>
    <mergeCell ref="C782:K782"/>
    <mergeCell ref="D784:K784"/>
    <mergeCell ref="C786:K786"/>
    <mergeCell ref="D787:E787"/>
    <mergeCell ref="G787:J787"/>
    <mergeCell ref="D788:E788"/>
    <mergeCell ref="G788:J788"/>
    <mergeCell ref="C789:K789"/>
    <mergeCell ref="C790:K790"/>
    <mergeCell ref="D792:K792"/>
    <mergeCell ref="C794:K794"/>
    <mergeCell ref="D760:K760"/>
    <mergeCell ref="C762:K762"/>
    <mergeCell ref="D763:E763"/>
    <mergeCell ref="G763:J763"/>
    <mergeCell ref="D764:E764"/>
    <mergeCell ref="G764:J764"/>
    <mergeCell ref="C765:K765"/>
    <mergeCell ref="C766:K766"/>
    <mergeCell ref="D768:K768"/>
    <mergeCell ref="C770:K770"/>
    <mergeCell ref="D771:E771"/>
    <mergeCell ref="G771:J771"/>
    <mergeCell ref="D772:E772"/>
    <mergeCell ref="G772:J772"/>
    <mergeCell ref="C773:K773"/>
    <mergeCell ref="C774:K774"/>
    <mergeCell ref="D776:K776"/>
    <mergeCell ref="C742:K742"/>
    <mergeCell ref="D744:K744"/>
    <mergeCell ref="C746:K746"/>
    <mergeCell ref="D747:E747"/>
    <mergeCell ref="G747:J747"/>
    <mergeCell ref="D748:E748"/>
    <mergeCell ref="G748:J748"/>
    <mergeCell ref="C749:K749"/>
    <mergeCell ref="C750:K750"/>
    <mergeCell ref="D752:K752"/>
    <mergeCell ref="C754:K754"/>
    <mergeCell ref="D755:E755"/>
    <mergeCell ref="G755:J755"/>
    <mergeCell ref="D756:E756"/>
    <mergeCell ref="G756:J756"/>
    <mergeCell ref="C757:K757"/>
    <mergeCell ref="C758:K758"/>
    <mergeCell ref="C725:K725"/>
    <mergeCell ref="C726:K726"/>
    <mergeCell ref="D728:K728"/>
    <mergeCell ref="C730:K730"/>
    <mergeCell ref="D731:E731"/>
    <mergeCell ref="G731:J731"/>
    <mergeCell ref="D732:E732"/>
    <mergeCell ref="G732:J732"/>
    <mergeCell ref="C733:K733"/>
    <mergeCell ref="C734:K734"/>
    <mergeCell ref="D736:K736"/>
    <mergeCell ref="C738:K738"/>
    <mergeCell ref="D739:E739"/>
    <mergeCell ref="G739:J739"/>
    <mergeCell ref="D740:E740"/>
    <mergeCell ref="G740:J740"/>
    <mergeCell ref="C741:K741"/>
    <mergeCell ref="D708:E708"/>
    <mergeCell ref="G708:J708"/>
    <mergeCell ref="C709:K709"/>
    <mergeCell ref="C710:K710"/>
    <mergeCell ref="D712:K712"/>
    <mergeCell ref="C714:K714"/>
    <mergeCell ref="D715:E715"/>
    <mergeCell ref="G715:J715"/>
    <mergeCell ref="D716:E716"/>
    <mergeCell ref="G716:J716"/>
    <mergeCell ref="C717:K717"/>
    <mergeCell ref="C718:K718"/>
    <mergeCell ref="D720:K720"/>
    <mergeCell ref="C722:K722"/>
    <mergeCell ref="D723:E723"/>
    <mergeCell ref="G723:J723"/>
    <mergeCell ref="D724:E724"/>
    <mergeCell ref="G724:J724"/>
    <mergeCell ref="D691:E691"/>
    <mergeCell ref="G691:J691"/>
    <mergeCell ref="D692:E692"/>
    <mergeCell ref="G692:J692"/>
    <mergeCell ref="C693:K693"/>
    <mergeCell ref="C694:K694"/>
    <mergeCell ref="D696:K696"/>
    <mergeCell ref="C698:K698"/>
    <mergeCell ref="D699:E699"/>
    <mergeCell ref="G699:J699"/>
    <mergeCell ref="D700:E700"/>
    <mergeCell ref="G700:J700"/>
    <mergeCell ref="C701:K701"/>
    <mergeCell ref="C702:K702"/>
    <mergeCell ref="D704:K704"/>
    <mergeCell ref="C706:K706"/>
    <mergeCell ref="D707:E707"/>
    <mergeCell ref="G707:J707"/>
    <mergeCell ref="C674:K674"/>
    <mergeCell ref="D675:E675"/>
    <mergeCell ref="G675:J675"/>
    <mergeCell ref="D676:E676"/>
    <mergeCell ref="G676:J676"/>
    <mergeCell ref="C677:K677"/>
    <mergeCell ref="C678:K678"/>
    <mergeCell ref="D680:K680"/>
    <mergeCell ref="C682:K682"/>
    <mergeCell ref="D683:E683"/>
    <mergeCell ref="G683:J683"/>
    <mergeCell ref="D684:E684"/>
    <mergeCell ref="G684:J684"/>
    <mergeCell ref="C685:K685"/>
    <mergeCell ref="C686:K686"/>
    <mergeCell ref="D688:K688"/>
    <mergeCell ref="C690:K690"/>
    <mergeCell ref="D656:K656"/>
    <mergeCell ref="C658:K658"/>
    <mergeCell ref="D659:E659"/>
    <mergeCell ref="G659:J659"/>
    <mergeCell ref="D660:E660"/>
    <mergeCell ref="G660:J660"/>
    <mergeCell ref="C661:K661"/>
    <mergeCell ref="C662:K662"/>
    <mergeCell ref="D664:K664"/>
    <mergeCell ref="C666:K666"/>
    <mergeCell ref="D667:E667"/>
    <mergeCell ref="G667:J667"/>
    <mergeCell ref="D668:E668"/>
    <mergeCell ref="G668:J668"/>
    <mergeCell ref="C669:K669"/>
    <mergeCell ref="C670:K670"/>
    <mergeCell ref="D672:K672"/>
    <mergeCell ref="C638:K638"/>
    <mergeCell ref="D640:K640"/>
    <mergeCell ref="C642:K642"/>
    <mergeCell ref="D643:E643"/>
    <mergeCell ref="G643:J643"/>
    <mergeCell ref="D644:E644"/>
    <mergeCell ref="G644:J644"/>
    <mergeCell ref="C645:K645"/>
    <mergeCell ref="C646:K646"/>
    <mergeCell ref="D648:K648"/>
    <mergeCell ref="C650:K650"/>
    <mergeCell ref="D651:E651"/>
    <mergeCell ref="G651:J651"/>
    <mergeCell ref="D652:E652"/>
    <mergeCell ref="G652:J652"/>
    <mergeCell ref="C653:K653"/>
    <mergeCell ref="C654:K654"/>
    <mergeCell ref="C621:K621"/>
    <mergeCell ref="C622:K622"/>
    <mergeCell ref="D624:K624"/>
    <mergeCell ref="C626:K626"/>
    <mergeCell ref="D627:E627"/>
    <mergeCell ref="G627:J627"/>
    <mergeCell ref="D628:E628"/>
    <mergeCell ref="G628:J628"/>
    <mergeCell ref="C629:K629"/>
    <mergeCell ref="C630:K630"/>
    <mergeCell ref="D632:K632"/>
    <mergeCell ref="C634:K634"/>
    <mergeCell ref="D635:E635"/>
    <mergeCell ref="G635:J635"/>
    <mergeCell ref="D636:E636"/>
    <mergeCell ref="G636:J636"/>
    <mergeCell ref="C637:K637"/>
    <mergeCell ref="D604:E604"/>
    <mergeCell ref="G604:J604"/>
    <mergeCell ref="C605:K605"/>
    <mergeCell ref="C606:K606"/>
    <mergeCell ref="D608:K608"/>
    <mergeCell ref="C610:K610"/>
    <mergeCell ref="D611:E611"/>
    <mergeCell ref="G611:J611"/>
    <mergeCell ref="D612:E612"/>
    <mergeCell ref="G612:J612"/>
    <mergeCell ref="C613:K613"/>
    <mergeCell ref="C614:K614"/>
    <mergeCell ref="D616:K616"/>
    <mergeCell ref="C618:K618"/>
    <mergeCell ref="D619:E619"/>
    <mergeCell ref="G619:J619"/>
    <mergeCell ref="D620:E620"/>
    <mergeCell ref="G620:J620"/>
    <mergeCell ref="D587:E587"/>
    <mergeCell ref="G587:J587"/>
    <mergeCell ref="D588:E588"/>
    <mergeCell ref="G588:J588"/>
    <mergeCell ref="C589:K589"/>
    <mergeCell ref="C590:K590"/>
    <mergeCell ref="D592:K592"/>
    <mergeCell ref="C594:K594"/>
    <mergeCell ref="D595:E595"/>
    <mergeCell ref="G595:J595"/>
    <mergeCell ref="D596:E596"/>
    <mergeCell ref="G596:J596"/>
    <mergeCell ref="C597:K597"/>
    <mergeCell ref="C598:K598"/>
    <mergeCell ref="D600:K600"/>
    <mergeCell ref="C602:K602"/>
    <mergeCell ref="D603:E603"/>
    <mergeCell ref="G603:J603"/>
    <mergeCell ref="C570:K570"/>
    <mergeCell ref="D571:E571"/>
    <mergeCell ref="G571:J571"/>
    <mergeCell ref="D572:E572"/>
    <mergeCell ref="G572:J572"/>
    <mergeCell ref="C573:K573"/>
    <mergeCell ref="C574:K574"/>
    <mergeCell ref="D576:K576"/>
    <mergeCell ref="C578:K578"/>
    <mergeCell ref="D579:E579"/>
    <mergeCell ref="G579:J579"/>
    <mergeCell ref="D580:E580"/>
    <mergeCell ref="G580:J580"/>
    <mergeCell ref="C581:K581"/>
    <mergeCell ref="C582:K582"/>
    <mergeCell ref="D584:K584"/>
    <mergeCell ref="C586:K586"/>
    <mergeCell ref="D552:K552"/>
    <mergeCell ref="C554:K554"/>
    <mergeCell ref="D555:E555"/>
    <mergeCell ref="G555:J555"/>
    <mergeCell ref="D556:E556"/>
    <mergeCell ref="G556:J556"/>
    <mergeCell ref="C557:K557"/>
    <mergeCell ref="C558:K558"/>
    <mergeCell ref="D560:K560"/>
    <mergeCell ref="C562:K562"/>
    <mergeCell ref="D563:E563"/>
    <mergeCell ref="G563:J563"/>
    <mergeCell ref="D564:E564"/>
    <mergeCell ref="G564:J564"/>
    <mergeCell ref="C565:K565"/>
    <mergeCell ref="C566:K566"/>
    <mergeCell ref="D568:K568"/>
    <mergeCell ref="C534:K534"/>
    <mergeCell ref="D536:K536"/>
    <mergeCell ref="C538:K538"/>
    <mergeCell ref="D539:E539"/>
    <mergeCell ref="G539:J539"/>
    <mergeCell ref="D540:E540"/>
    <mergeCell ref="G540:J540"/>
    <mergeCell ref="C541:K541"/>
    <mergeCell ref="C542:K542"/>
    <mergeCell ref="D544:K544"/>
    <mergeCell ref="C546:K546"/>
    <mergeCell ref="D547:E547"/>
    <mergeCell ref="G547:J547"/>
    <mergeCell ref="D548:E548"/>
    <mergeCell ref="G548:J548"/>
    <mergeCell ref="C549:K549"/>
    <mergeCell ref="C550:K550"/>
    <mergeCell ref="C517:K517"/>
    <mergeCell ref="C518:K518"/>
    <mergeCell ref="D520:K520"/>
    <mergeCell ref="C522:K522"/>
    <mergeCell ref="D523:E523"/>
    <mergeCell ref="G523:J523"/>
    <mergeCell ref="D524:E524"/>
    <mergeCell ref="G524:J524"/>
    <mergeCell ref="C525:K525"/>
    <mergeCell ref="C526:K526"/>
    <mergeCell ref="D528:K528"/>
    <mergeCell ref="C530:K530"/>
    <mergeCell ref="D531:E531"/>
    <mergeCell ref="G531:J531"/>
    <mergeCell ref="D532:E532"/>
    <mergeCell ref="G532:J532"/>
    <mergeCell ref="C533:K533"/>
    <mergeCell ref="D500:E500"/>
    <mergeCell ref="G500:J500"/>
    <mergeCell ref="C502:K502"/>
    <mergeCell ref="E504:K504"/>
    <mergeCell ref="C506:K506"/>
    <mergeCell ref="D507:E507"/>
    <mergeCell ref="G507:J507"/>
    <mergeCell ref="D508:E508"/>
    <mergeCell ref="G508:J508"/>
    <mergeCell ref="C509:K509"/>
    <mergeCell ref="C510:K510"/>
    <mergeCell ref="D512:K512"/>
    <mergeCell ref="C514:K514"/>
    <mergeCell ref="D515:E515"/>
    <mergeCell ref="G515:J515"/>
    <mergeCell ref="D516:E516"/>
    <mergeCell ref="G516:J516"/>
    <mergeCell ref="D482:E482"/>
    <mergeCell ref="G482:J482"/>
    <mergeCell ref="D483:E483"/>
    <mergeCell ref="G483:J483"/>
    <mergeCell ref="D484:E484"/>
    <mergeCell ref="G484:J484"/>
    <mergeCell ref="C486:K486"/>
    <mergeCell ref="D488:K488"/>
    <mergeCell ref="C490:K490"/>
    <mergeCell ref="D491:E491"/>
    <mergeCell ref="G491:J491"/>
    <mergeCell ref="D492:E492"/>
    <mergeCell ref="G492:J492"/>
    <mergeCell ref="C494:K494"/>
    <mergeCell ref="G496:K496"/>
    <mergeCell ref="C498:K498"/>
    <mergeCell ref="D499:E499"/>
    <mergeCell ref="G499:J499"/>
    <mergeCell ref="D456:E456"/>
    <mergeCell ref="G456:J456"/>
    <mergeCell ref="D457:E457"/>
    <mergeCell ref="G457:J457"/>
    <mergeCell ref="C459:K459"/>
    <mergeCell ref="D461:K461"/>
    <mergeCell ref="C463:K463"/>
    <mergeCell ref="D464:E464"/>
    <mergeCell ref="G464:J464"/>
    <mergeCell ref="D465:E465"/>
    <mergeCell ref="G465:J465"/>
    <mergeCell ref="C475:K475"/>
    <mergeCell ref="C479:K479"/>
    <mergeCell ref="D480:E480"/>
    <mergeCell ref="G480:J480"/>
    <mergeCell ref="D481:E481"/>
    <mergeCell ref="G481:J481"/>
    <mergeCell ref="C467:K467"/>
    <mergeCell ref="D469:K469"/>
    <mergeCell ref="C471:K471"/>
    <mergeCell ref="D472:E472"/>
    <mergeCell ref="G472:J472"/>
    <mergeCell ref="D473:E473"/>
    <mergeCell ref="G473:J473"/>
    <mergeCell ref="C435:K435"/>
    <mergeCell ref="D437:K437"/>
    <mergeCell ref="C439:K439"/>
    <mergeCell ref="D440:E440"/>
    <mergeCell ref="G440:J440"/>
    <mergeCell ref="D441:E441"/>
    <mergeCell ref="G441:J441"/>
    <mergeCell ref="C443:K443"/>
    <mergeCell ref="D445:K445"/>
    <mergeCell ref="C447:K447"/>
    <mergeCell ref="D448:E448"/>
    <mergeCell ref="G448:J448"/>
    <mergeCell ref="D449:E449"/>
    <mergeCell ref="G449:J449"/>
    <mergeCell ref="C451:K451"/>
    <mergeCell ref="D453:K453"/>
    <mergeCell ref="C455:K455"/>
    <mergeCell ref="D416:E416"/>
    <mergeCell ref="G416:J416"/>
    <mergeCell ref="D417:E417"/>
    <mergeCell ref="G417:J417"/>
    <mergeCell ref="C419:K419"/>
    <mergeCell ref="D421:K421"/>
    <mergeCell ref="C423:K423"/>
    <mergeCell ref="D424:E424"/>
    <mergeCell ref="G424:J424"/>
    <mergeCell ref="D425:E425"/>
    <mergeCell ref="G425:J425"/>
    <mergeCell ref="C427:K427"/>
    <mergeCell ref="D429:K429"/>
    <mergeCell ref="C431:K431"/>
    <mergeCell ref="D432:E432"/>
    <mergeCell ref="G432:J432"/>
    <mergeCell ref="D433:E433"/>
    <mergeCell ref="G433:J433"/>
    <mergeCell ref="C395:K395"/>
    <mergeCell ref="D397:K397"/>
    <mergeCell ref="C399:K399"/>
    <mergeCell ref="D400:E400"/>
    <mergeCell ref="G400:J400"/>
    <mergeCell ref="D401:E401"/>
    <mergeCell ref="G401:J401"/>
    <mergeCell ref="C403:K403"/>
    <mergeCell ref="D405:K405"/>
    <mergeCell ref="C407:K407"/>
    <mergeCell ref="D408:E408"/>
    <mergeCell ref="G408:J408"/>
    <mergeCell ref="D409:E409"/>
    <mergeCell ref="G409:J409"/>
    <mergeCell ref="C411:K411"/>
    <mergeCell ref="D413:K413"/>
    <mergeCell ref="C415:K415"/>
    <mergeCell ref="D376:E376"/>
    <mergeCell ref="G376:J376"/>
    <mergeCell ref="D377:E377"/>
    <mergeCell ref="G377:J377"/>
    <mergeCell ref="C379:K379"/>
    <mergeCell ref="D381:K381"/>
    <mergeCell ref="C383:K383"/>
    <mergeCell ref="D384:E384"/>
    <mergeCell ref="G384:J384"/>
    <mergeCell ref="D385:E385"/>
    <mergeCell ref="G385:J385"/>
    <mergeCell ref="C387:K387"/>
    <mergeCell ref="D389:K389"/>
    <mergeCell ref="C391:K391"/>
    <mergeCell ref="D392:E392"/>
    <mergeCell ref="G392:J392"/>
    <mergeCell ref="D393:E393"/>
    <mergeCell ref="G393:J393"/>
    <mergeCell ref="C355:K355"/>
    <mergeCell ref="D357:K357"/>
    <mergeCell ref="C359:K359"/>
    <mergeCell ref="D360:E360"/>
    <mergeCell ref="G360:J360"/>
    <mergeCell ref="D361:E361"/>
    <mergeCell ref="G361:J361"/>
    <mergeCell ref="C363:K363"/>
    <mergeCell ref="D365:K365"/>
    <mergeCell ref="C367:K367"/>
    <mergeCell ref="D368:E368"/>
    <mergeCell ref="G368:J368"/>
    <mergeCell ref="D369:E369"/>
    <mergeCell ref="G369:J369"/>
    <mergeCell ref="C371:K371"/>
    <mergeCell ref="D373:K373"/>
    <mergeCell ref="C375:K375"/>
    <mergeCell ref="D336:E336"/>
    <mergeCell ref="G336:J336"/>
    <mergeCell ref="D337:E337"/>
    <mergeCell ref="G337:J337"/>
    <mergeCell ref="C339:K339"/>
    <mergeCell ref="D341:K341"/>
    <mergeCell ref="C343:K343"/>
    <mergeCell ref="D344:E344"/>
    <mergeCell ref="G344:J344"/>
    <mergeCell ref="D345:E345"/>
    <mergeCell ref="G345:J345"/>
    <mergeCell ref="C347:K347"/>
    <mergeCell ref="D349:K349"/>
    <mergeCell ref="C351:K351"/>
    <mergeCell ref="D352:E352"/>
    <mergeCell ref="G352:J352"/>
    <mergeCell ref="D353:E353"/>
    <mergeCell ref="G353:J353"/>
    <mergeCell ref="C315:K315"/>
    <mergeCell ref="D317:K317"/>
    <mergeCell ref="C319:K319"/>
    <mergeCell ref="D320:E320"/>
    <mergeCell ref="G320:J320"/>
    <mergeCell ref="D321:E321"/>
    <mergeCell ref="G321:J321"/>
    <mergeCell ref="C323:K323"/>
    <mergeCell ref="D325:K325"/>
    <mergeCell ref="C327:K327"/>
    <mergeCell ref="D328:E328"/>
    <mergeCell ref="G328:J328"/>
    <mergeCell ref="D329:E329"/>
    <mergeCell ref="G329:J329"/>
    <mergeCell ref="C331:K331"/>
    <mergeCell ref="D333:K333"/>
    <mergeCell ref="C335:K335"/>
    <mergeCell ref="D300:E300"/>
    <mergeCell ref="G300:J300"/>
    <mergeCell ref="D301:E301"/>
    <mergeCell ref="G301:J301"/>
    <mergeCell ref="D302:E302"/>
    <mergeCell ref="G302:J302"/>
    <mergeCell ref="C304:K304"/>
    <mergeCell ref="C308:K308"/>
    <mergeCell ref="D309:E309"/>
    <mergeCell ref="G309:J309"/>
    <mergeCell ref="D310:E310"/>
    <mergeCell ref="G310:J310"/>
    <mergeCell ref="D311:E311"/>
    <mergeCell ref="G311:J311"/>
    <mergeCell ref="D312:E312"/>
    <mergeCell ref="G312:J312"/>
    <mergeCell ref="D313:E313"/>
    <mergeCell ref="G313:J313"/>
    <mergeCell ref="C282:K282"/>
    <mergeCell ref="C286:K286"/>
    <mergeCell ref="D287:E287"/>
    <mergeCell ref="G287:J287"/>
    <mergeCell ref="D288:E288"/>
    <mergeCell ref="G288:J288"/>
    <mergeCell ref="D289:E289"/>
    <mergeCell ref="G289:J289"/>
    <mergeCell ref="D290:E290"/>
    <mergeCell ref="G290:J290"/>
    <mergeCell ref="D291:E291"/>
    <mergeCell ref="G291:J291"/>
    <mergeCell ref="C293:K293"/>
    <mergeCell ref="C297:K297"/>
    <mergeCell ref="D298:E298"/>
    <mergeCell ref="G298:J298"/>
    <mergeCell ref="D299:E299"/>
    <mergeCell ref="G299:J299"/>
    <mergeCell ref="D263:E263"/>
    <mergeCell ref="G263:J263"/>
    <mergeCell ref="D264:E264"/>
    <mergeCell ref="G264:J264"/>
    <mergeCell ref="C266:K266"/>
    <mergeCell ref="D268:K268"/>
    <mergeCell ref="C270:K270"/>
    <mergeCell ref="D271:E271"/>
    <mergeCell ref="G271:J271"/>
    <mergeCell ref="D272:E272"/>
    <mergeCell ref="G272:J272"/>
    <mergeCell ref="C274:K274"/>
    <mergeCell ref="D276:K276"/>
    <mergeCell ref="C278:K278"/>
    <mergeCell ref="D279:E279"/>
    <mergeCell ref="G279:J279"/>
    <mergeCell ref="D280:E280"/>
    <mergeCell ref="G280:J280"/>
    <mergeCell ref="C242:K242"/>
    <mergeCell ref="D244:K244"/>
    <mergeCell ref="C246:K246"/>
    <mergeCell ref="D247:E247"/>
    <mergeCell ref="G247:J247"/>
    <mergeCell ref="D248:E248"/>
    <mergeCell ref="G248:J248"/>
    <mergeCell ref="C250:K250"/>
    <mergeCell ref="D252:K252"/>
    <mergeCell ref="C254:K254"/>
    <mergeCell ref="D255:E255"/>
    <mergeCell ref="G255:J255"/>
    <mergeCell ref="D256:E256"/>
    <mergeCell ref="G256:J256"/>
    <mergeCell ref="C258:K258"/>
    <mergeCell ref="D260:K260"/>
    <mergeCell ref="C262:K262"/>
    <mergeCell ref="D223:E223"/>
    <mergeCell ref="G223:J223"/>
    <mergeCell ref="D224:E224"/>
    <mergeCell ref="G224:J224"/>
    <mergeCell ref="C226:K226"/>
    <mergeCell ref="D228:K228"/>
    <mergeCell ref="C230:K230"/>
    <mergeCell ref="D231:E231"/>
    <mergeCell ref="G231:J231"/>
    <mergeCell ref="D232:E232"/>
    <mergeCell ref="G232:J232"/>
    <mergeCell ref="C234:K234"/>
    <mergeCell ref="D236:K236"/>
    <mergeCell ref="C238:K238"/>
    <mergeCell ref="D239:E239"/>
    <mergeCell ref="G239:J239"/>
    <mergeCell ref="D240:E240"/>
    <mergeCell ref="G240:J240"/>
    <mergeCell ref="C202:K202"/>
    <mergeCell ref="D204:K204"/>
    <mergeCell ref="C206:K206"/>
    <mergeCell ref="D207:E207"/>
    <mergeCell ref="G207:J207"/>
    <mergeCell ref="D208:E208"/>
    <mergeCell ref="G208:J208"/>
    <mergeCell ref="C210:K210"/>
    <mergeCell ref="D212:K212"/>
    <mergeCell ref="C214:K214"/>
    <mergeCell ref="D215:E215"/>
    <mergeCell ref="G215:J215"/>
    <mergeCell ref="D216:E216"/>
    <mergeCell ref="G216:J216"/>
    <mergeCell ref="C218:K218"/>
    <mergeCell ref="D220:K220"/>
    <mergeCell ref="C222:K222"/>
    <mergeCell ref="D183:E183"/>
    <mergeCell ref="G183:J183"/>
    <mergeCell ref="D184:E184"/>
    <mergeCell ref="G184:J184"/>
    <mergeCell ref="C186:K186"/>
    <mergeCell ref="D188:K188"/>
    <mergeCell ref="C190:K190"/>
    <mergeCell ref="D191:E191"/>
    <mergeCell ref="G191:J191"/>
    <mergeCell ref="D192:E192"/>
    <mergeCell ref="G192:J192"/>
    <mergeCell ref="C194:K194"/>
    <mergeCell ref="D196:K196"/>
    <mergeCell ref="C198:K198"/>
    <mergeCell ref="D199:E199"/>
    <mergeCell ref="G199:J199"/>
    <mergeCell ref="D200:E200"/>
    <mergeCell ref="G200:J200"/>
    <mergeCell ref="C162:K162"/>
    <mergeCell ref="D164:K164"/>
    <mergeCell ref="C166:K166"/>
    <mergeCell ref="D167:E167"/>
    <mergeCell ref="G167:J167"/>
    <mergeCell ref="D168:E168"/>
    <mergeCell ref="G168:J168"/>
    <mergeCell ref="C170:K170"/>
    <mergeCell ref="D172:K172"/>
    <mergeCell ref="C174:K174"/>
    <mergeCell ref="D175:E175"/>
    <mergeCell ref="G175:J175"/>
    <mergeCell ref="D176:E176"/>
    <mergeCell ref="G176:J176"/>
    <mergeCell ref="C178:K178"/>
    <mergeCell ref="D180:K180"/>
    <mergeCell ref="C182:K182"/>
    <mergeCell ref="D143:E143"/>
    <mergeCell ref="G143:J143"/>
    <mergeCell ref="D144:E144"/>
    <mergeCell ref="G144:J144"/>
    <mergeCell ref="C146:K146"/>
    <mergeCell ref="D148:K148"/>
    <mergeCell ref="C150:K150"/>
    <mergeCell ref="D151:E151"/>
    <mergeCell ref="G151:J151"/>
    <mergeCell ref="D152:E152"/>
    <mergeCell ref="G152:J152"/>
    <mergeCell ref="C154:K154"/>
    <mergeCell ref="D156:K156"/>
    <mergeCell ref="C158:K158"/>
    <mergeCell ref="D159:E159"/>
    <mergeCell ref="G159:J159"/>
    <mergeCell ref="D160:E160"/>
    <mergeCell ref="G160:J160"/>
    <mergeCell ref="C122:K122"/>
    <mergeCell ref="D124:K124"/>
    <mergeCell ref="C126:K126"/>
    <mergeCell ref="D127:E127"/>
    <mergeCell ref="G127:J127"/>
    <mergeCell ref="D128:E128"/>
    <mergeCell ref="G128:J128"/>
    <mergeCell ref="C130:K130"/>
    <mergeCell ref="D132:K132"/>
    <mergeCell ref="C134:K134"/>
    <mergeCell ref="D135:E135"/>
    <mergeCell ref="G135:J135"/>
    <mergeCell ref="D136:E136"/>
    <mergeCell ref="G136:J136"/>
    <mergeCell ref="C138:K138"/>
    <mergeCell ref="D140:K140"/>
    <mergeCell ref="C142:K142"/>
    <mergeCell ref="D103:E103"/>
    <mergeCell ref="G103:J103"/>
    <mergeCell ref="D104:E104"/>
    <mergeCell ref="G104:J104"/>
    <mergeCell ref="C106:K106"/>
    <mergeCell ref="D108:K108"/>
    <mergeCell ref="C110:K110"/>
    <mergeCell ref="D111:E111"/>
    <mergeCell ref="G111:J111"/>
    <mergeCell ref="D112:E112"/>
    <mergeCell ref="G112:J112"/>
    <mergeCell ref="C114:K114"/>
    <mergeCell ref="D116:K116"/>
    <mergeCell ref="C118:K118"/>
    <mergeCell ref="D119:E119"/>
    <mergeCell ref="G119:J119"/>
    <mergeCell ref="D120:E120"/>
    <mergeCell ref="G120:J120"/>
    <mergeCell ref="C82:K82"/>
    <mergeCell ref="D84:K84"/>
    <mergeCell ref="C86:K86"/>
    <mergeCell ref="D87:E87"/>
    <mergeCell ref="G87:J87"/>
    <mergeCell ref="D88:E88"/>
    <mergeCell ref="G88:J88"/>
    <mergeCell ref="C90:K90"/>
    <mergeCell ref="D92:K92"/>
    <mergeCell ref="C94:K94"/>
    <mergeCell ref="D95:E95"/>
    <mergeCell ref="G95:J95"/>
    <mergeCell ref="D96:E96"/>
    <mergeCell ref="G96:J96"/>
    <mergeCell ref="C98:K98"/>
    <mergeCell ref="D100:K100"/>
    <mergeCell ref="C102:K102"/>
    <mergeCell ref="D63:E63"/>
    <mergeCell ref="G63:J63"/>
    <mergeCell ref="D64:E64"/>
    <mergeCell ref="G64:J64"/>
    <mergeCell ref="C66:K66"/>
    <mergeCell ref="D68:K68"/>
    <mergeCell ref="C70:K70"/>
    <mergeCell ref="D71:E71"/>
    <mergeCell ref="G71:J71"/>
    <mergeCell ref="D72:E72"/>
    <mergeCell ref="G72:J72"/>
    <mergeCell ref="C74:K74"/>
    <mergeCell ref="D76:K76"/>
    <mergeCell ref="C78:K78"/>
    <mergeCell ref="D79:E79"/>
    <mergeCell ref="G79:J79"/>
    <mergeCell ref="D80:E80"/>
    <mergeCell ref="G80:J80"/>
    <mergeCell ref="C42:K42"/>
    <mergeCell ref="D44:K44"/>
    <mergeCell ref="C46:K46"/>
    <mergeCell ref="D47:E47"/>
    <mergeCell ref="G47:J47"/>
    <mergeCell ref="D48:E48"/>
    <mergeCell ref="G48:J48"/>
    <mergeCell ref="C50:K50"/>
    <mergeCell ref="D52:K52"/>
    <mergeCell ref="C54:K54"/>
    <mergeCell ref="D55:E55"/>
    <mergeCell ref="G55:J55"/>
    <mergeCell ref="D56:E56"/>
    <mergeCell ref="G56:J56"/>
    <mergeCell ref="C58:K58"/>
    <mergeCell ref="D60:K60"/>
    <mergeCell ref="C62:K62"/>
    <mergeCell ref="D23:E23"/>
    <mergeCell ref="G23:J23"/>
    <mergeCell ref="D24:E24"/>
    <mergeCell ref="G24:J24"/>
    <mergeCell ref="C26:K26"/>
    <mergeCell ref="D28:K28"/>
    <mergeCell ref="C30:K30"/>
    <mergeCell ref="D31:E31"/>
    <mergeCell ref="G31:J31"/>
    <mergeCell ref="D32:E32"/>
    <mergeCell ref="G32:J32"/>
    <mergeCell ref="C34:K34"/>
    <mergeCell ref="D36:K36"/>
    <mergeCell ref="C38:K38"/>
    <mergeCell ref="D39:E39"/>
    <mergeCell ref="G39:J39"/>
    <mergeCell ref="D40:E40"/>
    <mergeCell ref="G40:J40"/>
    <mergeCell ref="C2:K2"/>
    <mergeCell ref="D4:K4"/>
    <mergeCell ref="C6:K6"/>
    <mergeCell ref="D7:E7"/>
    <mergeCell ref="G7:J7"/>
    <mergeCell ref="D8:E8"/>
    <mergeCell ref="G8:J8"/>
    <mergeCell ref="C10:K10"/>
    <mergeCell ref="D12:K12"/>
    <mergeCell ref="C14:K14"/>
    <mergeCell ref="D15:E15"/>
    <mergeCell ref="G15:J15"/>
    <mergeCell ref="D16:E16"/>
    <mergeCell ref="G16:J16"/>
    <mergeCell ref="C18:K18"/>
    <mergeCell ref="D20:K20"/>
    <mergeCell ref="C22:K22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Rev. History</vt:lpstr>
      <vt:lpstr>Summary</vt:lpstr>
      <vt:lpstr>WPT_CTRL</vt:lpstr>
      <vt:lpstr>WPT_RX</vt:lpstr>
      <vt:lpstr>SYS_CON</vt:lpstr>
      <vt:lpstr>EXT_REG</vt:lpstr>
      <vt:lpstr>'Rev. History'!Print_Area</vt:lpstr>
    </vt:vector>
  </TitlesOfParts>
  <Company>GCT Semiconductor,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swlee</dc:creator>
  <cp:lastModifiedBy>ian68</cp:lastModifiedBy>
  <cp:lastPrinted>2009-07-14T02:19:00Z</cp:lastPrinted>
  <dcterms:created xsi:type="dcterms:W3CDTF">2007-02-28T04:55:00Z</dcterms:created>
  <dcterms:modified xsi:type="dcterms:W3CDTF">2021-01-06T03:45:40Z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