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4032\Desktop\HEXAGON-Project\HEXAGON-Project\"/>
    </mc:Choice>
  </mc:AlternateContent>
  <bookViews>
    <workbookView xWindow="45" yWindow="-285" windowWidth="6390" windowHeight="6480"/>
  </bookViews>
  <sheets>
    <sheet name="Mechanics" sheetId="2" r:id="rId1"/>
    <sheet name="Character Sheet" sheetId="11" r:id="rId2"/>
    <sheet name="Interstellar Travel" sheetId="8" r:id="rId3"/>
    <sheet name="World Union Members" sheetId="7" r:id="rId4"/>
    <sheet name="World Union Management" sheetId="9" r:id="rId5"/>
    <sheet name="StockMarket" sheetId="12" r:id="rId6"/>
    <sheet name="Lore" sheetId="1" r:id="rId7"/>
    <sheet name="DATA" sheetId="6" r:id="rId8"/>
  </sheets>
  <definedNames>
    <definedName name="AbltyCost">Mechanics!$AA$3:$AB$21</definedName>
    <definedName name="DBG">'World Union Members'!$D$4</definedName>
    <definedName name="DBP">'World Union Members'!$C$4</definedName>
    <definedName name="EarthTotPop">'World Union Members'!$C$13</definedName>
    <definedName name="EFG">'World Union Members'!$D$7</definedName>
    <definedName name="EFP">'World Union Members'!$C$7</definedName>
    <definedName name="ICG">'World Union Members'!$D$6</definedName>
    <definedName name="ICP">'World Union Members'!$C$6</definedName>
    <definedName name="LunaPopTot">'World Union Members'!$C$39</definedName>
    <definedName name="PAAG">'World Union Members'!$D$5</definedName>
    <definedName name="PAAP">'World Union Members'!$C$5</definedName>
    <definedName name="SFG">'World Union Members'!$D$10</definedName>
    <definedName name="SFP">'World Union Members'!$C$10</definedName>
    <definedName name="SkillCost">Mechanics!$V$18:$W$38</definedName>
    <definedName name="TotRev">'World Union Management'!$D$42</definedName>
    <definedName name="UAPG">'World Union Members'!$D$9</definedName>
    <definedName name="UAPP">'World Union Members'!$C$9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I9" i="9"/>
  <c r="F31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M34" i="9" l="1"/>
  <c r="L34" i="9"/>
  <c r="O46" i="6" l="1"/>
  <c r="M59" i="6"/>
  <c r="C12" i="8" l="1"/>
  <c r="C13" i="8" s="1"/>
  <c r="H12" i="8"/>
  <c r="L42" i="2" l="1"/>
  <c r="L43" i="2"/>
  <c r="L44" i="2"/>
  <c r="L45" i="2"/>
  <c r="L46" i="2"/>
  <c r="L47" i="2"/>
  <c r="L48" i="2"/>
  <c r="L49" i="2"/>
  <c r="L50" i="2"/>
  <c r="L51" i="2"/>
  <c r="L52" i="2"/>
  <c r="L53" i="2"/>
  <c r="L41" i="2"/>
  <c r="L37" i="2"/>
  <c r="L38" i="2"/>
  <c r="L39" i="2"/>
  <c r="L36" i="2"/>
  <c r="L32" i="2"/>
  <c r="L33" i="2"/>
  <c r="L34" i="2"/>
  <c r="L31" i="2"/>
  <c r="L28" i="2"/>
  <c r="L29" i="2"/>
  <c r="L27" i="2"/>
  <c r="L16" i="2"/>
  <c r="L17" i="2"/>
  <c r="L18" i="2"/>
  <c r="L19" i="2"/>
  <c r="L20" i="2"/>
  <c r="L21" i="2"/>
  <c r="L22" i="2"/>
  <c r="L23" i="2"/>
  <c r="L24" i="2"/>
  <c r="L25" i="2"/>
  <c r="L15" i="2"/>
  <c r="L9" i="2"/>
  <c r="L10" i="2"/>
  <c r="L11" i="2"/>
  <c r="L12" i="2"/>
  <c r="L13" i="2"/>
  <c r="M46" i="6" l="1"/>
  <c r="E40" i="9"/>
  <c r="E33" i="9" l="1"/>
  <c r="O129" i="6"/>
  <c r="O124" i="6"/>
  <c r="O114" i="6"/>
  <c r="O107" i="6"/>
  <c r="O85" i="6"/>
  <c r="O59" i="6"/>
  <c r="M85" i="6"/>
  <c r="N85" i="6"/>
  <c r="M107" i="6"/>
  <c r="N107" i="6"/>
  <c r="M108" i="6"/>
  <c r="M115" i="6"/>
  <c r="M119" i="6"/>
  <c r="M124" i="6"/>
  <c r="N124" i="6"/>
  <c r="M129" i="6"/>
  <c r="N129" i="6"/>
  <c r="N59" i="6"/>
  <c r="F60" i="6"/>
  <c r="G60" i="6"/>
  <c r="H60" i="6"/>
  <c r="F61" i="6"/>
  <c r="G61" i="6"/>
  <c r="H61" i="6"/>
  <c r="F62" i="6"/>
  <c r="G62" i="6"/>
  <c r="H62" i="6"/>
  <c r="F63" i="6"/>
  <c r="G63" i="6"/>
  <c r="H63" i="6"/>
  <c r="F65" i="6"/>
  <c r="G65" i="6"/>
  <c r="H65" i="6"/>
  <c r="F66" i="6"/>
  <c r="G66" i="6"/>
  <c r="H66" i="6"/>
  <c r="F67" i="6"/>
  <c r="G67" i="6"/>
  <c r="H67" i="6"/>
  <c r="F69" i="6"/>
  <c r="G69" i="6"/>
  <c r="H69" i="6"/>
  <c r="F70" i="6"/>
  <c r="G70" i="6"/>
  <c r="H70" i="6"/>
  <c r="F71" i="6"/>
  <c r="G71" i="6"/>
  <c r="H71" i="6"/>
  <c r="F72" i="6"/>
  <c r="G72" i="6"/>
  <c r="H72" i="6"/>
  <c r="F74" i="6"/>
  <c r="G74" i="6"/>
  <c r="H74" i="6"/>
  <c r="F75" i="6"/>
  <c r="G75" i="6"/>
  <c r="H75" i="6"/>
  <c r="F77" i="6"/>
  <c r="G77" i="6"/>
  <c r="H77" i="6"/>
  <c r="F78" i="6"/>
  <c r="G78" i="6"/>
  <c r="H78" i="6"/>
  <c r="F80" i="6"/>
  <c r="G80" i="6"/>
  <c r="H80" i="6"/>
  <c r="F85" i="6"/>
  <c r="G85" i="6"/>
  <c r="H85" i="6"/>
  <c r="F86" i="6"/>
  <c r="G86" i="6"/>
  <c r="H86" i="6"/>
  <c r="F88" i="6"/>
  <c r="G88" i="6"/>
  <c r="H88" i="6"/>
  <c r="F89" i="6"/>
  <c r="G89" i="6"/>
  <c r="H89" i="6"/>
  <c r="F91" i="6"/>
  <c r="G91" i="6"/>
  <c r="H91" i="6"/>
  <c r="F92" i="6"/>
  <c r="G92" i="6"/>
  <c r="H92" i="6"/>
  <c r="F93" i="6"/>
  <c r="G93" i="6"/>
  <c r="H93" i="6"/>
  <c r="F95" i="6"/>
  <c r="G95" i="6"/>
  <c r="H95" i="6"/>
  <c r="F96" i="6"/>
  <c r="G96" i="6"/>
  <c r="H96" i="6"/>
  <c r="F97" i="6"/>
  <c r="G97" i="6"/>
  <c r="H97" i="6"/>
  <c r="F98" i="6"/>
  <c r="G98" i="6"/>
  <c r="H98" i="6"/>
  <c r="F100" i="6"/>
  <c r="G100" i="6"/>
  <c r="H100" i="6"/>
  <c r="F102" i="6"/>
  <c r="G102" i="6"/>
  <c r="H102" i="6"/>
  <c r="F107" i="6"/>
  <c r="G107" i="6"/>
  <c r="H107" i="6"/>
  <c r="F108" i="6"/>
  <c r="G108" i="6"/>
  <c r="H108" i="6"/>
  <c r="F110" i="6"/>
  <c r="G110" i="6"/>
  <c r="H110" i="6"/>
  <c r="F112" i="6"/>
  <c r="G112" i="6"/>
  <c r="H112" i="6"/>
  <c r="F114" i="6"/>
  <c r="G114" i="6"/>
  <c r="H114" i="6"/>
  <c r="F115" i="6"/>
  <c r="G115" i="6"/>
  <c r="H115" i="6"/>
  <c r="F117" i="6"/>
  <c r="G117" i="6"/>
  <c r="H117" i="6"/>
  <c r="F119" i="6"/>
  <c r="G119" i="6"/>
  <c r="H119" i="6"/>
  <c r="F124" i="6"/>
  <c r="G124" i="6"/>
  <c r="H124" i="6"/>
  <c r="F129" i="6"/>
  <c r="G129" i="6"/>
  <c r="H129" i="6"/>
  <c r="F131" i="6"/>
  <c r="G131" i="6"/>
  <c r="H131" i="6"/>
  <c r="H59" i="6"/>
  <c r="F59" i="6"/>
  <c r="G59" i="6"/>
  <c r="N46" i="6"/>
  <c r="A134" i="6"/>
  <c r="A132" i="6"/>
  <c r="A130" i="6"/>
  <c r="A131" i="6"/>
  <c r="B131" i="6"/>
  <c r="M131" i="6" s="1"/>
  <c r="A127" i="6"/>
  <c r="A128" i="6"/>
  <c r="A129" i="6"/>
  <c r="B129" i="6"/>
  <c r="A115" i="6"/>
  <c r="B115" i="6"/>
  <c r="N115" i="6" s="1"/>
  <c r="A116" i="6"/>
  <c r="A117" i="6"/>
  <c r="B117" i="6"/>
  <c r="O117" i="6" s="1"/>
  <c r="A118" i="6"/>
  <c r="A119" i="6"/>
  <c r="B119" i="6"/>
  <c r="O119" i="6" s="1"/>
  <c r="A120" i="6"/>
  <c r="A122" i="6"/>
  <c r="A123" i="6"/>
  <c r="A124" i="6"/>
  <c r="B124" i="6"/>
  <c r="B108" i="6"/>
  <c r="N108" i="6" s="1"/>
  <c r="B110" i="6"/>
  <c r="O110" i="6" s="1"/>
  <c r="B112" i="6"/>
  <c r="O112" i="6" s="1"/>
  <c r="B114" i="6"/>
  <c r="M114" i="6" s="1"/>
  <c r="B107" i="6"/>
  <c r="A107" i="6"/>
  <c r="A108" i="6"/>
  <c r="A109" i="6"/>
  <c r="A110" i="6"/>
  <c r="A111" i="6"/>
  <c r="A112" i="6"/>
  <c r="A113" i="6"/>
  <c r="A114" i="6"/>
  <c r="A97" i="6"/>
  <c r="B97" i="6"/>
  <c r="M97" i="6" s="1"/>
  <c r="A98" i="6"/>
  <c r="B98" i="6"/>
  <c r="N98" i="6" s="1"/>
  <c r="A99" i="6"/>
  <c r="A100" i="6"/>
  <c r="B100" i="6"/>
  <c r="O100" i="6" s="1"/>
  <c r="A101" i="6"/>
  <c r="A102" i="6"/>
  <c r="B102" i="6"/>
  <c r="O102" i="6" s="1"/>
  <c r="A103" i="6"/>
  <c r="A105" i="6"/>
  <c r="A106" i="6"/>
  <c r="A57" i="6"/>
  <c r="A58" i="6"/>
  <c r="A59" i="6"/>
  <c r="B59" i="6"/>
  <c r="A60" i="6"/>
  <c r="B60" i="6"/>
  <c r="N60" i="6" s="1"/>
  <c r="A61" i="6"/>
  <c r="B61" i="6"/>
  <c r="M61" i="6" s="1"/>
  <c r="A62" i="6"/>
  <c r="B62" i="6"/>
  <c r="N62" i="6" s="1"/>
  <c r="A63" i="6"/>
  <c r="B63" i="6"/>
  <c r="O63" i="6" s="1"/>
  <c r="A64" i="6"/>
  <c r="A65" i="6"/>
  <c r="B65" i="6"/>
  <c r="O65" i="6" s="1"/>
  <c r="A66" i="6"/>
  <c r="B66" i="6"/>
  <c r="O66" i="6" s="1"/>
  <c r="A67" i="6"/>
  <c r="B67" i="6"/>
  <c r="M67" i="6" s="1"/>
  <c r="A68" i="6"/>
  <c r="A69" i="6"/>
  <c r="B69" i="6"/>
  <c r="O69" i="6" s="1"/>
  <c r="A70" i="6"/>
  <c r="B70" i="6"/>
  <c r="N70" i="6" s="1"/>
  <c r="A71" i="6"/>
  <c r="B71" i="6"/>
  <c r="M71" i="6" s="1"/>
  <c r="A72" i="6"/>
  <c r="B72" i="6"/>
  <c r="O72" i="6" s="1"/>
  <c r="A73" i="6"/>
  <c r="A74" i="6"/>
  <c r="B74" i="6"/>
  <c r="O74" i="6" s="1"/>
  <c r="A75" i="6"/>
  <c r="B75" i="6"/>
  <c r="O75" i="6" s="1"/>
  <c r="A76" i="6"/>
  <c r="A77" i="6"/>
  <c r="B77" i="6"/>
  <c r="M77" i="6" s="1"/>
  <c r="A78" i="6"/>
  <c r="B78" i="6"/>
  <c r="M78" i="6" s="1"/>
  <c r="A79" i="6"/>
  <c r="A80" i="6"/>
  <c r="B80" i="6"/>
  <c r="N80" i="6" s="1"/>
  <c r="A81" i="6"/>
  <c r="A83" i="6"/>
  <c r="A84" i="6"/>
  <c r="A85" i="6"/>
  <c r="B85" i="6"/>
  <c r="A86" i="6"/>
  <c r="B86" i="6"/>
  <c r="M86" i="6" s="1"/>
  <c r="A87" i="6"/>
  <c r="A88" i="6"/>
  <c r="B88" i="6"/>
  <c r="N88" i="6" s="1"/>
  <c r="A89" i="6"/>
  <c r="B89" i="6"/>
  <c r="O89" i="6" s="1"/>
  <c r="A90" i="6"/>
  <c r="A91" i="6"/>
  <c r="B91" i="6"/>
  <c r="O91" i="6" s="1"/>
  <c r="A92" i="6"/>
  <c r="B92" i="6"/>
  <c r="M92" i="6" s="1"/>
  <c r="A93" i="6"/>
  <c r="B93" i="6"/>
  <c r="N93" i="6" s="1"/>
  <c r="A94" i="6"/>
  <c r="A95" i="6"/>
  <c r="B95" i="6"/>
  <c r="O95" i="6" s="1"/>
  <c r="A96" i="6"/>
  <c r="B96" i="6"/>
  <c r="O96" i="6" s="1"/>
  <c r="A47" i="6"/>
  <c r="A48" i="6"/>
  <c r="A49" i="6"/>
  <c r="A50" i="6"/>
  <c r="A51" i="6"/>
  <c r="A52" i="6"/>
  <c r="A53" i="6"/>
  <c r="A54" i="6"/>
  <c r="A55" i="6"/>
  <c r="A46" i="6"/>
  <c r="B47" i="6"/>
  <c r="M47" i="6" s="1"/>
  <c r="B48" i="6"/>
  <c r="N48" i="6" s="1"/>
  <c r="B49" i="6"/>
  <c r="O49" i="6" s="1"/>
  <c r="B50" i="6"/>
  <c r="N50" i="6" s="1"/>
  <c r="B51" i="6"/>
  <c r="M51" i="6" s="1"/>
  <c r="B52" i="6"/>
  <c r="N52" i="6" s="1"/>
  <c r="B53" i="6"/>
  <c r="O53" i="6" s="1"/>
  <c r="B54" i="6"/>
  <c r="N54" i="6" s="1"/>
  <c r="B46" i="6"/>
  <c r="N131" i="6" l="1"/>
  <c r="O131" i="6"/>
  <c r="M112" i="6"/>
  <c r="N117" i="6"/>
  <c r="N114" i="6"/>
  <c r="N110" i="6"/>
  <c r="O108" i="6"/>
  <c r="O115" i="6"/>
  <c r="M117" i="6"/>
  <c r="M110" i="6"/>
  <c r="N119" i="6"/>
  <c r="N112" i="6"/>
  <c r="M88" i="6"/>
  <c r="M96" i="6"/>
  <c r="M98" i="6"/>
  <c r="O92" i="6"/>
  <c r="N100" i="6"/>
  <c r="N97" i="6"/>
  <c r="N95" i="6"/>
  <c r="N92" i="6"/>
  <c r="N89" i="6"/>
  <c r="N86" i="6"/>
  <c r="O88" i="6"/>
  <c r="O93" i="6"/>
  <c r="O98" i="6"/>
  <c r="M93" i="6"/>
  <c r="O86" i="6"/>
  <c r="O97" i="6"/>
  <c r="M100" i="6"/>
  <c r="M95" i="6"/>
  <c r="M89" i="6"/>
  <c r="M102" i="6"/>
  <c r="M91" i="6"/>
  <c r="N102" i="6"/>
  <c r="N96" i="6"/>
  <c r="N91" i="6"/>
  <c r="M62" i="6"/>
  <c r="M54" i="6"/>
  <c r="M52" i="6"/>
  <c r="M50" i="6"/>
  <c r="M48" i="6"/>
  <c r="O52" i="6"/>
  <c r="O48" i="6"/>
  <c r="N53" i="6"/>
  <c r="N51" i="6"/>
  <c r="N49" i="6"/>
  <c r="N47" i="6"/>
  <c r="O51" i="6"/>
  <c r="O47" i="6"/>
  <c r="M53" i="6"/>
  <c r="M49" i="6"/>
  <c r="O54" i="6"/>
  <c r="O50" i="6"/>
  <c r="N77" i="6"/>
  <c r="M75" i="6"/>
  <c r="M60" i="6"/>
  <c r="O62" i="6"/>
  <c r="M80" i="6"/>
  <c r="O80" i="6"/>
  <c r="O78" i="6"/>
  <c r="N78" i="6"/>
  <c r="O77" i="6"/>
  <c r="N74" i="6"/>
  <c r="M74" i="6"/>
  <c r="N75" i="6"/>
  <c r="M72" i="6"/>
  <c r="M70" i="6"/>
  <c r="O71" i="6"/>
  <c r="N71" i="6"/>
  <c r="N69" i="6"/>
  <c r="O70" i="6"/>
  <c r="M69" i="6"/>
  <c r="N72" i="6"/>
  <c r="M65" i="6"/>
  <c r="N66" i="6"/>
  <c r="O67" i="6"/>
  <c r="N65" i="6"/>
  <c r="M66" i="6"/>
  <c r="N67" i="6"/>
  <c r="N63" i="6"/>
  <c r="N61" i="6"/>
  <c r="O61" i="6"/>
  <c r="M63" i="6"/>
  <c r="O60" i="6"/>
  <c r="M133" i="6" l="1"/>
  <c r="E37" i="9" s="1"/>
  <c r="O133" i="6"/>
  <c r="E39" i="9" s="1"/>
  <c r="N133" i="6"/>
  <c r="E38" i="9" s="1"/>
  <c r="F8" i="2"/>
  <c r="F9" i="2"/>
  <c r="F18" i="2"/>
  <c r="F17" i="2"/>
  <c r="F16" i="2"/>
  <c r="F15" i="2"/>
  <c r="F14" i="2"/>
  <c r="F10" i="2"/>
  <c r="F11" i="2"/>
  <c r="F12" i="2"/>
  <c r="L13" i="8"/>
  <c r="L15" i="8" s="1"/>
  <c r="L16" i="8" s="1"/>
  <c r="F20" i="2" l="1"/>
  <c r="D42" i="9"/>
  <c r="F28" i="9" s="1"/>
  <c r="F9" i="9"/>
  <c r="F22" i="9"/>
  <c r="F11" i="9"/>
  <c r="F25" i="9"/>
  <c r="H13" i="8"/>
  <c r="C90" i="7"/>
  <c r="B132" i="6" s="1"/>
  <c r="C78" i="7"/>
  <c r="B120" i="6" s="1"/>
  <c r="C61" i="7"/>
  <c r="B103" i="6" s="1"/>
  <c r="C39" i="7"/>
  <c r="B81" i="6" s="1"/>
  <c r="D89" i="7"/>
  <c r="D87" i="7"/>
  <c r="D90" i="7" s="1"/>
  <c r="D82" i="7"/>
  <c r="D77" i="7"/>
  <c r="D75" i="7"/>
  <c r="D73" i="7"/>
  <c r="D72" i="7"/>
  <c r="D70" i="7"/>
  <c r="D68" i="7"/>
  <c r="D66" i="7"/>
  <c r="D65" i="7"/>
  <c r="D60" i="7"/>
  <c r="D58" i="7"/>
  <c r="D56" i="7"/>
  <c r="D55" i="7"/>
  <c r="D54" i="7"/>
  <c r="D53" i="7"/>
  <c r="D51" i="7"/>
  <c r="D50" i="7"/>
  <c r="D49" i="7"/>
  <c r="D47" i="7"/>
  <c r="D46" i="7"/>
  <c r="D44" i="7"/>
  <c r="D43" i="7"/>
  <c r="D38" i="7"/>
  <c r="D36" i="7"/>
  <c r="D35" i="7"/>
  <c r="D33" i="7"/>
  <c r="D32" i="7"/>
  <c r="D28" i="7"/>
  <c r="D29" i="7"/>
  <c r="D30" i="7"/>
  <c r="D27" i="7"/>
  <c r="D24" i="7"/>
  <c r="D25" i="7"/>
  <c r="D23" i="7"/>
  <c r="D18" i="7"/>
  <c r="D19" i="7"/>
  <c r="D20" i="7"/>
  <c r="D21" i="7"/>
  <c r="D17" i="7"/>
  <c r="AA36" i="6"/>
  <c r="AA35" i="6"/>
  <c r="AA34" i="6"/>
  <c r="AA33" i="6"/>
  <c r="AA32" i="6"/>
  <c r="AA31" i="6"/>
  <c r="U26" i="6"/>
  <c r="Y21" i="6"/>
  <c r="U17" i="6"/>
  <c r="Y13" i="6"/>
  <c r="U11" i="6"/>
  <c r="Q10" i="6"/>
  <c r="U4" i="6"/>
  <c r="C13" i="7"/>
  <c r="B55" i="6" s="1"/>
  <c r="D10" i="7"/>
  <c r="D8" i="7"/>
  <c r="D6" i="7"/>
  <c r="D13" i="7" s="1"/>
  <c r="D9" i="7"/>
  <c r="F16" i="9" l="1"/>
  <c r="F15" i="9"/>
  <c r="F29" i="9"/>
  <c r="F14" i="9"/>
  <c r="F17" i="9"/>
  <c r="F19" i="9"/>
  <c r="F18" i="9"/>
  <c r="F13" i="9"/>
  <c r="F30" i="9"/>
  <c r="F27" i="9"/>
  <c r="F12" i="9"/>
  <c r="F21" i="9"/>
  <c r="F23" i="9"/>
  <c r="F10" i="9"/>
  <c r="F24" i="9"/>
  <c r="F20" i="9"/>
  <c r="F26" i="9"/>
  <c r="D61" i="7"/>
  <c r="D78" i="7"/>
  <c r="C92" i="7"/>
  <c r="B134" i="6" s="1"/>
  <c r="D39" i="7"/>
  <c r="F33" i="9" l="1"/>
  <c r="D45" i="9" s="1"/>
  <c r="D92" i="7"/>
</calcChain>
</file>

<file path=xl/comments1.xml><?xml version="1.0" encoding="utf-8"?>
<comments xmlns="http://schemas.openxmlformats.org/spreadsheetml/2006/main">
  <authors>
    <author>v4032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Type "P" without quotes in this square if your character is Proficient in that particular skill.</t>
        </r>
      </text>
    </comment>
  </commentList>
</comments>
</file>

<file path=xl/sharedStrings.xml><?xml version="1.0" encoding="utf-8"?>
<sst xmlns="http://schemas.openxmlformats.org/spreadsheetml/2006/main" count="489" uniqueCount="315">
  <si>
    <t>Abilities</t>
  </si>
  <si>
    <t>Strength</t>
  </si>
  <si>
    <t>Dexterity</t>
  </si>
  <si>
    <t>Agility</t>
  </si>
  <si>
    <t>Endurance</t>
  </si>
  <si>
    <t>Intelligence</t>
  </si>
  <si>
    <t>Perception</t>
  </si>
  <si>
    <t>Wits</t>
  </si>
  <si>
    <t>Manipulation</t>
  </si>
  <si>
    <t>Charisma</t>
  </si>
  <si>
    <t>Discipline</t>
  </si>
  <si>
    <t>Member</t>
  </si>
  <si>
    <t>Arnbjorn</t>
  </si>
  <si>
    <t>Siava</t>
  </si>
  <si>
    <t>Phaethon</t>
  </si>
  <si>
    <t>Pyroeis</t>
  </si>
  <si>
    <t>Constanta</t>
  </si>
  <si>
    <t>Noveffa</t>
  </si>
  <si>
    <t>Rocifissa</t>
  </si>
  <si>
    <t>Trizia</t>
  </si>
  <si>
    <t>Norson</t>
  </si>
  <si>
    <t>Shelley</t>
  </si>
  <si>
    <t>Slavskka</t>
  </si>
  <si>
    <t>Maanu</t>
  </si>
  <si>
    <t>Zenya</t>
  </si>
  <si>
    <t>Motrya</t>
  </si>
  <si>
    <t>Pvitt</t>
  </si>
  <si>
    <t>Tribvyat</t>
  </si>
  <si>
    <t>Cixi</t>
  </si>
  <si>
    <t>Jinping</t>
  </si>
  <si>
    <t>Aglaett</t>
  </si>
  <si>
    <t>Avraelle</t>
  </si>
  <si>
    <t>Lise</t>
  </si>
  <si>
    <t>Reimoko</t>
  </si>
  <si>
    <t>Seung-Pao</t>
  </si>
  <si>
    <t>Earth</t>
  </si>
  <si>
    <t>Luna</t>
  </si>
  <si>
    <t>MEUZA</t>
  </si>
  <si>
    <t>Toyksho</t>
  </si>
  <si>
    <t>Type</t>
  </si>
  <si>
    <t>H</t>
  </si>
  <si>
    <t>PC</t>
  </si>
  <si>
    <t>SC</t>
  </si>
  <si>
    <t>SH</t>
  </si>
  <si>
    <t>MH</t>
  </si>
  <si>
    <t>GC</t>
  </si>
  <si>
    <t>Pop (B)</t>
  </si>
  <si>
    <t>EARTH</t>
  </si>
  <si>
    <t>Democratic Bloc</t>
  </si>
  <si>
    <t>Pan-Asiatic Alliance</t>
  </si>
  <si>
    <t>India Coalition</t>
  </si>
  <si>
    <t>European Federation</t>
  </si>
  <si>
    <t>United Afrikan People</t>
  </si>
  <si>
    <t>Slavic Federation</t>
  </si>
  <si>
    <t>Central Pact</t>
  </si>
  <si>
    <t>Federation of Brazil</t>
  </si>
  <si>
    <t>LUNA</t>
  </si>
  <si>
    <t>Chun</t>
  </si>
  <si>
    <t>Neo-Guangdong</t>
  </si>
  <si>
    <t>Xiang</t>
  </si>
  <si>
    <t>Yin</t>
  </si>
  <si>
    <t>Tianjong</t>
  </si>
  <si>
    <t>Mukta</t>
  </si>
  <si>
    <t>Neo-Goa</t>
  </si>
  <si>
    <t>Assam II</t>
  </si>
  <si>
    <t>Beauvoir</t>
  </si>
  <si>
    <t>Toinette</t>
  </si>
  <si>
    <t>New-Frankfurt</t>
  </si>
  <si>
    <t>Pidal</t>
  </si>
  <si>
    <t>Clinton</t>
  </si>
  <si>
    <t>New-Lincoln</t>
  </si>
  <si>
    <t>Yuriya</t>
  </si>
  <si>
    <t>Volya</t>
  </si>
  <si>
    <t>Janali</t>
  </si>
  <si>
    <t>MARS</t>
  </si>
  <si>
    <t>Lama</t>
  </si>
  <si>
    <t xml:space="preserve">Kuan Yew </t>
  </si>
  <si>
    <t>Teresa</t>
  </si>
  <si>
    <t>Kalam</t>
  </si>
  <si>
    <t>Frank</t>
  </si>
  <si>
    <t>Nouvelle-Marie</t>
  </si>
  <si>
    <t>Montespan</t>
  </si>
  <si>
    <t>Obama</t>
  </si>
  <si>
    <t>Walt City</t>
  </si>
  <si>
    <t>Winfrey</t>
  </si>
  <si>
    <t>Luther King</t>
  </si>
  <si>
    <t>Uspekh</t>
  </si>
  <si>
    <t>Thula</t>
  </si>
  <si>
    <t>KEPLER</t>
  </si>
  <si>
    <t>Tiangong</t>
  </si>
  <si>
    <t>Sinjeon</t>
  </si>
  <si>
    <t>Zafar</t>
  </si>
  <si>
    <t>Mirabelle</t>
  </si>
  <si>
    <t>Heritage</t>
  </si>
  <si>
    <t>Venture</t>
  </si>
  <si>
    <t>Svyatoy</t>
  </si>
  <si>
    <t>Ladan</t>
  </si>
  <si>
    <t>Thanh</t>
  </si>
  <si>
    <t>Europa</t>
  </si>
  <si>
    <t>Esperance</t>
  </si>
  <si>
    <t>Trudeau</t>
  </si>
  <si>
    <t>US</t>
  </si>
  <si>
    <t>EU</t>
  </si>
  <si>
    <t>China</t>
  </si>
  <si>
    <t>Japan</t>
  </si>
  <si>
    <t>India</t>
  </si>
  <si>
    <t>Brazil</t>
  </si>
  <si>
    <t>Canada</t>
  </si>
  <si>
    <t>SK</t>
  </si>
  <si>
    <t>Russia</t>
  </si>
  <si>
    <t>Aussi</t>
  </si>
  <si>
    <t>Mexico</t>
  </si>
  <si>
    <t>Indo</t>
  </si>
  <si>
    <t>Turkey</t>
  </si>
  <si>
    <t>Saudi</t>
  </si>
  <si>
    <t>Argenti</t>
  </si>
  <si>
    <t>Niger</t>
  </si>
  <si>
    <t>Taiwan</t>
  </si>
  <si>
    <t>Thailand</t>
  </si>
  <si>
    <t>Iran</t>
  </si>
  <si>
    <t>Arab Emirates</t>
  </si>
  <si>
    <t>Egypt</t>
  </si>
  <si>
    <t>S Afrika</t>
  </si>
  <si>
    <t>Hong Kong</t>
  </si>
  <si>
    <t>Malaysia</t>
  </si>
  <si>
    <t>Israel</t>
  </si>
  <si>
    <t>Colombia</t>
  </si>
  <si>
    <t>Singapore</t>
  </si>
  <si>
    <t>Philipines</t>
  </si>
  <si>
    <t>Pakistan</t>
  </si>
  <si>
    <t>Chile</t>
  </si>
  <si>
    <t>Venez</t>
  </si>
  <si>
    <t>Bangladesh</t>
  </si>
  <si>
    <t>Portugal</t>
  </si>
  <si>
    <t>Peru</t>
  </si>
  <si>
    <t>Viet</t>
  </si>
  <si>
    <t>POP (M)</t>
  </si>
  <si>
    <t>GDP (%)</t>
  </si>
  <si>
    <t>Earth's TOTAL</t>
  </si>
  <si>
    <t>Luna's TOTAL</t>
  </si>
  <si>
    <t>Mars's TOTAL</t>
  </si>
  <si>
    <t>Kepler's TOTAL</t>
  </si>
  <si>
    <t>Europa's TOTAL</t>
  </si>
  <si>
    <t>Earth's Council TOTAL</t>
  </si>
  <si>
    <t>RANGE</t>
  </si>
  <si>
    <t>Time</t>
  </si>
  <si>
    <t>Speed</t>
  </si>
  <si>
    <t>Thrusters</t>
  </si>
  <si>
    <t>Ship Wgt</t>
  </si>
  <si>
    <t>Thrust</t>
  </si>
  <si>
    <t>Target Spd</t>
  </si>
  <si>
    <t>Enrgy/sec</t>
  </si>
  <si>
    <t>Cost</t>
  </si>
  <si>
    <t>Power Core</t>
  </si>
  <si>
    <t>Trust Calculator</t>
  </si>
  <si>
    <t>Production</t>
  </si>
  <si>
    <t>Battery</t>
  </si>
  <si>
    <t>Days</t>
  </si>
  <si>
    <t>1D6</t>
  </si>
  <si>
    <t>GDP (B)</t>
  </si>
  <si>
    <t>Lower</t>
  </si>
  <si>
    <t>Middle</t>
  </si>
  <si>
    <t>Per Class POP</t>
  </si>
  <si>
    <t>Upper</t>
  </si>
  <si>
    <t>Agriculture</t>
  </si>
  <si>
    <t>Revenue</t>
  </si>
  <si>
    <t>%</t>
  </si>
  <si>
    <t>TOTAL GDP</t>
  </si>
  <si>
    <t>Commercial Taxes</t>
  </si>
  <si>
    <t>Lower Class Tax</t>
  </si>
  <si>
    <t>Middle Class Tax</t>
  </si>
  <si>
    <t>Upper Class Tax</t>
  </si>
  <si>
    <t>TOTAL</t>
  </si>
  <si>
    <t>ANNUAL BALANCE</t>
  </si>
  <si>
    <t>COUNCIL FUNDS</t>
  </si>
  <si>
    <t>Social Security</t>
  </si>
  <si>
    <t>Earth Defense</t>
  </si>
  <si>
    <t>Colonies Defense</t>
  </si>
  <si>
    <t>Income Security</t>
  </si>
  <si>
    <t>Health</t>
  </si>
  <si>
    <t>Net Interest</t>
  </si>
  <si>
    <t>Veterans Benefits</t>
  </si>
  <si>
    <t>Transportation</t>
  </si>
  <si>
    <t>Education + Related</t>
  </si>
  <si>
    <t>Justice System</t>
  </si>
  <si>
    <t>Interstellar Affairs</t>
  </si>
  <si>
    <t>Colonies Support</t>
  </si>
  <si>
    <t>Natural Resources</t>
  </si>
  <si>
    <t>General Science</t>
  </si>
  <si>
    <t>Gouvernment Structure</t>
  </si>
  <si>
    <t>Community Development</t>
  </si>
  <si>
    <t>Energy</t>
  </si>
  <si>
    <t>Undistributed Offsetting Receipts</t>
  </si>
  <si>
    <t>Catalyst Project</t>
  </si>
  <si>
    <t>CareSalut</t>
  </si>
  <si>
    <t>Functions</t>
  </si>
  <si>
    <t>billions</t>
  </si>
  <si>
    <t>Combat</t>
  </si>
  <si>
    <t>-</t>
  </si>
  <si>
    <t>Detection</t>
  </si>
  <si>
    <t>Explosives</t>
  </si>
  <si>
    <t>Gunmanship</t>
  </si>
  <si>
    <t>Marksmanship</t>
  </si>
  <si>
    <t>Martial Art</t>
  </si>
  <si>
    <t>Stealth</t>
  </si>
  <si>
    <t>Expertise</t>
  </si>
  <si>
    <t>Business</t>
  </si>
  <si>
    <t>Crime</t>
  </si>
  <si>
    <t>Culture</t>
  </si>
  <si>
    <t>Driving</t>
  </si>
  <si>
    <t>Informatics</t>
  </si>
  <si>
    <t>Law</t>
  </si>
  <si>
    <t>Mechanics</t>
  </si>
  <si>
    <t>Medecine</t>
  </si>
  <si>
    <t>Media</t>
  </si>
  <si>
    <t>Research</t>
  </si>
  <si>
    <t>Structural</t>
  </si>
  <si>
    <t>Physical</t>
  </si>
  <si>
    <t>Acrobatism</t>
  </si>
  <si>
    <t>Athletism</t>
  </si>
  <si>
    <t>Climbing</t>
  </si>
  <si>
    <t>Social</t>
  </si>
  <si>
    <t>Deception</t>
  </si>
  <si>
    <t>Influence</t>
  </si>
  <si>
    <t>Intimidation</t>
  </si>
  <si>
    <t>Seduction</t>
  </si>
  <si>
    <t>Rank</t>
  </si>
  <si>
    <t>ABILITY</t>
  </si>
  <si>
    <t>SKILL</t>
  </si>
  <si>
    <t>Mod</t>
  </si>
  <si>
    <t>NAME</t>
  </si>
  <si>
    <t>GENDER</t>
  </si>
  <si>
    <t>SPECIE</t>
  </si>
  <si>
    <t>AGE</t>
  </si>
  <si>
    <t>PROFESSION</t>
  </si>
  <si>
    <t>ORIGIN</t>
  </si>
  <si>
    <t>HEXAGON</t>
  </si>
  <si>
    <t>SPECIALISED SKILLS</t>
  </si>
  <si>
    <t>Art</t>
  </si>
  <si>
    <t>Dance</t>
  </si>
  <si>
    <t>Music</t>
  </si>
  <si>
    <t>Visual Art</t>
  </si>
  <si>
    <t>Writing</t>
  </si>
  <si>
    <t>Biology</t>
  </si>
  <si>
    <t>Chemistry</t>
  </si>
  <si>
    <t>Cooking</t>
  </si>
  <si>
    <t>Electronics</t>
  </si>
  <si>
    <t>Etiquette</t>
  </si>
  <si>
    <t>Investigation</t>
  </si>
  <si>
    <t>Navigation</t>
  </si>
  <si>
    <t>Networking</t>
  </si>
  <si>
    <t>Physical Science</t>
  </si>
  <si>
    <t>Piloting</t>
  </si>
  <si>
    <t>Politics</t>
  </si>
  <si>
    <t>Survival</t>
  </si>
  <si>
    <t>TRAIT</t>
  </si>
  <si>
    <t>Description</t>
  </si>
  <si>
    <t>STATS</t>
  </si>
  <si>
    <t>HEIGHT</t>
  </si>
  <si>
    <t>WEIGHT</t>
  </si>
  <si>
    <t>Stamina</t>
  </si>
  <si>
    <t>Fatigue</t>
  </si>
  <si>
    <t>/</t>
  </si>
  <si>
    <t>POSSESSION</t>
  </si>
  <si>
    <t>Worth</t>
  </si>
  <si>
    <t>ITEM</t>
  </si>
  <si>
    <t>RELATION</t>
  </si>
  <si>
    <t>Status</t>
  </si>
  <si>
    <t>ACCOUNT</t>
  </si>
  <si>
    <t>Interest</t>
  </si>
  <si>
    <t>Funds</t>
  </si>
  <si>
    <t>Pro</t>
  </si>
  <si>
    <t>PREFERENCES</t>
  </si>
  <si>
    <t>LICENSES</t>
  </si>
  <si>
    <t>Slavic confederation</t>
  </si>
  <si>
    <t>United African People</t>
  </si>
  <si>
    <t>Electrics</t>
  </si>
  <si>
    <t>RANK</t>
  </si>
  <si>
    <t>SPECIALISED</t>
  </si>
  <si>
    <t>1-20</t>
  </si>
  <si>
    <t>Total</t>
  </si>
  <si>
    <t>P</t>
  </si>
  <si>
    <t>INTERSTELLAR TRAVEL</t>
  </si>
  <si>
    <t>Hours</t>
  </si>
  <si>
    <t>INTERPLANETARY</t>
  </si>
  <si>
    <t>Mars</t>
  </si>
  <si>
    <t>Distance (AU)</t>
  </si>
  <si>
    <t>SPENDING (B)</t>
  </si>
  <si>
    <t>Middle-East Treaty</t>
  </si>
  <si>
    <t>WU MANAGEMENT</t>
  </si>
  <si>
    <t>World Union</t>
  </si>
  <si>
    <t>Jupiter</t>
  </si>
  <si>
    <t>Distance (LY)</t>
  </si>
  <si>
    <t>Sol</t>
  </si>
  <si>
    <t>ISP-1</t>
  </si>
  <si>
    <t>Kepler</t>
  </si>
  <si>
    <t>Tsarinn</t>
  </si>
  <si>
    <t>Company</t>
  </si>
  <si>
    <t>SolutionInc.</t>
  </si>
  <si>
    <t>Voters</t>
  </si>
  <si>
    <t>1-10</t>
  </si>
  <si>
    <t>Value</t>
  </si>
  <si>
    <t>1-3</t>
  </si>
  <si>
    <t>4-6</t>
  </si>
  <si>
    <t>7-10</t>
  </si>
  <si>
    <t>10-13</t>
  </si>
  <si>
    <t>14-17</t>
  </si>
  <si>
    <t>18-20</t>
  </si>
  <si>
    <t>Untrained</t>
  </si>
  <si>
    <t>Trained</t>
  </si>
  <si>
    <t>Experienced</t>
  </si>
  <si>
    <t>Veteran</t>
  </si>
  <si>
    <t>Expert</t>
  </si>
  <si>
    <t>Master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</si>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</sst>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%"/>
    <numFmt numFmtId="166" formatCode="0.0"/>
    <numFmt numFmtId="167" formatCode="&quot;$&quot;#,##0.00"/>
  </numFmts>
  <fonts count="3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Verdana"/>
      <family val="2"/>
    </font>
    <font>
      <sz val="28"/>
      <color theme="1"/>
      <name val="Calibri"/>
      <family val="2"/>
      <scheme val="minor"/>
    </font>
    <font>
      <b/>
      <sz val="28"/>
      <color theme="1"/>
      <name val="Adobe Gothic Std B"/>
      <family val="2"/>
      <charset val="128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Verdana"/>
      <family val="2"/>
    </font>
    <font>
      <b/>
      <i/>
      <sz val="10"/>
      <color theme="1"/>
      <name val="Verdana"/>
      <family val="2"/>
    </font>
    <font>
      <b/>
      <i/>
      <sz val="14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/>
    <xf numFmtId="165" fontId="0" fillId="0" borderId="0" xfId="0" applyNumberFormat="1"/>
    <xf numFmtId="0" fontId="11" fillId="3" borderId="0" xfId="0" applyFont="1" applyFill="1" applyAlignment="1"/>
    <xf numFmtId="0" fontId="12" fillId="4" borderId="0" xfId="0" applyFont="1" applyFill="1" applyAlignment="1"/>
    <xf numFmtId="0" fontId="13" fillId="5" borderId="0" xfId="0" applyFont="1" applyFill="1" applyAlignment="1"/>
    <xf numFmtId="0" fontId="14" fillId="6" borderId="0" xfId="0" applyFont="1" applyFill="1" applyAlignment="1"/>
    <xf numFmtId="0" fontId="15" fillId="7" borderId="0" xfId="0" applyFont="1" applyFill="1" applyAlignment="1"/>
    <xf numFmtId="0" fontId="16" fillId="8" borderId="0" xfId="0" applyFont="1" applyFill="1" applyAlignment="1"/>
    <xf numFmtId="0" fontId="17" fillId="9" borderId="0" xfId="0" applyFont="1" applyFill="1"/>
    <xf numFmtId="0" fontId="18" fillId="10" borderId="0" xfId="0" applyFont="1" applyFill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64" fontId="0" fillId="0" borderId="0" xfId="0" applyNumberFormat="1"/>
    <xf numFmtId="164" fontId="9" fillId="0" borderId="0" xfId="0" applyNumberFormat="1" applyFont="1" applyAlignment="1">
      <alignment vertical="center"/>
    </xf>
    <xf numFmtId="164" fontId="0" fillId="0" borderId="0" xfId="0" applyNumberFormat="1" applyAlignment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applyNumberFormat="1"/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1" fontId="0" fillId="0" borderId="0" xfId="0" applyNumberFormat="1" applyAlignment="1"/>
    <xf numFmtId="16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/>
    <xf numFmtId="0" fontId="8" fillId="0" borderId="0" xfId="0" applyFont="1" applyAlignment="1">
      <alignment horizontal="center" wrapText="1"/>
    </xf>
    <xf numFmtId="3" fontId="9" fillId="0" borderId="0" xfId="0" applyNumberFormat="1" applyFont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11" borderId="0" xfId="0" applyFill="1"/>
    <xf numFmtId="0" fontId="0" fillId="0" borderId="1" xfId="0" applyBorder="1"/>
    <xf numFmtId="0" fontId="0" fillId="0" borderId="1" xfId="0" applyFill="1" applyBorder="1"/>
    <xf numFmtId="0" fontId="21" fillId="0" borderId="0" xfId="0" applyFont="1"/>
    <xf numFmtId="0" fontId="22" fillId="0" borderId="0" xfId="0" applyFont="1"/>
    <xf numFmtId="166" fontId="0" fillId="0" borderId="0" xfId="0" applyNumberFormat="1"/>
    <xf numFmtId="1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0" fontId="3" fillId="0" borderId="2" xfId="0" applyFont="1" applyBorder="1"/>
    <xf numFmtId="0" fontId="3" fillId="14" borderId="0" xfId="0" applyFont="1" applyFill="1"/>
    <xf numFmtId="0" fontId="3" fillId="13" borderId="0" xfId="0" applyFont="1" applyFill="1"/>
    <xf numFmtId="0" fontId="23" fillId="16" borderId="0" xfId="0" applyFont="1" applyFill="1"/>
    <xf numFmtId="1" fontId="3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2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2" xfId="0" applyNumberFormat="1" applyBorder="1" applyAlignment="1"/>
    <xf numFmtId="165" fontId="0" fillId="0" borderId="0" xfId="0" applyNumberFormat="1" applyBorder="1" applyAlignment="1"/>
    <xf numFmtId="165" fontId="0" fillId="0" borderId="2" xfId="0" applyNumberFormat="1" applyBorder="1"/>
    <xf numFmtId="164" fontId="0" fillId="0" borderId="0" xfId="0" applyNumberFormat="1" applyAlignment="1">
      <alignment horizontal="left"/>
    </xf>
    <xf numFmtId="164" fontId="26" fillId="0" borderId="0" xfId="0" applyNumberFormat="1" applyFont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10" fontId="0" fillId="17" borderId="0" xfId="0" applyNumberFormat="1" applyFill="1" applyBorder="1" applyAlignment="1"/>
    <xf numFmtId="167" fontId="0" fillId="17" borderId="0" xfId="0" applyNumberFormat="1" applyFill="1"/>
    <xf numFmtId="10" fontId="6" fillId="17" borderId="0" xfId="0" applyNumberFormat="1" applyFont="1" applyFill="1" applyAlignment="1"/>
    <xf numFmtId="165" fontId="0" fillId="0" borderId="2" xfId="0" applyNumberFormat="1" applyFont="1" applyBorder="1" applyAlignment="1"/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6" fillId="19" borderId="0" xfId="0" applyFont="1" applyFill="1"/>
    <xf numFmtId="0" fontId="28" fillId="19" borderId="0" xfId="0" applyFont="1" applyFill="1"/>
    <xf numFmtId="0" fontId="0" fillId="19" borderId="0" xfId="0" applyFill="1" applyAlignment="1">
      <alignment horizontal="right"/>
    </xf>
    <xf numFmtId="0" fontId="7" fillId="19" borderId="0" xfId="0" applyFont="1" applyFill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33" fillId="19" borderId="0" xfId="0" applyFont="1" applyFill="1"/>
    <xf numFmtId="0" fontId="0" fillId="20" borderId="0" xfId="0" applyFill="1"/>
    <xf numFmtId="0" fontId="11" fillId="19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4" fillId="0" borderId="0" xfId="0" applyFont="1"/>
    <xf numFmtId="0" fontId="35" fillId="17" borderId="0" xfId="0" applyFont="1" applyFill="1"/>
    <xf numFmtId="0" fontId="3" fillId="17" borderId="0" xfId="0" applyFont="1" applyFill="1"/>
    <xf numFmtId="0" fontId="35" fillId="17" borderId="0" xfId="0" applyFont="1" applyFill="1" applyAlignment="1"/>
    <xf numFmtId="0" fontId="3" fillId="17" borderId="0" xfId="0" applyFont="1" applyFill="1" applyAlignment="1"/>
    <xf numFmtId="0" fontId="3" fillId="20" borderId="0" xfId="0" applyFont="1" applyFill="1"/>
    <xf numFmtId="0" fontId="3" fillId="20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19" borderId="5" xfId="0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0" fillId="19" borderId="2" xfId="0" applyFill="1" applyBorder="1" applyAlignment="1">
      <alignment horizontal="center"/>
    </xf>
    <xf numFmtId="0" fontId="31" fillId="19" borderId="0" xfId="0" applyFont="1" applyFill="1" applyAlignment="1">
      <alignment horizontal="center" vertical="top"/>
    </xf>
    <xf numFmtId="0" fontId="30" fillId="19" borderId="0" xfId="0" applyFont="1" applyFill="1" applyAlignment="1">
      <alignment horizontal="center" vertical="top"/>
    </xf>
    <xf numFmtId="0" fontId="32" fillId="13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24" fillId="0" borderId="0" xfId="0" applyFont="1" applyAlignment="1">
      <alignment horizontal="center" vertical="center"/>
    </xf>
    <xf numFmtId="164" fontId="0" fillId="0" borderId="4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3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49" fontId="36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142875</xdr:rowOff>
    </xdr:from>
    <xdr:to>
      <xdr:col>11</xdr:col>
      <xdr:colOff>400050</xdr:colOff>
      <xdr:row>6</xdr:row>
      <xdr:rowOff>11401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33375"/>
          <a:ext cx="1619250" cy="82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B55"/>
  <sheetViews>
    <sheetView tabSelected="1" topLeftCell="A7" workbookViewId="0">
      <selection activeCell="G29" sqref="G29"/>
    </sheetView>
  </sheetViews>
  <sheetFormatPr defaultRowHeight="14.25" x14ac:dyDescent="0.2"/>
  <cols>
    <col min="1" max="6" width="9.140625" style="2"/>
    <col min="7" max="7" width="9.140625" style="2" customWidth="1"/>
    <col min="8" max="8" width="3.28515625" style="2" customWidth="1"/>
    <col min="9" max="10" width="9.140625" style="2"/>
    <col min="11" max="11" width="9.140625" style="89"/>
    <col min="12" max="16384" width="9.140625" style="2"/>
  </cols>
  <sheetData>
    <row r="3" spans="2:28" x14ac:dyDescent="0.2">
      <c r="B3" s="110" t="s">
        <v>158</v>
      </c>
      <c r="C3" s="110"/>
      <c r="D3" s="110"/>
      <c r="E3" s="110"/>
      <c r="F3" s="110"/>
      <c r="AA3" s="2">
        <v>1</v>
      </c>
      <c r="AB3" s="2">
        <v>1</v>
      </c>
    </row>
    <row r="4" spans="2:28" x14ac:dyDescent="0.2">
      <c r="B4" s="110"/>
      <c r="C4" s="110"/>
      <c r="D4" s="110"/>
      <c r="E4" s="110"/>
      <c r="F4" s="110"/>
      <c r="AA4" s="2">
        <v>2</v>
      </c>
      <c r="AB4" s="2">
        <v>2</v>
      </c>
    </row>
    <row r="5" spans="2:28" x14ac:dyDescent="0.2">
      <c r="AA5" s="2">
        <v>3</v>
      </c>
      <c r="AB5" s="2">
        <v>3</v>
      </c>
    </row>
    <row r="6" spans="2:28" ht="18.75" thickBot="1" x14ac:dyDescent="0.3">
      <c r="B6" s="111" t="s">
        <v>0</v>
      </c>
      <c r="C6" s="111"/>
      <c r="D6" s="111"/>
      <c r="E6" s="160" t="s">
        <v>300</v>
      </c>
      <c r="F6" s="160"/>
      <c r="J6" s="115" t="s">
        <v>279</v>
      </c>
      <c r="K6" s="115"/>
      <c r="L6" s="115"/>
      <c r="AA6" s="2">
        <v>4</v>
      </c>
      <c r="AB6" s="2">
        <v>4</v>
      </c>
    </row>
    <row r="7" spans="2:28" ht="15" thickBot="1" x14ac:dyDescent="0.25">
      <c r="E7" s="161" t="s">
        <v>301</v>
      </c>
      <c r="F7" s="161" t="s">
        <v>152</v>
      </c>
      <c r="H7" s="99" t="s">
        <v>281</v>
      </c>
      <c r="I7" s="97"/>
      <c r="J7" s="97"/>
      <c r="K7" s="98" t="s">
        <v>277</v>
      </c>
      <c r="L7" s="97" t="s">
        <v>152</v>
      </c>
      <c r="M7" s="97" t="s">
        <v>280</v>
      </c>
      <c r="AA7" s="2">
        <v>5</v>
      </c>
      <c r="AB7" s="2">
        <v>5</v>
      </c>
    </row>
    <row r="8" spans="2:28" x14ac:dyDescent="0.2">
      <c r="B8" s="112" t="s">
        <v>3</v>
      </c>
      <c r="C8" s="112"/>
      <c r="D8" s="112"/>
      <c r="E8" s="48">
        <v>8</v>
      </c>
      <c r="F8" s="49">
        <f>VLOOKUP(E8,AbltyCost,2,FALSE)</f>
        <v>14</v>
      </c>
      <c r="I8" s="93" t="s">
        <v>199</v>
      </c>
      <c r="J8" s="94"/>
      <c r="K8" s="90"/>
      <c r="L8" s="2">
        <f>VLOOKUP(K8,SkillCost,2,FALSE)</f>
        <v>0</v>
      </c>
      <c r="M8" s="90"/>
      <c r="O8" s="109" t="s">
        <v>302</v>
      </c>
      <c r="P8" s="163" t="s">
        <v>308</v>
      </c>
      <c r="Q8" s="163"/>
      <c r="AA8" s="2">
        <v>6</v>
      </c>
      <c r="AB8" s="2">
        <v>7</v>
      </c>
    </row>
    <row r="9" spans="2:28" x14ac:dyDescent="0.2">
      <c r="B9" s="113" t="s">
        <v>2</v>
      </c>
      <c r="C9" s="113"/>
      <c r="D9" s="113"/>
      <c r="E9" s="48">
        <v>6</v>
      </c>
      <c r="F9" s="50">
        <f>VLOOKUP(E9,AbltyCost,2,FALSE)</f>
        <v>7</v>
      </c>
      <c r="I9" s="93" t="s">
        <v>200</v>
      </c>
      <c r="J9" s="94"/>
      <c r="K9" s="90"/>
      <c r="L9" s="2">
        <f t="shared" ref="L8:L13" si="0">VLOOKUP(K9,SkillCost,2,FALSE)</f>
        <v>0</v>
      </c>
      <c r="M9" s="90"/>
      <c r="O9" s="109" t="s">
        <v>303</v>
      </c>
      <c r="P9" s="163" t="s">
        <v>309</v>
      </c>
      <c r="Q9" s="163"/>
      <c r="AA9" s="2">
        <v>7</v>
      </c>
      <c r="AB9" s="2">
        <v>10</v>
      </c>
    </row>
    <row r="10" spans="2:28" x14ac:dyDescent="0.2">
      <c r="B10" s="112" t="s">
        <v>4</v>
      </c>
      <c r="C10" s="112"/>
      <c r="D10" s="112"/>
      <c r="E10" s="48">
        <v>5</v>
      </c>
      <c r="F10" s="49">
        <f>VLOOKUP(E10,AbltyCost,2,FALSE)</f>
        <v>5</v>
      </c>
      <c r="I10" s="93" t="s">
        <v>201</v>
      </c>
      <c r="J10" s="94"/>
      <c r="K10" s="90"/>
      <c r="L10" s="2">
        <f t="shared" si="0"/>
        <v>0</v>
      </c>
      <c r="M10" s="90"/>
      <c r="O10" s="109" t="s">
        <v>304</v>
      </c>
      <c r="P10" s="163" t="s">
        <v>310</v>
      </c>
      <c r="Q10" s="163"/>
      <c r="AA10" s="2">
        <v>8</v>
      </c>
      <c r="AB10" s="2">
        <v>14</v>
      </c>
    </row>
    <row r="11" spans="2:28" x14ac:dyDescent="0.2">
      <c r="B11" s="113" t="s">
        <v>6</v>
      </c>
      <c r="C11" s="113"/>
      <c r="D11" s="113"/>
      <c r="E11" s="48">
        <v>5</v>
      </c>
      <c r="F11" s="50">
        <f>VLOOKUP(E11,AbltyCost,2,FALSE)</f>
        <v>5</v>
      </c>
      <c r="I11" s="93" t="s">
        <v>202</v>
      </c>
      <c r="J11" s="94"/>
      <c r="K11" s="90"/>
      <c r="L11" s="2">
        <f t="shared" si="0"/>
        <v>0</v>
      </c>
      <c r="M11" s="90"/>
      <c r="O11" s="109" t="s">
        <v>305</v>
      </c>
      <c r="P11" s="163" t="s">
        <v>311</v>
      </c>
      <c r="Q11" s="163"/>
      <c r="X11" s="52"/>
      <c r="AA11" s="2">
        <v>9</v>
      </c>
      <c r="AB11" s="52">
        <v>19</v>
      </c>
    </row>
    <row r="12" spans="2:28" x14ac:dyDescent="0.2">
      <c r="B12" s="112" t="s">
        <v>1</v>
      </c>
      <c r="C12" s="112"/>
      <c r="D12" s="112"/>
      <c r="E12" s="48">
        <v>4</v>
      </c>
      <c r="F12" s="49">
        <f>VLOOKUP(E12,AbltyCost,2,FALSE)</f>
        <v>4</v>
      </c>
      <c r="I12" s="93" t="s">
        <v>203</v>
      </c>
      <c r="J12" s="94"/>
      <c r="K12" s="91"/>
      <c r="L12" s="2">
        <f t="shared" si="0"/>
        <v>0</v>
      </c>
      <c r="M12" s="90"/>
      <c r="O12" s="109" t="s">
        <v>306</v>
      </c>
      <c r="P12" s="163" t="s">
        <v>312</v>
      </c>
      <c r="Q12" s="163"/>
      <c r="X12" s="52"/>
      <c r="AA12" s="2">
        <v>10</v>
      </c>
      <c r="AB12" s="52">
        <v>25</v>
      </c>
    </row>
    <row r="13" spans="2:28" ht="15.75" customHeight="1" x14ac:dyDescent="0.2">
      <c r="I13" s="93" t="s">
        <v>204</v>
      </c>
      <c r="J13" s="94"/>
      <c r="K13" s="90"/>
      <c r="L13" s="2">
        <f t="shared" si="0"/>
        <v>0</v>
      </c>
      <c r="M13" s="90"/>
      <c r="O13" s="109" t="s">
        <v>307</v>
      </c>
      <c r="P13" s="163" t="s">
        <v>313</v>
      </c>
      <c r="Q13" s="163"/>
      <c r="X13" s="52"/>
      <c r="AB13" s="52"/>
    </row>
    <row r="14" spans="2:28" ht="15" x14ac:dyDescent="0.25">
      <c r="B14" s="112" t="s">
        <v>9</v>
      </c>
      <c r="C14" s="112"/>
      <c r="D14" s="112"/>
      <c r="E14" s="48">
        <v>3</v>
      </c>
      <c r="F14" s="49">
        <f>VLOOKUP(E14,AbltyCost,2,FALSE)</f>
        <v>3</v>
      </c>
      <c r="I14" s="93"/>
      <c r="J14" s="94"/>
      <c r="M14"/>
      <c r="O14" s="109"/>
      <c r="X14" s="52"/>
    </row>
    <row r="15" spans="2:28" x14ac:dyDescent="0.2">
      <c r="B15" s="113" t="s">
        <v>5</v>
      </c>
      <c r="C15" s="113"/>
      <c r="D15" s="113"/>
      <c r="E15" s="48">
        <v>3</v>
      </c>
      <c r="F15" s="50">
        <f>VLOOKUP(E15,AbltyCost,2,FALSE)</f>
        <v>3</v>
      </c>
      <c r="I15" s="93" t="s">
        <v>207</v>
      </c>
      <c r="J15" s="94"/>
      <c r="K15" s="90"/>
      <c r="L15" s="2">
        <f t="shared" ref="L15:L25" si="1">VLOOKUP(K15,SkillCost,2,FALSE)</f>
        <v>0</v>
      </c>
      <c r="M15" s="90"/>
      <c r="O15" s="109"/>
      <c r="X15" s="52"/>
    </row>
    <row r="16" spans="2:28" x14ac:dyDescent="0.2">
      <c r="B16" s="112" t="s">
        <v>8</v>
      </c>
      <c r="C16" s="112"/>
      <c r="D16" s="112"/>
      <c r="E16" s="48">
        <v>3</v>
      </c>
      <c r="F16" s="49">
        <f>VLOOKUP(E16,AbltyCost,2,FALSE)</f>
        <v>3</v>
      </c>
      <c r="I16" s="93" t="s">
        <v>208</v>
      </c>
      <c r="J16" s="94"/>
      <c r="K16" s="90"/>
      <c r="L16" s="2">
        <f t="shared" si="1"/>
        <v>0</v>
      </c>
      <c r="M16" s="90"/>
      <c r="O16" s="109"/>
      <c r="X16" s="52"/>
    </row>
    <row r="17" spans="2:24" x14ac:dyDescent="0.2">
      <c r="B17" s="113" t="s">
        <v>7</v>
      </c>
      <c r="C17" s="113"/>
      <c r="D17" s="113"/>
      <c r="E17" s="48">
        <v>3</v>
      </c>
      <c r="F17" s="50">
        <f>VLOOKUP(E17,AbltyCost,2,FALSE)</f>
        <v>3</v>
      </c>
      <c r="I17" s="93" t="s">
        <v>209</v>
      </c>
      <c r="J17" s="94"/>
      <c r="K17" s="90"/>
      <c r="L17" s="2">
        <f t="shared" si="1"/>
        <v>0</v>
      </c>
      <c r="M17" s="90"/>
      <c r="O17" s="109"/>
      <c r="X17" s="52"/>
    </row>
    <row r="18" spans="2:24" x14ac:dyDescent="0.2">
      <c r="B18" s="112" t="s">
        <v>10</v>
      </c>
      <c r="C18" s="112"/>
      <c r="D18" s="112"/>
      <c r="E18" s="48">
        <v>3</v>
      </c>
      <c r="F18" s="49">
        <f>VLOOKUP(E18,AbltyCost,2,FALSE)</f>
        <v>3</v>
      </c>
      <c r="I18" s="93" t="s">
        <v>210</v>
      </c>
      <c r="J18" s="94"/>
      <c r="K18" s="90"/>
      <c r="L18" s="2">
        <f t="shared" si="1"/>
        <v>0</v>
      </c>
      <c r="M18" s="90"/>
      <c r="O18" s="109"/>
      <c r="V18" s="2">
        <v>0</v>
      </c>
      <c r="W18" s="2">
        <v>0</v>
      </c>
      <c r="X18" s="52"/>
    </row>
    <row r="19" spans="2:24" x14ac:dyDescent="0.2">
      <c r="I19" s="93" t="s">
        <v>211</v>
      </c>
      <c r="J19" s="94"/>
      <c r="K19" s="90"/>
      <c r="L19" s="2">
        <f t="shared" si="1"/>
        <v>0</v>
      </c>
      <c r="M19" s="90"/>
      <c r="O19" s="109"/>
      <c r="V19" s="2">
        <v>1</v>
      </c>
      <c r="W19" s="2">
        <v>1</v>
      </c>
      <c r="X19" s="52"/>
    </row>
    <row r="20" spans="2:24" x14ac:dyDescent="0.2">
      <c r="F20" s="51">
        <f>50-SUM(F8:F18)</f>
        <v>0</v>
      </c>
      <c r="I20" s="93" t="s">
        <v>314</v>
      </c>
      <c r="J20" s="94"/>
      <c r="K20" s="90"/>
      <c r="L20" s="2">
        <f t="shared" si="1"/>
        <v>0</v>
      </c>
      <c r="M20" s="90"/>
      <c r="O20" s="109"/>
      <c r="V20" s="2">
        <v>2</v>
      </c>
      <c r="W20" s="2">
        <v>2</v>
      </c>
      <c r="X20" s="52"/>
    </row>
    <row r="21" spans="2:24" x14ac:dyDescent="0.2">
      <c r="B21" s="88"/>
      <c r="C21" s="88"/>
      <c r="D21" s="88"/>
      <c r="I21" s="93" t="s">
        <v>212</v>
      </c>
      <c r="J21" s="94"/>
      <c r="K21" s="90"/>
      <c r="L21" s="2">
        <f t="shared" si="1"/>
        <v>0</v>
      </c>
      <c r="M21" s="90"/>
      <c r="O21" s="109"/>
      <c r="V21" s="2">
        <v>3</v>
      </c>
      <c r="W21" s="2">
        <v>3</v>
      </c>
      <c r="X21" s="52"/>
    </row>
    <row r="22" spans="2:24" x14ac:dyDescent="0.2">
      <c r="I22" s="93" t="s">
        <v>213</v>
      </c>
      <c r="J22" s="94"/>
      <c r="K22" s="90"/>
      <c r="L22" s="2">
        <f t="shared" si="1"/>
        <v>0</v>
      </c>
      <c r="M22" s="90"/>
      <c r="O22" s="109"/>
      <c r="V22" s="2">
        <v>4</v>
      </c>
      <c r="W22" s="2">
        <v>4</v>
      </c>
    </row>
    <row r="23" spans="2:24" x14ac:dyDescent="0.2">
      <c r="B23" s="88"/>
      <c r="C23" s="88"/>
      <c r="D23" s="88"/>
      <c r="I23" s="93" t="s">
        <v>214</v>
      </c>
      <c r="J23" s="94"/>
      <c r="K23" s="90"/>
      <c r="L23" s="2">
        <f t="shared" si="1"/>
        <v>0</v>
      </c>
      <c r="M23" s="90"/>
      <c r="O23" s="109"/>
      <c r="V23" s="2">
        <v>5</v>
      </c>
      <c r="W23" s="2">
        <v>5</v>
      </c>
    </row>
    <row r="24" spans="2:24" x14ac:dyDescent="0.2">
      <c r="I24" s="93" t="s">
        <v>215</v>
      </c>
      <c r="J24" s="94"/>
      <c r="K24" s="90"/>
      <c r="L24" s="2">
        <f t="shared" si="1"/>
        <v>0</v>
      </c>
      <c r="M24" s="90"/>
      <c r="O24" s="162"/>
      <c r="V24" s="2">
        <v>6</v>
      </c>
      <c r="W24" s="2">
        <v>7</v>
      </c>
    </row>
    <row r="25" spans="2:24" x14ac:dyDescent="0.2">
      <c r="B25" s="88"/>
      <c r="C25" s="88"/>
      <c r="D25" s="88"/>
      <c r="I25" s="93" t="s">
        <v>216</v>
      </c>
      <c r="J25" s="94"/>
      <c r="K25" s="90"/>
      <c r="L25" s="2">
        <f t="shared" si="1"/>
        <v>0</v>
      </c>
      <c r="M25" s="90"/>
      <c r="O25" s="162"/>
      <c r="V25" s="2">
        <v>7</v>
      </c>
      <c r="W25" s="2">
        <v>9</v>
      </c>
    </row>
    <row r="26" spans="2:24" ht="15" x14ac:dyDescent="0.25">
      <c r="I26" s="93"/>
      <c r="J26" s="94"/>
      <c r="M26"/>
      <c r="O26" s="162"/>
      <c r="V26" s="2">
        <v>8</v>
      </c>
      <c r="W26" s="2">
        <v>11</v>
      </c>
    </row>
    <row r="27" spans="2:24" x14ac:dyDescent="0.2">
      <c r="I27" s="93" t="s">
        <v>218</v>
      </c>
      <c r="J27" s="94"/>
      <c r="K27" s="90"/>
      <c r="L27" s="2">
        <f>VLOOKUP(K27,SkillCost,2,FALSE)</f>
        <v>0</v>
      </c>
      <c r="M27" s="90"/>
      <c r="O27" s="162"/>
      <c r="V27" s="2">
        <v>9</v>
      </c>
      <c r="W27" s="2">
        <v>13</v>
      </c>
    </row>
    <row r="28" spans="2:24" x14ac:dyDescent="0.2">
      <c r="I28" s="93" t="s">
        <v>219</v>
      </c>
      <c r="J28" s="94"/>
      <c r="K28" s="90"/>
      <c r="L28" s="2">
        <f>VLOOKUP(K28,SkillCost,2,FALSE)</f>
        <v>0</v>
      </c>
      <c r="M28" s="90"/>
      <c r="O28" s="162"/>
      <c r="V28" s="2">
        <v>10</v>
      </c>
      <c r="W28" s="2">
        <v>15</v>
      </c>
    </row>
    <row r="29" spans="2:24" x14ac:dyDescent="0.2">
      <c r="I29" s="93" t="s">
        <v>220</v>
      </c>
      <c r="J29" s="94"/>
      <c r="K29" s="90"/>
      <c r="L29" s="2">
        <f>VLOOKUP(K29,SkillCost,2,FALSE)</f>
        <v>0</v>
      </c>
      <c r="M29" s="90"/>
      <c r="O29" s="162"/>
      <c r="V29" s="2">
        <v>11</v>
      </c>
      <c r="W29" s="2">
        <v>18</v>
      </c>
    </row>
    <row r="30" spans="2:24" ht="15" x14ac:dyDescent="0.25">
      <c r="I30" s="93"/>
      <c r="J30" s="94"/>
      <c r="M30"/>
      <c r="V30" s="2">
        <v>12</v>
      </c>
      <c r="W30" s="2">
        <v>21</v>
      </c>
    </row>
    <row r="31" spans="2:24" x14ac:dyDescent="0.2">
      <c r="I31" s="93" t="s">
        <v>222</v>
      </c>
      <c r="J31" s="94"/>
      <c r="K31" s="90"/>
      <c r="L31" s="2">
        <f>VLOOKUP(K31,SkillCost,2,FALSE)</f>
        <v>0</v>
      </c>
      <c r="M31" s="90"/>
      <c r="V31" s="2">
        <v>13</v>
      </c>
      <c r="W31" s="2">
        <v>24</v>
      </c>
    </row>
    <row r="32" spans="2:24" x14ac:dyDescent="0.2">
      <c r="I32" s="93" t="s">
        <v>223</v>
      </c>
      <c r="J32" s="94"/>
      <c r="K32" s="90"/>
      <c r="L32" s="2">
        <f>VLOOKUP(K32,SkillCost,2,FALSE)</f>
        <v>0</v>
      </c>
      <c r="M32" s="90"/>
      <c r="V32" s="2">
        <v>14</v>
      </c>
      <c r="W32" s="2">
        <v>27</v>
      </c>
    </row>
    <row r="33" spans="9:23" x14ac:dyDescent="0.2">
      <c r="I33" s="93" t="s">
        <v>224</v>
      </c>
      <c r="J33" s="94"/>
      <c r="K33" s="90"/>
      <c r="L33" s="2">
        <f>VLOOKUP(K33,SkillCost,2,FALSE)</f>
        <v>0</v>
      </c>
      <c r="M33" s="90"/>
      <c r="V33" s="2">
        <v>15</v>
      </c>
      <c r="W33" s="2">
        <v>30</v>
      </c>
    </row>
    <row r="34" spans="9:23" x14ac:dyDescent="0.2">
      <c r="I34" s="93" t="s">
        <v>225</v>
      </c>
      <c r="J34" s="94"/>
      <c r="K34" s="90"/>
      <c r="L34" s="2">
        <f>VLOOKUP(K34,SkillCost,2,FALSE)</f>
        <v>0</v>
      </c>
      <c r="M34" s="90"/>
      <c r="V34" s="2">
        <v>16</v>
      </c>
      <c r="W34" s="2">
        <v>34</v>
      </c>
    </row>
    <row r="35" spans="9:23" ht="15" x14ac:dyDescent="0.25">
      <c r="I35" s="114" t="s">
        <v>278</v>
      </c>
      <c r="J35" s="114"/>
      <c r="K35" s="114"/>
      <c r="L35" s="114"/>
      <c r="M35" s="86"/>
      <c r="V35" s="2">
        <v>17</v>
      </c>
      <c r="W35" s="2">
        <v>38</v>
      </c>
    </row>
    <row r="36" spans="9:23" x14ac:dyDescent="0.2">
      <c r="I36" s="93" t="s">
        <v>239</v>
      </c>
      <c r="J36" s="94"/>
      <c r="K36" s="90"/>
      <c r="L36" s="2">
        <f>VLOOKUP(K36,SkillCost,2,FALSE)</f>
        <v>0</v>
      </c>
      <c r="M36" s="90"/>
      <c r="V36" s="2">
        <v>18</v>
      </c>
      <c r="W36" s="2">
        <v>42</v>
      </c>
    </row>
    <row r="37" spans="9:23" x14ac:dyDescent="0.2">
      <c r="I37" s="93" t="s">
        <v>240</v>
      </c>
      <c r="J37" s="94"/>
      <c r="K37" s="90"/>
      <c r="L37" s="2">
        <f>VLOOKUP(K37,SkillCost,2,FALSE)</f>
        <v>0</v>
      </c>
      <c r="M37" s="90"/>
      <c r="V37" s="2">
        <v>19</v>
      </c>
      <c r="W37" s="2">
        <v>46</v>
      </c>
    </row>
    <row r="38" spans="9:23" x14ac:dyDescent="0.2">
      <c r="I38" s="93" t="s">
        <v>241</v>
      </c>
      <c r="J38" s="94"/>
      <c r="K38" s="90"/>
      <c r="L38" s="2">
        <f>VLOOKUP(K38,SkillCost,2,FALSE)</f>
        <v>0</v>
      </c>
      <c r="M38" s="90"/>
      <c r="V38" s="2">
        <v>20</v>
      </c>
      <c r="W38" s="2">
        <v>50</v>
      </c>
    </row>
    <row r="39" spans="9:23" x14ac:dyDescent="0.2">
      <c r="I39" s="93" t="s">
        <v>242</v>
      </c>
      <c r="J39" s="94"/>
      <c r="K39" s="90"/>
      <c r="L39" s="2">
        <f>VLOOKUP(K39,SkillCost,2,FALSE)</f>
        <v>0</v>
      </c>
      <c r="M39" s="90"/>
    </row>
    <row r="40" spans="9:23" ht="15" x14ac:dyDescent="0.25">
      <c r="I40" s="93"/>
      <c r="J40" s="94"/>
      <c r="M40"/>
    </row>
    <row r="41" spans="9:23" x14ac:dyDescent="0.2">
      <c r="I41" s="93" t="s">
        <v>243</v>
      </c>
      <c r="J41" s="94"/>
      <c r="K41" s="90"/>
      <c r="L41" s="2">
        <f t="shared" ref="L41:L53" si="2">VLOOKUP(K41,SkillCost,2,FALSE)</f>
        <v>0</v>
      </c>
      <c r="M41" s="90"/>
    </row>
    <row r="42" spans="9:23" x14ac:dyDescent="0.2">
      <c r="I42" s="95" t="s">
        <v>244</v>
      </c>
      <c r="J42" s="96"/>
      <c r="K42" s="90"/>
      <c r="L42" s="2">
        <f t="shared" si="2"/>
        <v>0</v>
      </c>
      <c r="M42" s="90"/>
    </row>
    <row r="43" spans="9:23" x14ac:dyDescent="0.2">
      <c r="I43" s="95" t="s">
        <v>245</v>
      </c>
      <c r="J43" s="96"/>
      <c r="K43" s="90"/>
      <c r="L43" s="2">
        <f t="shared" si="2"/>
        <v>0</v>
      </c>
      <c r="M43" s="90"/>
    </row>
    <row r="44" spans="9:23" x14ac:dyDescent="0.2">
      <c r="I44" s="95" t="s">
        <v>276</v>
      </c>
      <c r="J44" s="96"/>
      <c r="K44" s="90"/>
      <c r="L44" s="2">
        <f t="shared" si="2"/>
        <v>0</v>
      </c>
      <c r="M44" s="90"/>
    </row>
    <row r="45" spans="9:23" x14ac:dyDescent="0.2">
      <c r="I45" s="95" t="s">
        <v>246</v>
      </c>
      <c r="J45" s="96"/>
      <c r="K45" s="90"/>
      <c r="L45" s="2">
        <f t="shared" si="2"/>
        <v>0</v>
      </c>
      <c r="M45" s="90"/>
    </row>
    <row r="46" spans="9:23" x14ac:dyDescent="0.2">
      <c r="I46" s="95" t="s">
        <v>247</v>
      </c>
      <c r="J46" s="96"/>
      <c r="K46" s="90"/>
      <c r="L46" s="2">
        <f t="shared" si="2"/>
        <v>0</v>
      </c>
      <c r="M46" s="90"/>
    </row>
    <row r="47" spans="9:23" x14ac:dyDescent="0.2">
      <c r="I47" s="95" t="s">
        <v>248</v>
      </c>
      <c r="J47" s="96"/>
      <c r="K47" s="90"/>
      <c r="L47" s="2">
        <f t="shared" si="2"/>
        <v>0</v>
      </c>
      <c r="M47" s="90"/>
    </row>
    <row r="48" spans="9:23" x14ac:dyDescent="0.2">
      <c r="I48" s="93" t="s">
        <v>249</v>
      </c>
      <c r="J48" s="94"/>
      <c r="K48" s="90"/>
      <c r="L48" s="2">
        <f t="shared" si="2"/>
        <v>0</v>
      </c>
      <c r="M48" s="90"/>
    </row>
    <row r="49" spans="9:15" x14ac:dyDescent="0.2">
      <c r="I49" s="93" t="s">
        <v>250</v>
      </c>
      <c r="J49" s="94"/>
      <c r="K49" s="90"/>
      <c r="L49" s="2">
        <f t="shared" si="2"/>
        <v>0</v>
      </c>
      <c r="M49" s="90"/>
    </row>
    <row r="50" spans="9:15" x14ac:dyDescent="0.2">
      <c r="I50" s="93" t="s">
        <v>251</v>
      </c>
      <c r="J50" s="94"/>
      <c r="K50" s="90"/>
      <c r="L50" s="2">
        <f t="shared" si="2"/>
        <v>0</v>
      </c>
      <c r="M50" s="90"/>
    </row>
    <row r="51" spans="9:15" x14ac:dyDescent="0.2">
      <c r="I51" s="93" t="s">
        <v>252</v>
      </c>
      <c r="J51" s="94"/>
      <c r="K51" s="90"/>
      <c r="L51" s="2">
        <f t="shared" si="2"/>
        <v>0</v>
      </c>
      <c r="M51" s="90"/>
    </row>
    <row r="52" spans="9:15" x14ac:dyDescent="0.2">
      <c r="I52" s="93" t="s">
        <v>253</v>
      </c>
      <c r="J52" s="94"/>
      <c r="K52" s="90"/>
      <c r="L52" s="2">
        <f t="shared" si="2"/>
        <v>0</v>
      </c>
      <c r="M52" s="90"/>
    </row>
    <row r="53" spans="9:15" x14ac:dyDescent="0.2">
      <c r="I53" s="93" t="s">
        <v>254</v>
      </c>
      <c r="J53" s="94"/>
      <c r="K53" s="90"/>
      <c r="L53" s="2">
        <f t="shared" si="2"/>
        <v>0</v>
      </c>
      <c r="M53" s="90"/>
    </row>
    <row r="55" spans="9:15" x14ac:dyDescent="0.2">
      <c r="O55" s="92"/>
    </row>
  </sheetData>
  <sortState ref="I15:I25">
    <sortCondition ref="I15"/>
  </sortState>
  <mergeCells count="21">
    <mergeCell ref="P13:Q13"/>
    <mergeCell ref="P8:Q8"/>
    <mergeCell ref="P9:Q9"/>
    <mergeCell ref="P10:Q10"/>
    <mergeCell ref="P11:Q11"/>
    <mergeCell ref="P12:Q12"/>
    <mergeCell ref="B16:D16"/>
    <mergeCell ref="B17:D17"/>
    <mergeCell ref="B18:D18"/>
    <mergeCell ref="I35:L35"/>
    <mergeCell ref="J6:L6"/>
    <mergeCell ref="E6:F6"/>
    <mergeCell ref="B3:F4"/>
    <mergeCell ref="B6:D6"/>
    <mergeCell ref="B14:D14"/>
    <mergeCell ref="B15:D15"/>
    <mergeCell ref="B8:D8"/>
    <mergeCell ref="B9:D9"/>
    <mergeCell ref="B10:D10"/>
    <mergeCell ref="B12:D12"/>
    <mergeCell ref="B11:D11"/>
  </mergeCells>
  <conditionalFormatting sqref="F20">
    <cfRule type="expression" dxfId="7" priority="2">
      <formula>$F$20&lt;0</formula>
    </cfRule>
  </conditionalFormatting>
  <conditionalFormatting sqref="L55">
    <cfRule type="expression" dxfId="6" priority="1">
      <formula>$L$55&lt;0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workbookViewId="0">
      <selection activeCell="X36" sqref="X36"/>
    </sheetView>
  </sheetViews>
  <sheetFormatPr defaultColWidth="3.5703125" defaultRowHeight="15" x14ac:dyDescent="0.25"/>
  <cols>
    <col min="1" max="14" width="3.5703125" style="76"/>
    <col min="15" max="15" width="1.140625" style="76" customWidth="1"/>
    <col min="16" max="33" width="3.5703125" style="76"/>
    <col min="34" max="34" width="1.28515625" style="76" customWidth="1"/>
    <col min="35" max="36" width="3.5703125" style="76"/>
    <col min="37" max="37" width="1.85546875" style="76" customWidth="1"/>
    <col min="38" max="39" width="3.5703125" style="76"/>
    <col min="40" max="40" width="1.85546875" style="76" customWidth="1"/>
    <col min="41" max="16384" width="3.5703125" style="76"/>
  </cols>
  <sheetData>
    <row r="1" spans="1:42" x14ac:dyDescent="0.2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20" t="s">
        <v>236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2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4" spans="1:42" x14ac:dyDescent="0.25">
      <c r="A4" s="86"/>
      <c r="B4" s="76" t="s">
        <v>230</v>
      </c>
      <c r="E4" s="82"/>
      <c r="F4" s="82"/>
      <c r="G4" s="82"/>
      <c r="H4" s="82"/>
      <c r="I4" s="82"/>
      <c r="J4" s="82"/>
      <c r="K4" s="82"/>
      <c r="L4" s="82"/>
      <c r="W4" s="86"/>
      <c r="X4" s="76" t="s">
        <v>234</v>
      </c>
      <c r="AB4" s="82"/>
      <c r="AC4" s="82"/>
      <c r="AD4" s="82"/>
      <c r="AE4" s="82"/>
      <c r="AF4" s="82"/>
      <c r="AG4" s="82"/>
      <c r="AH4" s="82"/>
      <c r="AI4" s="82"/>
    </row>
    <row r="5" spans="1:42" x14ac:dyDescent="0.25">
      <c r="A5" s="86"/>
      <c r="B5" s="76" t="s">
        <v>231</v>
      </c>
      <c r="E5" s="83"/>
      <c r="F5" s="83"/>
      <c r="G5" s="83"/>
      <c r="W5" s="86"/>
      <c r="X5" s="76" t="s">
        <v>235</v>
      </c>
      <c r="AB5" s="82"/>
      <c r="AC5" s="82"/>
      <c r="AD5" s="82"/>
      <c r="AE5" s="82"/>
      <c r="AF5" s="82"/>
      <c r="AG5" s="82"/>
      <c r="AH5" s="82"/>
      <c r="AI5" s="82"/>
    </row>
    <row r="6" spans="1:42" x14ac:dyDescent="0.25">
      <c r="A6" s="86"/>
      <c r="B6" s="76" t="s">
        <v>232</v>
      </c>
      <c r="E6" s="82"/>
      <c r="F6" s="82"/>
      <c r="G6" s="82"/>
      <c r="H6" s="82"/>
      <c r="I6" s="82"/>
      <c r="J6" s="82"/>
      <c r="K6" s="82"/>
      <c r="L6" s="82"/>
      <c r="W6" s="86"/>
      <c r="X6" s="76" t="s">
        <v>258</v>
      </c>
      <c r="AB6" s="83"/>
      <c r="AC6" s="83"/>
      <c r="AD6" s="83"/>
    </row>
    <row r="7" spans="1:42" x14ac:dyDescent="0.25">
      <c r="A7" s="86"/>
      <c r="B7" s="76" t="s">
        <v>233</v>
      </c>
      <c r="E7" s="83"/>
      <c r="F7" s="83"/>
      <c r="G7" s="83"/>
      <c r="W7" s="86"/>
      <c r="X7" s="76" t="s">
        <v>259</v>
      </c>
      <c r="AB7" s="83"/>
      <c r="AC7" s="83"/>
      <c r="AD7" s="83"/>
    </row>
    <row r="8" spans="1:42" x14ac:dyDescent="0.25">
      <c r="E8" s="84"/>
      <c r="F8" s="84"/>
      <c r="G8" s="84"/>
    </row>
    <row r="10" spans="1:42" x14ac:dyDescent="0.25">
      <c r="A10" s="86"/>
      <c r="B10" s="117" t="s">
        <v>227</v>
      </c>
      <c r="C10" s="117"/>
      <c r="D10" s="117"/>
      <c r="E10" s="117"/>
      <c r="F10" s="117"/>
      <c r="G10" s="118" t="s">
        <v>226</v>
      </c>
      <c r="H10" s="118"/>
      <c r="I10" s="86"/>
      <c r="J10" s="117" t="s">
        <v>255</v>
      </c>
      <c r="K10" s="117"/>
      <c r="L10" s="117"/>
      <c r="M10" s="117"/>
      <c r="N10" s="117"/>
      <c r="P10" s="118" t="s">
        <v>256</v>
      </c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C10" s="86"/>
      <c r="AD10" s="117" t="s">
        <v>228</v>
      </c>
      <c r="AE10" s="117"/>
      <c r="AF10" s="117"/>
      <c r="AG10" s="117"/>
      <c r="AH10" s="117"/>
      <c r="AI10" s="118" t="s">
        <v>226</v>
      </c>
      <c r="AJ10" s="118"/>
      <c r="AL10" s="118" t="s">
        <v>271</v>
      </c>
      <c r="AM10" s="118"/>
      <c r="AO10" s="118" t="s">
        <v>229</v>
      </c>
      <c r="AP10" s="118"/>
    </row>
    <row r="11" spans="1:42" ht="15.75" x14ac:dyDescent="0.25">
      <c r="A11" s="86"/>
      <c r="B11" s="124" t="s">
        <v>3</v>
      </c>
      <c r="C11" s="124"/>
      <c r="D11" s="124"/>
      <c r="E11" s="124"/>
      <c r="F11" s="124"/>
      <c r="G11" s="116"/>
      <c r="H11" s="116"/>
      <c r="I11" s="86"/>
      <c r="J11" s="82"/>
      <c r="K11" s="82"/>
      <c r="L11" s="82"/>
      <c r="M11" s="82"/>
      <c r="N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C11" s="86"/>
      <c r="AD11" s="79" t="s">
        <v>197</v>
      </c>
      <c r="AE11" s="78"/>
    </row>
    <row r="12" spans="1:42" x14ac:dyDescent="0.25">
      <c r="A12" s="86"/>
      <c r="B12" s="123" t="s">
        <v>2</v>
      </c>
      <c r="C12" s="123"/>
      <c r="D12" s="123"/>
      <c r="E12" s="123"/>
      <c r="F12" s="123"/>
      <c r="G12" s="116"/>
      <c r="H12" s="116"/>
      <c r="I12" s="86"/>
      <c r="J12" s="82"/>
      <c r="K12" s="82"/>
      <c r="L12" s="82"/>
      <c r="M12" s="82"/>
      <c r="N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C12" s="86"/>
      <c r="AD12" s="80" t="s">
        <v>198</v>
      </c>
      <c r="AE12" s="81" t="s">
        <v>199</v>
      </c>
      <c r="AI12" s="116"/>
      <c r="AJ12" s="116"/>
      <c r="AL12" s="116"/>
      <c r="AM12" s="116"/>
      <c r="AO12" s="116"/>
      <c r="AP12" s="116"/>
    </row>
    <row r="13" spans="1:42" x14ac:dyDescent="0.25">
      <c r="A13" s="86"/>
      <c r="B13" s="124" t="s">
        <v>4</v>
      </c>
      <c r="C13" s="124"/>
      <c r="D13" s="124"/>
      <c r="E13" s="124"/>
      <c r="F13" s="124"/>
      <c r="G13" s="116"/>
      <c r="H13" s="116"/>
      <c r="I13" s="86"/>
      <c r="J13" s="82"/>
      <c r="K13" s="82"/>
      <c r="L13" s="82"/>
      <c r="M13" s="82"/>
      <c r="N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C13" s="86"/>
      <c r="AD13" s="80" t="s">
        <v>198</v>
      </c>
      <c r="AE13" s="81" t="s">
        <v>200</v>
      </c>
      <c r="AI13" s="116"/>
      <c r="AJ13" s="116"/>
      <c r="AL13" s="116"/>
      <c r="AM13" s="116"/>
      <c r="AO13" s="116"/>
      <c r="AP13" s="116"/>
    </row>
    <row r="14" spans="1:42" x14ac:dyDescent="0.25">
      <c r="A14" s="86"/>
      <c r="B14" s="123" t="s">
        <v>6</v>
      </c>
      <c r="C14" s="123"/>
      <c r="D14" s="123"/>
      <c r="E14" s="123"/>
      <c r="F14" s="123"/>
      <c r="G14" s="116"/>
      <c r="H14" s="116"/>
      <c r="I14" s="86"/>
      <c r="J14" s="82"/>
      <c r="K14" s="82"/>
      <c r="L14" s="82"/>
      <c r="M14" s="82"/>
      <c r="N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C14" s="86"/>
      <c r="AD14" s="80" t="s">
        <v>198</v>
      </c>
      <c r="AE14" s="81" t="s">
        <v>201</v>
      </c>
      <c r="AI14" s="116"/>
      <c r="AJ14" s="116"/>
      <c r="AL14" s="116"/>
      <c r="AM14" s="116"/>
      <c r="AO14" s="116"/>
      <c r="AP14" s="116"/>
    </row>
    <row r="15" spans="1:42" x14ac:dyDescent="0.25">
      <c r="A15" s="86"/>
      <c r="B15" s="124" t="s">
        <v>1</v>
      </c>
      <c r="C15" s="124"/>
      <c r="D15" s="124"/>
      <c r="E15" s="124"/>
      <c r="F15" s="124"/>
      <c r="G15" s="116"/>
      <c r="H15" s="116"/>
      <c r="I15" s="86"/>
      <c r="J15" s="82"/>
      <c r="K15" s="82"/>
      <c r="L15" s="82"/>
      <c r="M15" s="82"/>
      <c r="N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C15" s="86"/>
      <c r="AD15" s="80" t="s">
        <v>198</v>
      </c>
      <c r="AE15" s="81" t="s">
        <v>202</v>
      </c>
      <c r="AI15" s="116"/>
      <c r="AJ15" s="116"/>
      <c r="AL15" s="116"/>
      <c r="AM15" s="116"/>
      <c r="AO15" s="116"/>
      <c r="AP15" s="116"/>
    </row>
    <row r="16" spans="1:42" x14ac:dyDescent="0.25">
      <c r="A16" s="86"/>
      <c r="B16" s="125"/>
      <c r="C16" s="125"/>
      <c r="D16" s="125"/>
      <c r="E16" s="125"/>
      <c r="F16" s="125"/>
      <c r="I16" s="86"/>
      <c r="J16" s="82"/>
      <c r="K16" s="82"/>
      <c r="L16" s="82"/>
      <c r="M16" s="82"/>
      <c r="N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C16" s="86"/>
      <c r="AD16" s="80" t="s">
        <v>198</v>
      </c>
      <c r="AE16" s="81" t="s">
        <v>203</v>
      </c>
      <c r="AI16" s="116"/>
      <c r="AJ16" s="116"/>
      <c r="AL16" s="116"/>
      <c r="AM16" s="116"/>
      <c r="AO16" s="116"/>
      <c r="AP16" s="116"/>
    </row>
    <row r="17" spans="1:42" x14ac:dyDescent="0.25">
      <c r="A17" s="86"/>
      <c r="B17" s="124" t="s">
        <v>9</v>
      </c>
      <c r="C17" s="124"/>
      <c r="D17" s="124"/>
      <c r="E17" s="124"/>
      <c r="F17" s="124"/>
      <c r="G17" s="116"/>
      <c r="H17" s="116"/>
      <c r="I17" s="86"/>
      <c r="J17" s="82"/>
      <c r="K17" s="82"/>
      <c r="L17" s="82"/>
      <c r="M17" s="82"/>
      <c r="N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C17" s="86"/>
      <c r="AD17" s="80" t="s">
        <v>198</v>
      </c>
      <c r="AE17" s="81" t="s">
        <v>204</v>
      </c>
      <c r="AI17" s="116"/>
      <c r="AJ17" s="116"/>
      <c r="AL17" s="116"/>
      <c r="AM17" s="116"/>
      <c r="AO17" s="116"/>
      <c r="AP17" s="116"/>
    </row>
    <row r="18" spans="1:42" ht="15.75" x14ac:dyDescent="0.25">
      <c r="A18" s="86"/>
      <c r="B18" s="123" t="s">
        <v>5</v>
      </c>
      <c r="C18" s="123"/>
      <c r="D18" s="123"/>
      <c r="E18" s="123"/>
      <c r="F18" s="123"/>
      <c r="G18" s="116"/>
      <c r="H18" s="116"/>
      <c r="I18" s="86"/>
      <c r="J18" s="82"/>
      <c r="K18" s="82"/>
      <c r="L18" s="82"/>
      <c r="M18" s="82"/>
      <c r="N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C18" s="86"/>
      <c r="AD18" s="79" t="s">
        <v>205</v>
      </c>
    </row>
    <row r="19" spans="1:42" x14ac:dyDescent="0.25">
      <c r="A19" s="86"/>
      <c r="B19" s="124" t="s">
        <v>8</v>
      </c>
      <c r="C19" s="124"/>
      <c r="D19" s="124"/>
      <c r="E19" s="124"/>
      <c r="F19" s="124"/>
      <c r="G19" s="116"/>
      <c r="H19" s="116"/>
      <c r="I19" s="86"/>
      <c r="J19" s="82"/>
      <c r="K19" s="82"/>
      <c r="L19" s="82"/>
      <c r="M19" s="82"/>
      <c r="N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C19" s="86"/>
      <c r="AD19" s="80" t="s">
        <v>198</v>
      </c>
      <c r="AE19" s="81" t="s">
        <v>206</v>
      </c>
      <c r="AI19" s="116"/>
      <c r="AJ19" s="116"/>
      <c r="AL19" s="116"/>
      <c r="AM19" s="116"/>
      <c r="AO19" s="116"/>
      <c r="AP19" s="116"/>
    </row>
    <row r="20" spans="1:42" x14ac:dyDescent="0.25">
      <c r="A20" s="86"/>
      <c r="B20" s="123" t="s">
        <v>7</v>
      </c>
      <c r="C20" s="123"/>
      <c r="D20" s="123"/>
      <c r="E20" s="123"/>
      <c r="F20" s="123"/>
      <c r="G20" s="116"/>
      <c r="H20" s="116"/>
      <c r="I20" s="86"/>
      <c r="J20" s="82"/>
      <c r="K20" s="82"/>
      <c r="L20" s="82"/>
      <c r="M20" s="82"/>
      <c r="N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C20" s="86"/>
      <c r="AD20" s="80" t="s">
        <v>198</v>
      </c>
      <c r="AE20" s="81" t="s">
        <v>207</v>
      </c>
      <c r="AI20" s="116"/>
      <c r="AJ20" s="116"/>
      <c r="AL20" s="116"/>
      <c r="AM20" s="116"/>
      <c r="AO20" s="116"/>
      <c r="AP20" s="116"/>
    </row>
    <row r="21" spans="1:42" x14ac:dyDescent="0.25">
      <c r="A21" s="86"/>
      <c r="B21" s="124" t="s">
        <v>10</v>
      </c>
      <c r="C21" s="124"/>
      <c r="D21" s="124"/>
      <c r="E21" s="124"/>
      <c r="F21" s="124"/>
      <c r="G21" s="116"/>
      <c r="H21" s="116"/>
      <c r="I21" s="86"/>
      <c r="J21" s="82"/>
      <c r="K21" s="82"/>
      <c r="L21" s="82"/>
      <c r="M21" s="82"/>
      <c r="N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C21" s="86"/>
      <c r="AD21" s="80" t="s">
        <v>198</v>
      </c>
      <c r="AE21" s="81" t="s">
        <v>208</v>
      </c>
      <c r="AI21" s="116"/>
      <c r="AJ21" s="116"/>
      <c r="AL21" s="116"/>
      <c r="AM21" s="116"/>
      <c r="AO21" s="116"/>
      <c r="AP21" s="116"/>
    </row>
    <row r="22" spans="1:42" x14ac:dyDescent="0.25">
      <c r="J22" s="84"/>
      <c r="K22" s="84"/>
      <c r="L22" s="84"/>
      <c r="M22" s="84"/>
      <c r="N22" s="84"/>
      <c r="AC22" s="86"/>
      <c r="AD22" s="80" t="s">
        <v>198</v>
      </c>
      <c r="AE22" s="81" t="s">
        <v>209</v>
      </c>
      <c r="AI22" s="116"/>
      <c r="AJ22" s="116"/>
      <c r="AL22" s="116"/>
      <c r="AM22" s="116"/>
      <c r="AO22" s="116"/>
      <c r="AP22" s="116"/>
    </row>
    <row r="23" spans="1:42" x14ac:dyDescent="0.25">
      <c r="B23" s="117" t="s">
        <v>257</v>
      </c>
      <c r="C23" s="117"/>
      <c r="D23" s="117"/>
      <c r="E23" s="117"/>
      <c r="F23" s="117"/>
      <c r="J23" s="84"/>
      <c r="K23" s="84"/>
      <c r="L23" s="84"/>
      <c r="M23" s="84"/>
      <c r="N23" s="84"/>
      <c r="R23" s="86"/>
      <c r="S23" s="117" t="s">
        <v>266</v>
      </c>
      <c r="T23" s="117"/>
      <c r="U23" s="117"/>
      <c r="V23" s="117"/>
      <c r="W23" s="117"/>
      <c r="Y23" s="78" t="s">
        <v>267</v>
      </c>
      <c r="AC23" s="86"/>
      <c r="AD23" s="80" t="s">
        <v>198</v>
      </c>
      <c r="AE23" s="81" t="s">
        <v>210</v>
      </c>
      <c r="AI23" s="116"/>
      <c r="AJ23" s="116"/>
      <c r="AL23" s="116"/>
      <c r="AM23" s="116"/>
      <c r="AO23" s="116"/>
      <c r="AP23" s="116"/>
    </row>
    <row r="24" spans="1:42" x14ac:dyDescent="0.25">
      <c r="B24" s="87" t="s">
        <v>261</v>
      </c>
      <c r="E24" s="119"/>
      <c r="F24" s="119"/>
      <c r="G24" s="119"/>
      <c r="H24" s="77" t="s">
        <v>262</v>
      </c>
      <c r="I24" s="82"/>
      <c r="J24" s="82"/>
      <c r="K24" s="82"/>
      <c r="L24" s="84"/>
      <c r="M24" s="84"/>
      <c r="N24" s="84"/>
      <c r="R24" s="86"/>
      <c r="S24" s="82"/>
      <c r="T24" s="82"/>
      <c r="U24" s="82"/>
      <c r="V24" s="82"/>
      <c r="W24" s="82"/>
      <c r="Y24" s="82"/>
      <c r="Z24" s="82"/>
      <c r="AA24" s="82"/>
      <c r="AC24" s="86"/>
      <c r="AD24" s="80" t="s">
        <v>198</v>
      </c>
      <c r="AE24" s="81" t="s">
        <v>211</v>
      </c>
      <c r="AI24" s="116"/>
      <c r="AJ24" s="116"/>
      <c r="AL24" s="116"/>
      <c r="AM24" s="116"/>
      <c r="AO24" s="116"/>
      <c r="AP24" s="116"/>
    </row>
    <row r="25" spans="1:42" x14ac:dyDescent="0.25">
      <c r="B25" s="87" t="s">
        <v>260</v>
      </c>
      <c r="E25" s="119"/>
      <c r="F25" s="119"/>
      <c r="G25" s="119"/>
      <c r="H25" s="77" t="s">
        <v>262</v>
      </c>
      <c r="I25" s="82"/>
      <c r="J25" s="82"/>
      <c r="K25" s="82"/>
      <c r="L25" s="84"/>
      <c r="M25" s="84"/>
      <c r="N25" s="84"/>
      <c r="R25" s="86"/>
      <c r="S25" s="82"/>
      <c r="T25" s="82"/>
      <c r="U25" s="82"/>
      <c r="V25" s="82"/>
      <c r="W25" s="82"/>
      <c r="Y25" s="82"/>
      <c r="Z25" s="82"/>
      <c r="AA25" s="82"/>
      <c r="AC25" s="86"/>
      <c r="AD25" s="80" t="s">
        <v>198</v>
      </c>
      <c r="AE25" s="81" t="s">
        <v>212</v>
      </c>
      <c r="AI25" s="116"/>
      <c r="AJ25" s="116"/>
      <c r="AL25" s="116"/>
      <c r="AM25" s="116"/>
      <c r="AO25" s="116"/>
      <c r="AP25" s="116"/>
    </row>
    <row r="26" spans="1:42" x14ac:dyDescent="0.25">
      <c r="J26" s="84"/>
      <c r="K26" s="84"/>
      <c r="L26" s="84"/>
      <c r="M26" s="84"/>
      <c r="N26" s="84"/>
      <c r="R26" s="86"/>
      <c r="S26" s="82"/>
      <c r="T26" s="82"/>
      <c r="U26" s="82"/>
      <c r="V26" s="82"/>
      <c r="W26" s="82"/>
      <c r="Y26" s="82"/>
      <c r="Z26" s="82"/>
      <c r="AA26" s="82"/>
      <c r="AC26" s="86"/>
      <c r="AD26" s="80" t="s">
        <v>198</v>
      </c>
      <c r="AE26" s="81" t="s">
        <v>213</v>
      </c>
      <c r="AI26" s="116"/>
      <c r="AJ26" s="116"/>
      <c r="AL26" s="116"/>
      <c r="AM26" s="116"/>
      <c r="AO26" s="116"/>
      <c r="AP26" s="116"/>
    </row>
    <row r="27" spans="1:42" x14ac:dyDescent="0.25">
      <c r="J27" s="84"/>
      <c r="K27" s="84"/>
      <c r="L27" s="84"/>
      <c r="M27" s="84"/>
      <c r="N27" s="84"/>
      <c r="R27" s="86"/>
      <c r="S27" s="82"/>
      <c r="T27" s="82"/>
      <c r="U27" s="82"/>
      <c r="V27" s="82"/>
      <c r="W27" s="82"/>
      <c r="Y27" s="82"/>
      <c r="Z27" s="82"/>
      <c r="AA27" s="82"/>
      <c r="AC27" s="86"/>
      <c r="AD27" s="80" t="s">
        <v>198</v>
      </c>
      <c r="AE27" s="81" t="s">
        <v>214</v>
      </c>
      <c r="AI27" s="116"/>
      <c r="AJ27" s="116"/>
      <c r="AL27" s="116"/>
      <c r="AM27" s="116"/>
      <c r="AO27" s="116"/>
      <c r="AP27" s="116"/>
    </row>
    <row r="28" spans="1:42" x14ac:dyDescent="0.25">
      <c r="J28" s="84"/>
      <c r="K28" s="84"/>
      <c r="L28" s="84"/>
      <c r="M28" s="84"/>
      <c r="N28" s="84"/>
      <c r="R28" s="86"/>
      <c r="S28" s="82"/>
      <c r="T28" s="82"/>
      <c r="U28" s="82"/>
      <c r="V28" s="82"/>
      <c r="W28" s="82"/>
      <c r="Y28" s="82"/>
      <c r="Z28" s="82"/>
      <c r="AA28" s="82"/>
      <c r="AC28" s="86"/>
      <c r="AD28" s="80" t="s">
        <v>198</v>
      </c>
      <c r="AE28" s="81" t="s">
        <v>215</v>
      </c>
      <c r="AI28" s="116"/>
      <c r="AJ28" s="116"/>
      <c r="AL28" s="116"/>
      <c r="AM28" s="116"/>
      <c r="AO28" s="116"/>
      <c r="AP28" s="116"/>
    </row>
    <row r="29" spans="1:42" x14ac:dyDescent="0.25">
      <c r="R29" s="86"/>
      <c r="S29" s="82"/>
      <c r="T29" s="82"/>
      <c r="U29" s="82"/>
      <c r="V29" s="82"/>
      <c r="W29" s="82"/>
      <c r="Y29" s="82"/>
      <c r="Z29" s="82"/>
      <c r="AA29" s="82"/>
      <c r="AC29" s="86"/>
      <c r="AD29" s="80" t="s">
        <v>198</v>
      </c>
      <c r="AE29" s="81" t="s">
        <v>216</v>
      </c>
      <c r="AI29" s="116"/>
      <c r="AJ29" s="116"/>
      <c r="AL29" s="116"/>
      <c r="AM29" s="116"/>
      <c r="AO29" s="116"/>
      <c r="AP29" s="116"/>
    </row>
    <row r="30" spans="1:42" ht="15.75" x14ac:dyDescent="0.25">
      <c r="R30" s="86"/>
      <c r="S30" s="82"/>
      <c r="T30" s="82"/>
      <c r="U30" s="82"/>
      <c r="V30" s="82"/>
      <c r="W30" s="82"/>
      <c r="Y30" s="82"/>
      <c r="Z30" s="82"/>
      <c r="AA30" s="82"/>
      <c r="AC30" s="86"/>
      <c r="AD30" s="79" t="s">
        <v>217</v>
      </c>
    </row>
    <row r="31" spans="1:42" x14ac:dyDescent="0.25">
      <c r="R31" s="86"/>
      <c r="S31" s="82"/>
      <c r="T31" s="82"/>
      <c r="U31" s="82"/>
      <c r="V31" s="82"/>
      <c r="W31" s="82"/>
      <c r="Y31" s="82"/>
      <c r="Z31" s="82"/>
      <c r="AA31" s="82"/>
      <c r="AC31" s="86"/>
      <c r="AD31" s="80" t="s">
        <v>198</v>
      </c>
      <c r="AE31" s="81" t="s">
        <v>218</v>
      </c>
      <c r="AI31" s="116"/>
      <c r="AJ31" s="116"/>
      <c r="AL31" s="116"/>
      <c r="AM31" s="116"/>
      <c r="AO31" s="116"/>
      <c r="AP31" s="116"/>
    </row>
    <row r="32" spans="1:42" x14ac:dyDescent="0.25">
      <c r="R32" s="86"/>
      <c r="S32" s="82"/>
      <c r="T32" s="82"/>
      <c r="U32" s="82"/>
      <c r="V32" s="82"/>
      <c r="W32" s="82"/>
      <c r="Y32" s="82"/>
      <c r="Z32" s="82"/>
      <c r="AA32" s="82"/>
      <c r="AC32" s="86"/>
      <c r="AD32" s="80" t="s">
        <v>198</v>
      </c>
      <c r="AE32" s="81" t="s">
        <v>219</v>
      </c>
      <c r="AI32" s="116"/>
      <c r="AJ32" s="116"/>
      <c r="AL32" s="116"/>
      <c r="AM32" s="116"/>
      <c r="AO32" s="116"/>
      <c r="AP32" s="116"/>
    </row>
    <row r="33" spans="1:42" x14ac:dyDescent="0.25">
      <c r="R33" s="86"/>
      <c r="S33" s="82"/>
      <c r="T33" s="82"/>
      <c r="U33" s="82"/>
      <c r="V33" s="82"/>
      <c r="W33" s="82"/>
      <c r="Y33" s="82"/>
      <c r="Z33" s="82"/>
      <c r="AA33" s="82"/>
      <c r="AC33" s="86"/>
      <c r="AD33" s="80" t="s">
        <v>198</v>
      </c>
      <c r="AE33" s="81" t="s">
        <v>220</v>
      </c>
      <c r="AI33" s="116"/>
      <c r="AJ33" s="116"/>
      <c r="AL33" s="116"/>
      <c r="AM33" s="116"/>
      <c r="AO33" s="116"/>
      <c r="AP33" s="116"/>
    </row>
    <row r="34" spans="1:42" ht="15.75" x14ac:dyDescent="0.25">
      <c r="R34" s="86"/>
      <c r="S34" s="82"/>
      <c r="T34" s="82"/>
      <c r="U34" s="82"/>
      <c r="V34" s="82"/>
      <c r="W34" s="82"/>
      <c r="Y34" s="82"/>
      <c r="Z34" s="82"/>
      <c r="AA34" s="82"/>
      <c r="AC34" s="86"/>
      <c r="AD34" s="79" t="s">
        <v>221</v>
      </c>
    </row>
    <row r="35" spans="1:42" x14ac:dyDescent="0.25">
      <c r="R35" s="86"/>
      <c r="S35" s="82"/>
      <c r="T35" s="82"/>
      <c r="U35" s="82"/>
      <c r="V35" s="82"/>
      <c r="W35" s="82"/>
      <c r="Y35" s="82"/>
      <c r="Z35" s="82"/>
      <c r="AA35" s="82"/>
      <c r="AC35" s="86"/>
      <c r="AD35" s="80" t="s">
        <v>198</v>
      </c>
      <c r="AE35" s="81" t="s">
        <v>222</v>
      </c>
      <c r="AI35" s="116"/>
      <c r="AJ35" s="116"/>
      <c r="AL35" s="116"/>
      <c r="AM35" s="116"/>
      <c r="AO35" s="116"/>
      <c r="AP35" s="116"/>
    </row>
    <row r="36" spans="1:42" x14ac:dyDescent="0.25">
      <c r="R36" s="86"/>
      <c r="S36" s="82"/>
      <c r="T36" s="82"/>
      <c r="U36" s="82"/>
      <c r="V36" s="82"/>
      <c r="W36" s="82"/>
      <c r="Y36" s="82"/>
      <c r="Z36" s="82"/>
      <c r="AA36" s="82"/>
      <c r="AC36" s="86"/>
      <c r="AD36" s="80" t="s">
        <v>198</v>
      </c>
      <c r="AE36" s="81" t="s">
        <v>223</v>
      </c>
      <c r="AI36" s="116"/>
      <c r="AJ36" s="116"/>
      <c r="AL36" s="116"/>
      <c r="AM36" s="116"/>
      <c r="AO36" s="116"/>
      <c r="AP36" s="116"/>
    </row>
    <row r="37" spans="1:42" x14ac:dyDescent="0.25">
      <c r="R37" s="86"/>
      <c r="S37" s="82"/>
      <c r="T37" s="82"/>
      <c r="U37" s="82"/>
      <c r="V37" s="82"/>
      <c r="W37" s="82"/>
      <c r="Y37" s="82"/>
      <c r="Z37" s="82"/>
      <c r="AA37" s="82"/>
      <c r="AC37" s="86"/>
      <c r="AD37" s="80" t="s">
        <v>198</v>
      </c>
      <c r="AE37" s="81" t="s">
        <v>224</v>
      </c>
      <c r="AI37" s="116"/>
      <c r="AJ37" s="116"/>
      <c r="AL37" s="116"/>
      <c r="AM37" s="116"/>
      <c r="AO37" s="116"/>
      <c r="AP37" s="116"/>
    </row>
    <row r="38" spans="1:42" x14ac:dyDescent="0.25">
      <c r="R38" s="86"/>
      <c r="S38" s="82"/>
      <c r="T38" s="82"/>
      <c r="U38" s="82"/>
      <c r="V38" s="82"/>
      <c r="W38" s="82"/>
      <c r="Y38" s="82"/>
      <c r="Z38" s="82"/>
      <c r="AA38" s="82"/>
      <c r="AC38" s="86"/>
      <c r="AD38" s="80" t="s">
        <v>198</v>
      </c>
      <c r="AE38" s="81" t="s">
        <v>225</v>
      </c>
      <c r="AI38" s="116"/>
      <c r="AJ38" s="116"/>
      <c r="AL38" s="116"/>
      <c r="AM38" s="116"/>
      <c r="AO38" s="116"/>
      <c r="AP38" s="116"/>
    </row>
    <row r="39" spans="1:42" x14ac:dyDescent="0.25">
      <c r="AC39" s="86"/>
    </row>
    <row r="40" spans="1:42" x14ac:dyDescent="0.25">
      <c r="AC40" s="86"/>
    </row>
    <row r="41" spans="1:42" x14ac:dyDescent="0.25">
      <c r="R41" s="86"/>
      <c r="S41" s="117" t="s">
        <v>272</v>
      </c>
      <c r="T41" s="117"/>
      <c r="U41" s="117"/>
      <c r="V41" s="117"/>
      <c r="W41" s="117"/>
      <c r="AC41" s="86"/>
      <c r="AD41" s="122" t="s">
        <v>237</v>
      </c>
      <c r="AE41" s="122"/>
      <c r="AF41" s="122"/>
      <c r="AG41" s="122"/>
      <c r="AH41" s="122"/>
      <c r="AI41" s="118" t="s">
        <v>226</v>
      </c>
      <c r="AJ41" s="118"/>
      <c r="AL41" s="118" t="s">
        <v>271</v>
      </c>
      <c r="AM41" s="118"/>
      <c r="AO41" s="118" t="s">
        <v>229</v>
      </c>
      <c r="AP41" s="118"/>
    </row>
    <row r="42" spans="1:42" ht="15.75" x14ac:dyDescent="0.25">
      <c r="R42" s="86"/>
      <c r="S42" s="82"/>
      <c r="T42" s="82"/>
      <c r="U42" s="82"/>
      <c r="V42" s="82"/>
      <c r="W42" s="82"/>
      <c r="X42" s="82"/>
      <c r="Y42" s="82"/>
      <c r="Z42" s="82"/>
      <c r="AA42" s="82"/>
      <c r="AC42" s="86"/>
      <c r="AD42" s="79" t="s">
        <v>238</v>
      </c>
    </row>
    <row r="43" spans="1:42" x14ac:dyDescent="0.25">
      <c r="R43" s="86"/>
      <c r="S43" s="82"/>
      <c r="T43" s="82"/>
      <c r="U43" s="82"/>
      <c r="V43" s="82"/>
      <c r="W43" s="82"/>
      <c r="X43" s="82"/>
      <c r="Y43" s="82"/>
      <c r="Z43" s="82"/>
      <c r="AA43" s="82"/>
      <c r="AC43" s="86"/>
      <c r="AD43" s="80" t="s">
        <v>198</v>
      </c>
      <c r="AE43" s="81" t="s">
        <v>239</v>
      </c>
      <c r="AI43" s="116"/>
      <c r="AJ43" s="116"/>
      <c r="AL43" s="116"/>
      <c r="AM43" s="116"/>
      <c r="AO43" s="116"/>
      <c r="AP43" s="116"/>
    </row>
    <row r="44" spans="1:42" x14ac:dyDescent="0.25">
      <c r="A44" s="86"/>
      <c r="B44" s="117" t="s">
        <v>273</v>
      </c>
      <c r="C44" s="117"/>
      <c r="D44" s="117"/>
      <c r="E44" s="117"/>
      <c r="F44" s="117"/>
      <c r="R44" s="86"/>
      <c r="S44" s="82"/>
      <c r="T44" s="82"/>
      <c r="U44" s="82"/>
      <c r="V44" s="82"/>
      <c r="W44" s="82"/>
      <c r="X44" s="82"/>
      <c r="Y44" s="82"/>
      <c r="Z44" s="82"/>
      <c r="AA44" s="82"/>
      <c r="AC44" s="86"/>
      <c r="AD44" s="80" t="s">
        <v>198</v>
      </c>
      <c r="AE44" s="81" t="s">
        <v>240</v>
      </c>
      <c r="AI44" s="116"/>
      <c r="AJ44" s="116"/>
      <c r="AL44" s="116"/>
      <c r="AM44" s="116"/>
      <c r="AO44" s="116"/>
      <c r="AP44" s="116"/>
    </row>
    <row r="45" spans="1:42" x14ac:dyDescent="0.25">
      <c r="A45" s="86"/>
      <c r="B45" s="82"/>
      <c r="C45" s="82"/>
      <c r="D45" s="82"/>
      <c r="E45" s="82"/>
      <c r="F45" s="82"/>
      <c r="R45" s="86"/>
      <c r="S45" s="82"/>
      <c r="T45" s="82"/>
      <c r="U45" s="82"/>
      <c r="V45" s="82"/>
      <c r="W45" s="82"/>
      <c r="X45" s="82"/>
      <c r="Y45" s="82"/>
      <c r="Z45" s="82"/>
      <c r="AA45" s="82"/>
      <c r="AC45" s="86"/>
      <c r="AD45" s="80" t="s">
        <v>198</v>
      </c>
      <c r="AE45" s="81" t="s">
        <v>241</v>
      </c>
      <c r="AI45" s="116"/>
      <c r="AJ45" s="116"/>
      <c r="AL45" s="116"/>
      <c r="AM45" s="116"/>
      <c r="AO45" s="116"/>
      <c r="AP45" s="116"/>
    </row>
    <row r="46" spans="1:42" x14ac:dyDescent="0.25">
      <c r="A46" s="86"/>
      <c r="B46" s="82"/>
      <c r="C46" s="82"/>
      <c r="D46" s="82"/>
      <c r="E46" s="82"/>
      <c r="F46" s="82"/>
      <c r="R46" s="86"/>
      <c r="S46" s="82"/>
      <c r="T46" s="82"/>
      <c r="U46" s="82"/>
      <c r="V46" s="82"/>
      <c r="W46" s="82"/>
      <c r="X46" s="82"/>
      <c r="Y46" s="82"/>
      <c r="Z46" s="82"/>
      <c r="AA46" s="82"/>
      <c r="AC46" s="86"/>
      <c r="AD46" s="80" t="s">
        <v>198</v>
      </c>
      <c r="AE46" s="81" t="s">
        <v>242</v>
      </c>
      <c r="AI46" s="116"/>
      <c r="AJ46" s="116"/>
      <c r="AL46" s="116"/>
      <c r="AM46" s="116"/>
      <c r="AO46" s="116"/>
      <c r="AP46" s="116"/>
    </row>
    <row r="47" spans="1:42" ht="15.75" x14ac:dyDescent="0.25">
      <c r="A47" s="86"/>
      <c r="B47" s="82"/>
      <c r="C47" s="82"/>
      <c r="D47" s="82"/>
      <c r="E47" s="82"/>
      <c r="F47" s="82"/>
      <c r="R47" s="86"/>
      <c r="S47" s="82"/>
      <c r="T47" s="82"/>
      <c r="U47" s="82"/>
      <c r="V47" s="82"/>
      <c r="W47" s="82"/>
      <c r="X47" s="82"/>
      <c r="Y47" s="82"/>
      <c r="Z47" s="82"/>
      <c r="AA47" s="82"/>
      <c r="AC47" s="86"/>
      <c r="AD47" s="79" t="s">
        <v>205</v>
      </c>
      <c r="AE47" s="81"/>
    </row>
    <row r="48" spans="1:42" x14ac:dyDescent="0.25">
      <c r="A48" s="86"/>
      <c r="B48" s="82"/>
      <c r="C48" s="82"/>
      <c r="D48" s="82"/>
      <c r="E48" s="82"/>
      <c r="F48" s="82"/>
      <c r="R48" s="86"/>
      <c r="S48" s="82"/>
      <c r="T48" s="82"/>
      <c r="U48" s="82"/>
      <c r="V48" s="82"/>
      <c r="W48" s="82"/>
      <c r="X48" s="82"/>
      <c r="Y48" s="82"/>
      <c r="Z48" s="82"/>
      <c r="AA48" s="82"/>
      <c r="AC48" s="86"/>
      <c r="AD48" s="80" t="s">
        <v>198</v>
      </c>
      <c r="AE48" s="81" t="s">
        <v>243</v>
      </c>
      <c r="AI48" s="116"/>
      <c r="AJ48" s="116"/>
      <c r="AL48" s="116"/>
      <c r="AM48" s="116"/>
      <c r="AO48" s="116"/>
      <c r="AP48" s="116"/>
    </row>
    <row r="49" spans="1:42" x14ac:dyDescent="0.25">
      <c r="A49" s="86"/>
      <c r="B49" s="82"/>
      <c r="C49" s="82"/>
      <c r="D49" s="82"/>
      <c r="E49" s="82"/>
      <c r="F49" s="82"/>
      <c r="R49" s="86"/>
      <c r="S49" s="82"/>
      <c r="T49" s="82"/>
      <c r="U49" s="82"/>
      <c r="V49" s="82"/>
      <c r="W49" s="82"/>
      <c r="X49" s="82"/>
      <c r="Y49" s="82"/>
      <c r="Z49" s="82"/>
      <c r="AA49" s="82"/>
      <c r="AC49" s="86"/>
      <c r="AD49" s="80" t="s">
        <v>198</v>
      </c>
      <c r="AE49" s="81" t="s">
        <v>244</v>
      </c>
      <c r="AI49" s="116"/>
      <c r="AJ49" s="116"/>
      <c r="AL49" s="116"/>
      <c r="AM49" s="116"/>
      <c r="AO49" s="116"/>
      <c r="AP49" s="116"/>
    </row>
    <row r="50" spans="1:42" x14ac:dyDescent="0.25">
      <c r="B50" s="84"/>
      <c r="C50" s="84"/>
      <c r="D50" s="84"/>
      <c r="E50" s="84"/>
      <c r="F50" s="84"/>
      <c r="R50" s="86"/>
      <c r="S50" s="82"/>
      <c r="T50" s="82"/>
      <c r="U50" s="82"/>
      <c r="V50" s="82"/>
      <c r="W50" s="82"/>
      <c r="X50" s="82"/>
      <c r="Y50" s="82"/>
      <c r="Z50" s="82"/>
      <c r="AA50" s="82"/>
      <c r="AC50" s="86"/>
      <c r="AD50" s="80" t="s">
        <v>198</v>
      </c>
      <c r="AE50" s="81" t="s">
        <v>245</v>
      </c>
      <c r="AI50" s="116"/>
      <c r="AJ50" s="116"/>
      <c r="AL50" s="116"/>
      <c r="AM50" s="116"/>
      <c r="AO50" s="116"/>
      <c r="AP50" s="116"/>
    </row>
    <row r="51" spans="1:42" x14ac:dyDescent="0.25">
      <c r="A51" s="86"/>
      <c r="B51" s="117" t="s">
        <v>268</v>
      </c>
      <c r="C51" s="117"/>
      <c r="D51" s="117"/>
      <c r="E51" s="117"/>
      <c r="F51" s="117"/>
      <c r="H51" s="78" t="s">
        <v>270</v>
      </c>
      <c r="M51" s="78" t="s">
        <v>269</v>
      </c>
      <c r="R51" s="86"/>
      <c r="S51" s="82"/>
      <c r="T51" s="82"/>
      <c r="U51" s="82"/>
      <c r="V51" s="82"/>
      <c r="W51" s="82"/>
      <c r="X51" s="82"/>
      <c r="Y51" s="82"/>
      <c r="Z51" s="82"/>
      <c r="AA51" s="82"/>
      <c r="AC51" s="86"/>
      <c r="AD51" s="80" t="s">
        <v>198</v>
      </c>
      <c r="AE51" s="81" t="s">
        <v>246</v>
      </c>
      <c r="AI51" s="116"/>
      <c r="AJ51" s="116"/>
      <c r="AL51" s="116"/>
      <c r="AM51" s="116"/>
      <c r="AO51" s="116"/>
      <c r="AP51" s="116"/>
    </row>
    <row r="52" spans="1:42" x14ac:dyDescent="0.25">
      <c r="A52" s="86"/>
      <c r="B52" s="82"/>
      <c r="C52" s="82"/>
      <c r="D52" s="82"/>
      <c r="E52" s="82"/>
      <c r="F52" s="82"/>
      <c r="H52" s="82"/>
      <c r="I52" s="82"/>
      <c r="J52" s="82"/>
      <c r="K52" s="82"/>
      <c r="M52" s="82"/>
      <c r="N52" s="82"/>
      <c r="O52" s="82"/>
      <c r="P52" s="82"/>
      <c r="R52" s="86"/>
      <c r="S52" s="82"/>
      <c r="T52" s="82"/>
      <c r="U52" s="82"/>
      <c r="V52" s="82"/>
      <c r="W52" s="82"/>
      <c r="X52" s="82"/>
      <c r="Y52" s="82"/>
      <c r="Z52" s="82"/>
      <c r="AA52" s="82"/>
      <c r="AC52" s="86"/>
      <c r="AD52" s="80" t="s">
        <v>198</v>
      </c>
      <c r="AE52" s="81" t="s">
        <v>247</v>
      </c>
      <c r="AI52" s="116"/>
      <c r="AJ52" s="116"/>
      <c r="AL52" s="116"/>
      <c r="AM52" s="116"/>
      <c r="AO52" s="116"/>
      <c r="AP52" s="116"/>
    </row>
    <row r="53" spans="1:42" x14ac:dyDescent="0.25">
      <c r="A53" s="86"/>
      <c r="B53" s="82"/>
      <c r="C53" s="82"/>
      <c r="D53" s="82"/>
      <c r="E53" s="82"/>
      <c r="F53" s="82"/>
      <c r="H53" s="82"/>
      <c r="I53" s="82"/>
      <c r="J53" s="82"/>
      <c r="K53" s="82"/>
      <c r="M53" s="82"/>
      <c r="N53" s="82"/>
      <c r="O53" s="82"/>
      <c r="P53" s="82"/>
      <c r="R53" s="86"/>
      <c r="S53" s="82"/>
      <c r="T53" s="82"/>
      <c r="U53" s="82"/>
      <c r="V53" s="82"/>
      <c r="W53" s="82"/>
      <c r="X53" s="82"/>
      <c r="Y53" s="82"/>
      <c r="Z53" s="82"/>
      <c r="AA53" s="82"/>
      <c r="AC53" s="86"/>
      <c r="AD53" s="80" t="s">
        <v>198</v>
      </c>
      <c r="AE53" s="81" t="s">
        <v>248</v>
      </c>
      <c r="AI53" s="116"/>
      <c r="AJ53" s="116"/>
      <c r="AL53" s="116"/>
      <c r="AM53" s="116"/>
      <c r="AO53" s="116"/>
      <c r="AP53" s="116"/>
    </row>
    <row r="54" spans="1:42" x14ac:dyDescent="0.25">
      <c r="A54" s="86"/>
      <c r="B54" s="82"/>
      <c r="C54" s="82"/>
      <c r="D54" s="82"/>
      <c r="E54" s="82"/>
      <c r="F54" s="82"/>
      <c r="H54" s="82"/>
      <c r="I54" s="82"/>
      <c r="J54" s="82"/>
      <c r="K54" s="82"/>
      <c r="M54" s="82"/>
      <c r="N54" s="82"/>
      <c r="O54" s="82"/>
      <c r="P54" s="82"/>
      <c r="R54" s="86"/>
      <c r="S54" s="82"/>
      <c r="T54" s="82"/>
      <c r="U54" s="82"/>
      <c r="V54" s="82"/>
      <c r="W54" s="82"/>
      <c r="X54" s="82"/>
      <c r="Y54" s="82"/>
      <c r="Z54" s="82"/>
      <c r="AA54" s="82"/>
      <c r="AC54" s="86"/>
      <c r="AD54" s="80" t="s">
        <v>198</v>
      </c>
      <c r="AE54" s="81" t="s">
        <v>249</v>
      </c>
      <c r="AI54" s="116"/>
      <c r="AJ54" s="116"/>
      <c r="AL54" s="116"/>
      <c r="AM54" s="116"/>
      <c r="AO54" s="116"/>
      <c r="AP54" s="116"/>
    </row>
    <row r="55" spans="1:42" x14ac:dyDescent="0.25">
      <c r="A55" s="86"/>
      <c r="B55" s="82"/>
      <c r="C55" s="82"/>
      <c r="D55" s="82"/>
      <c r="E55" s="82"/>
      <c r="F55" s="82"/>
      <c r="H55" s="82"/>
      <c r="I55" s="82"/>
      <c r="J55" s="82"/>
      <c r="K55" s="82"/>
      <c r="M55" s="82"/>
      <c r="N55" s="82"/>
      <c r="O55" s="82"/>
      <c r="P55" s="82"/>
      <c r="R55" s="86"/>
      <c r="S55" s="82"/>
      <c r="T55" s="82"/>
      <c r="U55" s="82"/>
      <c r="V55" s="82"/>
      <c r="W55" s="82"/>
      <c r="X55" s="82"/>
      <c r="Y55" s="82"/>
      <c r="Z55" s="82"/>
      <c r="AA55" s="82"/>
      <c r="AC55" s="86"/>
      <c r="AD55" s="80" t="s">
        <v>198</v>
      </c>
      <c r="AE55" s="81" t="s">
        <v>250</v>
      </c>
      <c r="AI55" s="116"/>
      <c r="AJ55" s="116"/>
      <c r="AL55" s="116"/>
      <c r="AM55" s="116"/>
      <c r="AO55" s="116"/>
      <c r="AP55" s="116"/>
    </row>
    <row r="56" spans="1:42" x14ac:dyDescent="0.25">
      <c r="A56" s="86"/>
      <c r="B56" s="82"/>
      <c r="C56" s="82"/>
      <c r="D56" s="82"/>
      <c r="E56" s="82"/>
      <c r="F56" s="82"/>
      <c r="H56" s="82"/>
      <c r="I56" s="82"/>
      <c r="J56" s="82"/>
      <c r="K56" s="82"/>
      <c r="M56" s="82"/>
      <c r="N56" s="82"/>
      <c r="O56" s="82"/>
      <c r="P56" s="82"/>
      <c r="R56" s="86"/>
      <c r="S56" s="82"/>
      <c r="T56" s="82"/>
      <c r="U56" s="82"/>
      <c r="V56" s="82"/>
      <c r="W56" s="82"/>
      <c r="X56" s="82"/>
      <c r="Y56" s="82"/>
      <c r="Z56" s="82"/>
      <c r="AA56" s="82"/>
      <c r="AC56" s="86"/>
      <c r="AD56" s="80" t="s">
        <v>198</v>
      </c>
      <c r="AE56" s="85" t="s">
        <v>251</v>
      </c>
      <c r="AI56" s="116"/>
      <c r="AJ56" s="116"/>
      <c r="AL56" s="116"/>
      <c r="AM56" s="116"/>
      <c r="AO56" s="116"/>
      <c r="AP56" s="116"/>
    </row>
    <row r="57" spans="1:42" x14ac:dyDescent="0.25">
      <c r="A57" s="86"/>
      <c r="B57" s="82"/>
      <c r="C57" s="82"/>
      <c r="D57" s="82"/>
      <c r="E57" s="82"/>
      <c r="F57" s="82"/>
      <c r="H57" s="82"/>
      <c r="I57" s="82"/>
      <c r="J57" s="82"/>
      <c r="K57" s="82"/>
      <c r="M57" s="82"/>
      <c r="N57" s="82"/>
      <c r="O57" s="82"/>
      <c r="P57" s="82"/>
      <c r="R57" s="86"/>
      <c r="S57" s="82"/>
      <c r="T57" s="82"/>
      <c r="U57" s="82"/>
      <c r="V57" s="82"/>
      <c r="W57" s="82"/>
      <c r="X57" s="82"/>
      <c r="Y57" s="82"/>
      <c r="Z57" s="82"/>
      <c r="AA57" s="82"/>
      <c r="AC57" s="86"/>
      <c r="AD57" s="80" t="s">
        <v>198</v>
      </c>
      <c r="AE57" s="81" t="s">
        <v>252</v>
      </c>
      <c r="AI57" s="116"/>
      <c r="AJ57" s="116"/>
      <c r="AL57" s="116"/>
      <c r="AM57" s="116"/>
      <c r="AO57" s="116"/>
      <c r="AP57" s="116"/>
    </row>
    <row r="58" spans="1:42" x14ac:dyDescent="0.25">
      <c r="R58" s="86"/>
      <c r="S58" s="82"/>
      <c r="T58" s="82"/>
      <c r="U58" s="82"/>
      <c r="V58" s="82"/>
      <c r="W58" s="82"/>
      <c r="X58" s="82"/>
      <c r="Y58" s="82"/>
      <c r="Z58" s="82"/>
      <c r="AA58" s="82"/>
      <c r="AC58" s="86"/>
      <c r="AD58" s="80" t="s">
        <v>198</v>
      </c>
      <c r="AE58" s="81" t="s">
        <v>253</v>
      </c>
      <c r="AI58" s="116"/>
      <c r="AJ58" s="116"/>
      <c r="AL58" s="116"/>
      <c r="AM58" s="116"/>
      <c r="AO58" s="116"/>
      <c r="AP58" s="116"/>
    </row>
    <row r="59" spans="1:42" x14ac:dyDescent="0.25">
      <c r="A59" s="86"/>
      <c r="B59" s="117" t="s">
        <v>263</v>
      </c>
      <c r="C59" s="117"/>
      <c r="D59" s="117"/>
      <c r="E59" s="117"/>
      <c r="F59" s="117"/>
      <c r="J59" s="78" t="s">
        <v>264</v>
      </c>
      <c r="K59" s="78"/>
      <c r="L59" s="78"/>
      <c r="R59" s="86"/>
      <c r="S59" s="82"/>
      <c r="T59" s="82"/>
      <c r="U59" s="82"/>
      <c r="V59" s="82"/>
      <c r="W59" s="82"/>
      <c r="X59" s="82"/>
      <c r="Y59" s="82"/>
      <c r="Z59" s="82"/>
      <c r="AA59" s="82"/>
      <c r="AC59" s="86"/>
      <c r="AD59" s="80" t="s">
        <v>198</v>
      </c>
      <c r="AE59" s="81" t="s">
        <v>254</v>
      </c>
      <c r="AI59" s="116"/>
      <c r="AJ59" s="116"/>
      <c r="AL59" s="116"/>
      <c r="AM59" s="116"/>
      <c r="AO59" s="116"/>
      <c r="AP59" s="116"/>
    </row>
    <row r="60" spans="1:42" x14ac:dyDescent="0.25">
      <c r="A60" s="86"/>
      <c r="B60" s="82"/>
      <c r="C60" s="82"/>
      <c r="D60" s="82"/>
      <c r="E60" s="82"/>
      <c r="F60" s="82"/>
      <c r="G60" s="82"/>
      <c r="H60" s="82"/>
      <c r="J60" s="82"/>
      <c r="K60" s="82"/>
      <c r="L60" s="82"/>
      <c r="M60" s="82"/>
    </row>
    <row r="61" spans="1:42" x14ac:dyDescent="0.25">
      <c r="A61" s="86"/>
      <c r="B61" s="82"/>
      <c r="C61" s="82"/>
      <c r="D61" s="82"/>
      <c r="E61" s="82"/>
      <c r="F61" s="82"/>
      <c r="G61" s="82"/>
      <c r="H61" s="82"/>
      <c r="J61" s="82"/>
      <c r="K61" s="82"/>
      <c r="L61" s="82"/>
      <c r="M61" s="82"/>
      <c r="P61" s="86"/>
      <c r="Q61" s="117" t="s">
        <v>265</v>
      </c>
      <c r="R61" s="117"/>
      <c r="S61" s="117"/>
      <c r="T61" s="117"/>
      <c r="U61" s="117"/>
      <c r="V61" s="86"/>
      <c r="W61" s="86"/>
      <c r="X61" s="86"/>
      <c r="Y61" s="117" t="s">
        <v>265</v>
      </c>
      <c r="Z61" s="117"/>
      <c r="AA61" s="117"/>
      <c r="AB61" s="117"/>
      <c r="AC61" s="117"/>
      <c r="AD61" s="86"/>
      <c r="AE61" s="86"/>
      <c r="AF61" s="86"/>
      <c r="AG61" s="117" t="s">
        <v>265</v>
      </c>
      <c r="AH61" s="117"/>
      <c r="AI61" s="117"/>
      <c r="AJ61" s="117"/>
      <c r="AK61" s="117"/>
    </row>
    <row r="62" spans="1:42" x14ac:dyDescent="0.25">
      <c r="A62" s="86"/>
      <c r="B62" s="82"/>
      <c r="C62" s="82"/>
      <c r="D62" s="82"/>
      <c r="E62" s="82"/>
      <c r="F62" s="82"/>
      <c r="G62" s="82"/>
      <c r="H62" s="82"/>
      <c r="J62" s="82"/>
      <c r="K62" s="82"/>
      <c r="L62" s="82"/>
      <c r="M62" s="82"/>
      <c r="P62" s="86"/>
      <c r="Q62" s="82"/>
      <c r="R62" s="82"/>
      <c r="S62" s="82"/>
      <c r="T62" s="82"/>
      <c r="U62" s="82"/>
      <c r="V62" s="82"/>
      <c r="W62" s="82"/>
      <c r="Y62" s="82"/>
      <c r="Z62" s="82"/>
      <c r="AA62" s="82"/>
      <c r="AB62" s="82"/>
      <c r="AC62" s="82"/>
      <c r="AD62" s="82"/>
      <c r="AE62" s="82"/>
      <c r="AG62" s="82"/>
      <c r="AH62" s="82"/>
      <c r="AI62" s="82"/>
      <c r="AJ62" s="82"/>
      <c r="AK62" s="82"/>
      <c r="AL62" s="82"/>
      <c r="AM62" s="82"/>
      <c r="AN62" s="82"/>
    </row>
    <row r="63" spans="1:42" x14ac:dyDescent="0.25">
      <c r="A63" s="86"/>
      <c r="B63" s="82"/>
      <c r="C63" s="82"/>
      <c r="D63" s="82"/>
      <c r="E63" s="82"/>
      <c r="F63" s="82"/>
      <c r="G63" s="82"/>
      <c r="H63" s="82"/>
      <c r="J63" s="82"/>
      <c r="K63" s="82"/>
      <c r="L63" s="82"/>
      <c r="M63" s="82"/>
      <c r="P63" s="86"/>
      <c r="Q63" s="82"/>
      <c r="R63" s="82"/>
      <c r="S63" s="82"/>
      <c r="T63" s="82"/>
      <c r="U63" s="82"/>
      <c r="V63" s="82"/>
      <c r="W63" s="82"/>
      <c r="Y63" s="82"/>
      <c r="Z63" s="82"/>
      <c r="AA63" s="82"/>
      <c r="AB63" s="82"/>
      <c r="AC63" s="82"/>
      <c r="AD63" s="82"/>
      <c r="AE63" s="82"/>
      <c r="AG63" s="82"/>
      <c r="AH63" s="82"/>
      <c r="AI63" s="82"/>
      <c r="AJ63" s="82"/>
      <c r="AK63" s="82"/>
      <c r="AL63" s="82"/>
      <c r="AM63" s="82"/>
      <c r="AN63" s="82"/>
    </row>
    <row r="64" spans="1:42" x14ac:dyDescent="0.25">
      <c r="A64" s="86"/>
      <c r="B64" s="82"/>
      <c r="C64" s="82"/>
      <c r="D64" s="82"/>
      <c r="E64" s="82"/>
      <c r="F64" s="82"/>
      <c r="G64" s="82"/>
      <c r="H64" s="82"/>
      <c r="J64" s="82"/>
      <c r="K64" s="82"/>
      <c r="L64" s="82"/>
      <c r="M64" s="82"/>
      <c r="P64" s="86"/>
      <c r="Q64" s="82"/>
      <c r="R64" s="82"/>
      <c r="S64" s="82"/>
      <c r="T64" s="82"/>
      <c r="U64" s="82"/>
      <c r="V64" s="82"/>
      <c r="W64" s="82"/>
      <c r="Y64" s="82"/>
      <c r="Z64" s="82"/>
      <c r="AA64" s="82"/>
      <c r="AB64" s="82"/>
      <c r="AC64" s="82"/>
      <c r="AD64" s="82"/>
      <c r="AE64" s="82"/>
      <c r="AG64" s="82"/>
      <c r="AH64" s="82"/>
      <c r="AI64" s="82"/>
      <c r="AJ64" s="82"/>
      <c r="AK64" s="82"/>
      <c r="AL64" s="82"/>
      <c r="AM64" s="82"/>
      <c r="AN64" s="82"/>
    </row>
    <row r="65" spans="1:40" x14ac:dyDescent="0.25">
      <c r="A65" s="86"/>
      <c r="B65" s="82"/>
      <c r="C65" s="82"/>
      <c r="D65" s="82"/>
      <c r="E65" s="82"/>
      <c r="F65" s="82"/>
      <c r="G65" s="82"/>
      <c r="H65" s="82"/>
      <c r="J65" s="82"/>
      <c r="K65" s="82"/>
      <c r="L65" s="82"/>
      <c r="M65" s="82"/>
      <c r="P65" s="86"/>
      <c r="Q65" s="82"/>
      <c r="R65" s="82"/>
      <c r="S65" s="82"/>
      <c r="T65" s="82"/>
      <c r="U65" s="82"/>
      <c r="V65" s="82"/>
      <c r="W65" s="82"/>
      <c r="Y65" s="82"/>
      <c r="Z65" s="82"/>
      <c r="AA65" s="82"/>
      <c r="AB65" s="82"/>
      <c r="AC65" s="82"/>
      <c r="AD65" s="82"/>
      <c r="AE65" s="82"/>
      <c r="AG65" s="82"/>
      <c r="AH65" s="82"/>
      <c r="AI65" s="82"/>
      <c r="AJ65" s="82"/>
      <c r="AK65" s="82"/>
      <c r="AL65" s="82"/>
      <c r="AM65" s="82"/>
      <c r="AN65" s="82"/>
    </row>
    <row r="66" spans="1:40" x14ac:dyDescent="0.25">
      <c r="A66" s="86"/>
      <c r="B66" s="82"/>
      <c r="C66" s="82"/>
      <c r="D66" s="82"/>
      <c r="E66" s="82"/>
      <c r="F66" s="82"/>
      <c r="G66" s="82"/>
      <c r="H66" s="82"/>
      <c r="J66" s="82"/>
      <c r="K66" s="82"/>
      <c r="L66" s="82"/>
      <c r="M66" s="82"/>
      <c r="P66" s="86"/>
      <c r="Q66" s="82"/>
      <c r="R66" s="82"/>
      <c r="S66" s="82"/>
      <c r="T66" s="82"/>
      <c r="U66" s="82"/>
      <c r="V66" s="82"/>
      <c r="W66" s="82"/>
      <c r="Y66" s="82"/>
      <c r="Z66" s="82"/>
      <c r="AA66" s="82"/>
      <c r="AB66" s="82"/>
      <c r="AC66" s="82"/>
      <c r="AD66" s="82"/>
      <c r="AE66" s="82"/>
      <c r="AG66" s="82"/>
      <c r="AH66" s="82"/>
      <c r="AI66" s="82"/>
      <c r="AJ66" s="82"/>
      <c r="AK66" s="82"/>
      <c r="AL66" s="82"/>
      <c r="AM66" s="82"/>
      <c r="AN66" s="82"/>
    </row>
    <row r="67" spans="1:40" x14ac:dyDescent="0.25">
      <c r="A67" s="86"/>
      <c r="B67" s="82"/>
      <c r="C67" s="82"/>
      <c r="D67" s="82"/>
      <c r="E67" s="82"/>
      <c r="F67" s="82"/>
      <c r="G67" s="82"/>
      <c r="H67" s="82"/>
      <c r="J67" s="82"/>
      <c r="K67" s="82"/>
      <c r="L67" s="82"/>
      <c r="M67" s="82"/>
      <c r="P67" s="86"/>
      <c r="Q67" s="82"/>
      <c r="R67" s="82"/>
      <c r="S67" s="82"/>
      <c r="T67" s="82"/>
      <c r="U67" s="82"/>
      <c r="V67" s="82"/>
      <c r="W67" s="82"/>
      <c r="Y67" s="82"/>
      <c r="Z67" s="82"/>
      <c r="AA67" s="82"/>
      <c r="AB67" s="82"/>
      <c r="AC67" s="82"/>
      <c r="AD67" s="82"/>
      <c r="AE67" s="82"/>
      <c r="AG67" s="82"/>
      <c r="AH67" s="82"/>
      <c r="AI67" s="82"/>
      <c r="AJ67" s="82"/>
      <c r="AK67" s="82"/>
      <c r="AL67" s="82"/>
      <c r="AM67" s="82"/>
      <c r="AN67" s="82"/>
    </row>
    <row r="68" spans="1:40" x14ac:dyDescent="0.25">
      <c r="A68" s="86"/>
      <c r="B68" s="82"/>
      <c r="C68" s="82"/>
      <c r="D68" s="82"/>
      <c r="E68" s="82"/>
      <c r="F68" s="82"/>
      <c r="G68" s="82"/>
      <c r="H68" s="82"/>
      <c r="J68" s="82"/>
      <c r="K68" s="82"/>
      <c r="L68" s="82"/>
      <c r="M68" s="82"/>
      <c r="P68" s="86"/>
      <c r="Q68" s="82"/>
      <c r="R68" s="82"/>
      <c r="S68" s="82"/>
      <c r="T68" s="82"/>
      <c r="U68" s="82"/>
      <c r="V68" s="82"/>
      <c r="W68" s="82"/>
      <c r="Y68" s="82"/>
      <c r="Z68" s="82"/>
      <c r="AA68" s="82"/>
      <c r="AB68" s="82"/>
      <c r="AC68" s="82"/>
      <c r="AD68" s="82"/>
      <c r="AE68" s="82"/>
      <c r="AG68" s="82"/>
      <c r="AH68" s="82"/>
      <c r="AI68" s="82"/>
      <c r="AJ68" s="82"/>
      <c r="AK68" s="82"/>
      <c r="AL68" s="82"/>
      <c r="AM68" s="82"/>
      <c r="AN68" s="82"/>
    </row>
    <row r="69" spans="1:40" x14ac:dyDescent="0.25">
      <c r="A69" s="86"/>
      <c r="B69" s="82"/>
      <c r="C69" s="82"/>
      <c r="D69" s="82"/>
      <c r="E69" s="82"/>
      <c r="F69" s="82"/>
      <c r="G69" s="82"/>
      <c r="H69" s="82"/>
      <c r="J69" s="82"/>
      <c r="K69" s="82"/>
      <c r="L69" s="82"/>
      <c r="M69" s="82"/>
      <c r="P69" s="86"/>
      <c r="Q69" s="82"/>
      <c r="R69" s="82"/>
      <c r="S69" s="82"/>
      <c r="T69" s="82"/>
      <c r="U69" s="82"/>
      <c r="V69" s="82"/>
      <c r="W69" s="82"/>
      <c r="Y69" s="82"/>
      <c r="Z69" s="82"/>
      <c r="AA69" s="82"/>
      <c r="AB69" s="82"/>
      <c r="AC69" s="82"/>
      <c r="AD69" s="82"/>
      <c r="AE69" s="82"/>
      <c r="AG69" s="82"/>
      <c r="AH69" s="82"/>
      <c r="AI69" s="82"/>
      <c r="AJ69" s="82"/>
      <c r="AK69" s="82"/>
      <c r="AL69" s="82"/>
      <c r="AM69" s="82"/>
      <c r="AN69" s="82"/>
    </row>
    <row r="70" spans="1:40" x14ac:dyDescent="0.25">
      <c r="A70" s="86"/>
      <c r="B70" s="82"/>
      <c r="C70" s="82"/>
      <c r="D70" s="82"/>
      <c r="E70" s="82"/>
      <c r="F70" s="82"/>
      <c r="G70" s="82"/>
      <c r="H70" s="82"/>
      <c r="J70" s="82"/>
      <c r="K70" s="82"/>
      <c r="L70" s="82"/>
      <c r="M70" s="82"/>
      <c r="P70" s="86"/>
      <c r="Q70" s="82"/>
      <c r="R70" s="82"/>
      <c r="S70" s="82"/>
      <c r="T70" s="82"/>
      <c r="U70" s="82"/>
      <c r="V70" s="82"/>
      <c r="W70" s="82"/>
      <c r="Y70" s="82"/>
      <c r="Z70" s="82"/>
      <c r="AA70" s="82"/>
      <c r="AB70" s="82"/>
      <c r="AC70" s="82"/>
      <c r="AD70" s="82"/>
      <c r="AE70" s="82"/>
      <c r="AG70" s="82"/>
      <c r="AH70" s="82"/>
      <c r="AI70" s="82"/>
      <c r="AJ70" s="82"/>
      <c r="AK70" s="82"/>
      <c r="AL70" s="82"/>
      <c r="AM70" s="82"/>
      <c r="AN70" s="82"/>
    </row>
  </sheetData>
  <mergeCells count="165">
    <mergeCell ref="B18:F18"/>
    <mergeCell ref="B19:F19"/>
    <mergeCell ref="B20:F20"/>
    <mergeCell ref="B21:F21"/>
    <mergeCell ref="G11:H11"/>
    <mergeCell ref="G12:H12"/>
    <mergeCell ref="G13:H13"/>
    <mergeCell ref="G14:H14"/>
    <mergeCell ref="G15:H15"/>
    <mergeCell ref="G17:H17"/>
    <mergeCell ref="B11:F11"/>
    <mergeCell ref="B12:F12"/>
    <mergeCell ref="B13:F13"/>
    <mergeCell ref="B14:F14"/>
    <mergeCell ref="B15:F15"/>
    <mergeCell ref="B16:F16"/>
    <mergeCell ref="B17:F17"/>
    <mergeCell ref="AI21:AJ21"/>
    <mergeCell ref="AI22:AJ22"/>
    <mergeCell ref="AI23:AJ23"/>
    <mergeCell ref="AI24:AJ24"/>
    <mergeCell ref="G18:H18"/>
    <mergeCell ref="G19:H19"/>
    <mergeCell ref="G20:H20"/>
    <mergeCell ref="G21:H21"/>
    <mergeCell ref="AI12:AJ12"/>
    <mergeCell ref="AI13:AJ13"/>
    <mergeCell ref="AI14:AJ14"/>
    <mergeCell ref="AI15:AJ15"/>
    <mergeCell ref="AI16:AJ16"/>
    <mergeCell ref="AI17:AJ17"/>
    <mergeCell ref="AI32:AJ32"/>
    <mergeCell ref="AI33:AJ33"/>
    <mergeCell ref="AI35:AJ35"/>
    <mergeCell ref="AI36:AJ36"/>
    <mergeCell ref="AI37:AJ37"/>
    <mergeCell ref="AI38:AJ38"/>
    <mergeCell ref="AI25:AJ25"/>
    <mergeCell ref="AI26:AJ26"/>
    <mergeCell ref="AI27:AJ27"/>
    <mergeCell ref="AI28:AJ28"/>
    <mergeCell ref="AI29:AJ29"/>
    <mergeCell ref="AI31:AJ31"/>
    <mergeCell ref="M1:X2"/>
    <mergeCell ref="AD41:AH41"/>
    <mergeCell ref="AI41:AJ41"/>
    <mergeCell ref="AL41:AM41"/>
    <mergeCell ref="AI43:AJ43"/>
    <mergeCell ref="AI44:AJ44"/>
    <mergeCell ref="AL32:AM32"/>
    <mergeCell ref="AL33:AM33"/>
    <mergeCell ref="AL35:AM35"/>
    <mergeCell ref="AL36:AM36"/>
    <mergeCell ref="AL37:AM37"/>
    <mergeCell ref="AL38:AM38"/>
    <mergeCell ref="AL26:AM26"/>
    <mergeCell ref="AL27:AM27"/>
    <mergeCell ref="AL28:AM28"/>
    <mergeCell ref="AL29:AM29"/>
    <mergeCell ref="AL31:AM31"/>
    <mergeCell ref="AL20:AM20"/>
    <mergeCell ref="AL21:AM21"/>
    <mergeCell ref="AL22:AM22"/>
    <mergeCell ref="AL23:AM23"/>
    <mergeCell ref="AL24:AM24"/>
    <mergeCell ref="AL25:AM25"/>
    <mergeCell ref="AL13:AM13"/>
    <mergeCell ref="AL50:AM50"/>
    <mergeCell ref="AL51:AM51"/>
    <mergeCell ref="AI52:AJ52"/>
    <mergeCell ref="AI53:AJ53"/>
    <mergeCell ref="AI54:AJ54"/>
    <mergeCell ref="AI55:AJ55"/>
    <mergeCell ref="AI56:AJ56"/>
    <mergeCell ref="AI57:AJ57"/>
    <mergeCell ref="AI45:AJ45"/>
    <mergeCell ref="AI46:AJ46"/>
    <mergeCell ref="AI48:AJ48"/>
    <mergeCell ref="AI49:AJ49"/>
    <mergeCell ref="AI50:AJ50"/>
    <mergeCell ref="AI51:AJ51"/>
    <mergeCell ref="AO10:AP10"/>
    <mergeCell ref="AO12:AP12"/>
    <mergeCell ref="AO13:AP13"/>
    <mergeCell ref="AO14:AP14"/>
    <mergeCell ref="AO15:AP15"/>
    <mergeCell ref="AO16:AP16"/>
    <mergeCell ref="AO17:AP17"/>
    <mergeCell ref="B23:F23"/>
    <mergeCell ref="E24:G24"/>
    <mergeCell ref="J10:N10"/>
    <mergeCell ref="P10:AA10"/>
    <mergeCell ref="AL14:AM14"/>
    <mergeCell ref="AL15:AM15"/>
    <mergeCell ref="AL16:AM16"/>
    <mergeCell ref="AL17:AM17"/>
    <mergeCell ref="AL19:AM19"/>
    <mergeCell ref="AI10:AJ10"/>
    <mergeCell ref="G10:H10"/>
    <mergeCell ref="B10:F10"/>
    <mergeCell ref="AD10:AH10"/>
    <mergeCell ref="AL10:AM10"/>
    <mergeCell ref="AL12:AM12"/>
    <mergeCell ref="AI19:AJ19"/>
    <mergeCell ref="AI20:AJ20"/>
    <mergeCell ref="AO19:AP19"/>
    <mergeCell ref="AO20:AP20"/>
    <mergeCell ref="AO21:AP21"/>
    <mergeCell ref="AO22:AP22"/>
    <mergeCell ref="AO23:AP23"/>
    <mergeCell ref="AO24:AP24"/>
    <mergeCell ref="AG61:AK61"/>
    <mergeCell ref="S23:W23"/>
    <mergeCell ref="B51:F51"/>
    <mergeCell ref="E25:G25"/>
    <mergeCell ref="B59:F59"/>
    <mergeCell ref="Q61:U61"/>
    <mergeCell ref="Y61:AC61"/>
    <mergeCell ref="B44:F44"/>
    <mergeCell ref="AL58:AM58"/>
    <mergeCell ref="AL59:AM59"/>
    <mergeCell ref="AL52:AM52"/>
    <mergeCell ref="AL53:AM53"/>
    <mergeCell ref="AL54:AM54"/>
    <mergeCell ref="AL55:AM55"/>
    <mergeCell ref="AL56:AM56"/>
    <mergeCell ref="AL57:AM57"/>
    <mergeCell ref="AI58:AJ58"/>
    <mergeCell ref="AI59:AJ59"/>
    <mergeCell ref="AO32:AP32"/>
    <mergeCell ref="AO33:AP33"/>
    <mergeCell ref="AO35:AP35"/>
    <mergeCell ref="AO36:AP36"/>
    <mergeCell ref="AO37:AP37"/>
    <mergeCell ref="AO38:AP38"/>
    <mergeCell ref="AO25:AP25"/>
    <mergeCell ref="AO26:AP26"/>
    <mergeCell ref="AO27:AP27"/>
    <mergeCell ref="AO28:AP28"/>
    <mergeCell ref="AO29:AP29"/>
    <mergeCell ref="AO31:AP31"/>
    <mergeCell ref="AO55:AP55"/>
    <mergeCell ref="AO56:AP56"/>
    <mergeCell ref="AO57:AP57"/>
    <mergeCell ref="AO58:AP58"/>
    <mergeCell ref="AO59:AP59"/>
    <mergeCell ref="S41:W41"/>
    <mergeCell ref="AO49:AP49"/>
    <mergeCell ref="AO50:AP50"/>
    <mergeCell ref="AO51:AP51"/>
    <mergeCell ref="AO52:AP52"/>
    <mergeCell ref="AO53:AP53"/>
    <mergeCell ref="AO54:AP54"/>
    <mergeCell ref="AO41:AP41"/>
    <mergeCell ref="AO43:AP43"/>
    <mergeCell ref="AO44:AP44"/>
    <mergeCell ref="AO45:AP45"/>
    <mergeCell ref="AO46:AP46"/>
    <mergeCell ref="AO48:AP48"/>
    <mergeCell ref="AL43:AM43"/>
    <mergeCell ref="AL44:AM44"/>
    <mergeCell ref="AL45:AM45"/>
    <mergeCell ref="AL46:AM46"/>
    <mergeCell ref="AL48:AM48"/>
    <mergeCell ref="AL49:AM49"/>
  </mergeCells>
  <pageMargins left="0.25" right="0.25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36"/>
  <sheetViews>
    <sheetView workbookViewId="0">
      <selection activeCell="H33" sqref="H33"/>
    </sheetView>
  </sheetViews>
  <sheetFormatPr defaultRowHeight="15" x14ac:dyDescent="0.25"/>
  <sheetData>
    <row r="5" spans="1:15" ht="15" customHeight="1" x14ac:dyDescent="0.25">
      <c r="A5" s="127" t="s">
        <v>284</v>
      </c>
      <c r="B5" s="127"/>
      <c r="C5" s="127"/>
      <c r="D5" s="127"/>
      <c r="F5" s="127" t="s">
        <v>282</v>
      </c>
      <c r="G5" s="127"/>
      <c r="H5" s="127"/>
      <c r="I5" s="127"/>
    </row>
    <row r="6" spans="1:15" ht="15" customHeight="1" x14ac:dyDescent="0.25">
      <c r="A6" s="127"/>
      <c r="B6" s="127"/>
      <c r="C6" s="127"/>
      <c r="D6" s="127"/>
      <c r="F6" s="127"/>
      <c r="G6" s="127"/>
      <c r="H6" s="127"/>
      <c r="I6" s="127"/>
    </row>
    <row r="7" spans="1:15" ht="15.75" thickBot="1" x14ac:dyDescent="0.3">
      <c r="A7" s="39"/>
      <c r="B7" s="39"/>
      <c r="C7" s="39"/>
      <c r="D7" s="39"/>
      <c r="F7" s="39"/>
      <c r="G7" s="39"/>
      <c r="H7" s="39"/>
      <c r="I7" s="39"/>
      <c r="K7" t="s">
        <v>147</v>
      </c>
      <c r="L7" s="38">
        <v>30</v>
      </c>
    </row>
    <row r="8" spans="1:15" ht="15.75" thickBot="1" x14ac:dyDescent="0.3">
      <c r="A8" s="39"/>
      <c r="B8" s="6" t="s">
        <v>144</v>
      </c>
      <c r="C8" s="41">
        <v>1400</v>
      </c>
      <c r="D8" s="39"/>
      <c r="F8" s="39"/>
      <c r="G8" s="6" t="s">
        <v>144</v>
      </c>
      <c r="H8" s="41">
        <v>1400</v>
      </c>
      <c r="I8" s="39"/>
    </row>
    <row r="9" spans="1:15" ht="15.75" thickBot="1" x14ac:dyDescent="0.3">
      <c r="A9" s="39"/>
      <c r="B9" s="39"/>
      <c r="C9" s="39"/>
      <c r="D9" s="39"/>
      <c r="F9" s="39"/>
      <c r="G9" s="39"/>
      <c r="H9" s="39"/>
      <c r="I9" s="39"/>
      <c r="K9" s="126" t="s">
        <v>154</v>
      </c>
      <c r="L9" s="126"/>
    </row>
    <row r="10" spans="1:15" ht="15.75" thickBot="1" x14ac:dyDescent="0.3">
      <c r="A10" s="39"/>
      <c r="B10" s="6" t="s">
        <v>146</v>
      </c>
      <c r="C10" s="40">
        <v>300</v>
      </c>
      <c r="D10" s="39"/>
      <c r="F10" s="39"/>
      <c r="G10" s="6" t="s">
        <v>146</v>
      </c>
      <c r="H10" s="40">
        <v>300</v>
      </c>
      <c r="I10" s="39"/>
    </row>
    <row r="11" spans="1:15" ht="15.75" thickBot="1" x14ac:dyDescent="0.3">
      <c r="A11" s="39"/>
      <c r="B11" s="39"/>
      <c r="C11" s="39"/>
      <c r="D11" s="39"/>
      <c r="F11" s="39"/>
      <c r="G11" s="39"/>
      <c r="H11" s="39"/>
      <c r="I11" s="39"/>
      <c r="K11" s="42" t="s">
        <v>151</v>
      </c>
      <c r="L11" s="40">
        <v>10</v>
      </c>
      <c r="N11" s="126" t="s">
        <v>153</v>
      </c>
      <c r="O11" s="126"/>
    </row>
    <row r="12" spans="1:15" ht="15.75" thickBot="1" x14ac:dyDescent="0.3">
      <c r="A12" s="39"/>
      <c r="B12" s="6" t="s">
        <v>283</v>
      </c>
      <c r="C12" s="46">
        <f>C8/C10/1000*365*24</f>
        <v>40.880000000000003</v>
      </c>
      <c r="D12" s="39"/>
      <c r="F12" s="39"/>
      <c r="G12" s="6" t="s">
        <v>283</v>
      </c>
      <c r="H12" s="46">
        <f>H8/H10/1000*365*24</f>
        <v>40.880000000000003</v>
      </c>
      <c r="I12" s="39"/>
      <c r="K12" t="s">
        <v>148</v>
      </c>
      <c r="L12" s="40">
        <v>300</v>
      </c>
    </row>
    <row r="13" spans="1:15" ht="15.75" thickBot="1" x14ac:dyDescent="0.3">
      <c r="A13" s="39"/>
      <c r="B13" s="6" t="s">
        <v>157</v>
      </c>
      <c r="C13" s="44">
        <f>C12/24</f>
        <v>1.7033333333333334</v>
      </c>
      <c r="D13" s="39"/>
      <c r="F13" s="39"/>
      <c r="G13" s="6" t="s">
        <v>157</v>
      </c>
      <c r="H13" s="44">
        <f>H12/24</f>
        <v>1.7033333333333334</v>
      </c>
      <c r="I13" s="39"/>
      <c r="K13" t="s">
        <v>149</v>
      </c>
      <c r="L13" s="47">
        <f>L7/(L12/100)</f>
        <v>10</v>
      </c>
      <c r="N13" s="42" t="s">
        <v>155</v>
      </c>
      <c r="O13" s="40"/>
    </row>
    <row r="14" spans="1:15" ht="15.75" thickBot="1" x14ac:dyDescent="0.3">
      <c r="A14" s="39"/>
      <c r="B14" s="39"/>
      <c r="C14" s="39"/>
      <c r="D14" s="39"/>
      <c r="F14" s="39"/>
      <c r="G14" s="39"/>
      <c r="H14" s="39"/>
      <c r="I14" s="39"/>
      <c r="K14" s="43" t="s">
        <v>150</v>
      </c>
      <c r="L14" s="40">
        <v>160</v>
      </c>
      <c r="N14" t="s">
        <v>156</v>
      </c>
      <c r="O14" s="40"/>
    </row>
    <row r="15" spans="1:15" x14ac:dyDescent="0.25">
      <c r="K15" t="s">
        <v>145</v>
      </c>
      <c r="L15" s="45">
        <f>L14/L13</f>
        <v>16</v>
      </c>
    </row>
    <row r="16" spans="1:15" x14ac:dyDescent="0.25">
      <c r="K16" t="s">
        <v>152</v>
      </c>
      <c r="L16" s="47">
        <f>L15*L11</f>
        <v>160</v>
      </c>
    </row>
    <row r="18" spans="2:13" ht="15.75" thickBot="1" x14ac:dyDescent="0.3"/>
    <row r="19" spans="2:13" ht="18.75" x14ac:dyDescent="0.3">
      <c r="B19" s="130" t="s">
        <v>286</v>
      </c>
      <c r="C19" s="131"/>
      <c r="D19" s="103" t="s">
        <v>35</v>
      </c>
      <c r="E19" s="103" t="s">
        <v>36</v>
      </c>
      <c r="F19" s="103" t="s">
        <v>285</v>
      </c>
      <c r="G19" s="103" t="s">
        <v>291</v>
      </c>
      <c r="H19" s="104" t="s">
        <v>294</v>
      </c>
      <c r="I19" s="100"/>
      <c r="J19" s="100"/>
      <c r="K19" s="100"/>
      <c r="L19" s="100"/>
      <c r="M19" s="100"/>
    </row>
    <row r="20" spans="2:13" ht="15.75" x14ac:dyDescent="0.25">
      <c r="B20" s="128" t="s">
        <v>35</v>
      </c>
      <c r="C20" s="129"/>
      <c r="D20" s="105" t="s">
        <v>198</v>
      </c>
      <c r="E20" s="105">
        <v>0.01</v>
      </c>
      <c r="F20" s="105">
        <v>0.52</v>
      </c>
      <c r="G20" s="105">
        <v>4.2</v>
      </c>
      <c r="H20" s="106">
        <v>32</v>
      </c>
    </row>
    <row r="21" spans="2:13" ht="15.75" x14ac:dyDescent="0.25">
      <c r="B21" s="128" t="s">
        <v>36</v>
      </c>
      <c r="C21" s="129"/>
      <c r="D21" s="105">
        <v>0.01</v>
      </c>
      <c r="E21" s="105" t="s">
        <v>198</v>
      </c>
      <c r="F21" s="105">
        <v>0.53</v>
      </c>
      <c r="G21" s="105">
        <v>4.3</v>
      </c>
      <c r="H21" s="106">
        <v>32.1</v>
      </c>
    </row>
    <row r="22" spans="2:13" ht="15.75" x14ac:dyDescent="0.25">
      <c r="B22" s="128" t="s">
        <v>285</v>
      </c>
      <c r="C22" s="129"/>
      <c r="D22" s="105">
        <v>0.52</v>
      </c>
      <c r="E22" s="105">
        <v>0.52</v>
      </c>
      <c r="F22" s="105" t="s">
        <v>198</v>
      </c>
      <c r="G22" s="105">
        <v>3.68</v>
      </c>
      <c r="H22" s="106">
        <v>29.7</v>
      </c>
    </row>
    <row r="23" spans="2:13" ht="15.75" x14ac:dyDescent="0.25">
      <c r="B23" s="128" t="s">
        <v>291</v>
      </c>
      <c r="C23" s="129"/>
      <c r="D23" s="105">
        <v>4.2</v>
      </c>
      <c r="E23" s="105">
        <v>4.2</v>
      </c>
      <c r="F23" s="105">
        <v>3.68</v>
      </c>
      <c r="G23" s="105" t="s">
        <v>198</v>
      </c>
      <c r="H23" s="106">
        <v>25.4</v>
      </c>
    </row>
    <row r="24" spans="2:13" ht="16.5" thickBot="1" x14ac:dyDescent="0.3">
      <c r="B24" s="132" t="s">
        <v>294</v>
      </c>
      <c r="C24" s="133"/>
      <c r="D24" s="107">
        <v>32</v>
      </c>
      <c r="E24" s="107">
        <v>32</v>
      </c>
      <c r="F24" s="107">
        <v>29.7</v>
      </c>
      <c r="G24" s="107">
        <v>25.4</v>
      </c>
      <c r="H24" s="108" t="s">
        <v>198</v>
      </c>
    </row>
    <row r="25" spans="2:13" ht="16.5" thickBot="1" x14ac:dyDescent="0.3">
      <c r="B25" s="134"/>
      <c r="C25" s="134"/>
    </row>
    <row r="26" spans="2:13" ht="18.75" x14ac:dyDescent="0.3">
      <c r="B26" s="130" t="s">
        <v>292</v>
      </c>
      <c r="C26" s="131"/>
      <c r="D26" s="103" t="s">
        <v>293</v>
      </c>
      <c r="E26" s="103" t="s">
        <v>295</v>
      </c>
      <c r="F26" s="103" t="s">
        <v>28</v>
      </c>
      <c r="G26" s="104" t="s">
        <v>296</v>
      </c>
      <c r="H26" s="101"/>
    </row>
    <row r="27" spans="2:13" ht="15.75" x14ac:dyDescent="0.25">
      <c r="B27" s="128" t="s">
        <v>293</v>
      </c>
      <c r="C27" s="129"/>
      <c r="D27" s="105" t="s">
        <v>198</v>
      </c>
      <c r="E27" s="105">
        <v>520</v>
      </c>
      <c r="F27" s="105">
        <v>1822</v>
      </c>
      <c r="G27" s="106">
        <v>4208</v>
      </c>
    </row>
    <row r="28" spans="2:13" ht="15.75" x14ac:dyDescent="0.25">
      <c r="B28" s="128" t="s">
        <v>295</v>
      </c>
      <c r="C28" s="129"/>
      <c r="D28" s="105">
        <v>520</v>
      </c>
      <c r="E28" s="105" t="s">
        <v>198</v>
      </c>
      <c r="F28" s="105">
        <v>1752</v>
      </c>
      <c r="G28" s="106">
        <v>4175</v>
      </c>
    </row>
    <row r="29" spans="2:13" ht="15.75" x14ac:dyDescent="0.25">
      <c r="B29" s="128" t="s">
        <v>28</v>
      </c>
      <c r="C29" s="129"/>
      <c r="D29" s="105">
        <v>1822</v>
      </c>
      <c r="E29" s="105">
        <v>1752</v>
      </c>
      <c r="F29" s="105" t="s">
        <v>198</v>
      </c>
      <c r="G29" s="106">
        <v>3293</v>
      </c>
    </row>
    <row r="30" spans="2:13" ht="16.5" thickBot="1" x14ac:dyDescent="0.3">
      <c r="B30" s="132" t="s">
        <v>296</v>
      </c>
      <c r="C30" s="133"/>
      <c r="D30" s="107">
        <v>4208</v>
      </c>
      <c r="E30" s="107">
        <v>4175</v>
      </c>
      <c r="F30" s="107">
        <v>3293</v>
      </c>
      <c r="G30" s="108" t="s">
        <v>198</v>
      </c>
    </row>
    <row r="31" spans="2:13" ht="15.75" x14ac:dyDescent="0.25">
      <c r="B31" s="135"/>
      <c r="C31" s="135"/>
    </row>
    <row r="32" spans="2:13" ht="15.75" x14ac:dyDescent="0.25">
      <c r="B32" s="135"/>
      <c r="C32" s="135"/>
    </row>
    <row r="33" spans="2:3" ht="15.75" x14ac:dyDescent="0.25">
      <c r="B33" s="135"/>
      <c r="C33" s="135"/>
    </row>
    <row r="34" spans="2:3" ht="15.75" x14ac:dyDescent="0.25">
      <c r="B34" s="135"/>
      <c r="C34" s="135"/>
    </row>
    <row r="35" spans="2:3" ht="15.75" x14ac:dyDescent="0.25">
      <c r="B35" s="100"/>
      <c r="C35" s="100"/>
    </row>
    <row r="36" spans="2:3" ht="15.75" x14ac:dyDescent="0.25">
      <c r="B36" s="100"/>
      <c r="C36" s="100"/>
    </row>
  </sheetData>
  <mergeCells count="20">
    <mergeCell ref="B34:C34"/>
    <mergeCell ref="B29:C29"/>
    <mergeCell ref="B30:C30"/>
    <mergeCell ref="B31:C31"/>
    <mergeCell ref="B32:C32"/>
    <mergeCell ref="B33:C33"/>
    <mergeCell ref="B28:C28"/>
    <mergeCell ref="B19:C19"/>
    <mergeCell ref="B21:C21"/>
    <mergeCell ref="B22:C22"/>
    <mergeCell ref="B23:C23"/>
    <mergeCell ref="B24:C24"/>
    <mergeCell ref="B25:C25"/>
    <mergeCell ref="B26:C26"/>
    <mergeCell ref="B27:C27"/>
    <mergeCell ref="N11:O11"/>
    <mergeCell ref="K9:L9"/>
    <mergeCell ref="F5:I6"/>
    <mergeCell ref="A5:D6"/>
    <mergeCell ref="B20:C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opLeftCell="B1" zoomScale="130" zoomScaleNormal="130" workbookViewId="0">
      <selection activeCell="F15" sqref="F15"/>
    </sheetView>
  </sheetViews>
  <sheetFormatPr defaultRowHeight="15" x14ac:dyDescent="0.25"/>
  <cols>
    <col min="2" max="2" width="21.85546875" customWidth="1"/>
    <col min="4" max="4" width="12" bestFit="1" customWidth="1"/>
    <col min="5" max="5" width="10.140625" bestFit="1" customWidth="1"/>
    <col min="6" max="6" width="11.85546875" customWidth="1"/>
    <col min="7" max="8" width="9.140625" style="55"/>
    <col min="9" max="9" width="10.140625" style="55" bestFit="1" customWidth="1"/>
    <col min="11" max="11" width="12" bestFit="1" customWidth="1"/>
    <col min="12" max="12" width="17.5703125" bestFit="1" customWidth="1"/>
    <col min="13" max="13" width="10.140625" bestFit="1" customWidth="1"/>
    <col min="19" max="19" width="10.140625" bestFit="1" customWidth="1"/>
  </cols>
  <sheetData>
    <row r="1" spans="2:13" x14ac:dyDescent="0.25">
      <c r="G1" s="136" t="s">
        <v>162</v>
      </c>
      <c r="H1" s="136"/>
      <c r="I1" s="136"/>
    </row>
    <row r="2" spans="2:13" x14ac:dyDescent="0.25">
      <c r="C2" s="7" t="s">
        <v>136</v>
      </c>
      <c r="D2" s="7" t="s">
        <v>159</v>
      </c>
      <c r="E2" s="7" t="s">
        <v>137</v>
      </c>
      <c r="G2" s="55" t="s">
        <v>160</v>
      </c>
      <c r="H2" s="55" t="s">
        <v>161</v>
      </c>
      <c r="I2" s="55" t="s">
        <v>163</v>
      </c>
    </row>
    <row r="3" spans="2:13" ht="18.75" x14ac:dyDescent="0.3">
      <c r="B3" s="8" t="s">
        <v>47</v>
      </c>
      <c r="C3" s="20"/>
      <c r="D3" s="20"/>
      <c r="E3" s="20"/>
      <c r="F3" s="20"/>
      <c r="G3" s="56"/>
      <c r="H3" s="56"/>
      <c r="I3" s="56"/>
      <c r="J3" s="20"/>
      <c r="K3" s="20"/>
    </row>
    <row r="4" spans="2:13" ht="15.75" x14ac:dyDescent="0.25">
      <c r="B4" s="9" t="s">
        <v>48</v>
      </c>
      <c r="C4" s="28">
        <v>658</v>
      </c>
      <c r="D4" s="23">
        <v>31157.475000000002</v>
      </c>
      <c r="E4" s="30">
        <v>27.892574246710002</v>
      </c>
      <c r="F4" s="27"/>
      <c r="G4" s="58">
        <v>0.22</v>
      </c>
      <c r="H4" s="58">
        <v>0.71</v>
      </c>
      <c r="I4" s="58">
        <v>7.0000000000000007E-2</v>
      </c>
      <c r="J4" s="26"/>
      <c r="K4" s="62"/>
      <c r="L4" s="62"/>
      <c r="M4" s="62"/>
    </row>
    <row r="5" spans="2:13" ht="15.75" x14ac:dyDescent="0.25">
      <c r="B5" s="11" t="s">
        <v>49</v>
      </c>
      <c r="C5" s="28">
        <v>3262</v>
      </c>
      <c r="D5" s="23">
        <v>23850.682514527209</v>
      </c>
      <c r="E5" s="30">
        <v>21.35143919303983</v>
      </c>
      <c r="F5" s="27"/>
      <c r="G5" s="58">
        <v>0.57999999999999996</v>
      </c>
      <c r="H5" s="58">
        <v>0.41</v>
      </c>
      <c r="I5" s="58">
        <v>0.01</v>
      </c>
      <c r="J5" s="26"/>
    </row>
    <row r="6" spans="2:13" ht="15.75" x14ac:dyDescent="0.25">
      <c r="B6" s="12" t="s">
        <v>50</v>
      </c>
      <c r="C6" s="28">
        <v>3073</v>
      </c>
      <c r="D6" s="23">
        <f>4801.44546008531*2</f>
        <v>9602.8909201706192</v>
      </c>
      <c r="E6" s="30">
        <v>8.5966320433191878</v>
      </c>
      <c r="F6" s="27"/>
      <c r="G6" s="58">
        <v>0.61</v>
      </c>
      <c r="H6" s="58">
        <v>0.38</v>
      </c>
      <c r="I6" s="58">
        <v>0.01</v>
      </c>
      <c r="J6" s="26"/>
    </row>
    <row r="7" spans="2:13" ht="15.75" x14ac:dyDescent="0.25">
      <c r="B7" s="13" t="s">
        <v>51</v>
      </c>
      <c r="C7" s="28">
        <v>692</v>
      </c>
      <c r="D7" s="23">
        <v>23093.456692913387</v>
      </c>
      <c r="E7" s="30">
        <v>20.673560852420461</v>
      </c>
      <c r="F7" s="27"/>
      <c r="G7" s="58">
        <v>0.34</v>
      </c>
      <c r="H7" s="58">
        <v>0.62</v>
      </c>
      <c r="I7" s="58">
        <v>0.04</v>
      </c>
      <c r="J7" s="26"/>
    </row>
    <row r="8" spans="2:13" ht="15.75" x14ac:dyDescent="0.25">
      <c r="B8" s="14" t="s">
        <v>288</v>
      </c>
      <c r="C8" s="28">
        <v>982</v>
      </c>
      <c r="D8" s="21">
        <f>3430*1.3</f>
        <v>4459</v>
      </c>
      <c r="E8" s="30">
        <v>3.9917544206030815</v>
      </c>
      <c r="F8" s="27"/>
      <c r="G8" s="58">
        <v>0.68</v>
      </c>
      <c r="H8" s="58">
        <v>0.24</v>
      </c>
      <c r="I8" s="58">
        <v>0.08</v>
      </c>
      <c r="J8" s="26"/>
    </row>
    <row r="9" spans="2:13" ht="15.75" x14ac:dyDescent="0.25">
      <c r="B9" s="15" t="s">
        <v>275</v>
      </c>
      <c r="C9" s="28">
        <v>1497</v>
      </c>
      <c r="D9" s="23">
        <f>1973.23649459784*3</f>
        <v>5919.7094837935201</v>
      </c>
      <c r="E9" s="30">
        <v>5.2994004262432766</v>
      </c>
      <c r="F9" s="27"/>
      <c r="G9" s="58">
        <v>0.71</v>
      </c>
      <c r="H9" s="58">
        <v>0.25</v>
      </c>
      <c r="I9" s="58">
        <v>0.04</v>
      </c>
      <c r="J9" s="26"/>
    </row>
    <row r="10" spans="2:13" ht="15.75" x14ac:dyDescent="0.25">
      <c r="B10" s="16" t="s">
        <v>274</v>
      </c>
      <c r="C10" s="28">
        <v>814</v>
      </c>
      <c r="D10" s="23">
        <f>1951.84275184275*2.2</f>
        <v>4294.0540540540505</v>
      </c>
      <c r="E10" s="30">
        <v>3.8440926783087774</v>
      </c>
      <c r="F10" s="27"/>
      <c r="G10" s="58">
        <v>0.56999999999999995</v>
      </c>
      <c r="H10" s="58">
        <v>0.4</v>
      </c>
      <c r="I10" s="58">
        <v>0.03</v>
      </c>
      <c r="J10" s="26"/>
    </row>
    <row r="11" spans="2:13" ht="15.75" x14ac:dyDescent="0.25">
      <c r="B11" s="17" t="s">
        <v>54</v>
      </c>
      <c r="C11" s="28">
        <v>354</v>
      </c>
      <c r="D11" s="23">
        <v>2288</v>
      </c>
      <c r="E11" s="30">
        <v>2.0482471662569748</v>
      </c>
      <c r="F11" s="27"/>
      <c r="G11" s="58">
        <v>0.68</v>
      </c>
      <c r="H11" s="58">
        <v>0.31</v>
      </c>
      <c r="I11" s="58">
        <v>0.01</v>
      </c>
      <c r="J11" s="26"/>
    </row>
    <row r="12" spans="2:13" ht="15.75" x14ac:dyDescent="0.25">
      <c r="B12" s="18" t="s">
        <v>55</v>
      </c>
      <c r="C12" s="28">
        <v>412</v>
      </c>
      <c r="D12" s="23">
        <v>7040</v>
      </c>
      <c r="E12" s="30">
        <v>6.3022989730983836</v>
      </c>
      <c r="F12" s="27"/>
      <c r="G12" s="58">
        <v>0.7</v>
      </c>
      <c r="H12" s="58">
        <v>0.23</v>
      </c>
      <c r="I12" s="58">
        <v>7.0000000000000007E-2</v>
      </c>
      <c r="J12" s="26"/>
    </row>
    <row r="13" spans="2:13" ht="15.75" x14ac:dyDescent="0.25">
      <c r="B13" s="6" t="s">
        <v>138</v>
      </c>
      <c r="C13" s="28">
        <f>SUM(C4:C12)</f>
        <v>11744</v>
      </c>
      <c r="D13" s="32">
        <f>SUM(D4:D12)</f>
        <v>111705.26866545879</v>
      </c>
      <c r="E13" s="1"/>
      <c r="F13" s="26"/>
      <c r="G13" s="58"/>
      <c r="H13" s="58"/>
      <c r="I13" s="58"/>
    </row>
    <row r="14" spans="2:13" ht="15.75" x14ac:dyDescent="0.25">
      <c r="B14" s="6"/>
      <c r="C14" s="28"/>
      <c r="D14" s="23"/>
      <c r="E14" s="1"/>
      <c r="F14" s="26"/>
      <c r="G14" s="58"/>
      <c r="H14" s="58"/>
      <c r="I14" s="58"/>
    </row>
    <row r="15" spans="2:13" ht="18.75" x14ac:dyDescent="0.3">
      <c r="B15" s="8" t="s">
        <v>56</v>
      </c>
      <c r="C15" s="29"/>
      <c r="D15" s="22"/>
      <c r="E15" s="20"/>
      <c r="F15" s="20"/>
      <c r="G15" s="58"/>
      <c r="H15" s="58"/>
      <c r="I15" s="58"/>
    </row>
    <row r="16" spans="2:13" ht="15.75" x14ac:dyDescent="0.25">
      <c r="B16" s="11" t="s">
        <v>49</v>
      </c>
      <c r="C16" s="29"/>
      <c r="D16" s="22"/>
      <c r="E16" s="20"/>
      <c r="F16" s="20"/>
      <c r="G16" s="58"/>
      <c r="H16" s="58"/>
      <c r="I16" s="58"/>
    </row>
    <row r="17" spans="2:12" ht="15.75" x14ac:dyDescent="0.25">
      <c r="B17" s="6" t="s">
        <v>57</v>
      </c>
      <c r="C17" s="28">
        <v>110</v>
      </c>
      <c r="D17" s="23">
        <f>((C17*100/PAAP)/100)*PAAG</f>
        <v>804.28420496566309</v>
      </c>
      <c r="E17" s="1"/>
      <c r="F17" s="10"/>
      <c r="G17" s="58">
        <v>0.57999999999999996</v>
      </c>
      <c r="H17" s="58">
        <v>0.41</v>
      </c>
      <c r="I17" s="58">
        <v>0.01</v>
      </c>
      <c r="L17" s="58"/>
    </row>
    <row r="18" spans="2:12" ht="15.75" x14ac:dyDescent="0.25">
      <c r="B18" s="6" t="s">
        <v>58</v>
      </c>
      <c r="C18" s="28">
        <v>96</v>
      </c>
      <c r="D18" s="23">
        <f>((C18*100/PAAP)/100)*PAAG</f>
        <v>701.92076069730604</v>
      </c>
      <c r="E18" s="1"/>
      <c r="F18" s="10"/>
      <c r="G18" s="58">
        <v>0.57999999999999996</v>
      </c>
      <c r="H18" s="58">
        <v>0.41</v>
      </c>
      <c r="I18" s="58">
        <v>0.01</v>
      </c>
    </row>
    <row r="19" spans="2:12" ht="15.75" x14ac:dyDescent="0.25">
      <c r="B19" s="6" t="s">
        <v>59</v>
      </c>
      <c r="C19" s="28">
        <v>43</v>
      </c>
      <c r="D19" s="23">
        <f>((C19*100/PAAP)/100)*PAAG</f>
        <v>314.40200739566825</v>
      </c>
      <c r="E19" s="1"/>
      <c r="F19" s="10"/>
      <c r="G19" s="58">
        <v>0.57999999999999996</v>
      </c>
      <c r="H19" s="58">
        <v>0.41</v>
      </c>
      <c r="I19" s="58">
        <v>0.01</v>
      </c>
    </row>
    <row r="20" spans="2:12" ht="15.75" x14ac:dyDescent="0.25">
      <c r="B20" s="6" t="s">
        <v>60</v>
      </c>
      <c r="C20" s="28">
        <v>32</v>
      </c>
      <c r="D20" s="23">
        <f>((C20*100/PAAP)/100)*PAAG</f>
        <v>233.973586899102</v>
      </c>
      <c r="E20" s="1"/>
      <c r="F20" s="10"/>
      <c r="G20" s="58">
        <v>0.57999999999999996</v>
      </c>
      <c r="H20" s="58">
        <v>0.41</v>
      </c>
      <c r="I20" s="58">
        <v>0.01</v>
      </c>
    </row>
    <row r="21" spans="2:12" ht="15.75" x14ac:dyDescent="0.25">
      <c r="B21" s="6" t="s">
        <v>61</v>
      </c>
      <c r="C21" s="28">
        <v>21</v>
      </c>
      <c r="D21" s="23">
        <f>((C21*100/PAAP)/100)*PAAG</f>
        <v>153.54516640253567</v>
      </c>
      <c r="E21" s="1"/>
      <c r="F21" s="10"/>
      <c r="G21" s="58">
        <v>0.57999999999999996</v>
      </c>
      <c r="H21" s="58">
        <v>0.41</v>
      </c>
      <c r="I21" s="58">
        <v>0.01</v>
      </c>
    </row>
    <row r="22" spans="2:12" ht="15.75" x14ac:dyDescent="0.25">
      <c r="B22" s="12" t="s">
        <v>50</v>
      </c>
      <c r="C22" s="28"/>
      <c r="D22" s="22"/>
      <c r="E22" s="20"/>
      <c r="F22" s="20"/>
      <c r="G22" s="58"/>
      <c r="H22" s="58"/>
      <c r="I22" s="58"/>
    </row>
    <row r="23" spans="2:12" ht="15.75" x14ac:dyDescent="0.25">
      <c r="B23" s="6" t="s">
        <v>62</v>
      </c>
      <c r="C23" s="28">
        <v>51</v>
      </c>
      <c r="D23" s="23">
        <f>((C23*100/ICP)/100)*ICG</f>
        <v>159.37111517367447</v>
      </c>
      <c r="E23" s="1"/>
      <c r="F23" s="10"/>
      <c r="G23" s="58">
        <v>0.61</v>
      </c>
      <c r="H23" s="58">
        <v>0.38</v>
      </c>
      <c r="I23" s="58">
        <v>0.01</v>
      </c>
    </row>
    <row r="24" spans="2:12" ht="15.75" x14ac:dyDescent="0.25">
      <c r="B24" s="6" t="s">
        <v>63</v>
      </c>
      <c r="C24" s="28">
        <v>21</v>
      </c>
      <c r="D24" s="23">
        <f>((C24*100/ICP)/100)*ICG</f>
        <v>65.623400365630658</v>
      </c>
      <c r="E24" s="1"/>
      <c r="F24" s="10"/>
      <c r="G24" s="58">
        <v>0.61</v>
      </c>
      <c r="H24" s="58">
        <v>0.38</v>
      </c>
      <c r="I24" s="58">
        <v>0.01</v>
      </c>
    </row>
    <row r="25" spans="2:12" ht="15.75" x14ac:dyDescent="0.25">
      <c r="B25" s="6" t="s">
        <v>64</v>
      </c>
      <c r="C25" s="28">
        <v>9</v>
      </c>
      <c r="D25" s="23">
        <f>((C25*100/ICP)/100)*ICG</f>
        <v>28.124314442413134</v>
      </c>
      <c r="E25" s="1"/>
      <c r="F25" s="10"/>
      <c r="G25" s="58">
        <v>0.61</v>
      </c>
      <c r="H25" s="58">
        <v>0.38</v>
      </c>
      <c r="I25" s="58">
        <v>0.01</v>
      </c>
    </row>
    <row r="26" spans="2:12" ht="15.75" x14ac:dyDescent="0.25">
      <c r="B26" s="13" t="s">
        <v>51</v>
      </c>
      <c r="C26" s="28"/>
      <c r="D26" s="22"/>
      <c r="E26" s="20"/>
      <c r="F26" s="20"/>
      <c r="G26" s="58"/>
      <c r="H26" s="58"/>
      <c r="I26" s="58"/>
    </row>
    <row r="27" spans="2:12" ht="15.75" x14ac:dyDescent="0.25">
      <c r="B27" s="6" t="s">
        <v>65</v>
      </c>
      <c r="C27" s="28">
        <v>87</v>
      </c>
      <c r="D27" s="23">
        <f>((C27*100/EFP)/100)*EFG</f>
        <v>2903.3681102362207</v>
      </c>
      <c r="E27" s="1"/>
      <c r="F27" s="10"/>
      <c r="G27" s="58">
        <v>0.34</v>
      </c>
      <c r="H27" s="58">
        <v>0.62</v>
      </c>
      <c r="I27" s="58">
        <v>0.04</v>
      </c>
    </row>
    <row r="28" spans="2:12" ht="15.75" x14ac:dyDescent="0.25">
      <c r="B28" s="6" t="s">
        <v>66</v>
      </c>
      <c r="C28" s="28">
        <v>53</v>
      </c>
      <c r="D28" s="23">
        <f>((C28*100/EFP)/100)*EFG</f>
        <v>1768.7185039370081</v>
      </c>
      <c r="E28" s="1"/>
      <c r="F28" s="10"/>
      <c r="G28" s="58">
        <v>0.34</v>
      </c>
      <c r="H28" s="58">
        <v>0.62</v>
      </c>
      <c r="I28" s="58">
        <v>0.04</v>
      </c>
    </row>
    <row r="29" spans="2:12" ht="15.75" x14ac:dyDescent="0.25">
      <c r="B29" s="6" t="s">
        <v>67</v>
      </c>
      <c r="C29" s="28">
        <v>21</v>
      </c>
      <c r="D29" s="23">
        <f>((C29*100/EFP)/100)*EFG</f>
        <v>700.81299212598424</v>
      </c>
      <c r="E29" s="1"/>
      <c r="F29" s="10"/>
      <c r="G29" s="58">
        <v>0.34</v>
      </c>
      <c r="H29" s="58">
        <v>0.62</v>
      </c>
      <c r="I29" s="58">
        <v>0.04</v>
      </c>
    </row>
    <row r="30" spans="2:12" ht="15.75" x14ac:dyDescent="0.25">
      <c r="B30" s="6" t="s">
        <v>68</v>
      </c>
      <c r="C30" s="28">
        <v>6</v>
      </c>
      <c r="D30" s="23">
        <f>((C30*100/EFP)/100)*EFG</f>
        <v>200.23228346456696</v>
      </c>
      <c r="E30" s="1"/>
      <c r="F30" s="10"/>
      <c r="G30" s="58">
        <v>0.34</v>
      </c>
      <c r="H30" s="58">
        <v>0.62</v>
      </c>
      <c r="I30" s="58">
        <v>0.04</v>
      </c>
    </row>
    <row r="31" spans="2:12" ht="15.75" x14ac:dyDescent="0.25">
      <c r="B31" s="9" t="s">
        <v>48</v>
      </c>
      <c r="C31" s="28"/>
      <c r="D31" s="22"/>
      <c r="E31" s="20"/>
      <c r="F31" s="20"/>
      <c r="G31" s="58"/>
      <c r="H31" s="58"/>
      <c r="I31" s="58"/>
    </row>
    <row r="32" spans="2:12" ht="15.75" x14ac:dyDescent="0.25">
      <c r="B32" s="6" t="s">
        <v>69</v>
      </c>
      <c r="C32" s="28">
        <v>53</v>
      </c>
      <c r="D32" s="23">
        <f>((C32*100/DBP)/100)*DBG</f>
        <v>2509.644642857143</v>
      </c>
      <c r="E32" s="1"/>
      <c r="F32" s="10"/>
      <c r="G32" s="58">
        <v>0.22</v>
      </c>
      <c r="H32" s="58">
        <v>0.71</v>
      </c>
      <c r="I32" s="58">
        <v>7.0000000000000007E-2</v>
      </c>
    </row>
    <row r="33" spans="2:11" ht="15.75" x14ac:dyDescent="0.25">
      <c r="B33" s="6" t="s">
        <v>70</v>
      </c>
      <c r="C33" s="28">
        <v>27</v>
      </c>
      <c r="D33" s="23">
        <f>((C33*100/DBP)/100)*DBG</f>
        <v>1278.4982142857143</v>
      </c>
      <c r="E33" s="1"/>
      <c r="F33" s="10"/>
      <c r="G33" s="58">
        <v>0.22</v>
      </c>
      <c r="H33" s="58">
        <v>0.71</v>
      </c>
      <c r="I33" s="58">
        <v>7.0000000000000007E-2</v>
      </c>
    </row>
    <row r="34" spans="2:11" ht="15.75" x14ac:dyDescent="0.25">
      <c r="B34" s="16" t="s">
        <v>53</v>
      </c>
      <c r="C34" s="28"/>
      <c r="D34" s="22"/>
      <c r="E34" s="20"/>
      <c r="F34" s="20"/>
      <c r="G34" s="58"/>
      <c r="H34" s="58"/>
      <c r="I34" s="58"/>
    </row>
    <row r="35" spans="2:11" ht="15.75" x14ac:dyDescent="0.25">
      <c r="B35" s="6" t="s">
        <v>71</v>
      </c>
      <c r="C35" s="28">
        <v>74</v>
      </c>
      <c r="D35" s="23">
        <f>((C35*100/SFP)/100)*SFG</f>
        <v>390.36855036855007</v>
      </c>
      <c r="E35" s="1"/>
      <c r="F35" s="10"/>
      <c r="G35" s="58">
        <v>0.56999999999999995</v>
      </c>
      <c r="H35" s="58">
        <v>0.4</v>
      </c>
      <c r="I35" s="58">
        <v>0.03</v>
      </c>
    </row>
    <row r="36" spans="2:11" ht="15.75" x14ac:dyDescent="0.25">
      <c r="B36" s="6" t="s">
        <v>72</v>
      </c>
      <c r="C36" s="28">
        <v>32</v>
      </c>
      <c r="D36" s="23">
        <f>((C36*100/SFP)/100)*SFG</f>
        <v>168.80802178099461</v>
      </c>
      <c r="E36" s="1"/>
      <c r="F36" s="10"/>
      <c r="G36" s="58">
        <v>0.56999999999999995</v>
      </c>
      <c r="H36" s="58">
        <v>0.4</v>
      </c>
      <c r="I36" s="58">
        <v>0.03</v>
      </c>
    </row>
    <row r="37" spans="2:11" ht="15.75" x14ac:dyDescent="0.25">
      <c r="B37" s="15" t="s">
        <v>275</v>
      </c>
      <c r="C37" s="28"/>
      <c r="D37" s="22"/>
      <c r="E37" s="20"/>
      <c r="F37" s="20"/>
      <c r="G37" s="58"/>
      <c r="H37" s="58"/>
      <c r="I37" s="58"/>
    </row>
    <row r="38" spans="2:11" ht="15.75" x14ac:dyDescent="0.25">
      <c r="B38" s="6" t="s">
        <v>73</v>
      </c>
      <c r="C38" s="28">
        <v>83</v>
      </c>
      <c r="D38" s="23">
        <f>((C38*100/UAPP)/100)*UAPG</f>
        <v>328.21368547418979</v>
      </c>
      <c r="E38" s="1"/>
      <c r="F38" s="10"/>
      <c r="G38" s="58">
        <v>0.71</v>
      </c>
      <c r="H38" s="58">
        <v>0.25</v>
      </c>
      <c r="I38" s="58">
        <v>0.04</v>
      </c>
    </row>
    <row r="39" spans="2:11" ht="15.75" x14ac:dyDescent="0.25">
      <c r="B39" s="6" t="s">
        <v>139</v>
      </c>
      <c r="C39" s="28">
        <f>SUM(C17:C38)</f>
        <v>819</v>
      </c>
      <c r="D39" s="31">
        <f>SUM(D17:D38)</f>
        <v>12709.909560872366</v>
      </c>
      <c r="E39" s="1"/>
      <c r="F39" s="10"/>
      <c r="G39" s="58"/>
      <c r="H39" s="58"/>
      <c r="I39" s="58"/>
    </row>
    <row r="40" spans="2:11" ht="15.75" x14ac:dyDescent="0.25">
      <c r="C40" s="28"/>
      <c r="D40" s="23"/>
      <c r="E40" s="1"/>
      <c r="F40" s="10"/>
      <c r="G40" s="58"/>
      <c r="H40" s="58"/>
      <c r="I40" s="58"/>
    </row>
    <row r="41" spans="2:11" ht="18.75" x14ac:dyDescent="0.3">
      <c r="B41" s="8" t="s">
        <v>74</v>
      </c>
      <c r="C41" s="29"/>
      <c r="D41" s="22"/>
      <c r="E41" s="20"/>
      <c r="F41" s="20"/>
      <c r="G41" s="58"/>
      <c r="H41" s="58"/>
      <c r="I41" s="58"/>
    </row>
    <row r="42" spans="2:11" ht="15.75" x14ac:dyDescent="0.25">
      <c r="B42" s="11" t="s">
        <v>49</v>
      </c>
      <c r="C42" s="29"/>
      <c r="D42" s="22"/>
      <c r="E42" s="20"/>
      <c r="F42" s="20"/>
      <c r="G42" s="58"/>
      <c r="H42" s="58"/>
      <c r="I42" s="59"/>
      <c r="J42" s="20"/>
      <c r="K42" s="1"/>
    </row>
    <row r="43" spans="2:11" ht="15.75" x14ac:dyDescent="0.25">
      <c r="B43" s="6" t="s">
        <v>75</v>
      </c>
      <c r="C43" s="28">
        <v>64</v>
      </c>
      <c r="D43" s="23">
        <f>((C43*100/PAAP)/100)*PAAG</f>
        <v>467.94717379820401</v>
      </c>
      <c r="E43" s="1"/>
      <c r="F43" s="10"/>
      <c r="G43" s="58">
        <v>0.57999999999999996</v>
      </c>
      <c r="H43" s="58">
        <v>0.41</v>
      </c>
      <c r="I43" s="58">
        <v>0.01</v>
      </c>
      <c r="J43" s="1"/>
      <c r="K43" s="20"/>
    </row>
    <row r="44" spans="2:11" ht="15.75" x14ac:dyDescent="0.25">
      <c r="B44" s="6" t="s">
        <v>76</v>
      </c>
      <c r="C44" s="28">
        <v>32</v>
      </c>
      <c r="D44" s="23">
        <f>((C44*100/PAAP)/100)*PAAG</f>
        <v>233.973586899102</v>
      </c>
      <c r="E44" s="1"/>
      <c r="F44" s="10"/>
      <c r="G44" s="58">
        <v>0.57999999999999996</v>
      </c>
      <c r="H44" s="58">
        <v>0.41</v>
      </c>
      <c r="I44" s="58">
        <v>0.01</v>
      </c>
      <c r="J44" s="1"/>
      <c r="K44" s="1"/>
    </row>
    <row r="45" spans="2:11" ht="15.75" x14ac:dyDescent="0.25">
      <c r="B45" s="12" t="s">
        <v>50</v>
      </c>
      <c r="C45" s="28"/>
      <c r="D45" s="22"/>
      <c r="E45" s="20"/>
      <c r="F45" s="20"/>
      <c r="G45" s="58"/>
      <c r="H45" s="58"/>
      <c r="I45" s="59"/>
      <c r="J45" s="20"/>
      <c r="K45" s="1"/>
    </row>
    <row r="46" spans="2:11" ht="15.75" x14ac:dyDescent="0.25">
      <c r="B46" s="6" t="s">
        <v>77</v>
      </c>
      <c r="C46" s="28">
        <v>21</v>
      </c>
      <c r="D46" s="23">
        <f>((C46*100/ICP)/100)*ICG</f>
        <v>65.623400365630658</v>
      </c>
      <c r="E46" s="1"/>
      <c r="F46" s="10"/>
      <c r="G46" s="58">
        <v>0.61</v>
      </c>
      <c r="H46" s="58">
        <v>0.38</v>
      </c>
      <c r="I46" s="58">
        <v>0.01</v>
      </c>
      <c r="J46" s="1"/>
      <c r="K46" s="20"/>
    </row>
    <row r="47" spans="2:11" ht="15.75" x14ac:dyDescent="0.25">
      <c r="B47" s="6" t="s">
        <v>78</v>
      </c>
      <c r="C47" s="28">
        <v>6</v>
      </c>
      <c r="D47" s="23">
        <f>((C47*100/ICP)/100)*ICG</f>
        <v>18.749542961608757</v>
      </c>
      <c r="E47" s="1"/>
      <c r="F47" s="10"/>
      <c r="G47" s="58">
        <v>0.61</v>
      </c>
      <c r="H47" s="58">
        <v>0.38</v>
      </c>
      <c r="I47" s="58">
        <v>0.01</v>
      </c>
      <c r="J47" s="1"/>
      <c r="K47" s="1"/>
    </row>
    <row r="48" spans="2:11" ht="15.75" x14ac:dyDescent="0.25">
      <c r="B48" s="13" t="s">
        <v>51</v>
      </c>
      <c r="C48" s="28"/>
      <c r="D48" s="22"/>
      <c r="E48" s="20"/>
      <c r="F48" s="20"/>
      <c r="G48" s="58"/>
      <c r="H48" s="58"/>
      <c r="I48" s="59"/>
      <c r="J48" s="20"/>
      <c r="K48" s="1"/>
    </row>
    <row r="49" spans="2:11" ht="15.75" x14ac:dyDescent="0.25">
      <c r="B49" s="6" t="s">
        <v>79</v>
      </c>
      <c r="C49" s="28">
        <v>42</v>
      </c>
      <c r="D49" s="23">
        <f>((C49*100/EFP)/100)*EFG</f>
        <v>1401.6259842519685</v>
      </c>
      <c r="E49" s="1"/>
      <c r="F49" s="10"/>
      <c r="G49" s="58">
        <v>0.34</v>
      </c>
      <c r="H49" s="58">
        <v>0.62</v>
      </c>
      <c r="I49" s="58">
        <v>0.04</v>
      </c>
      <c r="J49" s="1"/>
      <c r="K49" s="20"/>
    </row>
    <row r="50" spans="2:11" ht="15.75" x14ac:dyDescent="0.25">
      <c r="B50" s="6" t="s">
        <v>80</v>
      </c>
      <c r="C50" s="28">
        <v>36</v>
      </c>
      <c r="D50" s="23">
        <f>((C50*100/EFP)/100)*EFG</f>
        <v>1201.3937007874017</v>
      </c>
      <c r="E50" s="1"/>
      <c r="F50" s="10"/>
      <c r="G50" s="58">
        <v>0.34</v>
      </c>
      <c r="H50" s="58">
        <v>0.62</v>
      </c>
      <c r="I50" s="58">
        <v>0.04</v>
      </c>
      <c r="J50" s="1"/>
      <c r="K50" s="20"/>
    </row>
    <row r="51" spans="2:11" ht="15.75" x14ac:dyDescent="0.25">
      <c r="B51" s="6" t="s">
        <v>81</v>
      </c>
      <c r="C51" s="28">
        <v>12</v>
      </c>
      <c r="D51" s="23">
        <f>((C51*100/EFP)/100)*EFG</f>
        <v>400.46456692913392</v>
      </c>
      <c r="E51" s="1"/>
      <c r="F51" s="10"/>
      <c r="G51" s="58">
        <v>0.34</v>
      </c>
      <c r="H51" s="58">
        <v>0.62</v>
      </c>
      <c r="I51" s="58">
        <v>0.04</v>
      </c>
      <c r="J51" s="1"/>
      <c r="K51" s="1"/>
    </row>
    <row r="52" spans="2:11" ht="15.75" x14ac:dyDescent="0.25">
      <c r="B52" s="9" t="s">
        <v>48</v>
      </c>
      <c r="C52" s="28"/>
      <c r="D52" s="22"/>
      <c r="E52" s="20"/>
      <c r="F52" s="20"/>
      <c r="G52" s="58"/>
      <c r="H52" s="58"/>
      <c r="I52" s="59"/>
      <c r="J52" s="20"/>
      <c r="K52" s="1"/>
    </row>
    <row r="53" spans="2:11" ht="15.75" x14ac:dyDescent="0.25">
      <c r="B53" s="6" t="s">
        <v>82</v>
      </c>
      <c r="C53" s="28">
        <v>142</v>
      </c>
      <c r="D53" s="23">
        <f>((C53*100/DBP)/100)*DBG</f>
        <v>6723.9535714285721</v>
      </c>
      <c r="E53" s="1"/>
      <c r="F53" s="10"/>
      <c r="G53" s="58">
        <v>0.22</v>
      </c>
      <c r="H53" s="58">
        <v>0.71</v>
      </c>
      <c r="I53" s="58">
        <v>7.0000000000000007E-2</v>
      </c>
      <c r="J53" s="1"/>
      <c r="K53" s="20"/>
    </row>
    <row r="54" spans="2:11" ht="15.75" x14ac:dyDescent="0.25">
      <c r="B54" s="6" t="s">
        <v>83</v>
      </c>
      <c r="C54" s="28">
        <v>95</v>
      </c>
      <c r="D54" s="23">
        <f>((C54*100/DBP)/100)*DBG</f>
        <v>4498.4196428571431</v>
      </c>
      <c r="E54" s="1"/>
      <c r="F54" s="10"/>
      <c r="G54" s="58">
        <v>0.22</v>
      </c>
      <c r="H54" s="58">
        <v>0.71</v>
      </c>
      <c r="I54" s="58">
        <v>7.0000000000000007E-2</v>
      </c>
      <c r="J54" s="1"/>
      <c r="K54" s="1"/>
    </row>
    <row r="55" spans="2:11" ht="15.75" x14ac:dyDescent="0.25">
      <c r="B55" s="6" t="s">
        <v>84</v>
      </c>
      <c r="C55" s="28">
        <v>37</v>
      </c>
      <c r="D55" s="23">
        <f>((C55*100/DBP)/100)*DBG</f>
        <v>1752.0160714285716</v>
      </c>
      <c r="E55" s="1"/>
      <c r="F55" s="10"/>
      <c r="G55" s="58">
        <v>0.22</v>
      </c>
      <c r="H55" s="58">
        <v>0.71</v>
      </c>
      <c r="I55" s="58">
        <v>7.0000000000000007E-2</v>
      </c>
      <c r="J55" s="1"/>
      <c r="K55" s="1"/>
    </row>
    <row r="56" spans="2:11" ht="15.75" x14ac:dyDescent="0.25">
      <c r="B56" s="6" t="s">
        <v>85</v>
      </c>
      <c r="C56" s="28">
        <v>13</v>
      </c>
      <c r="D56" s="23">
        <f>((C56*100/DBP)/100)*DBG</f>
        <v>615.57321428571436</v>
      </c>
      <c r="E56" s="1"/>
      <c r="F56" s="10"/>
      <c r="G56" s="58">
        <v>0.22</v>
      </c>
      <c r="H56" s="58">
        <v>0.71</v>
      </c>
      <c r="I56" s="58">
        <v>7.0000000000000007E-2</v>
      </c>
      <c r="J56" s="1"/>
      <c r="K56" s="20"/>
    </row>
    <row r="57" spans="2:11" ht="15.75" x14ac:dyDescent="0.25">
      <c r="B57" s="16" t="s">
        <v>53</v>
      </c>
      <c r="C57" s="28"/>
      <c r="D57" s="22"/>
      <c r="E57" s="20"/>
      <c r="F57" s="20"/>
      <c r="G57" s="58"/>
      <c r="H57" s="58"/>
      <c r="I57" s="59"/>
      <c r="J57" s="20"/>
      <c r="K57" s="1"/>
    </row>
    <row r="58" spans="2:11" ht="15.75" x14ac:dyDescent="0.25">
      <c r="B58" s="6" t="s">
        <v>86</v>
      </c>
      <c r="C58" s="28">
        <v>72</v>
      </c>
      <c r="D58" s="23">
        <f>((C58*100/SFP)/100)*SFG</f>
        <v>379.81804900723785</v>
      </c>
      <c r="E58" s="1"/>
      <c r="F58" s="10"/>
      <c r="G58" s="58">
        <v>0.56999999999999995</v>
      </c>
      <c r="H58" s="58">
        <v>0.4</v>
      </c>
      <c r="I58" s="58">
        <v>0.03</v>
      </c>
      <c r="J58" s="1"/>
      <c r="K58" s="1"/>
    </row>
    <row r="59" spans="2:11" ht="15.75" x14ac:dyDescent="0.25">
      <c r="B59" s="15" t="s">
        <v>275</v>
      </c>
      <c r="C59" s="28"/>
      <c r="D59" s="22"/>
      <c r="E59" s="20"/>
      <c r="F59" s="20"/>
      <c r="G59" s="59"/>
      <c r="H59" s="59"/>
      <c r="I59" s="59"/>
      <c r="J59" s="20"/>
      <c r="K59" s="1"/>
    </row>
    <row r="60" spans="2:11" ht="15.75" x14ac:dyDescent="0.25">
      <c r="B60" s="6" t="s">
        <v>87</v>
      </c>
      <c r="C60" s="28">
        <v>43</v>
      </c>
      <c r="D60" s="23">
        <f>((C60*100/UAPP)/100)*UAPG</f>
        <v>170.03841536614652</v>
      </c>
      <c r="E60" s="1"/>
      <c r="F60" s="10"/>
      <c r="G60" s="58">
        <v>0.71</v>
      </c>
      <c r="H60" s="58">
        <v>0.25</v>
      </c>
      <c r="I60" s="58">
        <v>0.04</v>
      </c>
      <c r="J60" s="1"/>
      <c r="K60" s="20"/>
    </row>
    <row r="61" spans="2:11" ht="15.75" x14ac:dyDescent="0.25">
      <c r="B61" s="6" t="s">
        <v>140</v>
      </c>
      <c r="C61" s="28">
        <f>SUM(C43:C60)</f>
        <v>615</v>
      </c>
      <c r="D61" s="31">
        <f>SUM(D43:D60)</f>
        <v>17929.596920366435</v>
      </c>
      <c r="E61" s="1"/>
      <c r="F61" s="10"/>
      <c r="G61" s="59"/>
      <c r="H61" s="59"/>
      <c r="I61" s="58"/>
      <c r="J61" s="1"/>
      <c r="K61" s="1"/>
    </row>
    <row r="62" spans="2:11" ht="15.75" x14ac:dyDescent="0.25">
      <c r="C62" s="28"/>
      <c r="D62" s="23"/>
      <c r="E62" s="1"/>
      <c r="F62" s="10"/>
      <c r="G62" s="59"/>
      <c r="H62" s="59"/>
      <c r="I62" s="58"/>
      <c r="J62" s="1"/>
      <c r="K62" s="1"/>
    </row>
    <row r="63" spans="2:11" ht="18.75" x14ac:dyDescent="0.3">
      <c r="B63" s="8" t="s">
        <v>88</v>
      </c>
      <c r="C63" s="29"/>
      <c r="D63" s="22"/>
      <c r="E63" s="20"/>
      <c r="F63" s="20"/>
      <c r="G63" s="58"/>
      <c r="H63" s="58"/>
      <c r="I63" s="59"/>
      <c r="J63" s="20"/>
      <c r="K63" s="1"/>
    </row>
    <row r="64" spans="2:11" ht="15.75" x14ac:dyDescent="0.25">
      <c r="B64" s="11" t="s">
        <v>49</v>
      </c>
      <c r="C64" s="29"/>
      <c r="D64" s="22"/>
      <c r="E64" s="20"/>
      <c r="F64" s="20"/>
      <c r="G64" s="58"/>
      <c r="H64" s="58"/>
      <c r="I64" s="59"/>
      <c r="J64" s="20"/>
      <c r="K64" s="1"/>
    </row>
    <row r="65" spans="2:11" ht="15.75" x14ac:dyDescent="0.25">
      <c r="B65" s="19" t="s">
        <v>89</v>
      </c>
      <c r="C65" s="28">
        <v>53</v>
      </c>
      <c r="D65" s="23">
        <f>((C65*100/PAAP)/100)*PAAG</f>
        <v>387.51875330163767</v>
      </c>
      <c r="E65" s="1"/>
      <c r="F65" s="10"/>
      <c r="G65" s="58">
        <v>0.57999999999999996</v>
      </c>
      <c r="H65" s="58">
        <v>0.41</v>
      </c>
      <c r="I65" s="58">
        <v>0.01</v>
      </c>
      <c r="J65" s="1"/>
      <c r="K65" s="1"/>
    </row>
    <row r="66" spans="2:11" ht="15.75" x14ac:dyDescent="0.25">
      <c r="B66" s="19" t="s">
        <v>90</v>
      </c>
      <c r="C66" s="28">
        <v>48</v>
      </c>
      <c r="D66" s="23">
        <f>((C66*100/PAAP)/100)*PAAG</f>
        <v>350.96038034865302</v>
      </c>
      <c r="E66" s="1"/>
      <c r="F66" s="10"/>
      <c r="G66" s="58">
        <v>0.57999999999999996</v>
      </c>
      <c r="H66" s="58">
        <v>0.41</v>
      </c>
      <c r="I66" s="58">
        <v>0.01</v>
      </c>
      <c r="J66" s="1"/>
      <c r="K66" s="20"/>
    </row>
    <row r="67" spans="2:11" ht="15.75" x14ac:dyDescent="0.25">
      <c r="B67" s="12" t="s">
        <v>50</v>
      </c>
      <c r="C67" s="28"/>
      <c r="D67" s="22"/>
      <c r="E67" s="20"/>
      <c r="F67" s="20"/>
      <c r="G67" s="58"/>
      <c r="H67" s="58"/>
      <c r="I67" s="59"/>
      <c r="J67" s="20"/>
      <c r="K67" s="1"/>
    </row>
    <row r="68" spans="2:11" ht="15.75" x14ac:dyDescent="0.25">
      <c r="B68" s="19" t="s">
        <v>91</v>
      </c>
      <c r="C68" s="28">
        <v>34</v>
      </c>
      <c r="D68" s="23">
        <f>((C68*100/ICP)/100)*ICG</f>
        <v>106.24741011578296</v>
      </c>
      <c r="E68" s="1"/>
      <c r="F68" s="10"/>
      <c r="G68" s="58">
        <v>0.61</v>
      </c>
      <c r="H68" s="58">
        <v>0.38</v>
      </c>
      <c r="I68" s="58">
        <v>0.01</v>
      </c>
      <c r="J68" s="1"/>
      <c r="K68" s="20"/>
    </row>
    <row r="69" spans="2:11" ht="15.75" x14ac:dyDescent="0.25">
      <c r="B69" s="13" t="s">
        <v>51</v>
      </c>
      <c r="C69" s="28"/>
      <c r="D69" s="22"/>
      <c r="E69" s="20"/>
      <c r="F69" s="20"/>
      <c r="G69" s="59"/>
      <c r="H69" s="59"/>
      <c r="I69" s="59"/>
      <c r="J69" s="20"/>
      <c r="K69" s="1"/>
    </row>
    <row r="70" spans="2:11" ht="15.75" x14ac:dyDescent="0.25">
      <c r="B70" s="19" t="s">
        <v>92</v>
      </c>
      <c r="C70" s="28">
        <v>64</v>
      </c>
      <c r="D70" s="23">
        <f>((C70*100/EFP)/100)*EFG</f>
        <v>2135.8110236220477</v>
      </c>
      <c r="E70" s="1"/>
      <c r="F70" s="10"/>
      <c r="G70" s="58">
        <v>0.34</v>
      </c>
      <c r="H70" s="58">
        <v>0.62</v>
      </c>
      <c r="I70" s="58">
        <v>0.04</v>
      </c>
      <c r="J70" s="1"/>
      <c r="K70" s="1"/>
    </row>
    <row r="71" spans="2:11" ht="15.75" x14ac:dyDescent="0.25">
      <c r="B71" s="9" t="s">
        <v>48</v>
      </c>
      <c r="C71" s="28"/>
      <c r="D71" s="22"/>
      <c r="E71" s="20"/>
      <c r="F71" s="20"/>
      <c r="G71" s="59"/>
      <c r="H71" s="59"/>
      <c r="I71" s="59"/>
      <c r="J71" s="20"/>
      <c r="K71" s="20"/>
    </row>
    <row r="72" spans="2:11" ht="15.75" x14ac:dyDescent="0.25">
      <c r="B72" s="19" t="s">
        <v>93</v>
      </c>
      <c r="C72" s="28">
        <v>72</v>
      </c>
      <c r="D72" s="23">
        <f>((C72*100/DBP)/100)*DBG</f>
        <v>3409.3285714285712</v>
      </c>
      <c r="E72" s="1"/>
      <c r="F72" s="10"/>
      <c r="G72" s="58">
        <v>0.22</v>
      </c>
      <c r="H72" s="58">
        <v>0.71</v>
      </c>
      <c r="I72" s="58">
        <v>7.0000000000000007E-2</v>
      </c>
      <c r="J72" s="1"/>
      <c r="K72" s="20"/>
    </row>
    <row r="73" spans="2:11" ht="15.75" x14ac:dyDescent="0.25">
      <c r="B73" s="19" t="s">
        <v>94</v>
      </c>
      <c r="C73" s="28">
        <v>21</v>
      </c>
      <c r="D73" s="23">
        <f>((C73*100/DBP)/100)*DBG</f>
        <v>994.38750000000005</v>
      </c>
      <c r="E73" s="1"/>
      <c r="F73" s="10"/>
      <c r="G73" s="58">
        <v>0.22</v>
      </c>
      <c r="H73" s="58">
        <v>0.71</v>
      </c>
      <c r="I73" s="58">
        <v>7.0000000000000007E-2</v>
      </c>
      <c r="J73" s="1"/>
      <c r="K73" s="1"/>
    </row>
    <row r="74" spans="2:11" ht="15.75" x14ac:dyDescent="0.25">
      <c r="B74" s="16" t="s">
        <v>53</v>
      </c>
      <c r="C74" s="28"/>
      <c r="D74" s="22"/>
      <c r="E74" s="20"/>
      <c r="F74" s="20"/>
      <c r="G74" s="58"/>
      <c r="H74" s="58"/>
      <c r="I74" s="59"/>
      <c r="J74" s="20"/>
      <c r="K74" s="1"/>
    </row>
    <row r="75" spans="2:11" ht="15.75" x14ac:dyDescent="0.25">
      <c r="B75" s="19" t="s">
        <v>95</v>
      </c>
      <c r="C75" s="28">
        <v>36</v>
      </c>
      <c r="D75" s="23">
        <f>((C75*100/SFP)/100)*SFG</f>
        <v>189.90902450361892</v>
      </c>
      <c r="E75" s="1"/>
      <c r="F75" s="10"/>
      <c r="G75" s="58">
        <v>0.56999999999999995</v>
      </c>
      <c r="H75" s="58">
        <v>0.4</v>
      </c>
      <c r="I75" s="58">
        <v>0.03</v>
      </c>
      <c r="J75" s="1"/>
      <c r="K75" s="20"/>
    </row>
    <row r="76" spans="2:11" ht="15.75" x14ac:dyDescent="0.25">
      <c r="B76" s="15" t="s">
        <v>275</v>
      </c>
      <c r="C76" s="28"/>
      <c r="D76" s="22"/>
      <c r="E76" s="20"/>
      <c r="F76" s="20"/>
      <c r="G76" s="59"/>
      <c r="H76" s="59"/>
      <c r="I76" s="59"/>
      <c r="J76" s="20"/>
      <c r="K76" s="1"/>
    </row>
    <row r="77" spans="2:11" ht="15.75" x14ac:dyDescent="0.25">
      <c r="B77" s="19" t="s">
        <v>96</v>
      </c>
      <c r="C77" s="28">
        <v>43</v>
      </c>
      <c r="D77" s="23">
        <f>((C77*100/UAPP)/100)*UAPG</f>
        <v>170.03841536614652</v>
      </c>
      <c r="E77" s="1"/>
      <c r="F77" s="10"/>
      <c r="G77" s="58">
        <v>0.71</v>
      </c>
      <c r="H77" s="58">
        <v>0.25</v>
      </c>
      <c r="I77" s="58">
        <v>0.04</v>
      </c>
      <c r="J77" s="1"/>
      <c r="K77" s="20"/>
    </row>
    <row r="78" spans="2:11" ht="15.75" x14ac:dyDescent="0.25">
      <c r="B78" s="19" t="s">
        <v>141</v>
      </c>
      <c r="C78" s="28">
        <f>SUM(C65:C77)</f>
        <v>371</v>
      </c>
      <c r="D78" s="23">
        <f>SUM(D65:D77)</f>
        <v>7744.2010786864575</v>
      </c>
      <c r="E78" s="1"/>
      <c r="F78" s="10"/>
      <c r="G78" s="59"/>
      <c r="H78" s="59"/>
      <c r="I78" s="58"/>
      <c r="J78" s="1"/>
      <c r="K78" s="1"/>
    </row>
    <row r="79" spans="2:11" ht="15.75" x14ac:dyDescent="0.25">
      <c r="C79" s="28"/>
      <c r="D79" s="23"/>
      <c r="E79" s="1"/>
      <c r="F79" s="10"/>
      <c r="G79" s="59"/>
      <c r="H79" s="59"/>
      <c r="I79" s="58"/>
      <c r="J79" s="1"/>
      <c r="K79" s="1"/>
    </row>
    <row r="80" spans="2:11" ht="18.75" x14ac:dyDescent="0.3">
      <c r="B80" s="8" t="s">
        <v>28</v>
      </c>
      <c r="C80" s="29"/>
      <c r="D80" s="22"/>
      <c r="E80" s="20"/>
      <c r="F80" s="20"/>
      <c r="G80" s="58"/>
      <c r="H80" s="58"/>
      <c r="I80" s="59"/>
      <c r="J80" s="20"/>
      <c r="K80" s="20"/>
    </row>
    <row r="81" spans="2:11" ht="15.75" x14ac:dyDescent="0.25">
      <c r="B81" s="11" t="s">
        <v>49</v>
      </c>
      <c r="C81" s="29"/>
      <c r="D81" s="22"/>
      <c r="E81" s="20"/>
      <c r="F81" s="20"/>
      <c r="G81" s="58"/>
      <c r="H81" s="58"/>
      <c r="I81" s="59"/>
      <c r="J81" s="20"/>
      <c r="K81" s="1"/>
    </row>
    <row r="82" spans="2:11" ht="15.75" x14ac:dyDescent="0.25">
      <c r="B82" s="6" t="s">
        <v>97</v>
      </c>
      <c r="C82" s="28">
        <v>25</v>
      </c>
      <c r="D82" s="23">
        <f>((C82*100/PAAP)/100)*PAAG</f>
        <v>182.79186476492345</v>
      </c>
      <c r="E82" s="1"/>
      <c r="F82" s="10"/>
      <c r="G82" s="58">
        <v>0.57999999999999996</v>
      </c>
      <c r="H82" s="58">
        <v>0.41</v>
      </c>
      <c r="I82" s="58">
        <v>0.01</v>
      </c>
      <c r="J82" s="1"/>
      <c r="K82" s="1"/>
    </row>
    <row r="83" spans="2:11" ht="15.75" x14ac:dyDescent="0.25">
      <c r="C83" s="28"/>
      <c r="D83" s="23"/>
      <c r="E83" s="1"/>
      <c r="F83" s="10"/>
      <c r="G83" s="59"/>
      <c r="H83" s="59"/>
      <c r="I83" s="58"/>
      <c r="J83" s="1"/>
      <c r="K83" s="20"/>
    </row>
    <row r="84" spans="2:11" ht="15.75" x14ac:dyDescent="0.25">
      <c r="C84" s="28"/>
      <c r="D84" s="23"/>
      <c r="E84" s="1"/>
      <c r="F84" s="10"/>
      <c r="G84" s="59"/>
      <c r="H84" s="59"/>
      <c r="I84" s="58"/>
      <c r="J84" s="1"/>
      <c r="K84" s="20"/>
    </row>
    <row r="85" spans="2:11" ht="18.75" x14ac:dyDescent="0.3">
      <c r="B85" s="8" t="s">
        <v>98</v>
      </c>
      <c r="C85" s="29"/>
      <c r="D85" s="22"/>
      <c r="E85" s="20"/>
      <c r="F85" s="20"/>
      <c r="G85" s="58"/>
      <c r="H85" s="58"/>
      <c r="I85" s="59"/>
      <c r="J85" s="20"/>
      <c r="K85" s="1"/>
    </row>
    <row r="86" spans="2:11" ht="15.75" x14ac:dyDescent="0.25">
      <c r="B86" s="13" t="s">
        <v>51</v>
      </c>
      <c r="C86" s="29"/>
      <c r="D86" s="22"/>
      <c r="E86" s="20"/>
      <c r="F86" s="20"/>
      <c r="G86" s="58"/>
      <c r="H86" s="58"/>
      <c r="I86" s="59"/>
      <c r="J86" s="20"/>
      <c r="K86" s="20"/>
    </row>
    <row r="87" spans="2:11" ht="15.75" x14ac:dyDescent="0.25">
      <c r="B87" s="6" t="s">
        <v>99</v>
      </c>
      <c r="C87" s="28">
        <v>3</v>
      </c>
      <c r="D87" s="23">
        <f>((C87*100/EFP)/100)*EFG</f>
        <v>100.11614173228348</v>
      </c>
      <c r="F87" s="10"/>
      <c r="G87" s="58">
        <v>0.34</v>
      </c>
      <c r="H87" s="58">
        <v>0.62</v>
      </c>
      <c r="I87" s="58">
        <v>0.04</v>
      </c>
      <c r="K87" s="1"/>
    </row>
    <row r="88" spans="2:11" ht="15.75" x14ac:dyDescent="0.25">
      <c r="B88" s="9" t="s">
        <v>48</v>
      </c>
      <c r="C88" s="29"/>
      <c r="D88" s="22"/>
      <c r="E88" s="20"/>
      <c r="F88" s="20"/>
      <c r="G88" s="59"/>
      <c r="H88" s="59"/>
      <c r="I88" s="59"/>
      <c r="J88" s="20"/>
      <c r="K88" s="1"/>
    </row>
    <row r="89" spans="2:11" ht="15.75" x14ac:dyDescent="0.25">
      <c r="B89" s="6" t="s">
        <v>100</v>
      </c>
      <c r="C89" s="28">
        <v>2</v>
      </c>
      <c r="D89" s="23">
        <f>((C89*100/DBP)/100)*DBG</f>
        <v>94.703571428571436</v>
      </c>
      <c r="F89" s="10"/>
      <c r="G89" s="58">
        <v>0.22</v>
      </c>
      <c r="H89" s="58">
        <v>0.71</v>
      </c>
      <c r="I89" s="58">
        <v>7.0000000000000007E-2</v>
      </c>
      <c r="K89" s="20"/>
    </row>
    <row r="90" spans="2:11" ht="15.75" x14ac:dyDescent="0.25">
      <c r="B90" s="6" t="s">
        <v>142</v>
      </c>
      <c r="C90" s="34">
        <f>SUM(C87:C89)</f>
        <v>5</v>
      </c>
      <c r="D90" s="35">
        <f>SUM(D87:D89)</f>
        <v>194.81971316085492</v>
      </c>
      <c r="G90" s="58"/>
      <c r="H90" s="58"/>
      <c r="I90" s="58"/>
      <c r="K90" s="20"/>
    </row>
    <row r="91" spans="2:11" x14ac:dyDescent="0.25">
      <c r="G91" s="58"/>
      <c r="H91" s="58"/>
      <c r="I91" s="58"/>
      <c r="K91" s="1"/>
    </row>
    <row r="92" spans="2:11" ht="37.5" x14ac:dyDescent="0.3">
      <c r="B92" s="33" t="s">
        <v>143</v>
      </c>
      <c r="C92" s="37">
        <f>SUM(C13,C39,C61,C78,C82,C90)</f>
        <v>13579</v>
      </c>
      <c r="D92" s="36">
        <f>SUM(D90,D82,D78,D61,D39,D13)</f>
        <v>150466.58780330984</v>
      </c>
      <c r="G92" s="58"/>
      <c r="H92" s="58"/>
      <c r="I92" s="58"/>
      <c r="K92" s="1"/>
    </row>
    <row r="93" spans="2:11" ht="15.75" x14ac:dyDescent="0.25">
      <c r="G93" s="57"/>
      <c r="H93" s="57"/>
      <c r="I93" s="57"/>
      <c r="K93" s="20"/>
    </row>
    <row r="94" spans="2:11" ht="15.75" x14ac:dyDescent="0.25">
      <c r="G94" s="54"/>
      <c r="H94" s="54"/>
      <c r="I94" s="54"/>
      <c r="K94" s="20"/>
    </row>
    <row r="96" spans="2:11" ht="15.75" x14ac:dyDescent="0.25">
      <c r="K96" s="20"/>
    </row>
  </sheetData>
  <mergeCells count="1">
    <mergeCell ref="G1:I1"/>
  </mergeCells>
  <conditionalFormatting sqref="E4">
    <cfRule type="dataBar" priority="64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{58DDA041-354D-48C8-A30A-248BF2AB3A42}</x14:id>
        </ext>
      </extLst>
    </cfRule>
  </conditionalFormatting>
  <conditionalFormatting sqref="E5">
    <cfRule type="dataBar" priority="63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{11B67CEF-B71E-4AEE-AB7E-671CF15DC1AA}</x14:id>
        </ext>
      </extLst>
    </cfRule>
  </conditionalFormatting>
  <conditionalFormatting sqref="E6">
    <cfRule type="dataBar" priority="62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{CED6071F-9D00-4139-B0F6-77CADD0B7E4A}</x14:id>
        </ext>
      </extLst>
    </cfRule>
  </conditionalFormatting>
  <conditionalFormatting sqref="E7">
    <cfRule type="dataBar" priority="61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{1DCEE489-B0E1-43F9-872E-B8EE45237ECF}</x14:id>
        </ext>
      </extLst>
    </cfRule>
  </conditionalFormatting>
  <conditionalFormatting sqref="E8">
    <cfRule type="dataBar" priority="60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{B9454A30-842C-434C-B4E2-1E253B2CA895}</x14:id>
        </ext>
      </extLst>
    </cfRule>
  </conditionalFormatting>
  <conditionalFormatting sqref="E9">
    <cfRule type="dataBar" priority="59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{252A025C-2C3E-4DB2-B495-E1AAC795CB74}</x14:id>
        </ext>
      </extLst>
    </cfRule>
  </conditionalFormatting>
  <conditionalFormatting sqref="E10">
    <cfRule type="dataBar" priority="58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{38DDCC15-341F-4B9D-9547-FDA4B8E0EB44}</x14:id>
        </ext>
      </extLst>
    </cfRule>
  </conditionalFormatting>
  <conditionalFormatting sqref="E11">
    <cfRule type="dataBar" priority="57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{2B764D76-1D7F-41A3-AD57-64D945DDE2DB}</x14:id>
        </ext>
      </extLst>
    </cfRule>
  </conditionalFormatting>
  <conditionalFormatting sqref="E12">
    <cfRule type="dataBar" priority="56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{B4DC86B9-1E33-44BA-AF40-C67F9077EC09}</x14:id>
        </ext>
      </extLst>
    </cfRule>
  </conditionalFormatting>
  <conditionalFormatting sqref="C4">
    <cfRule type="dataBar" priority="55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{422E2D37-ABFD-427F-A898-07C087347D46}</x14:id>
        </ext>
      </extLst>
    </cfRule>
  </conditionalFormatting>
  <conditionalFormatting sqref="G4:I7"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{CF0E773A-7B0A-4ED4-991A-E8D45AE9FCB3}</x14:id>
        </ext>
      </extLst>
    </cfRule>
  </conditionalFormatting>
  <conditionalFormatting sqref="G8"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{FE5CE521-B635-4094-8A5E-F3F467DCCEDE}</x14:id>
        </ext>
      </extLst>
    </cfRule>
  </conditionalFormatting>
  <conditionalFormatting sqref="H8"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{048B8709-385F-4C19-865C-DAF0BC58B69C}</x14:id>
        </ext>
      </extLst>
    </cfRule>
  </conditionalFormatting>
  <conditionalFormatting sqref="I8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{F257E98A-158E-46DC-8648-E57685E5E490}</x14:id>
        </ext>
      </extLst>
    </cfRule>
  </conditionalFormatting>
  <conditionalFormatting sqref="G9:I9"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{264915BA-0965-47BC-8C6C-8056C560BB73}</x14:id>
        </ext>
      </extLst>
    </cfRule>
  </conditionalFormatting>
  <conditionalFormatting sqref="G10:I1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{03CEC33B-88B1-419C-8F24-CB5FF6E3D79B}</x14:id>
        </ext>
      </extLst>
    </cfRule>
  </conditionalFormatting>
  <conditionalFormatting sqref="G32:I33"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{B575255C-F1E4-4FFC-B82A-F39DB14FBBC0}</x14:id>
        </ext>
      </extLst>
    </cfRule>
  </conditionalFormatting>
  <conditionalFormatting sqref="G53:I56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{772F4D92-6C9F-4EDB-A44A-3FB05B9DB4D6}</x14:id>
        </ext>
      </extLst>
    </cfRule>
  </conditionalFormatting>
  <conditionalFormatting sqref="G72:I73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{5EC7DB73-4B61-4F64-B1B0-C5B64A1741C2}</x14:id>
        </ext>
      </extLst>
    </cfRule>
  </conditionalFormatting>
  <conditionalFormatting sqref="G89:I90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{5D0BBA9C-3CEB-438A-91D3-90CB6F53FF43}</x14:id>
        </ext>
      </extLst>
    </cfRule>
  </conditionalFormatting>
  <conditionalFormatting sqref="G17:I21 L17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{35E8C111-E013-496D-B8DD-097BF52A9D9C}</x14:id>
        </ext>
      </extLst>
    </cfRule>
  </conditionalFormatting>
  <conditionalFormatting sqref="G43:I44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{CD29F449-DD07-4B50-815E-50F26E1AEDAF}</x14:id>
        </ext>
      </extLst>
    </cfRule>
  </conditionalFormatting>
  <conditionalFormatting sqref="G65:I66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{FAFB7366-3C55-4BE5-81D4-8BF97A9E0935}</x14:id>
        </ext>
      </extLst>
    </cfRule>
  </conditionalFormatting>
  <conditionalFormatting sqref="G82:I82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{923B7DEF-FADE-4E8D-9F0F-644213981C3B}</x14:id>
        </ext>
      </extLst>
    </cfRule>
  </conditionalFormatting>
  <conditionalFormatting sqref="G23:I25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{D863BCC8-32BE-495C-B4C8-0FCABA134F9D}</x14:id>
        </ext>
      </extLst>
    </cfRule>
  </conditionalFormatting>
  <conditionalFormatting sqref="G46:I47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{CD73531B-228E-467A-92EC-A8B59D837C71}</x14:id>
        </ext>
      </extLst>
    </cfRule>
  </conditionalFormatting>
  <conditionalFormatting sqref="G68:I68"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{43C0075F-0B06-4678-BE34-CDA82E4F3319}</x14:id>
        </ext>
      </extLst>
    </cfRule>
  </conditionalFormatting>
  <conditionalFormatting sqref="G27:I30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{3B368474-7935-48B4-B5B1-777BC205A7C0}</x14:id>
        </ext>
      </extLst>
    </cfRule>
  </conditionalFormatting>
  <conditionalFormatting sqref="G49:I51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{7DE7BE62-E0A5-4B78-95D0-28BCC05378D9}</x14:id>
        </ext>
      </extLst>
    </cfRule>
  </conditionalFormatting>
  <conditionalFormatting sqref="G70:I70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{A2000B33-16A7-4E22-BAC4-2875B9D7B90F}</x14:id>
        </ext>
      </extLst>
    </cfRule>
  </conditionalFormatting>
  <conditionalFormatting sqref="G87:I87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{EE0BE11A-DACE-4027-866B-B91131563952}</x14:id>
        </ext>
      </extLst>
    </cfRule>
  </conditionalFormatting>
  <conditionalFormatting sqref="G38:I38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{F884A81B-0F32-4A9F-B3F7-9201821E5A04}</x14:id>
        </ext>
      </extLst>
    </cfRule>
  </conditionalFormatting>
  <conditionalFormatting sqref="G60:I60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{6DD94A23-9E94-45B3-B3FA-B9856217A24F}</x14:id>
        </ext>
      </extLst>
    </cfRule>
  </conditionalFormatting>
  <conditionalFormatting sqref="G77:I77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{17FBACFD-856B-4C77-9FFF-66D84580186D}</x14:id>
        </ext>
      </extLst>
    </cfRule>
  </conditionalFormatting>
  <conditionalFormatting sqref="G35:I36"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{B4E9A172-F539-4B4B-A207-C8D2E8291EFB}</x14:id>
        </ext>
      </extLst>
    </cfRule>
  </conditionalFormatting>
  <conditionalFormatting sqref="G58:I58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{6875F1C7-168D-48EA-9455-4C248D7528CA}</x14:id>
        </ext>
      </extLst>
    </cfRule>
  </conditionalFormatting>
  <conditionalFormatting sqref="G75:I75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{0D09C92A-DA72-42C9-BDCE-B5FD3BADB3E6}</x14:id>
        </ext>
      </extLst>
    </cfRule>
  </conditionalFormatting>
  <conditionalFormatting sqref="C17">
    <cfRule type="dataBar" priority="24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{DCA314CB-222C-47B8-B412-B6D8F566D719}</x14:id>
        </ext>
      </extLst>
    </cfRule>
  </conditionalFormatting>
  <conditionalFormatting sqref="C5:C12">
    <cfRule type="dataBar" priority="10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{186BB4B6-14AA-496F-884D-704FDE9AB39B}</x14:id>
        </ext>
      </extLst>
    </cfRule>
  </conditionalFormatting>
  <conditionalFormatting sqref="C43">
    <cfRule type="dataBar" priority="8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{3234F7DB-0B9F-4AA0-A8E4-E723E916CB55}</x14:id>
        </ext>
      </extLst>
    </cfRule>
  </conditionalFormatting>
  <conditionalFormatting sqref="C65">
    <cfRule type="dataBar" priority="6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{9D73C21E-0F36-4D4A-8889-C961A3366A87}</x14:id>
        </ext>
      </extLst>
    </cfRule>
  </conditionalFormatting>
  <conditionalFormatting sqref="C18:C38">
    <cfRule type="dataBar" priority="5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{6A45FBB2-FBE2-464D-B642-84E3BAFF5F9B}</x14:id>
        </ext>
      </extLst>
    </cfRule>
  </conditionalFormatting>
  <conditionalFormatting sqref="C44:C60">
    <cfRule type="dataBar" priority="4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{D816012C-0021-4E2F-A16E-B7704272F415}</x14:id>
        </ext>
      </extLst>
    </cfRule>
  </conditionalFormatting>
  <conditionalFormatting sqref="C66:C77">
    <cfRule type="dataBar" priority="3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{CFE81EB0-4D04-4A59-A261-F2E6623C6E7F}</x14:id>
        </ext>
      </extLst>
    </cfRule>
  </conditionalFormatting>
  <conditionalFormatting sqref="C87">
    <cfRule type="dataBar" priority="2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{C8E46761-78A1-48D5-8F13-48E2F382B5F9}</x14:id>
        </ext>
      </extLst>
    </cfRule>
  </conditionalFormatting>
  <conditionalFormatting sqref="C89">
    <cfRule type="dataBar" priority="1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{410FD375-A99E-4032-AB6B-53E4A48F107C}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DA041-354D-48C8-A30A-248BF2AB3A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1B67CEF-B71E-4AEE-AB7E-671CF15DC1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CED6071F-9D00-4139-B0F6-77CADD0B7E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1DCEE489-B0E1-43F9-872E-B8EE45237EC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9454A30-842C-434C-B4E2-1E253B2CA8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52A025C-2C3E-4DB2-B495-E1AAC795CB7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8DDCC15-341F-4B9D-9547-FDA4B8E0EB4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B764D76-1D7F-41A3-AD57-64D945DDE2DB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B4DC86B9-1E33-44BA-AF40-C67F9077EC09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422E2D37-ABFD-427F-A898-07C087347D46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F0E773A-7B0A-4ED4-991A-E8D45AE9FC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G4:I7</xm:sqref>
        </x14:conditionalFormatting>
        <x14:conditionalFormatting xmlns:xm="http://schemas.microsoft.com/office/excel/2006/main">
          <x14:cfRule type="dataBar" id="{FE5CE521-B635-4094-8A5E-F3F467DCCE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048B8709-385F-4C19-865C-DAF0BC58B6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57E98A-158E-46DC-8648-E57685E5E4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64915BA-0965-47BC-8C6C-8056C560B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G9:I9</xm:sqref>
        </x14:conditionalFormatting>
        <x14:conditionalFormatting xmlns:xm="http://schemas.microsoft.com/office/excel/2006/main">
          <x14:cfRule type="dataBar" id="{03CEC33B-88B1-419C-8F24-CB5FF6E3D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G10:I12</xm:sqref>
        </x14:conditionalFormatting>
        <x14:conditionalFormatting xmlns:xm="http://schemas.microsoft.com/office/excel/2006/main">
          <x14:cfRule type="dataBar" id="{B575255C-F1E4-4FFC-B82A-F39DB14FBB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G32:I33</xm:sqref>
        </x14:conditionalFormatting>
        <x14:conditionalFormatting xmlns:xm="http://schemas.microsoft.com/office/excel/2006/main">
          <x14:cfRule type="dataBar" id="{772F4D92-6C9F-4EDB-A44A-3FB05B9DB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G53:I56</xm:sqref>
        </x14:conditionalFormatting>
        <x14:conditionalFormatting xmlns:xm="http://schemas.microsoft.com/office/excel/2006/main">
          <x14:cfRule type="dataBar" id="{5EC7DB73-4B61-4F64-B1B0-C5B64A1741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G72:I73</xm:sqref>
        </x14:conditionalFormatting>
        <x14:conditionalFormatting xmlns:xm="http://schemas.microsoft.com/office/excel/2006/main">
          <x14:cfRule type="dataBar" id="{5D0BBA9C-3CEB-438A-91D3-90CB6F53F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G89:I90</xm:sqref>
        </x14:conditionalFormatting>
        <x14:conditionalFormatting xmlns:xm="http://schemas.microsoft.com/office/excel/2006/main">
          <x14:cfRule type="dataBar" id="{35E8C111-E013-496D-B8DD-097BF52A9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G17:I21 L17</xm:sqref>
        </x14:conditionalFormatting>
        <x14:conditionalFormatting xmlns:xm="http://schemas.microsoft.com/office/excel/2006/main">
          <x14:cfRule type="dataBar" id="{CD29F449-DD07-4B50-815E-50F26E1AE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FAFB7366-3C55-4BE5-81D4-8BF97A9E09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G65:I66</xm:sqref>
        </x14:conditionalFormatting>
        <x14:conditionalFormatting xmlns:xm="http://schemas.microsoft.com/office/excel/2006/main">
          <x14:cfRule type="dataBar" id="{923B7DEF-FADE-4E8D-9F0F-644213981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G82:I82</xm:sqref>
        </x14:conditionalFormatting>
        <x14:conditionalFormatting xmlns:xm="http://schemas.microsoft.com/office/excel/2006/main">
          <x14:cfRule type="dataBar" id="{D863BCC8-32BE-495C-B4C8-0FCABA134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G23:I25</xm:sqref>
        </x14:conditionalFormatting>
        <x14:conditionalFormatting xmlns:xm="http://schemas.microsoft.com/office/excel/2006/main">
          <x14:cfRule type="dataBar" id="{CD73531B-228E-467A-92EC-A8B59D837C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G46:I47</xm:sqref>
        </x14:conditionalFormatting>
        <x14:conditionalFormatting xmlns:xm="http://schemas.microsoft.com/office/excel/2006/main">
          <x14:cfRule type="dataBar" id="{43C0075F-0B06-4678-BE34-CDA82E4F33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G68:I68</xm:sqref>
        </x14:conditionalFormatting>
        <x14:conditionalFormatting xmlns:xm="http://schemas.microsoft.com/office/excel/2006/main">
          <x14:cfRule type="dataBar" id="{3B368474-7935-48B4-B5B1-777BC205A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G27:I30</xm:sqref>
        </x14:conditionalFormatting>
        <x14:conditionalFormatting xmlns:xm="http://schemas.microsoft.com/office/excel/2006/main">
          <x14:cfRule type="dataBar" id="{7DE7BE62-E0A5-4B78-95D0-28BCC05378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G49:I51</xm:sqref>
        </x14:conditionalFormatting>
        <x14:conditionalFormatting xmlns:xm="http://schemas.microsoft.com/office/excel/2006/main">
          <x14:cfRule type="dataBar" id="{A2000B33-16A7-4E22-BAC4-2875B9D7B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G70:I70</xm:sqref>
        </x14:conditionalFormatting>
        <x14:conditionalFormatting xmlns:xm="http://schemas.microsoft.com/office/excel/2006/main">
          <x14:cfRule type="dataBar" id="{EE0BE11A-DACE-4027-866B-B91131563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G87:I87</xm:sqref>
        </x14:conditionalFormatting>
        <x14:conditionalFormatting xmlns:xm="http://schemas.microsoft.com/office/excel/2006/main">
          <x14:cfRule type="dataBar" id="{F884A81B-0F32-4A9F-B3F7-9201821E5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G38:I38</xm:sqref>
        </x14:conditionalFormatting>
        <x14:conditionalFormatting xmlns:xm="http://schemas.microsoft.com/office/excel/2006/main">
          <x14:cfRule type="dataBar" id="{6DD94A23-9E94-45B3-B3FA-B9856217A2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G60:I60</xm:sqref>
        </x14:conditionalFormatting>
        <x14:conditionalFormatting xmlns:xm="http://schemas.microsoft.com/office/excel/2006/main">
          <x14:cfRule type="dataBar" id="{17FBACFD-856B-4C77-9FFF-66D8458018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G77:I77</xm:sqref>
        </x14:conditionalFormatting>
        <x14:conditionalFormatting xmlns:xm="http://schemas.microsoft.com/office/excel/2006/main">
          <x14:cfRule type="dataBar" id="{B4E9A172-F539-4B4B-A207-C8D2E8291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G35:I36</xm:sqref>
        </x14:conditionalFormatting>
        <x14:conditionalFormatting xmlns:xm="http://schemas.microsoft.com/office/excel/2006/main">
          <x14:cfRule type="dataBar" id="{6875F1C7-168D-48EA-9455-4C248D7528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G58:I58</xm:sqref>
        </x14:conditionalFormatting>
        <x14:conditionalFormatting xmlns:xm="http://schemas.microsoft.com/office/excel/2006/main">
          <x14:cfRule type="dataBar" id="{0D09C92A-DA72-42C9-BDCE-B5FD3BADB3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G75:I75</xm:sqref>
        </x14:conditionalFormatting>
        <x14:conditionalFormatting xmlns:xm="http://schemas.microsoft.com/office/excel/2006/main">
          <x14:cfRule type="dataBar" id="{DCA314CB-222C-47B8-B412-B6D8F566D719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186BB4B6-14AA-496F-884D-704FDE9AB39B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C5:C12</xm:sqref>
        </x14:conditionalFormatting>
        <x14:conditionalFormatting xmlns:xm="http://schemas.microsoft.com/office/excel/2006/main">
          <x14:cfRule type="dataBar" id="{3234F7DB-0B9F-4AA0-A8E4-E723E916CB5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9D73C21E-0F36-4D4A-8889-C961A3366A87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6A45FBB2-FBE2-464D-B642-84E3BAFF5F9B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C18:C38</xm:sqref>
        </x14:conditionalFormatting>
        <x14:conditionalFormatting xmlns:xm="http://schemas.microsoft.com/office/excel/2006/main">
          <x14:cfRule type="dataBar" id="{D816012C-0021-4E2F-A16E-B7704272F41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C44:C60</xm:sqref>
        </x14:conditionalFormatting>
        <x14:conditionalFormatting xmlns:xm="http://schemas.microsoft.com/office/excel/2006/main">
          <x14:cfRule type="dataBar" id="{CFE81EB0-4D04-4A59-A261-F2E6623C6E7F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C66:C77</xm:sqref>
        </x14:conditionalFormatting>
        <x14:conditionalFormatting xmlns:xm="http://schemas.microsoft.com/office/excel/2006/main">
          <x14:cfRule type="dataBar" id="{C8E46761-78A1-48D5-8F13-48E2F382B5F9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>
          <x14:cfRule type="dataBar" id="{410FD375-A99E-4032-AB6B-53E4A48F107C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9" workbookViewId="0">
      <selection activeCell="M43" sqref="M43"/>
    </sheetView>
  </sheetViews>
  <sheetFormatPr defaultRowHeight="15" x14ac:dyDescent="0.25"/>
  <cols>
    <col min="5" max="5" width="9.5703125" bestFit="1" customWidth="1"/>
    <col min="7" max="7" width="9" customWidth="1"/>
  </cols>
  <sheetData>
    <row r="2" spans="1:12" x14ac:dyDescent="0.25">
      <c r="D2" s="146" t="s">
        <v>289</v>
      </c>
      <c r="E2" s="146"/>
      <c r="F2" s="146"/>
      <c r="G2" s="146"/>
      <c r="H2" s="146"/>
      <c r="I2" s="146"/>
      <c r="J2" s="146"/>
    </row>
    <row r="3" spans="1:12" x14ac:dyDescent="0.25">
      <c r="D3" s="146"/>
      <c r="E3" s="146"/>
      <c r="F3" s="146"/>
      <c r="G3" s="146"/>
      <c r="H3" s="146"/>
      <c r="I3" s="146"/>
      <c r="J3" s="146"/>
    </row>
    <row r="4" spans="1:12" x14ac:dyDescent="0.25">
      <c r="D4" s="146"/>
      <c r="E4" s="146"/>
      <c r="F4" s="146"/>
      <c r="G4" s="146"/>
      <c r="H4" s="146"/>
      <c r="I4" s="146"/>
      <c r="J4" s="146"/>
    </row>
    <row r="5" spans="1:12" x14ac:dyDescent="0.25">
      <c r="D5" s="146"/>
      <c r="E5" s="146"/>
      <c r="F5" s="146"/>
      <c r="G5" s="146"/>
      <c r="H5" s="146"/>
      <c r="I5" s="146"/>
      <c r="J5" s="146"/>
    </row>
    <row r="7" spans="1:12" x14ac:dyDescent="0.25">
      <c r="A7" s="69"/>
      <c r="B7" s="69"/>
      <c r="C7" s="69"/>
      <c r="D7" s="69"/>
      <c r="E7" s="69"/>
      <c r="F7" s="69"/>
      <c r="G7" s="69"/>
      <c r="H7" s="69"/>
      <c r="I7" s="69"/>
    </row>
    <row r="8" spans="1:12" x14ac:dyDescent="0.25">
      <c r="A8" s="69"/>
      <c r="B8" s="140" t="s">
        <v>195</v>
      </c>
      <c r="C8" s="140"/>
      <c r="D8" s="69"/>
      <c r="E8" s="53" t="s">
        <v>166</v>
      </c>
      <c r="F8" s="149" t="s">
        <v>287</v>
      </c>
      <c r="G8" s="149"/>
      <c r="H8" s="102" t="s">
        <v>166</v>
      </c>
      <c r="I8" s="149" t="s">
        <v>287</v>
      </c>
      <c r="J8" s="149"/>
    </row>
    <row r="9" spans="1:12" x14ac:dyDescent="0.25">
      <c r="A9" s="69"/>
      <c r="B9" s="144" t="s">
        <v>175</v>
      </c>
      <c r="C9" s="144"/>
      <c r="D9" s="145"/>
      <c r="E9" s="74">
        <v>0.23499999999999999</v>
      </c>
      <c r="F9" s="147">
        <f>E9*TotRev</f>
        <v>24353.458643765774</v>
      </c>
      <c r="G9" s="148"/>
      <c r="H9" s="74">
        <v>0.21</v>
      </c>
      <c r="I9" s="147">
        <f>H9*TotRev</f>
        <v>21762.665171024735</v>
      </c>
      <c r="J9" s="148"/>
      <c r="K9" s="10">
        <f>H9-E9</f>
        <v>-2.4999999999999994E-2</v>
      </c>
    </row>
    <row r="10" spans="1:12" x14ac:dyDescent="0.25">
      <c r="A10" s="69"/>
      <c r="B10" s="144" t="s">
        <v>178</v>
      </c>
      <c r="C10" s="144"/>
      <c r="D10" s="145"/>
      <c r="E10" s="64">
        <v>0.155</v>
      </c>
      <c r="F10" s="137">
        <f t="shared" ref="F10:F30" si="0">E10*TotRev</f>
        <v>16062.919530994448</v>
      </c>
      <c r="G10" s="138"/>
      <c r="H10" s="64">
        <v>0.15</v>
      </c>
      <c r="I10" s="137">
        <f t="shared" ref="I10:I31" si="1">H10*TotRev</f>
        <v>15544.760836446239</v>
      </c>
      <c r="J10" s="138"/>
      <c r="K10" s="10">
        <f t="shared" ref="K10:K31" si="2">H10-E10</f>
        <v>-5.0000000000000044E-3</v>
      </c>
    </row>
    <row r="11" spans="1:12" x14ac:dyDescent="0.25">
      <c r="A11" s="69"/>
      <c r="B11" s="144" t="s">
        <v>194</v>
      </c>
      <c r="C11" s="144"/>
      <c r="D11" s="145"/>
      <c r="E11" s="64">
        <v>0.14399999999999999</v>
      </c>
      <c r="F11" s="137">
        <f t="shared" si="0"/>
        <v>14922.970402988389</v>
      </c>
      <c r="G11" s="138"/>
      <c r="H11" s="64">
        <v>0.14399999999999999</v>
      </c>
      <c r="I11" s="137">
        <f t="shared" si="1"/>
        <v>14922.970402988389</v>
      </c>
      <c r="J11" s="138"/>
      <c r="K11" s="10">
        <f t="shared" si="2"/>
        <v>0</v>
      </c>
    </row>
    <row r="12" spans="1:12" x14ac:dyDescent="0.25">
      <c r="A12" s="69"/>
      <c r="B12" s="144" t="s">
        <v>176</v>
      </c>
      <c r="C12" s="144"/>
      <c r="D12" s="145"/>
      <c r="E12" s="64">
        <v>0.127</v>
      </c>
      <c r="F12" s="137">
        <f t="shared" si="0"/>
        <v>13161.230841524484</v>
      </c>
      <c r="G12" s="138"/>
      <c r="H12" s="64">
        <v>0.1</v>
      </c>
      <c r="I12" s="137">
        <f t="shared" si="1"/>
        <v>10363.173890964161</v>
      </c>
      <c r="J12" s="138"/>
      <c r="K12" s="10">
        <f t="shared" si="2"/>
        <v>-2.6999999999999996E-2</v>
      </c>
    </row>
    <row r="13" spans="1:12" x14ac:dyDescent="0.25">
      <c r="A13" s="69"/>
      <c r="B13" s="144" t="s">
        <v>179</v>
      </c>
      <c r="C13" s="144"/>
      <c r="D13" s="145"/>
      <c r="E13" s="64">
        <v>0.10299999999999999</v>
      </c>
      <c r="F13" s="137">
        <f t="shared" si="0"/>
        <v>10674.069107693083</v>
      </c>
      <c r="G13" s="138"/>
      <c r="H13" s="64">
        <v>0.113</v>
      </c>
      <c r="I13" s="137">
        <f t="shared" si="1"/>
        <v>11710.386496789501</v>
      </c>
      <c r="J13" s="138"/>
      <c r="K13" s="10">
        <f t="shared" si="2"/>
        <v>1.0000000000000009E-2</v>
      </c>
      <c r="L13">
        <v>2</v>
      </c>
    </row>
    <row r="14" spans="1:12" x14ac:dyDescent="0.25">
      <c r="A14" s="69"/>
      <c r="B14" s="144" t="s">
        <v>180</v>
      </c>
      <c r="C14" s="144"/>
      <c r="D14" s="145"/>
      <c r="E14" s="64">
        <v>6.3E-2</v>
      </c>
      <c r="F14" s="137">
        <f t="shared" si="0"/>
        <v>6528.7995513074211</v>
      </c>
      <c r="G14" s="138"/>
      <c r="H14" s="64">
        <v>6.3E-2</v>
      </c>
      <c r="I14" s="137">
        <f t="shared" si="1"/>
        <v>6528.7995513074211</v>
      </c>
      <c r="J14" s="138"/>
      <c r="K14" s="10">
        <f t="shared" si="2"/>
        <v>0</v>
      </c>
    </row>
    <row r="15" spans="1:12" x14ac:dyDescent="0.25">
      <c r="A15" s="69"/>
      <c r="B15" s="144" t="s">
        <v>177</v>
      </c>
      <c r="C15" s="144"/>
      <c r="D15" s="145"/>
      <c r="E15" s="64">
        <v>4.8000000000000001E-2</v>
      </c>
      <c r="F15" s="137">
        <f t="shared" si="0"/>
        <v>4974.3234676627972</v>
      </c>
      <c r="G15" s="138"/>
      <c r="H15" s="64">
        <v>5.2999999999999999E-2</v>
      </c>
      <c r="I15" s="137">
        <f t="shared" si="1"/>
        <v>5492.4821622110048</v>
      </c>
      <c r="J15" s="138"/>
      <c r="K15" s="10">
        <f t="shared" si="2"/>
        <v>4.9999999999999975E-3</v>
      </c>
      <c r="L15">
        <v>2</v>
      </c>
    </row>
    <row r="16" spans="1:12" x14ac:dyDescent="0.25">
      <c r="A16" s="69"/>
      <c r="B16" s="144" t="s">
        <v>181</v>
      </c>
      <c r="C16" s="144"/>
      <c r="D16" s="145"/>
      <c r="E16" s="64">
        <v>0.04</v>
      </c>
      <c r="F16" s="137">
        <f t="shared" si="0"/>
        <v>4145.2695563856641</v>
      </c>
      <c r="G16" s="138"/>
      <c r="H16" s="64">
        <v>0.04</v>
      </c>
      <c r="I16" s="137">
        <f t="shared" si="1"/>
        <v>4145.2695563856641</v>
      </c>
      <c r="J16" s="138"/>
      <c r="K16" s="10">
        <f t="shared" si="2"/>
        <v>0</v>
      </c>
    </row>
    <row r="17" spans="1:12" x14ac:dyDescent="0.25">
      <c r="A17" s="69"/>
      <c r="B17" s="144" t="s">
        <v>182</v>
      </c>
      <c r="C17" s="144"/>
      <c r="D17" s="145"/>
      <c r="E17" s="64">
        <v>2.5999999999999999E-2</v>
      </c>
      <c r="F17" s="137">
        <f t="shared" si="0"/>
        <v>2694.4252116506814</v>
      </c>
      <c r="G17" s="138"/>
      <c r="H17" s="64">
        <v>3.5999999999999997E-2</v>
      </c>
      <c r="I17" s="137">
        <f t="shared" si="1"/>
        <v>3730.7426007470972</v>
      </c>
      <c r="J17" s="138"/>
      <c r="K17" s="10">
        <f t="shared" si="2"/>
        <v>9.9999999999999985E-3</v>
      </c>
      <c r="L17">
        <v>1</v>
      </c>
    </row>
    <row r="18" spans="1:12" x14ac:dyDescent="0.25">
      <c r="A18" s="69"/>
      <c r="B18" s="144" t="s">
        <v>183</v>
      </c>
      <c r="C18" s="144"/>
      <c r="D18" s="145"/>
      <c r="E18" s="64">
        <v>2.1000000000000001E-2</v>
      </c>
      <c r="F18" s="137">
        <f t="shared" si="0"/>
        <v>2176.2665171024737</v>
      </c>
      <c r="G18" s="138"/>
      <c r="H18" s="64">
        <v>3.5000000000000003E-2</v>
      </c>
      <c r="I18" s="137">
        <f t="shared" si="1"/>
        <v>3627.1108618374565</v>
      </c>
      <c r="J18" s="138"/>
      <c r="K18" s="10">
        <f t="shared" si="2"/>
        <v>1.4000000000000002E-2</v>
      </c>
      <c r="L18">
        <v>2</v>
      </c>
    </row>
    <row r="19" spans="1:12" x14ac:dyDescent="0.25">
      <c r="A19" s="69"/>
      <c r="B19" s="144" t="s">
        <v>186</v>
      </c>
      <c r="C19" s="144"/>
      <c r="D19" s="145"/>
      <c r="E19" s="64">
        <v>1.7000000000000001E-2</v>
      </c>
      <c r="F19" s="137">
        <f t="shared" si="0"/>
        <v>1761.7395614639074</v>
      </c>
      <c r="G19" s="138"/>
      <c r="H19" s="64">
        <v>0.03</v>
      </c>
      <c r="I19" s="137">
        <f t="shared" si="1"/>
        <v>3108.9521672892479</v>
      </c>
      <c r="J19" s="138"/>
      <c r="K19" s="10">
        <f t="shared" si="2"/>
        <v>1.2999999999999998E-2</v>
      </c>
      <c r="L19">
        <v>4</v>
      </c>
    </row>
    <row r="20" spans="1:12" x14ac:dyDescent="0.25">
      <c r="A20" s="69"/>
      <c r="B20" s="144" t="s">
        <v>184</v>
      </c>
      <c r="C20" s="144"/>
      <c r="D20" s="145"/>
      <c r="E20" s="64">
        <v>1.4999999999999999E-2</v>
      </c>
      <c r="F20" s="137">
        <f t="shared" si="0"/>
        <v>1554.4760836446239</v>
      </c>
      <c r="G20" s="138"/>
      <c r="H20" s="64">
        <v>1.4999999999999999E-2</v>
      </c>
      <c r="I20" s="137">
        <f t="shared" si="1"/>
        <v>1554.4760836446239</v>
      </c>
      <c r="J20" s="138"/>
      <c r="K20" s="10">
        <f t="shared" si="2"/>
        <v>0</v>
      </c>
    </row>
    <row r="21" spans="1:12" x14ac:dyDescent="0.25">
      <c r="A21" s="69"/>
      <c r="B21" s="144" t="s">
        <v>185</v>
      </c>
      <c r="C21" s="144"/>
      <c r="D21" s="145"/>
      <c r="E21" s="64">
        <v>1.2999999999999999E-2</v>
      </c>
      <c r="F21" s="137">
        <f t="shared" si="0"/>
        <v>1347.2126058253407</v>
      </c>
      <c r="G21" s="138"/>
      <c r="H21" s="64">
        <v>1.7999999999999999E-2</v>
      </c>
      <c r="I21" s="137">
        <f t="shared" si="1"/>
        <v>1865.3713003735486</v>
      </c>
      <c r="J21" s="138"/>
      <c r="K21" s="10">
        <f t="shared" si="2"/>
        <v>4.9999999999999992E-3</v>
      </c>
      <c r="L21">
        <v>5</v>
      </c>
    </row>
    <row r="22" spans="1:12" x14ac:dyDescent="0.25">
      <c r="A22" s="69"/>
      <c r="B22" s="144" t="s">
        <v>187</v>
      </c>
      <c r="C22" s="144"/>
      <c r="D22" s="145"/>
      <c r="E22" s="64">
        <v>1.0999999999999999E-2</v>
      </c>
      <c r="F22" s="137">
        <f t="shared" si="0"/>
        <v>1139.9491280060574</v>
      </c>
      <c r="G22" s="138"/>
      <c r="H22" s="64">
        <v>1.0999999999999999E-2</v>
      </c>
      <c r="I22" s="137">
        <f t="shared" si="1"/>
        <v>1139.9491280060574</v>
      </c>
      <c r="J22" s="138"/>
      <c r="K22" s="10">
        <f t="shared" si="2"/>
        <v>0</v>
      </c>
    </row>
    <row r="23" spans="1:12" x14ac:dyDescent="0.25">
      <c r="A23" s="69"/>
      <c r="B23" s="144" t="s">
        <v>190</v>
      </c>
      <c r="C23" s="144"/>
      <c r="D23" s="145"/>
      <c r="E23" s="64">
        <v>8.9999999999999993E-3</v>
      </c>
      <c r="F23" s="137">
        <f t="shared" si="0"/>
        <v>932.6856501867743</v>
      </c>
      <c r="G23" s="138"/>
      <c r="H23" s="64">
        <v>8.9999999999999993E-3</v>
      </c>
      <c r="I23" s="137">
        <f t="shared" si="1"/>
        <v>932.6856501867743</v>
      </c>
      <c r="J23" s="138"/>
      <c r="K23" s="10">
        <f t="shared" si="2"/>
        <v>0</v>
      </c>
    </row>
    <row r="24" spans="1:12" x14ac:dyDescent="0.25">
      <c r="A24" s="69"/>
      <c r="B24" s="144" t="s">
        <v>188</v>
      </c>
      <c r="C24" s="144"/>
      <c r="D24" s="145"/>
      <c r="E24" s="64">
        <v>8.0000000000000002E-3</v>
      </c>
      <c r="F24" s="137">
        <f t="shared" si="0"/>
        <v>829.05391127713278</v>
      </c>
      <c r="G24" s="138"/>
      <c r="H24" s="64">
        <v>8.0000000000000002E-3</v>
      </c>
      <c r="I24" s="137">
        <f t="shared" si="1"/>
        <v>829.05391127713278</v>
      </c>
      <c r="J24" s="138"/>
      <c r="K24" s="10">
        <f t="shared" si="2"/>
        <v>0</v>
      </c>
    </row>
    <row r="25" spans="1:12" x14ac:dyDescent="0.25">
      <c r="A25" s="69"/>
      <c r="B25" s="144" t="s">
        <v>189</v>
      </c>
      <c r="C25" s="144"/>
      <c r="D25" s="145"/>
      <c r="E25" s="64">
        <v>8.0000000000000002E-3</v>
      </c>
      <c r="F25" s="137">
        <f t="shared" si="0"/>
        <v>829.05391127713278</v>
      </c>
      <c r="G25" s="138"/>
      <c r="H25" s="64">
        <v>8.0000000000000002E-3</v>
      </c>
      <c r="I25" s="137">
        <f t="shared" si="1"/>
        <v>829.05391127713278</v>
      </c>
      <c r="J25" s="138"/>
      <c r="K25" s="10">
        <f t="shared" si="2"/>
        <v>0</v>
      </c>
    </row>
    <row r="26" spans="1:12" x14ac:dyDescent="0.25">
      <c r="A26" s="69"/>
      <c r="B26" s="144" t="s">
        <v>164</v>
      </c>
      <c r="C26" s="144"/>
      <c r="D26" s="145"/>
      <c r="E26" s="64">
        <v>8.0000000000000002E-3</v>
      </c>
      <c r="F26" s="137">
        <f t="shared" si="0"/>
        <v>829.05391127713278</v>
      </c>
      <c r="G26" s="138"/>
      <c r="H26" s="64">
        <v>8.0000000000000002E-3</v>
      </c>
      <c r="I26" s="137">
        <f t="shared" si="1"/>
        <v>829.05391127713278</v>
      </c>
      <c r="J26" s="138"/>
      <c r="K26" s="10">
        <f t="shared" si="2"/>
        <v>0</v>
      </c>
    </row>
    <row r="27" spans="1:12" x14ac:dyDescent="0.25">
      <c r="A27" s="69"/>
      <c r="B27" s="144" t="s">
        <v>191</v>
      </c>
      <c r="C27" s="144"/>
      <c r="D27" s="145"/>
      <c r="E27" s="64">
        <v>3.0000000000000001E-3</v>
      </c>
      <c r="F27" s="137">
        <f t="shared" si="0"/>
        <v>310.89521672892482</v>
      </c>
      <c r="G27" s="138"/>
      <c r="H27" s="64">
        <v>3.0000000000000001E-3</v>
      </c>
      <c r="I27" s="137">
        <f t="shared" si="1"/>
        <v>310.89521672892482</v>
      </c>
      <c r="J27" s="138"/>
      <c r="K27" s="10">
        <f t="shared" si="2"/>
        <v>0</v>
      </c>
    </row>
    <row r="28" spans="1:12" x14ac:dyDescent="0.25">
      <c r="A28" s="69"/>
      <c r="B28" s="144" t="s">
        <v>193</v>
      </c>
      <c r="C28" s="144"/>
      <c r="D28" s="145"/>
      <c r="E28" s="64">
        <v>2E-3</v>
      </c>
      <c r="F28" s="137">
        <f t="shared" si="0"/>
        <v>207.2634778192832</v>
      </c>
      <c r="G28" s="138"/>
      <c r="H28" s="64">
        <v>2E-3</v>
      </c>
      <c r="I28" s="137">
        <f t="shared" si="1"/>
        <v>207.2634778192832</v>
      </c>
      <c r="J28" s="138"/>
      <c r="K28" s="10">
        <f t="shared" si="2"/>
        <v>0</v>
      </c>
    </row>
    <row r="29" spans="1:12" x14ac:dyDescent="0.25">
      <c r="A29" s="69"/>
      <c r="B29" s="144"/>
      <c r="C29" s="144"/>
      <c r="D29" s="145"/>
      <c r="E29" s="64">
        <v>0</v>
      </c>
      <c r="F29" s="137">
        <f t="shared" si="0"/>
        <v>0</v>
      </c>
      <c r="G29" s="138"/>
      <c r="H29" s="64">
        <v>0</v>
      </c>
      <c r="I29" s="137">
        <f t="shared" si="1"/>
        <v>0</v>
      </c>
      <c r="J29" s="138"/>
      <c r="K29" s="10">
        <f t="shared" si="2"/>
        <v>0</v>
      </c>
      <c r="L29">
        <v>2</v>
      </c>
    </row>
    <row r="30" spans="1:12" x14ac:dyDescent="0.25">
      <c r="A30" s="69"/>
      <c r="B30" s="144"/>
      <c r="C30" s="144"/>
      <c r="D30" s="145"/>
      <c r="E30" s="64">
        <v>0</v>
      </c>
      <c r="F30" s="137">
        <f t="shared" si="0"/>
        <v>0</v>
      </c>
      <c r="G30" s="138"/>
      <c r="H30" s="64">
        <v>0</v>
      </c>
      <c r="I30" s="137">
        <f t="shared" si="1"/>
        <v>0</v>
      </c>
      <c r="J30" s="138"/>
      <c r="K30" s="10">
        <f t="shared" si="2"/>
        <v>0</v>
      </c>
    </row>
    <row r="31" spans="1:12" x14ac:dyDescent="0.25">
      <c r="A31" s="69"/>
      <c r="B31" s="150" t="s">
        <v>192</v>
      </c>
      <c r="C31" s="150"/>
      <c r="D31" s="151"/>
      <c r="E31" s="64">
        <v>-0.02</v>
      </c>
      <c r="F31" s="137">
        <f>E31*TotRev</f>
        <v>-2072.6347781928321</v>
      </c>
      <c r="G31" s="138"/>
      <c r="H31" s="64">
        <v>-0.02</v>
      </c>
      <c r="I31" s="137">
        <f t="shared" si="1"/>
        <v>-2072.6347781928321</v>
      </c>
      <c r="J31" s="138"/>
      <c r="K31" s="10">
        <f t="shared" si="2"/>
        <v>0</v>
      </c>
    </row>
    <row r="32" spans="1:12" x14ac:dyDescent="0.25">
      <c r="A32" s="69"/>
      <c r="B32" s="69"/>
      <c r="C32" s="69"/>
      <c r="D32" s="70"/>
      <c r="E32" s="70"/>
      <c r="F32" s="71"/>
      <c r="G32" s="72"/>
      <c r="H32" s="69"/>
      <c r="I32" s="69"/>
    </row>
    <row r="33" spans="1:13" ht="15.75" x14ac:dyDescent="0.25">
      <c r="A33" s="69"/>
      <c r="B33" s="69"/>
      <c r="C33" s="140" t="s">
        <v>172</v>
      </c>
      <c r="D33" s="140"/>
      <c r="E33" s="65">
        <f>SUM(E9:E23)</f>
        <v>1.0269999999999999</v>
      </c>
      <c r="F33" s="139">
        <f>SUM(F9:F30)</f>
        <v>109435.11628858154</v>
      </c>
      <c r="G33" s="139"/>
      <c r="H33" t="s">
        <v>196</v>
      </c>
      <c r="I33" s="69"/>
      <c r="L33" t="s">
        <v>280</v>
      </c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L34" s="21">
        <f>F33-SUM(I9:J31)</f>
        <v>2072.6347781928343</v>
      </c>
      <c r="M34" s="21">
        <f>SUM(I9:J31)</f>
        <v>107362.48151038871</v>
      </c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3" x14ac:dyDescent="0.25">
      <c r="A36" s="69"/>
      <c r="B36" s="140" t="s">
        <v>165</v>
      </c>
      <c r="C36" s="140"/>
      <c r="D36" s="73"/>
      <c r="E36" s="72"/>
      <c r="F36" s="69"/>
      <c r="G36" s="69"/>
      <c r="H36" s="69"/>
      <c r="I36" s="69"/>
    </row>
    <row r="37" spans="1:13" x14ac:dyDescent="0.25">
      <c r="A37" s="69"/>
      <c r="B37" s="144" t="s">
        <v>169</v>
      </c>
      <c r="C37" s="144"/>
      <c r="D37" s="64">
        <v>0.05</v>
      </c>
      <c r="E37" s="67">
        <f>D37*DATA!M133</f>
        <v>7714.569999999997</v>
      </c>
      <c r="F37" s="69"/>
      <c r="G37" s="69"/>
      <c r="H37" s="69"/>
      <c r="I37" s="69"/>
    </row>
    <row r="38" spans="1:13" x14ac:dyDescent="0.25">
      <c r="A38" s="69"/>
      <c r="B38" s="144" t="s">
        <v>170</v>
      </c>
      <c r="C38" s="144"/>
      <c r="D38" s="64">
        <v>7.0999999999999994E-2</v>
      </c>
      <c r="E38" s="67">
        <f>D38*DATA!N133</f>
        <v>58223.123999999996</v>
      </c>
      <c r="F38" s="69"/>
      <c r="G38" s="69"/>
      <c r="H38" s="69"/>
      <c r="I38" s="69"/>
      <c r="L38" t="s">
        <v>299</v>
      </c>
    </row>
    <row r="39" spans="1:13" x14ac:dyDescent="0.25">
      <c r="A39" s="69"/>
      <c r="B39" s="144" t="s">
        <v>171</v>
      </c>
      <c r="C39" s="144"/>
      <c r="D39" s="64">
        <v>9.6000000000000002E-2</v>
      </c>
      <c r="E39" s="67">
        <f>D39*DATA!O133</f>
        <v>26709.984</v>
      </c>
      <c r="F39" s="69"/>
      <c r="G39" s="69"/>
      <c r="H39" s="69"/>
      <c r="I39" s="69"/>
    </row>
    <row r="40" spans="1:13" x14ac:dyDescent="0.25">
      <c r="A40" s="69"/>
      <c r="B40" s="144" t="s">
        <v>168</v>
      </c>
      <c r="C40" s="144"/>
      <c r="D40" s="66">
        <v>7.2999999999999995E-2</v>
      </c>
      <c r="E40" s="68">
        <f>D40*DATA!C37</f>
        <v>10984.060909641617</v>
      </c>
      <c r="F40" s="69"/>
      <c r="G40" s="69"/>
      <c r="H40" s="69"/>
      <c r="I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</row>
    <row r="42" spans="1:13" ht="15.75" x14ac:dyDescent="0.25">
      <c r="A42" s="69"/>
      <c r="B42" s="140" t="s">
        <v>172</v>
      </c>
      <c r="C42" s="140"/>
      <c r="D42" s="143">
        <f>SUM(E37:E40)</f>
        <v>103631.7389096416</v>
      </c>
      <c r="E42" s="143"/>
      <c r="F42" t="s">
        <v>196</v>
      </c>
      <c r="G42" s="69"/>
      <c r="H42" s="69"/>
      <c r="I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</row>
    <row r="45" spans="1:13" ht="18.75" x14ac:dyDescent="0.3">
      <c r="A45" s="69"/>
      <c r="B45" s="140" t="s">
        <v>173</v>
      </c>
      <c r="C45" s="140"/>
      <c r="D45" s="141">
        <f>TotRev-F33</f>
        <v>-5803.377378939942</v>
      </c>
      <c r="E45" s="141"/>
      <c r="F45" t="s">
        <v>196</v>
      </c>
      <c r="G45" s="69"/>
      <c r="H45" s="69"/>
      <c r="I45" s="69"/>
    </row>
    <row r="46" spans="1:13" ht="21" x14ac:dyDescent="0.35">
      <c r="A46" s="69"/>
      <c r="B46" s="134" t="s">
        <v>174</v>
      </c>
      <c r="C46" s="134"/>
      <c r="D46" s="142">
        <v>16304</v>
      </c>
      <c r="E46" s="142"/>
      <c r="F46" t="s">
        <v>196</v>
      </c>
      <c r="G46" s="69"/>
      <c r="H46" s="69"/>
      <c r="I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</row>
  </sheetData>
  <sortState ref="B9:G31">
    <sortCondition descending="1" ref="E9:E31"/>
  </sortState>
  <mergeCells count="86">
    <mergeCell ref="B30:D30"/>
    <mergeCell ref="F30:G30"/>
    <mergeCell ref="B31:D31"/>
    <mergeCell ref="F31:G31"/>
    <mergeCell ref="B28:D28"/>
    <mergeCell ref="F28:G28"/>
    <mergeCell ref="B29:D29"/>
    <mergeCell ref="F29:G29"/>
    <mergeCell ref="B26:D26"/>
    <mergeCell ref="F26:G26"/>
    <mergeCell ref="B27:D27"/>
    <mergeCell ref="F27:G27"/>
    <mergeCell ref="B24:D24"/>
    <mergeCell ref="F24:G24"/>
    <mergeCell ref="B25:D25"/>
    <mergeCell ref="F25:G25"/>
    <mergeCell ref="F23:G23"/>
    <mergeCell ref="F22:G22"/>
    <mergeCell ref="F21:G21"/>
    <mergeCell ref="F20:G20"/>
    <mergeCell ref="F19:G19"/>
    <mergeCell ref="B18:D18"/>
    <mergeCell ref="F14:G14"/>
    <mergeCell ref="F13:G13"/>
    <mergeCell ref="F12:G12"/>
    <mergeCell ref="F11:G11"/>
    <mergeCell ref="F18:G18"/>
    <mergeCell ref="F17:G17"/>
    <mergeCell ref="F16:G16"/>
    <mergeCell ref="F15:G15"/>
    <mergeCell ref="D2:J5"/>
    <mergeCell ref="B17:D17"/>
    <mergeCell ref="B16:D16"/>
    <mergeCell ref="B15:D15"/>
    <mergeCell ref="B14:D14"/>
    <mergeCell ref="B13:D13"/>
    <mergeCell ref="B12:D12"/>
    <mergeCell ref="B11:D11"/>
    <mergeCell ref="B10:D10"/>
    <mergeCell ref="B9:D9"/>
    <mergeCell ref="F10:G10"/>
    <mergeCell ref="F9:G9"/>
    <mergeCell ref="F8:G8"/>
    <mergeCell ref="B8:C8"/>
    <mergeCell ref="I8:J8"/>
    <mergeCell ref="I9:J9"/>
    <mergeCell ref="B23:D23"/>
    <mergeCell ref="B22:D22"/>
    <mergeCell ref="B21:D21"/>
    <mergeCell ref="B20:D20"/>
    <mergeCell ref="B19:D19"/>
    <mergeCell ref="F33:G33"/>
    <mergeCell ref="B45:C45"/>
    <mergeCell ref="D45:E45"/>
    <mergeCell ref="B46:C46"/>
    <mergeCell ref="D46:E46"/>
    <mergeCell ref="B42:C42"/>
    <mergeCell ref="D42:E42"/>
    <mergeCell ref="C33:D33"/>
    <mergeCell ref="B36:C36"/>
    <mergeCell ref="B37:C37"/>
    <mergeCell ref="B40:C40"/>
    <mergeCell ref="B38:C38"/>
    <mergeCell ref="B39:C3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30:J30"/>
    <mergeCell ref="I31:J31"/>
    <mergeCell ref="I25:J25"/>
    <mergeCell ref="I26:J26"/>
    <mergeCell ref="I27:J27"/>
    <mergeCell ref="I28:J28"/>
    <mergeCell ref="I29:J29"/>
  </mergeCells>
  <conditionalFormatting sqref="D45:E45">
    <cfRule type="expression" dxfId="5" priority="24">
      <formula>$D$45&lt;0</formula>
    </cfRule>
  </conditionalFormatting>
  <conditionalFormatting sqref="D46:E46">
    <cfRule type="expression" dxfId="4" priority="23">
      <formula>$D$46&lt;0</formula>
    </cfRule>
  </conditionalFormatting>
  <conditionalFormatting sqref="E33">
    <cfRule type="expression" dxfId="3" priority="22">
      <formula>$E$33&gt;1</formula>
    </cfRule>
  </conditionalFormatting>
  <conditionalFormatting sqref="E9">
    <cfRule type="dataBar" priority="21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{68262A81-54B2-4F7F-8971-2EB24D77D39A}</x14:id>
        </ext>
      </extLst>
    </cfRule>
  </conditionalFormatting>
  <conditionalFormatting sqref="E10:E31">
    <cfRule type="dataBar" priority="1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{FE9F828F-02E2-4C98-80C2-4F674696E123}</x14:id>
        </ext>
      </extLst>
    </cfRule>
  </conditionalFormatting>
  <conditionalFormatting sqref="F33:G33">
    <cfRule type="expression" dxfId="2" priority="57">
      <formula>$F$33&gt;$D$42</formula>
    </cfRule>
  </conditionalFormatting>
  <conditionalFormatting sqref="H18">
    <cfRule type="dataBar" priority="12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{96EB1366-95B2-42AC-909B-6BE98FDB541A}</x14:id>
        </ext>
      </extLst>
    </cfRule>
  </conditionalFormatting>
  <conditionalFormatting sqref="H9">
    <cfRule type="dataBar" priority="9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{B3695DDB-7FAD-4BFB-9B22-69FD2B30AA98}</x14:id>
        </ext>
      </extLst>
    </cfRule>
  </conditionalFormatting>
  <conditionalFormatting sqref="H10:H17">
    <cfRule type="dataBar" priority="8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{97AB06AC-B4BA-4D74-BCD0-2115D8ECB796}</x14:id>
        </ext>
      </extLst>
    </cfRule>
  </conditionalFormatting>
  <conditionalFormatting sqref="H19:H31">
    <cfRule type="dataBar" priority="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{465B3067-36FF-46BA-88EA-F2AF5B87118A}</x14:id>
        </ext>
      </extLst>
    </cfRule>
  </conditionalFormatting>
  <conditionalFormatting sqref="K10:K31">
    <cfRule type="expression" dxfId="1" priority="3">
      <formula>$K$9&lt;0</formula>
    </cfRule>
  </conditionalFormatting>
  <conditionalFormatting sqref="K10:K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62A81-54B2-4F7F-8971-2EB24D77D39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E9F828F-02E2-4C98-80C2-4F674696E123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E10:E31</xm:sqref>
        </x14:conditionalFormatting>
        <x14:conditionalFormatting xmlns:xm="http://schemas.microsoft.com/office/excel/2006/main">
          <x14:cfRule type="dataBar" id="{96EB1366-95B2-42AC-909B-6BE98FDB541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B3695DDB-7FAD-4BFB-9B22-69FD2B30AA98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7AB06AC-B4BA-4D74-BCD0-2115D8ECB796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H10:H17</xm:sqref>
        </x14:conditionalFormatting>
        <x14:conditionalFormatting xmlns:xm="http://schemas.microsoft.com/office/excel/2006/main">
          <x14:cfRule type="dataBar" id="{465B3067-36FF-46BA-88EA-F2AF5B87118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H19:H31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4"/>
  <sheetViews>
    <sheetView workbookViewId="0">
      <selection activeCell="G29" sqref="G29"/>
    </sheetView>
  </sheetViews>
  <sheetFormatPr defaultRowHeight="15" x14ac:dyDescent="0.25"/>
  <sheetData>
    <row r="6" spans="2:4" x14ac:dyDescent="0.25">
      <c r="B6" s="140" t="s">
        <v>297</v>
      </c>
      <c r="C6" s="140"/>
    </row>
    <row r="7" spans="2:4" x14ac:dyDescent="0.25">
      <c r="B7" s="126" t="s">
        <v>298</v>
      </c>
      <c r="C7" s="126"/>
      <c r="D7">
        <v>344</v>
      </c>
    </row>
    <row r="8" spans="2:4" x14ac:dyDescent="0.25">
      <c r="B8" s="126"/>
      <c r="C8" s="126"/>
    </row>
    <row r="9" spans="2:4" x14ac:dyDescent="0.25">
      <c r="B9" s="126"/>
      <c r="C9" s="126"/>
    </row>
    <row r="10" spans="2:4" x14ac:dyDescent="0.25">
      <c r="B10" s="126"/>
      <c r="C10" s="126"/>
    </row>
    <row r="11" spans="2:4" x14ac:dyDescent="0.25">
      <c r="B11" s="126"/>
      <c r="C11" s="126"/>
    </row>
    <row r="12" spans="2:4" x14ac:dyDescent="0.25">
      <c r="B12" s="126"/>
      <c r="C12" s="126"/>
    </row>
    <row r="13" spans="2:4" x14ac:dyDescent="0.25">
      <c r="B13" s="126"/>
      <c r="C13" s="126"/>
    </row>
    <row r="14" spans="2:4" x14ac:dyDescent="0.25">
      <c r="B14" s="126"/>
      <c r="C14" s="126"/>
    </row>
    <row r="15" spans="2:4" x14ac:dyDescent="0.25">
      <c r="B15" s="126"/>
      <c r="C15" s="126"/>
    </row>
    <row r="16" spans="2:4" x14ac:dyDescent="0.25">
      <c r="B16" s="126"/>
      <c r="C16" s="126"/>
    </row>
    <row r="17" spans="2:3" x14ac:dyDescent="0.25">
      <c r="B17" s="126"/>
      <c r="C17" s="126"/>
    </row>
    <row r="18" spans="2:3" x14ac:dyDescent="0.25">
      <c r="B18" s="126"/>
      <c r="C18" s="126"/>
    </row>
    <row r="19" spans="2:3" x14ac:dyDescent="0.25">
      <c r="B19" s="126"/>
      <c r="C19" s="126"/>
    </row>
    <row r="20" spans="2:3" x14ac:dyDescent="0.25">
      <c r="B20" s="126"/>
      <c r="C20" s="126"/>
    </row>
    <row r="21" spans="2:3" x14ac:dyDescent="0.25">
      <c r="B21" s="126"/>
      <c r="C21" s="126"/>
    </row>
    <row r="22" spans="2:3" x14ac:dyDescent="0.25">
      <c r="B22" s="126"/>
      <c r="C22" s="126"/>
    </row>
    <row r="23" spans="2:3" x14ac:dyDescent="0.25">
      <c r="B23" s="126"/>
      <c r="C23" s="126"/>
    </row>
    <row r="24" spans="2:3" x14ac:dyDescent="0.25">
      <c r="B24" s="126"/>
      <c r="C24" s="126"/>
    </row>
  </sheetData>
  <mergeCells count="19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workbookViewId="0">
      <selection activeCell="L18" sqref="L18"/>
    </sheetView>
  </sheetViews>
  <sheetFormatPr defaultRowHeight="15" x14ac:dyDescent="0.25"/>
  <sheetData>
    <row r="3" spans="2:12" x14ac:dyDescent="0.25">
      <c r="B3" s="152" t="s">
        <v>290</v>
      </c>
      <c r="C3" s="152"/>
      <c r="D3" s="152"/>
      <c r="E3" s="152"/>
      <c r="F3" s="152"/>
      <c r="G3" s="152"/>
      <c r="H3" s="152"/>
      <c r="I3" s="152"/>
    </row>
    <row r="4" spans="2:12" x14ac:dyDescent="0.25">
      <c r="B4" s="152"/>
      <c r="C4" s="152"/>
      <c r="D4" s="152"/>
      <c r="E4" s="152"/>
      <c r="F4" s="152"/>
      <c r="G4" s="152"/>
      <c r="H4" s="152"/>
      <c r="I4" s="152"/>
    </row>
    <row r="5" spans="2:12" x14ac:dyDescent="0.25">
      <c r="B5" s="152"/>
      <c r="C5" s="152"/>
      <c r="D5" s="152"/>
      <c r="E5" s="152"/>
      <c r="F5" s="152"/>
      <c r="G5" s="152"/>
      <c r="H5" s="152"/>
      <c r="I5" s="152"/>
    </row>
    <row r="6" spans="2:12" x14ac:dyDescent="0.25">
      <c r="B6" s="152"/>
      <c r="C6" s="152"/>
      <c r="D6" s="152"/>
      <c r="E6" s="152"/>
      <c r="F6" s="152"/>
      <c r="G6" s="152"/>
      <c r="H6" s="152"/>
      <c r="I6" s="152"/>
    </row>
    <row r="8" spans="2:12" x14ac:dyDescent="0.25">
      <c r="B8" s="153"/>
      <c r="C8" s="153"/>
      <c r="D8" s="153"/>
      <c r="E8" s="153"/>
      <c r="F8" s="153"/>
      <c r="G8" s="153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2:12" x14ac:dyDescent="0.25">
      <c r="B12" s="153"/>
      <c r="C12" s="153"/>
      <c r="D12" s="153"/>
      <c r="E12" s="153"/>
      <c r="F12" s="153"/>
      <c r="G12" s="153"/>
    </row>
    <row r="15" spans="2:12" x14ac:dyDescent="0.25">
      <c r="H15" s="3"/>
    </row>
    <row r="16" spans="2:12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  <row r="28" spans="8:8" x14ac:dyDescent="0.25">
      <c r="H28" s="4"/>
    </row>
  </sheetData>
  <mergeCells count="3">
    <mergeCell ref="B3:I6"/>
    <mergeCell ref="B12:G12"/>
    <mergeCell ref="B8:G8"/>
  </mergeCells>
  <conditionalFormatting sqref="H28">
    <cfRule type="expression" dxfId="0" priority="1">
      <formula>$H$28&gt;88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25" workbookViewId="0">
      <selection activeCell="M46" sqref="M46"/>
    </sheetView>
  </sheetViews>
  <sheetFormatPr defaultRowHeight="15" x14ac:dyDescent="0.25"/>
  <cols>
    <col min="1" max="1" width="13.85546875" customWidth="1"/>
    <col min="2" max="2" width="9.140625" style="3"/>
    <col min="3" max="3" width="9" style="3" customWidth="1"/>
    <col min="9" max="9" width="12.7109375" bestFit="1" customWidth="1"/>
    <col min="10" max="11" width="13.85546875" bestFit="1" customWidth="1"/>
  </cols>
  <sheetData>
    <row r="2" spans="1:25" x14ac:dyDescent="0.25">
      <c r="A2" s="6" t="s">
        <v>11</v>
      </c>
      <c r="B2" s="5" t="s">
        <v>46</v>
      </c>
      <c r="C2" s="5" t="s">
        <v>39</v>
      </c>
      <c r="D2" s="5"/>
      <c r="O2" s="1"/>
      <c r="P2" s="23"/>
      <c r="Q2" s="10"/>
      <c r="R2" s="1"/>
      <c r="S2" s="1" t="s">
        <v>101</v>
      </c>
      <c r="T2" s="23">
        <v>17947</v>
      </c>
    </row>
    <row r="3" spans="1:25" x14ac:dyDescent="0.25">
      <c r="A3" t="s">
        <v>30</v>
      </c>
      <c r="B3" s="3">
        <v>8.4</v>
      </c>
      <c r="C3" s="3" t="s">
        <v>40</v>
      </c>
      <c r="O3" s="1"/>
      <c r="P3" s="23"/>
      <c r="Q3" s="10"/>
      <c r="R3" s="1"/>
      <c r="S3" s="1" t="s">
        <v>107</v>
      </c>
      <c r="T3" s="23">
        <v>1552</v>
      </c>
    </row>
    <row r="4" spans="1:25" x14ac:dyDescent="0.25">
      <c r="A4" t="s">
        <v>12</v>
      </c>
      <c r="B4" s="3">
        <v>10.3</v>
      </c>
      <c r="C4" s="3" t="s">
        <v>40</v>
      </c>
      <c r="P4" s="21"/>
      <c r="Q4" s="10"/>
      <c r="R4" s="1"/>
      <c r="S4" s="1" t="s">
        <v>108</v>
      </c>
      <c r="T4" s="23">
        <v>1376</v>
      </c>
      <c r="U4" s="21">
        <f>SUM(T2:T7)</f>
        <v>26517</v>
      </c>
    </row>
    <row r="5" spans="1:25" x14ac:dyDescent="0.25">
      <c r="A5" t="s">
        <v>31</v>
      </c>
      <c r="C5" s="3" t="s">
        <v>41</v>
      </c>
      <c r="P5" s="21"/>
      <c r="Q5" s="10"/>
      <c r="R5" s="1"/>
      <c r="S5" s="1" t="s">
        <v>110</v>
      </c>
      <c r="T5" s="23">
        <v>1223</v>
      </c>
    </row>
    <row r="6" spans="1:25" x14ac:dyDescent="0.25">
      <c r="A6" t="s">
        <v>28</v>
      </c>
      <c r="C6" s="3" t="s">
        <v>41</v>
      </c>
      <c r="P6" s="21"/>
      <c r="Q6" s="10"/>
      <c r="R6" s="1"/>
      <c r="S6" s="1" t="s">
        <v>104</v>
      </c>
      <c r="T6" s="23">
        <v>4123</v>
      </c>
      <c r="W6" s="1" t="s">
        <v>109</v>
      </c>
      <c r="X6" s="23">
        <v>1324</v>
      </c>
    </row>
    <row r="7" spans="1:25" x14ac:dyDescent="0.25">
      <c r="A7" t="s">
        <v>16</v>
      </c>
      <c r="B7" s="3">
        <v>11.2</v>
      </c>
      <c r="C7" s="3" t="s">
        <v>40</v>
      </c>
      <c r="O7" s="1" t="s">
        <v>106</v>
      </c>
      <c r="P7" s="23">
        <v>1772</v>
      </c>
      <c r="Q7" s="10"/>
      <c r="R7" s="1"/>
      <c r="S7" s="1" t="s">
        <v>125</v>
      </c>
      <c r="T7" s="23">
        <v>296</v>
      </c>
    </row>
    <row r="8" spans="1:25" x14ac:dyDescent="0.25">
      <c r="A8" t="s">
        <v>35</v>
      </c>
      <c r="B8" s="3">
        <v>13.4</v>
      </c>
      <c r="C8" s="3" t="s">
        <v>40</v>
      </c>
      <c r="O8" s="1" t="s">
        <v>115</v>
      </c>
      <c r="P8" s="23">
        <v>585</v>
      </c>
      <c r="Q8" s="10"/>
      <c r="R8" s="1"/>
      <c r="S8" s="1"/>
    </row>
    <row r="9" spans="1:25" x14ac:dyDescent="0.25">
      <c r="A9" t="s">
        <v>29</v>
      </c>
      <c r="C9" s="3" t="s">
        <v>42</v>
      </c>
      <c r="O9" s="1" t="s">
        <v>126</v>
      </c>
      <c r="P9" s="23">
        <v>293</v>
      </c>
      <c r="Q9" s="10"/>
      <c r="R9" s="1"/>
      <c r="S9" s="1"/>
    </row>
    <row r="10" spans="1:25" x14ac:dyDescent="0.25">
      <c r="A10" t="s">
        <v>32</v>
      </c>
      <c r="C10" s="3" t="s">
        <v>42</v>
      </c>
      <c r="O10" s="1" t="s">
        <v>131</v>
      </c>
      <c r="P10" s="23">
        <v>239</v>
      </c>
      <c r="Q10" s="21">
        <f>SUM(P7:P13)</f>
        <v>3520</v>
      </c>
      <c r="R10" s="1"/>
      <c r="S10" s="1" t="s">
        <v>102</v>
      </c>
      <c r="T10" s="23">
        <v>16220</v>
      </c>
    </row>
    <row r="11" spans="1:25" ht="15.75" x14ac:dyDescent="0.25">
      <c r="A11" t="s">
        <v>36</v>
      </c>
      <c r="C11" s="3" t="s">
        <v>41</v>
      </c>
      <c r="O11" s="24" t="s">
        <v>130</v>
      </c>
      <c r="P11" s="25">
        <v>240</v>
      </c>
      <c r="Q11" s="10"/>
      <c r="R11" s="1"/>
      <c r="S11" s="1" t="s">
        <v>113</v>
      </c>
      <c r="T11" s="23">
        <v>733</v>
      </c>
      <c r="U11" s="21">
        <f>SUM(T10:T11)</f>
        <v>16953</v>
      </c>
      <c r="W11" s="1" t="s">
        <v>114</v>
      </c>
      <c r="X11" s="23">
        <v>653</v>
      </c>
    </row>
    <row r="12" spans="1:25" ht="15.75" x14ac:dyDescent="0.25">
      <c r="A12" t="s">
        <v>23</v>
      </c>
      <c r="C12" s="3" t="s">
        <v>44</v>
      </c>
      <c r="O12" s="24" t="s">
        <v>133</v>
      </c>
      <c r="P12" s="25">
        <v>199</v>
      </c>
      <c r="Q12" s="20"/>
      <c r="R12" s="20"/>
      <c r="S12" s="20"/>
      <c r="W12" s="1" t="s">
        <v>119</v>
      </c>
      <c r="X12" s="23">
        <v>387</v>
      </c>
    </row>
    <row r="13" spans="1:25" ht="15.75" x14ac:dyDescent="0.25">
      <c r="A13" t="s">
        <v>37</v>
      </c>
      <c r="B13" s="3">
        <v>4.5999999999999999E-2</v>
      </c>
      <c r="C13" s="3" t="s">
        <v>43</v>
      </c>
      <c r="O13" s="1" t="s">
        <v>134</v>
      </c>
      <c r="P13" s="23">
        <v>192</v>
      </c>
      <c r="Q13" s="20"/>
      <c r="R13" s="20"/>
      <c r="S13" s="20"/>
      <c r="W13" s="1" t="s">
        <v>120</v>
      </c>
      <c r="X13" s="23">
        <v>345</v>
      </c>
      <c r="Y13" s="21">
        <f>SUM(X11:X14)</f>
        <v>1715</v>
      </c>
    </row>
    <row r="14" spans="1:25" x14ac:dyDescent="0.25">
      <c r="A14" t="s">
        <v>25</v>
      </c>
      <c r="P14" s="21"/>
      <c r="Q14" s="10"/>
      <c r="R14" s="1"/>
      <c r="S14" s="1" t="s">
        <v>103</v>
      </c>
      <c r="T14" s="23">
        <v>10982</v>
      </c>
      <c r="W14" s="1" t="s">
        <v>121</v>
      </c>
      <c r="X14" s="23">
        <v>330</v>
      </c>
    </row>
    <row r="15" spans="1:25" ht="15.75" x14ac:dyDescent="0.25">
      <c r="A15" t="s">
        <v>20</v>
      </c>
      <c r="C15" s="3" t="s">
        <v>41</v>
      </c>
      <c r="O15" s="24" t="s">
        <v>111</v>
      </c>
      <c r="P15" s="25">
        <v>1144</v>
      </c>
      <c r="Q15" s="10"/>
      <c r="R15" s="1"/>
      <c r="S15" s="24" t="s">
        <v>112</v>
      </c>
      <c r="T15" s="25">
        <v>858</v>
      </c>
      <c r="W15" s="1"/>
      <c r="X15" s="23"/>
    </row>
    <row r="16" spans="1:25" x14ac:dyDescent="0.25">
      <c r="A16" t="s">
        <v>17</v>
      </c>
      <c r="C16" s="3" t="s">
        <v>43</v>
      </c>
      <c r="P16" s="21"/>
      <c r="Q16" s="10"/>
      <c r="R16" s="1"/>
      <c r="S16" s="1" t="s">
        <v>117</v>
      </c>
      <c r="T16" s="23">
        <v>523</v>
      </c>
      <c r="W16" s="1"/>
      <c r="X16" s="23"/>
    </row>
    <row r="17" spans="1:27" ht="15.75" x14ac:dyDescent="0.25">
      <c r="A17" t="s">
        <v>14</v>
      </c>
      <c r="C17" s="3" t="s">
        <v>42</v>
      </c>
      <c r="P17" s="21"/>
      <c r="Q17" s="10"/>
      <c r="R17" s="1"/>
      <c r="S17" s="24" t="s">
        <v>118</v>
      </c>
      <c r="T17" s="25">
        <v>395</v>
      </c>
      <c r="U17" s="21">
        <f>SUM(T14:T21)</f>
        <v>13841</v>
      </c>
      <c r="W17" s="1"/>
      <c r="X17" s="23"/>
    </row>
    <row r="18" spans="1:27" x14ac:dyDescent="0.25">
      <c r="A18" t="s">
        <v>26</v>
      </c>
      <c r="P18" s="21"/>
      <c r="Q18" s="10"/>
      <c r="R18" s="1"/>
      <c r="S18" s="1" t="s">
        <v>123</v>
      </c>
      <c r="T18" s="23">
        <v>309</v>
      </c>
      <c r="W18" s="1"/>
      <c r="X18" s="23"/>
    </row>
    <row r="19" spans="1:27" ht="15.75" x14ac:dyDescent="0.25">
      <c r="A19" t="s">
        <v>15</v>
      </c>
      <c r="C19" s="3" t="s">
        <v>43</v>
      </c>
      <c r="P19" s="21"/>
      <c r="Q19" s="20"/>
      <c r="R19" s="20"/>
      <c r="S19" s="24" t="s">
        <v>127</v>
      </c>
      <c r="T19" s="25">
        <v>292</v>
      </c>
    </row>
    <row r="20" spans="1:27" x14ac:dyDescent="0.25">
      <c r="A20" t="s">
        <v>33</v>
      </c>
      <c r="C20" s="3" t="s">
        <v>41</v>
      </c>
      <c r="P20" s="21"/>
      <c r="Q20" s="10"/>
      <c r="R20" s="1"/>
      <c r="S20" s="1" t="s">
        <v>128</v>
      </c>
      <c r="T20" s="23">
        <v>291</v>
      </c>
      <c r="W20" s="1" t="s">
        <v>116</v>
      </c>
      <c r="X20" s="23">
        <v>490</v>
      </c>
    </row>
    <row r="21" spans="1:27" ht="15.75" x14ac:dyDescent="0.25">
      <c r="A21" t="s">
        <v>18</v>
      </c>
      <c r="C21" s="3" t="s">
        <v>41</v>
      </c>
      <c r="P21" s="21"/>
      <c r="Q21" s="10"/>
      <c r="R21" s="1"/>
      <c r="S21" s="1" t="s">
        <v>135</v>
      </c>
      <c r="T21" s="23">
        <v>191</v>
      </c>
      <c r="W21" s="24" t="s">
        <v>122</v>
      </c>
      <c r="X21" s="25">
        <v>312</v>
      </c>
      <c r="Y21" s="21">
        <f>SUM(X20:X22)</f>
        <v>1098</v>
      </c>
    </row>
    <row r="22" spans="1:27" x14ac:dyDescent="0.25">
      <c r="A22" t="s">
        <v>34</v>
      </c>
      <c r="B22" s="3">
        <v>14.6</v>
      </c>
      <c r="C22" s="3" t="s">
        <v>40</v>
      </c>
      <c r="P22" s="21"/>
      <c r="Q22" s="10"/>
      <c r="R22" s="1"/>
      <c r="S22" s="1"/>
      <c r="T22" s="23"/>
      <c r="W22" s="1" t="s">
        <v>124</v>
      </c>
      <c r="X22" s="23">
        <v>296</v>
      </c>
    </row>
    <row r="23" spans="1:27" ht="15.75" x14ac:dyDescent="0.25">
      <c r="A23" t="s">
        <v>21</v>
      </c>
      <c r="B23" s="3">
        <v>0.1</v>
      </c>
      <c r="C23" s="3" t="s">
        <v>40</v>
      </c>
      <c r="P23" s="21"/>
      <c r="Q23" s="20"/>
      <c r="R23" s="20"/>
      <c r="S23" s="1"/>
      <c r="T23" s="23"/>
    </row>
    <row r="24" spans="1:27" x14ac:dyDescent="0.25">
      <c r="A24" t="s">
        <v>13</v>
      </c>
      <c r="C24" s="3" t="s">
        <v>41</v>
      </c>
      <c r="P24" s="21"/>
      <c r="Q24" s="10"/>
      <c r="R24" s="1"/>
      <c r="S24" s="1"/>
    </row>
    <row r="25" spans="1:27" x14ac:dyDescent="0.25">
      <c r="A25" t="s">
        <v>22</v>
      </c>
      <c r="C25" s="3" t="s">
        <v>42</v>
      </c>
      <c r="P25" s="21"/>
      <c r="Q25" s="10"/>
      <c r="R25" s="1"/>
      <c r="S25" s="1" t="s">
        <v>105</v>
      </c>
      <c r="T25" s="23">
        <v>2090</v>
      </c>
    </row>
    <row r="26" spans="1:27" x14ac:dyDescent="0.25">
      <c r="A26" t="s">
        <v>38</v>
      </c>
      <c r="B26" s="3">
        <v>0.46800000000000003</v>
      </c>
      <c r="C26" s="3" t="s">
        <v>45</v>
      </c>
      <c r="P26" s="21"/>
      <c r="Q26" s="10"/>
      <c r="R26" s="1"/>
      <c r="S26" s="1" t="s">
        <v>129</v>
      </c>
      <c r="T26" s="23">
        <v>269</v>
      </c>
      <c r="U26" s="21">
        <f>SUM(T25:T27)</f>
        <v>2564</v>
      </c>
    </row>
    <row r="27" spans="1:27" x14ac:dyDescent="0.25">
      <c r="A27" t="s">
        <v>27</v>
      </c>
      <c r="P27" s="21"/>
      <c r="Q27" s="10"/>
      <c r="R27" s="1"/>
      <c r="S27" s="1" t="s">
        <v>132</v>
      </c>
      <c r="T27" s="23">
        <v>205</v>
      </c>
    </row>
    <row r="28" spans="1:27" ht="15.75" x14ac:dyDescent="0.25">
      <c r="A28" t="s">
        <v>19</v>
      </c>
      <c r="C28" s="3" t="s">
        <v>43</v>
      </c>
      <c r="P28" s="21"/>
      <c r="Q28" s="20"/>
      <c r="R28" s="20"/>
      <c r="S28" s="1"/>
    </row>
    <row r="29" spans="1:27" x14ac:dyDescent="0.25">
      <c r="A29" t="s">
        <v>24</v>
      </c>
      <c r="C29" s="3" t="s">
        <v>42</v>
      </c>
      <c r="P29" s="21"/>
      <c r="Q29" s="10"/>
      <c r="R29" s="1"/>
      <c r="S29" s="1"/>
    </row>
    <row r="30" spans="1:27" x14ac:dyDescent="0.25">
      <c r="P30" s="21"/>
      <c r="Q30" s="10"/>
      <c r="R30" s="1"/>
      <c r="S30" s="1"/>
    </row>
    <row r="31" spans="1:27" ht="15.75" x14ac:dyDescent="0.25">
      <c r="P31" s="21"/>
      <c r="Q31" s="20"/>
      <c r="R31" s="20"/>
      <c r="S31" s="20"/>
      <c r="W31" s="155" t="s">
        <v>48</v>
      </c>
      <c r="X31" s="155"/>
      <c r="Y31">
        <v>0.58750000000000002</v>
      </c>
      <c r="Z31" s="21">
        <v>26517</v>
      </c>
      <c r="AA31" s="21">
        <f t="shared" ref="AA31:AA36" si="0">Z31*Y31</f>
        <v>15578.737500000001</v>
      </c>
    </row>
    <row r="32" spans="1:27" x14ac:dyDescent="0.25">
      <c r="P32" s="21"/>
      <c r="Q32" s="10"/>
      <c r="R32" s="1"/>
      <c r="S32" s="1"/>
      <c r="W32" s="154" t="s">
        <v>49</v>
      </c>
      <c r="X32" s="154"/>
      <c r="Y32">
        <v>0.86159535129424203</v>
      </c>
      <c r="Z32" s="21">
        <v>13841</v>
      </c>
      <c r="AA32" s="21">
        <f t="shared" si="0"/>
        <v>11925.341257263604</v>
      </c>
    </row>
    <row r="33" spans="1:27" x14ac:dyDescent="0.25">
      <c r="P33" s="21"/>
      <c r="Q33" s="10"/>
      <c r="R33" s="1"/>
      <c r="S33" s="1"/>
      <c r="W33" s="159" t="s">
        <v>50</v>
      </c>
      <c r="X33" s="159"/>
      <c r="Y33">
        <v>0.93631931748933583</v>
      </c>
      <c r="Z33" s="21">
        <v>2564</v>
      </c>
      <c r="AA33" s="21">
        <f t="shared" si="0"/>
        <v>2400.7227300426571</v>
      </c>
    </row>
    <row r="34" spans="1:27" ht="15.75" x14ac:dyDescent="0.25">
      <c r="P34" s="21"/>
      <c r="Q34" s="20"/>
      <c r="R34" s="20"/>
      <c r="S34" s="1"/>
      <c r="W34" s="158" t="s">
        <v>51</v>
      </c>
      <c r="X34" s="158"/>
      <c r="Y34">
        <v>0.68110236220472442</v>
      </c>
      <c r="Z34" s="21">
        <v>16953</v>
      </c>
      <c r="AA34" s="21">
        <f t="shared" si="0"/>
        <v>11546.728346456694</v>
      </c>
    </row>
    <row r="35" spans="1:27" x14ac:dyDescent="0.25">
      <c r="O35" s="1"/>
      <c r="P35" s="23"/>
      <c r="Q35" s="10"/>
      <c r="R35" s="1"/>
      <c r="S35" s="1"/>
      <c r="W35" s="157" t="s">
        <v>52</v>
      </c>
      <c r="X35" s="157"/>
      <c r="Y35">
        <v>0.89855942376950781</v>
      </c>
      <c r="Z35" s="21">
        <v>1098</v>
      </c>
      <c r="AA35" s="21">
        <f t="shared" si="0"/>
        <v>986.61824729891953</v>
      </c>
    </row>
    <row r="36" spans="1:27" ht="15.75" x14ac:dyDescent="0.25">
      <c r="P36" s="21"/>
      <c r="Q36" s="10"/>
      <c r="R36" s="1"/>
      <c r="S36" s="20"/>
      <c r="W36" s="156" t="s">
        <v>53</v>
      </c>
      <c r="X36" s="156"/>
      <c r="Y36">
        <v>0.7371007371007372</v>
      </c>
      <c r="Z36" s="23">
        <v>1324</v>
      </c>
      <c r="AA36" s="21">
        <f t="shared" si="0"/>
        <v>975.92137592137601</v>
      </c>
    </row>
    <row r="37" spans="1:27" ht="15.75" x14ac:dyDescent="0.25">
      <c r="B37" s="61" t="s">
        <v>167</v>
      </c>
      <c r="C37" s="3">
        <v>150466.58780330984</v>
      </c>
      <c r="P37" s="21"/>
      <c r="Q37" s="20"/>
      <c r="R37" s="20"/>
      <c r="S37" s="1"/>
    </row>
    <row r="46" spans="1:27" x14ac:dyDescent="0.25">
      <c r="A46" s="63" t="str">
        <f>'World Union Members'!B4</f>
        <v>Democratic Bloc</v>
      </c>
      <c r="B46" s="63">
        <f>'World Union Members'!C4</f>
        <v>658</v>
      </c>
      <c r="F46" s="58">
        <v>0.22</v>
      </c>
      <c r="G46" s="58">
        <v>0.71</v>
      </c>
      <c r="H46" s="58">
        <v>7.0000000000000007E-2</v>
      </c>
      <c r="M46" s="21">
        <f>F46*B46*20</f>
        <v>2895.2</v>
      </c>
      <c r="N46" s="21">
        <f t="shared" ref="N46:N54" si="1">G46*B46*150</f>
        <v>70076.999999999985</v>
      </c>
      <c r="O46" s="21">
        <f>H46*B46*700</f>
        <v>32242</v>
      </c>
    </row>
    <row r="47" spans="1:27" x14ac:dyDescent="0.25">
      <c r="A47" s="63" t="str">
        <f>'World Union Members'!B5</f>
        <v>Pan-Asiatic Alliance</v>
      </c>
      <c r="B47" s="63">
        <f>'World Union Members'!C5</f>
        <v>3262</v>
      </c>
      <c r="F47" s="58">
        <v>0.57999999999999996</v>
      </c>
      <c r="G47" s="58">
        <v>0.41</v>
      </c>
      <c r="H47" s="58">
        <v>0.01</v>
      </c>
      <c r="M47" s="21">
        <f t="shared" ref="M47:M54" si="2">F47*B47*20</f>
        <v>37839.199999999997</v>
      </c>
      <c r="N47" s="21">
        <f t="shared" si="1"/>
        <v>200612.99999999997</v>
      </c>
      <c r="O47" s="21">
        <f t="shared" ref="O47:O54" si="3">H47*B47*700</f>
        <v>22834</v>
      </c>
    </row>
    <row r="48" spans="1:27" x14ac:dyDescent="0.25">
      <c r="A48" s="63" t="str">
        <f>'World Union Members'!B6</f>
        <v>India Coalition</v>
      </c>
      <c r="B48" s="63">
        <f>'World Union Members'!C6</f>
        <v>3073</v>
      </c>
      <c r="F48" s="58">
        <v>0.61</v>
      </c>
      <c r="G48" s="58">
        <v>0.38</v>
      </c>
      <c r="H48" s="58">
        <v>0.01</v>
      </c>
      <c r="M48" s="21">
        <f t="shared" si="2"/>
        <v>37490.6</v>
      </c>
      <c r="N48" s="21">
        <f t="shared" si="1"/>
        <v>175161</v>
      </c>
      <c r="O48" s="21">
        <f t="shared" si="3"/>
        <v>21511</v>
      </c>
    </row>
    <row r="49" spans="1:15" x14ac:dyDescent="0.25">
      <c r="A49" s="63" t="str">
        <f>'World Union Members'!B7</f>
        <v>European Federation</v>
      </c>
      <c r="B49" s="63">
        <f>'World Union Members'!C7</f>
        <v>692</v>
      </c>
      <c r="F49" s="58">
        <v>0.34</v>
      </c>
      <c r="G49" s="58">
        <v>0.62</v>
      </c>
      <c r="H49" s="58">
        <v>0.04</v>
      </c>
      <c r="M49" s="21">
        <f t="shared" si="2"/>
        <v>4705.6000000000004</v>
      </c>
      <c r="N49" s="21">
        <f t="shared" si="1"/>
        <v>64356</v>
      </c>
      <c r="O49" s="21">
        <f t="shared" si="3"/>
        <v>19376</v>
      </c>
    </row>
    <row r="50" spans="1:15" x14ac:dyDescent="0.25">
      <c r="A50" s="63" t="str">
        <f>'World Union Members'!B8</f>
        <v>Middle-East Treaty</v>
      </c>
      <c r="B50" s="63">
        <f>'World Union Members'!C8</f>
        <v>982</v>
      </c>
      <c r="F50" s="58">
        <v>0.68</v>
      </c>
      <c r="G50" s="58">
        <v>0.24</v>
      </c>
      <c r="H50" s="58">
        <v>0.08</v>
      </c>
      <c r="M50" s="21">
        <f t="shared" si="2"/>
        <v>13355.200000000003</v>
      </c>
      <c r="N50" s="21">
        <f t="shared" si="1"/>
        <v>35352</v>
      </c>
      <c r="O50" s="21">
        <f t="shared" si="3"/>
        <v>54992</v>
      </c>
    </row>
    <row r="51" spans="1:15" x14ac:dyDescent="0.25">
      <c r="A51" s="63" t="str">
        <f>'World Union Members'!B9</f>
        <v>United African People</v>
      </c>
      <c r="B51" s="63">
        <f>'World Union Members'!C9</f>
        <v>1497</v>
      </c>
      <c r="F51" s="58">
        <v>0.71</v>
      </c>
      <c r="G51" s="58">
        <v>0.25</v>
      </c>
      <c r="H51" s="58">
        <v>0.04</v>
      </c>
      <c r="M51" s="21">
        <f t="shared" si="2"/>
        <v>21257.399999999998</v>
      </c>
      <c r="N51" s="21">
        <f t="shared" si="1"/>
        <v>56137.5</v>
      </c>
      <c r="O51" s="21">
        <f t="shared" si="3"/>
        <v>41916</v>
      </c>
    </row>
    <row r="52" spans="1:15" x14ac:dyDescent="0.25">
      <c r="A52" s="63" t="str">
        <f>'World Union Members'!B10</f>
        <v>Slavic confederation</v>
      </c>
      <c r="B52" s="63">
        <f>'World Union Members'!C10</f>
        <v>814</v>
      </c>
      <c r="F52" s="58">
        <v>0.56999999999999995</v>
      </c>
      <c r="G52" s="58">
        <v>0.4</v>
      </c>
      <c r="H52" s="58">
        <v>0.03</v>
      </c>
      <c r="M52" s="21">
        <f t="shared" si="2"/>
        <v>9279.5999999999985</v>
      </c>
      <c r="N52" s="21">
        <f t="shared" si="1"/>
        <v>48840</v>
      </c>
      <c r="O52" s="21">
        <f t="shared" si="3"/>
        <v>17094</v>
      </c>
    </row>
    <row r="53" spans="1:15" x14ac:dyDescent="0.25">
      <c r="A53" s="63" t="str">
        <f>'World Union Members'!B11</f>
        <v>Central Pact</v>
      </c>
      <c r="B53" s="63">
        <f>'World Union Members'!C11</f>
        <v>354</v>
      </c>
      <c r="F53" s="58">
        <v>0.68</v>
      </c>
      <c r="G53" s="58">
        <v>0.31</v>
      </c>
      <c r="H53" s="58">
        <v>0.01</v>
      </c>
      <c r="M53" s="21">
        <f t="shared" si="2"/>
        <v>4814.4000000000005</v>
      </c>
      <c r="N53" s="21">
        <f t="shared" si="1"/>
        <v>16461</v>
      </c>
      <c r="O53" s="21">
        <f t="shared" si="3"/>
        <v>2478</v>
      </c>
    </row>
    <row r="54" spans="1:15" x14ac:dyDescent="0.25">
      <c r="A54" s="63" t="str">
        <f>'World Union Members'!B12</f>
        <v>Federation of Brazil</v>
      </c>
      <c r="B54" s="63">
        <f>'World Union Members'!C12</f>
        <v>412</v>
      </c>
      <c r="F54" s="58">
        <v>0.7</v>
      </c>
      <c r="G54" s="58">
        <v>0.23</v>
      </c>
      <c r="H54" s="58">
        <v>7.0000000000000007E-2</v>
      </c>
      <c r="M54" s="21">
        <f t="shared" si="2"/>
        <v>5768</v>
      </c>
      <c r="N54" s="21">
        <f t="shared" si="1"/>
        <v>14214</v>
      </c>
      <c r="O54" s="21">
        <f t="shared" si="3"/>
        <v>20188.000000000004</v>
      </c>
    </row>
    <row r="55" spans="1:15" x14ac:dyDescent="0.25">
      <c r="A55" s="63" t="str">
        <f>'World Union Members'!B13</f>
        <v>Earth's TOTAL</v>
      </c>
      <c r="B55" s="63">
        <f>'World Union Members'!C13</f>
        <v>11744</v>
      </c>
    </row>
    <row r="56" spans="1:15" x14ac:dyDescent="0.25">
      <c r="A56" s="63"/>
      <c r="B56" s="63"/>
    </row>
    <row r="57" spans="1:15" x14ac:dyDescent="0.25">
      <c r="A57" s="63" t="str">
        <f>'World Union Members'!B15</f>
        <v>LUNA</v>
      </c>
      <c r="B57" s="63"/>
    </row>
    <row r="58" spans="1:15" x14ac:dyDescent="0.25">
      <c r="A58" s="63" t="str">
        <f>'World Union Members'!B16</f>
        <v>Pan-Asiatic Alliance</v>
      </c>
      <c r="B58" s="63"/>
    </row>
    <row r="59" spans="1:15" x14ac:dyDescent="0.25">
      <c r="A59" s="63" t="str">
        <f>'World Union Members'!B17</f>
        <v>Chun</v>
      </c>
      <c r="B59" s="63">
        <f>'World Union Members'!C17</f>
        <v>110</v>
      </c>
      <c r="F59" s="58">
        <f>'World Union Members'!G17</f>
        <v>0.57999999999999996</v>
      </c>
      <c r="G59" s="58">
        <f>'World Union Members'!H17</f>
        <v>0.41</v>
      </c>
      <c r="H59" s="58">
        <f>'World Union Members'!I17</f>
        <v>0.01</v>
      </c>
      <c r="M59" s="21">
        <f>F59*B59*20</f>
        <v>1276</v>
      </c>
      <c r="N59" s="21">
        <f>G59*B59*150</f>
        <v>6764.9999999999991</v>
      </c>
      <c r="O59" s="21">
        <f t="shared" ref="O59:O80" si="4">H59*B59*700</f>
        <v>770.00000000000011</v>
      </c>
    </row>
    <row r="60" spans="1:15" x14ac:dyDescent="0.25">
      <c r="A60" s="63" t="str">
        <f>'World Union Members'!B18</f>
        <v>Neo-Guangdong</v>
      </c>
      <c r="B60" s="63">
        <f>'World Union Members'!C18</f>
        <v>96</v>
      </c>
      <c r="F60" s="58">
        <f>'World Union Members'!G18</f>
        <v>0.57999999999999996</v>
      </c>
      <c r="G60" s="58">
        <f>'World Union Members'!H18</f>
        <v>0.41</v>
      </c>
      <c r="H60" s="58">
        <f>'World Union Members'!I18</f>
        <v>0.01</v>
      </c>
      <c r="M60" s="21">
        <f t="shared" ref="M60:M63" si="5">F60*B60*20</f>
        <v>1113.5999999999999</v>
      </c>
      <c r="N60" s="21">
        <f t="shared" ref="N60:N63" si="6">G60*B60*150</f>
        <v>5904</v>
      </c>
      <c r="O60" s="21">
        <f t="shared" si="4"/>
        <v>672</v>
      </c>
    </row>
    <row r="61" spans="1:15" x14ac:dyDescent="0.25">
      <c r="A61" s="63" t="str">
        <f>'World Union Members'!B19</f>
        <v>Xiang</v>
      </c>
      <c r="B61" s="63">
        <f>'World Union Members'!C19</f>
        <v>43</v>
      </c>
      <c r="F61" s="58">
        <f>'World Union Members'!G19</f>
        <v>0.57999999999999996</v>
      </c>
      <c r="G61" s="58">
        <f>'World Union Members'!H19</f>
        <v>0.41</v>
      </c>
      <c r="H61" s="58">
        <f>'World Union Members'!I19</f>
        <v>0.01</v>
      </c>
      <c r="M61" s="21">
        <f t="shared" si="5"/>
        <v>498.79999999999995</v>
      </c>
      <c r="N61" s="21">
        <f t="shared" si="6"/>
        <v>2644.5</v>
      </c>
      <c r="O61" s="21">
        <f t="shared" si="4"/>
        <v>301</v>
      </c>
    </row>
    <row r="62" spans="1:15" x14ac:dyDescent="0.25">
      <c r="A62" s="63" t="str">
        <f>'World Union Members'!B20</f>
        <v>Yin</v>
      </c>
      <c r="B62" s="63">
        <f>'World Union Members'!C20</f>
        <v>32</v>
      </c>
      <c r="F62" s="58">
        <f>'World Union Members'!G20</f>
        <v>0.57999999999999996</v>
      </c>
      <c r="G62" s="58">
        <f>'World Union Members'!H20</f>
        <v>0.41</v>
      </c>
      <c r="H62" s="58">
        <f>'World Union Members'!I20</f>
        <v>0.01</v>
      </c>
      <c r="M62" s="21">
        <f t="shared" si="5"/>
        <v>371.2</v>
      </c>
      <c r="N62" s="21">
        <f t="shared" si="6"/>
        <v>1967.9999999999998</v>
      </c>
      <c r="O62" s="21">
        <f t="shared" si="4"/>
        <v>224</v>
      </c>
    </row>
    <row r="63" spans="1:15" x14ac:dyDescent="0.25">
      <c r="A63" s="63" t="str">
        <f>'World Union Members'!B21</f>
        <v>Tianjong</v>
      </c>
      <c r="B63" s="63">
        <f>'World Union Members'!C21</f>
        <v>21</v>
      </c>
      <c r="F63" s="58">
        <f>'World Union Members'!G21</f>
        <v>0.57999999999999996</v>
      </c>
      <c r="G63" s="58">
        <f>'World Union Members'!H21</f>
        <v>0.41</v>
      </c>
      <c r="H63" s="58">
        <f>'World Union Members'!I21</f>
        <v>0.01</v>
      </c>
      <c r="M63" s="21">
        <f t="shared" si="5"/>
        <v>243.6</v>
      </c>
      <c r="N63" s="21">
        <f t="shared" si="6"/>
        <v>1291.5</v>
      </c>
      <c r="O63" s="21">
        <f t="shared" si="4"/>
        <v>147</v>
      </c>
    </row>
    <row r="64" spans="1:15" x14ac:dyDescent="0.25">
      <c r="A64" s="63" t="str">
        <f>'World Union Members'!B22</f>
        <v>India Coalition</v>
      </c>
      <c r="B64" s="63"/>
      <c r="F64" s="58"/>
      <c r="G64" s="58"/>
      <c r="H64" s="58"/>
    </row>
    <row r="65" spans="1:15" x14ac:dyDescent="0.25">
      <c r="A65" s="63" t="str">
        <f>'World Union Members'!B23</f>
        <v>Mukta</v>
      </c>
      <c r="B65" s="63">
        <f>'World Union Members'!C23</f>
        <v>51</v>
      </c>
      <c r="F65" s="58">
        <f>'World Union Members'!G23</f>
        <v>0.61</v>
      </c>
      <c r="G65" s="58">
        <f>'World Union Members'!H23</f>
        <v>0.38</v>
      </c>
      <c r="H65" s="58">
        <f>'World Union Members'!I23</f>
        <v>0.01</v>
      </c>
      <c r="M65" s="21">
        <f t="shared" ref="M65" si="7">F65*B65*20</f>
        <v>622.20000000000005</v>
      </c>
      <c r="N65" s="21">
        <f t="shared" ref="N65" si="8">G65*B65*150</f>
        <v>2907</v>
      </c>
      <c r="O65" s="21">
        <f t="shared" si="4"/>
        <v>357</v>
      </c>
    </row>
    <row r="66" spans="1:15" x14ac:dyDescent="0.25">
      <c r="A66" s="63" t="str">
        <f>'World Union Members'!B24</f>
        <v>Neo-Goa</v>
      </c>
      <c r="B66" s="63">
        <f>'World Union Members'!C24</f>
        <v>21</v>
      </c>
      <c r="F66" s="58">
        <f>'World Union Members'!G24</f>
        <v>0.61</v>
      </c>
      <c r="G66" s="58">
        <f>'World Union Members'!H24</f>
        <v>0.38</v>
      </c>
      <c r="H66" s="58">
        <f>'World Union Members'!I24</f>
        <v>0.01</v>
      </c>
      <c r="M66" s="21">
        <f t="shared" ref="M66:M67" si="9">F66*B66*20</f>
        <v>256.2</v>
      </c>
      <c r="N66" s="21">
        <f t="shared" ref="N66:N67" si="10">G66*B66*150</f>
        <v>1197</v>
      </c>
      <c r="O66" s="21">
        <f t="shared" si="4"/>
        <v>147</v>
      </c>
    </row>
    <row r="67" spans="1:15" x14ac:dyDescent="0.25">
      <c r="A67" s="63" t="str">
        <f>'World Union Members'!B25</f>
        <v>Assam II</v>
      </c>
      <c r="B67" s="63">
        <f>'World Union Members'!C25</f>
        <v>9</v>
      </c>
      <c r="F67" s="58">
        <f>'World Union Members'!G25</f>
        <v>0.61</v>
      </c>
      <c r="G67" s="58">
        <f>'World Union Members'!H25</f>
        <v>0.38</v>
      </c>
      <c r="H67" s="58">
        <f>'World Union Members'!I25</f>
        <v>0.01</v>
      </c>
      <c r="M67" s="21">
        <f t="shared" si="9"/>
        <v>109.80000000000001</v>
      </c>
      <c r="N67" s="21">
        <f t="shared" si="10"/>
        <v>513</v>
      </c>
      <c r="O67" s="21">
        <f t="shared" si="4"/>
        <v>63</v>
      </c>
    </row>
    <row r="68" spans="1:15" x14ac:dyDescent="0.25">
      <c r="A68" s="63" t="str">
        <f>'World Union Members'!B26</f>
        <v>European Federation</v>
      </c>
      <c r="B68" s="63"/>
      <c r="F68" s="58"/>
      <c r="G68" s="58"/>
      <c r="H68" s="58"/>
      <c r="M68" s="21"/>
      <c r="N68" s="21"/>
      <c r="O68" s="21"/>
    </row>
    <row r="69" spans="1:15" x14ac:dyDescent="0.25">
      <c r="A69" s="63" t="str">
        <f>'World Union Members'!B27</f>
        <v>Beauvoir</v>
      </c>
      <c r="B69" s="63">
        <f>'World Union Members'!C27</f>
        <v>87</v>
      </c>
      <c r="F69" s="58">
        <f>'World Union Members'!G27</f>
        <v>0.34</v>
      </c>
      <c r="G69" s="58">
        <f>'World Union Members'!H27</f>
        <v>0.62</v>
      </c>
      <c r="H69" s="58">
        <f>'World Union Members'!I27</f>
        <v>0.04</v>
      </c>
      <c r="M69" s="21">
        <f t="shared" ref="M69:M131" si="11">F69*B69*20</f>
        <v>591.6</v>
      </c>
      <c r="N69" s="21">
        <f t="shared" ref="N69:N131" si="12">G69*B69*150</f>
        <v>8091</v>
      </c>
      <c r="O69" s="21">
        <f t="shared" si="4"/>
        <v>2436</v>
      </c>
    </row>
    <row r="70" spans="1:15" x14ac:dyDescent="0.25">
      <c r="A70" s="63" t="str">
        <f>'World Union Members'!B28</f>
        <v>Toinette</v>
      </c>
      <c r="B70" s="63">
        <f>'World Union Members'!C28</f>
        <v>53</v>
      </c>
      <c r="F70" s="58">
        <f>'World Union Members'!G28</f>
        <v>0.34</v>
      </c>
      <c r="G70" s="58">
        <f>'World Union Members'!H28</f>
        <v>0.62</v>
      </c>
      <c r="H70" s="58">
        <f>'World Union Members'!I28</f>
        <v>0.04</v>
      </c>
      <c r="M70" s="21">
        <f t="shared" si="11"/>
        <v>360.4</v>
      </c>
      <c r="N70" s="21">
        <f t="shared" si="12"/>
        <v>4929</v>
      </c>
      <c r="O70" s="21">
        <f t="shared" si="4"/>
        <v>1484</v>
      </c>
    </row>
    <row r="71" spans="1:15" x14ac:dyDescent="0.25">
      <c r="A71" s="63" t="str">
        <f>'World Union Members'!B29</f>
        <v>New-Frankfurt</v>
      </c>
      <c r="B71" s="63">
        <f>'World Union Members'!C29</f>
        <v>21</v>
      </c>
      <c r="F71" s="58">
        <f>'World Union Members'!G29</f>
        <v>0.34</v>
      </c>
      <c r="G71" s="58">
        <f>'World Union Members'!H29</f>
        <v>0.62</v>
      </c>
      <c r="H71" s="58">
        <f>'World Union Members'!I29</f>
        <v>0.04</v>
      </c>
      <c r="M71" s="21">
        <f t="shared" si="11"/>
        <v>142.80000000000001</v>
      </c>
      <c r="N71" s="21">
        <f t="shared" si="12"/>
        <v>1953</v>
      </c>
      <c r="O71" s="21">
        <f t="shared" si="4"/>
        <v>588</v>
      </c>
    </row>
    <row r="72" spans="1:15" x14ac:dyDescent="0.25">
      <c r="A72" s="63" t="str">
        <f>'World Union Members'!B30</f>
        <v>Pidal</v>
      </c>
      <c r="B72" s="63">
        <f>'World Union Members'!C30</f>
        <v>6</v>
      </c>
      <c r="F72" s="58">
        <f>'World Union Members'!G30</f>
        <v>0.34</v>
      </c>
      <c r="G72" s="58">
        <f>'World Union Members'!H30</f>
        <v>0.62</v>
      </c>
      <c r="H72" s="58">
        <f>'World Union Members'!I30</f>
        <v>0.04</v>
      </c>
      <c r="M72" s="21">
        <f t="shared" si="11"/>
        <v>40.799999999999997</v>
      </c>
      <c r="N72" s="21">
        <f t="shared" si="12"/>
        <v>558</v>
      </c>
      <c r="O72" s="21">
        <f t="shared" si="4"/>
        <v>168</v>
      </c>
    </row>
    <row r="73" spans="1:15" x14ac:dyDescent="0.25">
      <c r="A73" s="63" t="str">
        <f>'World Union Members'!B31</f>
        <v>Democratic Bloc</v>
      </c>
      <c r="B73" s="63"/>
      <c r="F73" s="58"/>
      <c r="G73" s="58"/>
      <c r="H73" s="58"/>
      <c r="M73" s="21"/>
      <c r="N73" s="21"/>
      <c r="O73" s="21"/>
    </row>
    <row r="74" spans="1:15" x14ac:dyDescent="0.25">
      <c r="A74" s="63" t="str">
        <f>'World Union Members'!B32</f>
        <v>Clinton</v>
      </c>
      <c r="B74" s="63">
        <f>'World Union Members'!C32</f>
        <v>53</v>
      </c>
      <c r="F74" s="58">
        <f>'World Union Members'!G32</f>
        <v>0.22</v>
      </c>
      <c r="G74" s="58">
        <f>'World Union Members'!H32</f>
        <v>0.71</v>
      </c>
      <c r="H74" s="58">
        <f>'World Union Members'!I32</f>
        <v>7.0000000000000007E-2</v>
      </c>
      <c r="M74" s="21">
        <f t="shared" si="11"/>
        <v>233.2</v>
      </c>
      <c r="N74" s="21">
        <f t="shared" si="12"/>
        <v>5644.4999999999991</v>
      </c>
      <c r="O74" s="21">
        <f t="shared" si="4"/>
        <v>2597.0000000000005</v>
      </c>
    </row>
    <row r="75" spans="1:15" x14ac:dyDescent="0.25">
      <c r="A75" s="63" t="str">
        <f>'World Union Members'!B33</f>
        <v>New-Lincoln</v>
      </c>
      <c r="B75" s="63">
        <f>'World Union Members'!C33</f>
        <v>27</v>
      </c>
      <c r="F75" s="58">
        <f>'World Union Members'!G33</f>
        <v>0.22</v>
      </c>
      <c r="G75" s="58">
        <f>'World Union Members'!H33</f>
        <v>0.71</v>
      </c>
      <c r="H75" s="58">
        <f>'World Union Members'!I33</f>
        <v>7.0000000000000007E-2</v>
      </c>
      <c r="M75" s="21">
        <f t="shared" si="11"/>
        <v>118.80000000000001</v>
      </c>
      <c r="N75" s="21">
        <f t="shared" si="12"/>
        <v>2875.4999999999995</v>
      </c>
      <c r="O75" s="21">
        <f t="shared" si="4"/>
        <v>1323</v>
      </c>
    </row>
    <row r="76" spans="1:15" x14ac:dyDescent="0.25">
      <c r="A76" s="63" t="str">
        <f>'World Union Members'!B34</f>
        <v>Slavic Federation</v>
      </c>
      <c r="B76" s="63"/>
      <c r="F76" s="58"/>
      <c r="G76" s="58"/>
      <c r="H76" s="58"/>
      <c r="M76" s="21"/>
      <c r="N76" s="21"/>
      <c r="O76" s="21"/>
    </row>
    <row r="77" spans="1:15" x14ac:dyDescent="0.25">
      <c r="A77" s="63" t="str">
        <f>'World Union Members'!B35</f>
        <v>Yuriya</v>
      </c>
      <c r="B77" s="63">
        <f>'World Union Members'!C35</f>
        <v>74</v>
      </c>
      <c r="F77" s="58">
        <f>'World Union Members'!G35</f>
        <v>0.56999999999999995</v>
      </c>
      <c r="G77" s="58">
        <f>'World Union Members'!H35</f>
        <v>0.4</v>
      </c>
      <c r="H77" s="58">
        <f>'World Union Members'!I35</f>
        <v>0.03</v>
      </c>
      <c r="M77" s="21">
        <f t="shared" si="11"/>
        <v>843.6</v>
      </c>
      <c r="N77" s="21">
        <f t="shared" si="12"/>
        <v>4440</v>
      </c>
      <c r="O77" s="21">
        <f t="shared" si="4"/>
        <v>1553.9999999999998</v>
      </c>
    </row>
    <row r="78" spans="1:15" x14ac:dyDescent="0.25">
      <c r="A78" s="63" t="str">
        <f>'World Union Members'!B36</f>
        <v>Volya</v>
      </c>
      <c r="B78" s="63">
        <f>'World Union Members'!C36</f>
        <v>32</v>
      </c>
      <c r="F78" s="58">
        <f>'World Union Members'!G36</f>
        <v>0.56999999999999995</v>
      </c>
      <c r="G78" s="58">
        <f>'World Union Members'!H36</f>
        <v>0.4</v>
      </c>
      <c r="H78" s="58">
        <f>'World Union Members'!I36</f>
        <v>0.03</v>
      </c>
      <c r="M78" s="21">
        <f t="shared" si="11"/>
        <v>364.79999999999995</v>
      </c>
      <c r="N78" s="21">
        <f t="shared" si="12"/>
        <v>1920</v>
      </c>
      <c r="O78" s="21">
        <f t="shared" si="4"/>
        <v>672</v>
      </c>
    </row>
    <row r="79" spans="1:15" x14ac:dyDescent="0.25">
      <c r="A79" s="63" t="str">
        <f>'World Union Members'!B37</f>
        <v>United African People</v>
      </c>
      <c r="B79" s="63"/>
      <c r="F79" s="58"/>
      <c r="G79" s="58"/>
      <c r="H79" s="58"/>
      <c r="M79" s="21"/>
      <c r="N79" s="21"/>
      <c r="O79" s="21"/>
    </row>
    <row r="80" spans="1:15" x14ac:dyDescent="0.25">
      <c r="A80" s="63" t="str">
        <f>'World Union Members'!B38</f>
        <v>Janali</v>
      </c>
      <c r="B80" s="63">
        <f>'World Union Members'!C38</f>
        <v>83</v>
      </c>
      <c r="F80" s="58">
        <f>'World Union Members'!G38</f>
        <v>0.71</v>
      </c>
      <c r="G80" s="58">
        <f>'World Union Members'!H38</f>
        <v>0.25</v>
      </c>
      <c r="H80" s="58">
        <f>'World Union Members'!I38</f>
        <v>0.04</v>
      </c>
      <c r="M80" s="21">
        <f t="shared" si="11"/>
        <v>1178.5999999999999</v>
      </c>
      <c r="N80" s="21">
        <f t="shared" si="12"/>
        <v>3112.5</v>
      </c>
      <c r="O80" s="21">
        <f t="shared" si="4"/>
        <v>2324</v>
      </c>
    </row>
    <row r="81" spans="1:15" x14ac:dyDescent="0.25">
      <c r="A81" s="63" t="str">
        <f>'World Union Members'!B39</f>
        <v>Luna's TOTAL</v>
      </c>
      <c r="B81" s="63">
        <f>'World Union Members'!C39</f>
        <v>819</v>
      </c>
      <c r="F81" s="58"/>
      <c r="G81" s="58"/>
      <c r="H81" s="58"/>
      <c r="M81" s="21"/>
      <c r="N81" s="21"/>
      <c r="O81" s="21"/>
    </row>
    <row r="82" spans="1:15" x14ac:dyDescent="0.25">
      <c r="A82" s="63"/>
      <c r="B82" s="63"/>
      <c r="F82" s="58"/>
      <c r="G82" s="58"/>
      <c r="H82" s="58"/>
      <c r="M82" s="21"/>
      <c r="N82" s="21"/>
      <c r="O82" s="21"/>
    </row>
    <row r="83" spans="1:15" x14ac:dyDescent="0.25">
      <c r="A83" s="63" t="str">
        <f>'World Union Members'!B41</f>
        <v>MARS</v>
      </c>
      <c r="B83" s="63"/>
      <c r="F83" s="58"/>
      <c r="G83" s="58"/>
      <c r="H83" s="58"/>
      <c r="M83" s="21"/>
      <c r="N83" s="21"/>
      <c r="O83" s="21"/>
    </row>
    <row r="84" spans="1:15" x14ac:dyDescent="0.25">
      <c r="A84" s="63" t="str">
        <f>'World Union Members'!B42</f>
        <v>Pan-Asiatic Alliance</v>
      </c>
      <c r="B84" s="63"/>
      <c r="F84" s="58"/>
      <c r="G84" s="58"/>
      <c r="H84" s="58"/>
      <c r="M84" s="21"/>
      <c r="N84" s="21"/>
      <c r="O84" s="21"/>
    </row>
    <row r="85" spans="1:15" x14ac:dyDescent="0.25">
      <c r="A85" s="63" t="str">
        <f>'World Union Members'!B43</f>
        <v>Lama</v>
      </c>
      <c r="B85" s="63">
        <f>'World Union Members'!C43</f>
        <v>64</v>
      </c>
      <c r="F85" s="58">
        <f>'World Union Members'!G43</f>
        <v>0.57999999999999996</v>
      </c>
      <c r="G85" s="58">
        <f>'World Union Members'!H43</f>
        <v>0.41</v>
      </c>
      <c r="H85" s="58">
        <f>'World Union Members'!I43</f>
        <v>0.01</v>
      </c>
      <c r="M85" s="21">
        <f t="shared" si="11"/>
        <v>742.4</v>
      </c>
      <c r="N85" s="21">
        <f t="shared" si="12"/>
        <v>3935.9999999999995</v>
      </c>
      <c r="O85" s="21">
        <f t="shared" ref="O85:O86" si="13">H85*B85*700</f>
        <v>448</v>
      </c>
    </row>
    <row r="86" spans="1:15" x14ac:dyDescent="0.25">
      <c r="A86" s="63" t="str">
        <f>'World Union Members'!B44</f>
        <v xml:space="preserve">Kuan Yew </v>
      </c>
      <c r="B86" s="63">
        <f>'World Union Members'!C44</f>
        <v>32</v>
      </c>
      <c r="F86" s="58">
        <f>'World Union Members'!G44</f>
        <v>0.57999999999999996</v>
      </c>
      <c r="G86" s="58">
        <f>'World Union Members'!H44</f>
        <v>0.41</v>
      </c>
      <c r="H86" s="58">
        <f>'World Union Members'!I44</f>
        <v>0.01</v>
      </c>
      <c r="M86" s="21">
        <f t="shared" si="11"/>
        <v>371.2</v>
      </c>
      <c r="N86" s="21">
        <f t="shared" si="12"/>
        <v>1967.9999999999998</v>
      </c>
      <c r="O86" s="21">
        <f t="shared" si="13"/>
        <v>224</v>
      </c>
    </row>
    <row r="87" spans="1:15" x14ac:dyDescent="0.25">
      <c r="A87" s="63" t="str">
        <f>'World Union Members'!B45</f>
        <v>India Coalition</v>
      </c>
      <c r="B87" s="63"/>
      <c r="F87" s="58"/>
      <c r="G87" s="58"/>
      <c r="H87" s="58"/>
      <c r="M87" s="21"/>
      <c r="N87" s="21"/>
      <c r="O87" s="21"/>
    </row>
    <row r="88" spans="1:15" x14ac:dyDescent="0.25">
      <c r="A88" s="63" t="str">
        <f>'World Union Members'!B46</f>
        <v>Teresa</v>
      </c>
      <c r="B88" s="63">
        <f>'World Union Members'!C46</f>
        <v>21</v>
      </c>
      <c r="F88" s="58">
        <f>'World Union Members'!G46</f>
        <v>0.61</v>
      </c>
      <c r="G88" s="58">
        <f>'World Union Members'!H46</f>
        <v>0.38</v>
      </c>
      <c r="H88" s="58">
        <f>'World Union Members'!I46</f>
        <v>0.01</v>
      </c>
      <c r="M88" s="21">
        <f t="shared" si="11"/>
        <v>256.2</v>
      </c>
      <c r="N88" s="21">
        <f t="shared" si="12"/>
        <v>1197</v>
      </c>
      <c r="O88" s="21">
        <f t="shared" ref="O88:O89" si="14">H88*B88*700</f>
        <v>147</v>
      </c>
    </row>
    <row r="89" spans="1:15" x14ac:dyDescent="0.25">
      <c r="A89" s="63" t="str">
        <f>'World Union Members'!B47</f>
        <v>Kalam</v>
      </c>
      <c r="B89" s="63">
        <f>'World Union Members'!C47</f>
        <v>6</v>
      </c>
      <c r="F89" s="58">
        <f>'World Union Members'!G47</f>
        <v>0.61</v>
      </c>
      <c r="G89" s="58">
        <f>'World Union Members'!H47</f>
        <v>0.38</v>
      </c>
      <c r="H89" s="58">
        <f>'World Union Members'!I47</f>
        <v>0.01</v>
      </c>
      <c r="M89" s="21">
        <f t="shared" si="11"/>
        <v>73.2</v>
      </c>
      <c r="N89" s="21">
        <f t="shared" si="12"/>
        <v>342.00000000000006</v>
      </c>
      <c r="O89" s="21">
        <f t="shared" si="14"/>
        <v>42</v>
      </c>
    </row>
    <row r="90" spans="1:15" x14ac:dyDescent="0.25">
      <c r="A90" s="63" t="str">
        <f>'World Union Members'!B48</f>
        <v>European Federation</v>
      </c>
      <c r="B90" s="63"/>
      <c r="F90" s="58"/>
      <c r="G90" s="58"/>
      <c r="H90" s="58"/>
      <c r="M90" s="21"/>
      <c r="N90" s="21"/>
      <c r="O90" s="21"/>
    </row>
    <row r="91" spans="1:15" x14ac:dyDescent="0.25">
      <c r="A91" s="63" t="str">
        <f>'World Union Members'!B49</f>
        <v>Frank</v>
      </c>
      <c r="B91" s="63">
        <f>'World Union Members'!C49</f>
        <v>42</v>
      </c>
      <c r="F91" s="58">
        <f>'World Union Members'!G49</f>
        <v>0.34</v>
      </c>
      <c r="G91" s="58">
        <f>'World Union Members'!H49</f>
        <v>0.62</v>
      </c>
      <c r="H91" s="58">
        <f>'World Union Members'!I49</f>
        <v>0.04</v>
      </c>
      <c r="M91" s="21">
        <f t="shared" si="11"/>
        <v>285.60000000000002</v>
      </c>
      <c r="N91" s="21">
        <f t="shared" si="12"/>
        <v>3906</v>
      </c>
      <c r="O91" s="21">
        <f t="shared" ref="O91:O93" si="15">H91*B91*700</f>
        <v>1176</v>
      </c>
    </row>
    <row r="92" spans="1:15" x14ac:dyDescent="0.25">
      <c r="A92" s="63" t="str">
        <f>'World Union Members'!B50</f>
        <v>Nouvelle-Marie</v>
      </c>
      <c r="B92" s="63">
        <f>'World Union Members'!C50</f>
        <v>36</v>
      </c>
      <c r="F92" s="58">
        <f>'World Union Members'!G50</f>
        <v>0.34</v>
      </c>
      <c r="G92" s="58">
        <f>'World Union Members'!H50</f>
        <v>0.62</v>
      </c>
      <c r="H92" s="58">
        <f>'World Union Members'!I50</f>
        <v>0.04</v>
      </c>
      <c r="M92" s="21">
        <f t="shared" si="11"/>
        <v>244.8</v>
      </c>
      <c r="N92" s="21">
        <f t="shared" si="12"/>
        <v>3348</v>
      </c>
      <c r="O92" s="21">
        <f t="shared" si="15"/>
        <v>1008</v>
      </c>
    </row>
    <row r="93" spans="1:15" x14ac:dyDescent="0.25">
      <c r="A93" s="63" t="str">
        <f>'World Union Members'!B51</f>
        <v>Montespan</v>
      </c>
      <c r="B93" s="63">
        <f>'World Union Members'!C51</f>
        <v>12</v>
      </c>
      <c r="F93" s="58">
        <f>'World Union Members'!G51</f>
        <v>0.34</v>
      </c>
      <c r="G93" s="58">
        <f>'World Union Members'!H51</f>
        <v>0.62</v>
      </c>
      <c r="H93" s="58">
        <f>'World Union Members'!I51</f>
        <v>0.04</v>
      </c>
      <c r="M93" s="21">
        <f t="shared" si="11"/>
        <v>81.599999999999994</v>
      </c>
      <c r="N93" s="21">
        <f t="shared" si="12"/>
        <v>1116</v>
      </c>
      <c r="O93" s="21">
        <f t="shared" si="15"/>
        <v>336</v>
      </c>
    </row>
    <row r="94" spans="1:15" x14ac:dyDescent="0.25">
      <c r="A94" s="63" t="str">
        <f>'World Union Members'!B52</f>
        <v>Democratic Bloc</v>
      </c>
      <c r="B94" s="63"/>
      <c r="F94" s="58"/>
      <c r="G94" s="58"/>
      <c r="H94" s="58"/>
      <c r="M94" s="21"/>
      <c r="N94" s="21"/>
      <c r="O94" s="21"/>
    </row>
    <row r="95" spans="1:15" x14ac:dyDescent="0.25">
      <c r="A95" s="63" t="str">
        <f>'World Union Members'!B53</f>
        <v>Obama</v>
      </c>
      <c r="B95" s="63">
        <f>'World Union Members'!C53</f>
        <v>142</v>
      </c>
      <c r="F95" s="58">
        <f>'World Union Members'!G53</f>
        <v>0.22</v>
      </c>
      <c r="G95" s="58">
        <f>'World Union Members'!H53</f>
        <v>0.71</v>
      </c>
      <c r="H95" s="58">
        <f>'World Union Members'!I53</f>
        <v>7.0000000000000007E-2</v>
      </c>
      <c r="M95" s="21">
        <f t="shared" si="11"/>
        <v>624.79999999999995</v>
      </c>
      <c r="N95" s="21">
        <f t="shared" si="12"/>
        <v>15122.999999999998</v>
      </c>
      <c r="O95" s="21">
        <f t="shared" ref="O95:O98" si="16">H95*B95*700</f>
        <v>6958.0000000000009</v>
      </c>
    </row>
    <row r="96" spans="1:15" x14ac:dyDescent="0.25">
      <c r="A96" s="63" t="str">
        <f>'World Union Members'!B54</f>
        <v>Walt City</v>
      </c>
      <c r="B96" s="63">
        <f>'World Union Members'!C54</f>
        <v>95</v>
      </c>
      <c r="F96" s="58">
        <f>'World Union Members'!G54</f>
        <v>0.22</v>
      </c>
      <c r="G96" s="58">
        <f>'World Union Members'!H54</f>
        <v>0.71</v>
      </c>
      <c r="H96" s="58">
        <f>'World Union Members'!I54</f>
        <v>7.0000000000000007E-2</v>
      </c>
      <c r="M96" s="21">
        <f t="shared" si="11"/>
        <v>418</v>
      </c>
      <c r="N96" s="21">
        <f t="shared" si="12"/>
        <v>10117.5</v>
      </c>
      <c r="O96" s="21">
        <f t="shared" si="16"/>
        <v>4655</v>
      </c>
    </row>
    <row r="97" spans="1:15" x14ac:dyDescent="0.25">
      <c r="A97" s="63" t="str">
        <f>'World Union Members'!B55</f>
        <v>Winfrey</v>
      </c>
      <c r="B97" s="63">
        <f>'World Union Members'!C55</f>
        <v>37</v>
      </c>
      <c r="F97" s="58">
        <f>'World Union Members'!G55</f>
        <v>0.22</v>
      </c>
      <c r="G97" s="58">
        <f>'World Union Members'!H55</f>
        <v>0.71</v>
      </c>
      <c r="H97" s="58">
        <f>'World Union Members'!I55</f>
        <v>7.0000000000000007E-2</v>
      </c>
      <c r="M97" s="21">
        <f t="shared" si="11"/>
        <v>162.80000000000001</v>
      </c>
      <c r="N97" s="21">
        <f t="shared" si="12"/>
        <v>3940.5</v>
      </c>
      <c r="O97" s="21">
        <f t="shared" si="16"/>
        <v>1813.0000000000002</v>
      </c>
    </row>
    <row r="98" spans="1:15" x14ac:dyDescent="0.25">
      <c r="A98" s="63" t="str">
        <f>'World Union Members'!B56</f>
        <v>Luther King</v>
      </c>
      <c r="B98" s="63">
        <f>'World Union Members'!C56</f>
        <v>13</v>
      </c>
      <c r="F98" s="58">
        <f>'World Union Members'!G56</f>
        <v>0.22</v>
      </c>
      <c r="G98" s="58">
        <f>'World Union Members'!H56</f>
        <v>0.71</v>
      </c>
      <c r="H98" s="58">
        <f>'World Union Members'!I56</f>
        <v>7.0000000000000007E-2</v>
      </c>
      <c r="M98" s="21">
        <f t="shared" si="11"/>
        <v>57.199999999999996</v>
      </c>
      <c r="N98" s="21">
        <f t="shared" si="12"/>
        <v>1384.5</v>
      </c>
      <c r="O98" s="21">
        <f t="shared" si="16"/>
        <v>637.00000000000011</v>
      </c>
    </row>
    <row r="99" spans="1:15" x14ac:dyDescent="0.25">
      <c r="A99" s="63" t="str">
        <f>'World Union Members'!B57</f>
        <v>Slavic Federation</v>
      </c>
      <c r="B99" s="63"/>
      <c r="F99" s="58"/>
      <c r="G99" s="58"/>
      <c r="H99" s="58"/>
      <c r="M99" s="21"/>
      <c r="N99" s="21"/>
      <c r="O99" s="21"/>
    </row>
    <row r="100" spans="1:15" x14ac:dyDescent="0.25">
      <c r="A100" s="63" t="str">
        <f>'World Union Members'!B58</f>
        <v>Uspekh</v>
      </c>
      <c r="B100" s="63">
        <f>'World Union Members'!C58</f>
        <v>72</v>
      </c>
      <c r="F100" s="58">
        <f>'World Union Members'!G58</f>
        <v>0.56999999999999995</v>
      </c>
      <c r="G100" s="58">
        <f>'World Union Members'!H58</f>
        <v>0.4</v>
      </c>
      <c r="H100" s="58">
        <f>'World Union Members'!I58</f>
        <v>0.03</v>
      </c>
      <c r="M100" s="21">
        <f t="shared" si="11"/>
        <v>820.8</v>
      </c>
      <c r="N100" s="21">
        <f t="shared" si="12"/>
        <v>4320</v>
      </c>
      <c r="O100" s="21">
        <f t="shared" ref="O100" si="17">H100*B100*700</f>
        <v>1512</v>
      </c>
    </row>
    <row r="101" spans="1:15" x14ac:dyDescent="0.25">
      <c r="A101" s="63" t="str">
        <f>'World Union Members'!B59</f>
        <v>United African People</v>
      </c>
      <c r="B101" s="63"/>
      <c r="F101" s="58"/>
      <c r="G101" s="58"/>
      <c r="H101" s="58"/>
      <c r="M101" s="21"/>
      <c r="N101" s="21"/>
      <c r="O101" s="21"/>
    </row>
    <row r="102" spans="1:15" x14ac:dyDescent="0.25">
      <c r="A102" s="63" t="str">
        <f>'World Union Members'!B60</f>
        <v>Thula</v>
      </c>
      <c r="B102" s="63">
        <f>'World Union Members'!C60</f>
        <v>43</v>
      </c>
      <c r="F102" s="58">
        <f>'World Union Members'!G60</f>
        <v>0.71</v>
      </c>
      <c r="G102" s="58">
        <f>'World Union Members'!H60</f>
        <v>0.25</v>
      </c>
      <c r="H102" s="58">
        <f>'World Union Members'!I60</f>
        <v>0.04</v>
      </c>
      <c r="M102" s="21">
        <f t="shared" si="11"/>
        <v>610.59999999999991</v>
      </c>
      <c r="N102" s="21">
        <f t="shared" si="12"/>
        <v>1612.5</v>
      </c>
      <c r="O102" s="21">
        <f t="shared" ref="O102" si="18">H102*B102*700</f>
        <v>1204</v>
      </c>
    </row>
    <row r="103" spans="1:15" x14ac:dyDescent="0.25">
      <c r="A103" s="63" t="str">
        <f>'World Union Members'!B61</f>
        <v>Mars's TOTAL</v>
      </c>
      <c r="B103" s="63">
        <f>'World Union Members'!C61</f>
        <v>615</v>
      </c>
      <c r="F103" s="58"/>
      <c r="G103" s="58"/>
      <c r="H103" s="58"/>
      <c r="M103" s="21"/>
      <c r="N103" s="21"/>
      <c r="O103" s="21"/>
    </row>
    <row r="104" spans="1:15" x14ac:dyDescent="0.25">
      <c r="A104" s="63"/>
      <c r="B104" s="63"/>
      <c r="F104" s="58"/>
      <c r="G104" s="58"/>
      <c r="H104" s="58"/>
      <c r="M104" s="21"/>
      <c r="N104" s="21"/>
      <c r="O104" s="21"/>
    </row>
    <row r="105" spans="1:15" x14ac:dyDescent="0.25">
      <c r="A105" s="63" t="str">
        <f>'World Union Members'!B63</f>
        <v>KEPLER</v>
      </c>
      <c r="B105" s="63"/>
      <c r="F105" s="58"/>
      <c r="G105" s="58"/>
      <c r="H105" s="58"/>
      <c r="M105" s="21"/>
      <c r="N105" s="21"/>
      <c r="O105" s="21"/>
    </row>
    <row r="106" spans="1:15" x14ac:dyDescent="0.25">
      <c r="A106" s="63" t="str">
        <f>'World Union Members'!B64</f>
        <v>Pan-Asiatic Alliance</v>
      </c>
      <c r="B106" s="63"/>
      <c r="F106" s="58"/>
      <c r="G106" s="58"/>
      <c r="H106" s="58"/>
      <c r="M106" s="21"/>
      <c r="N106" s="21"/>
      <c r="O106" s="21"/>
    </row>
    <row r="107" spans="1:15" x14ac:dyDescent="0.25">
      <c r="A107" s="63" t="str">
        <f>'World Union Members'!B65</f>
        <v>Tiangong</v>
      </c>
      <c r="B107" s="63">
        <f>'World Union Members'!C65</f>
        <v>53</v>
      </c>
      <c r="F107" s="58">
        <f>'World Union Members'!G65</f>
        <v>0.57999999999999996</v>
      </c>
      <c r="G107" s="58">
        <f>'World Union Members'!H65</f>
        <v>0.41</v>
      </c>
      <c r="H107" s="58">
        <f>'World Union Members'!I65</f>
        <v>0.01</v>
      </c>
      <c r="M107" s="21">
        <f t="shared" si="11"/>
        <v>614.79999999999995</v>
      </c>
      <c r="N107" s="21">
        <f t="shared" si="12"/>
        <v>3259.5</v>
      </c>
      <c r="O107" s="21">
        <f t="shared" ref="O107:O108" si="19">H107*B107*700</f>
        <v>371</v>
      </c>
    </row>
    <row r="108" spans="1:15" x14ac:dyDescent="0.25">
      <c r="A108" s="63" t="str">
        <f>'World Union Members'!B66</f>
        <v>Sinjeon</v>
      </c>
      <c r="B108" s="63">
        <f>'World Union Members'!C66</f>
        <v>48</v>
      </c>
      <c r="F108" s="58">
        <f>'World Union Members'!G66</f>
        <v>0.57999999999999996</v>
      </c>
      <c r="G108" s="58">
        <f>'World Union Members'!H66</f>
        <v>0.41</v>
      </c>
      <c r="H108" s="58">
        <f>'World Union Members'!I66</f>
        <v>0.01</v>
      </c>
      <c r="M108" s="21">
        <f t="shared" si="11"/>
        <v>556.79999999999995</v>
      </c>
      <c r="N108" s="21">
        <f t="shared" si="12"/>
        <v>2952</v>
      </c>
      <c r="O108" s="21">
        <f t="shared" si="19"/>
        <v>336</v>
      </c>
    </row>
    <row r="109" spans="1:15" x14ac:dyDescent="0.25">
      <c r="A109" s="63" t="str">
        <f>'World Union Members'!B67</f>
        <v>India Coalition</v>
      </c>
      <c r="B109" s="63"/>
      <c r="F109" s="58"/>
      <c r="G109" s="58"/>
      <c r="H109" s="58"/>
      <c r="M109" s="21"/>
      <c r="N109" s="21"/>
      <c r="O109" s="21"/>
    </row>
    <row r="110" spans="1:15" x14ac:dyDescent="0.25">
      <c r="A110" s="63" t="str">
        <f>'World Union Members'!B68</f>
        <v>Zafar</v>
      </c>
      <c r="B110" s="63">
        <f>'World Union Members'!C68</f>
        <v>34</v>
      </c>
      <c r="F110" s="58">
        <f>'World Union Members'!G68</f>
        <v>0.61</v>
      </c>
      <c r="G110" s="58">
        <f>'World Union Members'!H68</f>
        <v>0.38</v>
      </c>
      <c r="H110" s="58">
        <f>'World Union Members'!I68</f>
        <v>0.01</v>
      </c>
      <c r="M110" s="21">
        <f t="shared" si="11"/>
        <v>414.79999999999995</v>
      </c>
      <c r="N110" s="21">
        <f t="shared" si="12"/>
        <v>1938</v>
      </c>
      <c r="O110" s="21">
        <f t="shared" ref="O110" si="20">H110*B110*700</f>
        <v>238.00000000000003</v>
      </c>
    </row>
    <row r="111" spans="1:15" x14ac:dyDescent="0.25">
      <c r="A111" s="63" t="str">
        <f>'World Union Members'!B69</f>
        <v>European Federation</v>
      </c>
      <c r="B111" s="63"/>
      <c r="F111" s="58"/>
      <c r="G111" s="58"/>
      <c r="H111" s="58"/>
      <c r="M111" s="21"/>
      <c r="N111" s="21"/>
      <c r="O111" s="21"/>
    </row>
    <row r="112" spans="1:15" x14ac:dyDescent="0.25">
      <c r="A112" s="63" t="str">
        <f>'World Union Members'!B70</f>
        <v>Mirabelle</v>
      </c>
      <c r="B112" s="63">
        <f>'World Union Members'!C70</f>
        <v>64</v>
      </c>
      <c r="F112" s="58">
        <f>'World Union Members'!G70</f>
        <v>0.34</v>
      </c>
      <c r="G112" s="58">
        <f>'World Union Members'!H70</f>
        <v>0.62</v>
      </c>
      <c r="H112" s="58">
        <f>'World Union Members'!I70</f>
        <v>0.04</v>
      </c>
      <c r="M112" s="21">
        <f t="shared" si="11"/>
        <v>435.20000000000005</v>
      </c>
      <c r="N112" s="21">
        <f t="shared" si="12"/>
        <v>5952</v>
      </c>
      <c r="O112" s="21">
        <f t="shared" ref="O112" si="21">H112*B112*700</f>
        <v>1792</v>
      </c>
    </row>
    <row r="113" spans="1:15" x14ac:dyDescent="0.25">
      <c r="A113" s="63" t="str">
        <f>'World Union Members'!B71</f>
        <v>Democratic Bloc</v>
      </c>
      <c r="B113" s="63"/>
      <c r="F113" s="58"/>
      <c r="G113" s="58"/>
      <c r="H113" s="58"/>
      <c r="M113" s="21"/>
      <c r="N113" s="21"/>
      <c r="O113" s="21"/>
    </row>
    <row r="114" spans="1:15" x14ac:dyDescent="0.25">
      <c r="A114" s="63" t="str">
        <f>'World Union Members'!B72</f>
        <v>Heritage</v>
      </c>
      <c r="B114" s="63">
        <f>'World Union Members'!C72</f>
        <v>72</v>
      </c>
      <c r="F114" s="58">
        <f>'World Union Members'!G72</f>
        <v>0.22</v>
      </c>
      <c r="G114" s="58">
        <f>'World Union Members'!H72</f>
        <v>0.71</v>
      </c>
      <c r="H114" s="58">
        <f>'World Union Members'!I72</f>
        <v>7.0000000000000007E-2</v>
      </c>
      <c r="M114" s="21">
        <f t="shared" si="11"/>
        <v>316.8</v>
      </c>
      <c r="N114" s="21">
        <f t="shared" si="12"/>
        <v>7668</v>
      </c>
      <c r="O114" s="21">
        <f t="shared" ref="O114:O115" si="22">H114*B114*700</f>
        <v>3528.0000000000005</v>
      </c>
    </row>
    <row r="115" spans="1:15" x14ac:dyDescent="0.25">
      <c r="A115" s="63" t="str">
        <f>'World Union Members'!B73</f>
        <v>Venture</v>
      </c>
      <c r="B115" s="63">
        <f>'World Union Members'!C73</f>
        <v>21</v>
      </c>
      <c r="F115" s="58">
        <f>'World Union Members'!G73</f>
        <v>0.22</v>
      </c>
      <c r="G115" s="58">
        <f>'World Union Members'!H73</f>
        <v>0.71</v>
      </c>
      <c r="H115" s="58">
        <f>'World Union Members'!I73</f>
        <v>7.0000000000000007E-2</v>
      </c>
      <c r="M115" s="21">
        <f t="shared" si="11"/>
        <v>92.4</v>
      </c>
      <c r="N115" s="21">
        <f t="shared" si="12"/>
        <v>2236.5</v>
      </c>
      <c r="O115" s="21">
        <f t="shared" si="22"/>
        <v>1029.0000000000002</v>
      </c>
    </row>
    <row r="116" spans="1:15" x14ac:dyDescent="0.25">
      <c r="A116" s="63" t="str">
        <f>'World Union Members'!B74</f>
        <v>Slavic Federation</v>
      </c>
      <c r="B116" s="63"/>
      <c r="F116" s="58"/>
      <c r="G116" s="58"/>
      <c r="H116" s="58"/>
      <c r="M116" s="21"/>
      <c r="N116" s="21"/>
      <c r="O116" s="21"/>
    </row>
    <row r="117" spans="1:15" x14ac:dyDescent="0.25">
      <c r="A117" s="63" t="str">
        <f>'World Union Members'!B75</f>
        <v>Svyatoy</v>
      </c>
      <c r="B117" s="63">
        <f>'World Union Members'!C75</f>
        <v>36</v>
      </c>
      <c r="F117" s="58">
        <f>'World Union Members'!G75</f>
        <v>0.56999999999999995</v>
      </c>
      <c r="G117" s="58">
        <f>'World Union Members'!H75</f>
        <v>0.4</v>
      </c>
      <c r="H117" s="58">
        <f>'World Union Members'!I75</f>
        <v>0.03</v>
      </c>
      <c r="M117" s="21">
        <f t="shared" si="11"/>
        <v>410.4</v>
      </c>
      <c r="N117" s="21">
        <f t="shared" si="12"/>
        <v>2160</v>
      </c>
      <c r="O117" s="21">
        <f t="shared" ref="O117" si="23">H117*B117*700</f>
        <v>756</v>
      </c>
    </row>
    <row r="118" spans="1:15" x14ac:dyDescent="0.25">
      <c r="A118" s="63" t="str">
        <f>'World Union Members'!B76</f>
        <v>United African People</v>
      </c>
      <c r="B118" s="63"/>
      <c r="F118" s="58"/>
      <c r="G118" s="58"/>
      <c r="H118" s="58"/>
      <c r="M118" s="21"/>
      <c r="N118" s="21"/>
      <c r="O118" s="21"/>
    </row>
    <row r="119" spans="1:15" x14ac:dyDescent="0.25">
      <c r="A119" s="63" t="str">
        <f>'World Union Members'!B77</f>
        <v>Ladan</v>
      </c>
      <c r="B119" s="63">
        <f>'World Union Members'!C77</f>
        <v>43</v>
      </c>
      <c r="F119" s="58">
        <f>'World Union Members'!G77</f>
        <v>0.71</v>
      </c>
      <c r="G119" s="58">
        <f>'World Union Members'!H77</f>
        <v>0.25</v>
      </c>
      <c r="H119" s="58">
        <f>'World Union Members'!I77</f>
        <v>0.04</v>
      </c>
      <c r="M119" s="21">
        <f t="shared" si="11"/>
        <v>610.59999999999991</v>
      </c>
      <c r="N119" s="21">
        <f t="shared" si="12"/>
        <v>1612.5</v>
      </c>
      <c r="O119" s="21">
        <f t="shared" ref="O119" si="24">H119*B119*700</f>
        <v>1204</v>
      </c>
    </row>
    <row r="120" spans="1:15" x14ac:dyDescent="0.25">
      <c r="A120" s="63" t="str">
        <f>'World Union Members'!B78</f>
        <v>Kepler's TOTAL</v>
      </c>
      <c r="B120" s="63">
        <f>'World Union Members'!C78</f>
        <v>371</v>
      </c>
      <c r="F120" s="58"/>
      <c r="G120" s="58"/>
      <c r="H120" s="58"/>
      <c r="M120" s="21"/>
      <c r="N120" s="21"/>
      <c r="O120" s="21"/>
    </row>
    <row r="121" spans="1:15" x14ac:dyDescent="0.25">
      <c r="A121" s="63"/>
      <c r="B121" s="63"/>
      <c r="F121" s="58"/>
      <c r="G121" s="58"/>
      <c r="H121" s="58"/>
      <c r="M121" s="21"/>
      <c r="N121" s="21"/>
      <c r="O121" s="21"/>
    </row>
    <row r="122" spans="1:15" x14ac:dyDescent="0.25">
      <c r="A122" s="63" t="str">
        <f>'World Union Members'!B80</f>
        <v>Cixi</v>
      </c>
      <c r="B122" s="63"/>
      <c r="F122" s="58"/>
      <c r="G122" s="58"/>
      <c r="H122" s="58"/>
      <c r="M122" s="21"/>
      <c r="N122" s="21"/>
      <c r="O122" s="21"/>
    </row>
    <row r="123" spans="1:15" x14ac:dyDescent="0.25">
      <c r="A123" s="63" t="str">
        <f>'World Union Members'!B81</f>
        <v>Pan-Asiatic Alliance</v>
      </c>
      <c r="B123" s="63"/>
      <c r="F123" s="58"/>
      <c r="G123" s="58"/>
      <c r="H123" s="58"/>
      <c r="M123" s="21"/>
      <c r="N123" s="21"/>
      <c r="O123" s="21"/>
    </row>
    <row r="124" spans="1:15" x14ac:dyDescent="0.25">
      <c r="A124" s="63" t="str">
        <f>'World Union Members'!B82</f>
        <v>Thanh</v>
      </c>
      <c r="B124" s="63">
        <f>'World Union Members'!C82</f>
        <v>25</v>
      </c>
      <c r="F124" s="58">
        <f>'World Union Members'!G82</f>
        <v>0.57999999999999996</v>
      </c>
      <c r="G124" s="58">
        <f>'World Union Members'!H82</f>
        <v>0.41</v>
      </c>
      <c r="H124" s="58">
        <f>'World Union Members'!I82</f>
        <v>0.01</v>
      </c>
      <c r="M124" s="21">
        <f t="shared" si="11"/>
        <v>289.99999999999994</v>
      </c>
      <c r="N124" s="21">
        <f t="shared" si="12"/>
        <v>1537.5</v>
      </c>
      <c r="O124" s="21">
        <f t="shared" ref="O124" si="25">H124*B124*700</f>
        <v>175</v>
      </c>
    </row>
    <row r="125" spans="1:15" x14ac:dyDescent="0.25">
      <c r="A125" s="63"/>
      <c r="B125" s="63"/>
      <c r="F125" s="58"/>
      <c r="G125" s="58"/>
      <c r="H125" s="58"/>
      <c r="M125" s="21"/>
      <c r="N125" s="21"/>
      <c r="O125" s="21"/>
    </row>
    <row r="126" spans="1:15" x14ac:dyDescent="0.25">
      <c r="A126" s="63"/>
      <c r="B126" s="63"/>
      <c r="F126" s="58"/>
      <c r="G126" s="58"/>
      <c r="H126" s="58"/>
      <c r="M126" s="21"/>
      <c r="N126" s="21"/>
      <c r="O126" s="21"/>
    </row>
    <row r="127" spans="1:15" x14ac:dyDescent="0.25">
      <c r="A127" s="63" t="str">
        <f>'World Union Members'!B85</f>
        <v>Europa</v>
      </c>
      <c r="B127" s="63"/>
      <c r="F127" s="58"/>
      <c r="G127" s="58"/>
      <c r="H127" s="58"/>
      <c r="M127" s="21"/>
      <c r="N127" s="21"/>
      <c r="O127" s="21"/>
    </row>
    <row r="128" spans="1:15" x14ac:dyDescent="0.25">
      <c r="A128" s="63" t="str">
        <f>'World Union Members'!B86</f>
        <v>European Federation</v>
      </c>
      <c r="B128" s="63"/>
      <c r="F128" s="58"/>
      <c r="G128" s="58"/>
      <c r="H128" s="58"/>
      <c r="M128" s="21"/>
      <c r="N128" s="21"/>
      <c r="O128" s="21"/>
    </row>
    <row r="129" spans="1:15" x14ac:dyDescent="0.25">
      <c r="A129" s="63" t="str">
        <f>'World Union Members'!B87</f>
        <v>Esperance</v>
      </c>
      <c r="B129" s="63">
        <f>'World Union Members'!C87</f>
        <v>3</v>
      </c>
      <c r="F129" s="58">
        <f>'World Union Members'!G87</f>
        <v>0.34</v>
      </c>
      <c r="G129" s="58">
        <f>'World Union Members'!H87</f>
        <v>0.62</v>
      </c>
      <c r="H129" s="58">
        <f>'World Union Members'!I87</f>
        <v>0.04</v>
      </c>
      <c r="M129" s="21">
        <f t="shared" si="11"/>
        <v>20.399999999999999</v>
      </c>
      <c r="N129" s="21">
        <f t="shared" si="12"/>
        <v>279</v>
      </c>
      <c r="O129" s="21">
        <f t="shared" ref="O129" si="26">H129*B129*700</f>
        <v>84</v>
      </c>
    </row>
    <row r="130" spans="1:15" x14ac:dyDescent="0.25">
      <c r="A130" s="63" t="str">
        <f>'World Union Members'!B88</f>
        <v>Democratic Bloc</v>
      </c>
      <c r="B130" s="63"/>
      <c r="F130" s="58"/>
      <c r="G130" s="58"/>
      <c r="H130" s="58"/>
      <c r="M130" s="21"/>
      <c r="N130" s="21"/>
      <c r="O130" s="21"/>
    </row>
    <row r="131" spans="1:15" x14ac:dyDescent="0.25">
      <c r="A131" s="63" t="str">
        <f>'World Union Members'!B89</f>
        <v>Trudeau</v>
      </c>
      <c r="B131" s="63">
        <f>'World Union Members'!C89</f>
        <v>2</v>
      </c>
      <c r="F131" s="58">
        <f>'World Union Members'!G89</f>
        <v>0.22</v>
      </c>
      <c r="G131" s="58">
        <f>'World Union Members'!H89</f>
        <v>0.71</v>
      </c>
      <c r="H131" s="58">
        <f>'World Union Members'!I89</f>
        <v>7.0000000000000007E-2</v>
      </c>
      <c r="M131" s="21">
        <f t="shared" si="11"/>
        <v>8.8000000000000007</v>
      </c>
      <c r="N131" s="21">
        <f t="shared" si="12"/>
        <v>213</v>
      </c>
      <c r="O131" s="21">
        <f t="shared" ref="O131" si="27">H131*B131*700</f>
        <v>98.000000000000014</v>
      </c>
    </row>
    <row r="132" spans="1:15" x14ac:dyDescent="0.25">
      <c r="A132" s="63" t="str">
        <f>'World Union Members'!B90</f>
        <v>Europa's TOTAL</v>
      </c>
      <c r="B132" s="63">
        <f>'World Union Members'!C90</f>
        <v>5</v>
      </c>
      <c r="F132" s="60"/>
      <c r="G132" s="60"/>
      <c r="H132" s="60"/>
    </row>
    <row r="133" spans="1:15" x14ac:dyDescent="0.25">
      <c r="A133" s="63"/>
      <c r="B133" s="63"/>
      <c r="F133" s="60"/>
      <c r="G133" s="60"/>
      <c r="H133" s="60"/>
      <c r="M133" s="21">
        <f>SUM(M46:M131)</f>
        <v>154291.39999999994</v>
      </c>
      <c r="N133" s="21">
        <f t="shared" ref="N133:O133" si="28">SUM(N46:N131)</f>
        <v>820044</v>
      </c>
      <c r="O133" s="21">
        <f t="shared" si="28"/>
        <v>278229</v>
      </c>
    </row>
    <row r="134" spans="1:15" x14ac:dyDescent="0.25">
      <c r="A134" s="63" t="str">
        <f>'World Union Members'!B92</f>
        <v>Earth's Council TOTAL</v>
      </c>
      <c r="B134" s="63">
        <f>'World Union Members'!C92</f>
        <v>13579</v>
      </c>
      <c r="F134" s="60"/>
      <c r="G134" s="60"/>
      <c r="H134" s="60"/>
    </row>
    <row r="135" spans="1:15" x14ac:dyDescent="0.25">
      <c r="F135" s="60"/>
      <c r="G135" s="60"/>
      <c r="H135" s="60"/>
    </row>
  </sheetData>
  <sortState ref="A3:C29">
    <sortCondition ref="A3"/>
  </sortState>
  <mergeCells count="6">
    <mergeCell ref="W32:X32"/>
    <mergeCell ref="W31:X31"/>
    <mergeCell ref="W36:X36"/>
    <mergeCell ref="W35:X35"/>
    <mergeCell ref="W34:X34"/>
    <mergeCell ref="W33:X33"/>
  </mergeCells>
  <conditionalFormatting sqref="F46:H49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{22234DE4-B40E-4ED6-B678-55F3D78FBE2E}</x14:id>
        </ext>
      </extLst>
    </cfRule>
  </conditionalFormatting>
  <conditionalFormatting sqref="F5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{F77076B7-958A-4167-A186-28952BB32823}</x14:id>
        </ext>
      </extLst>
    </cfRule>
  </conditionalFormatting>
  <conditionalFormatting sqref="G5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{C3DA3192-A3A0-40A2-9DAA-C7A134783752}</x14:id>
        </ext>
      </extLst>
    </cfRule>
  </conditionalFormatting>
  <conditionalFormatting sqref="H50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{0128AC48-485E-43C9-8827-904CA80B00CC}</x14:id>
        </ext>
      </extLst>
    </cfRule>
  </conditionalFormatting>
  <conditionalFormatting sqref="F51:H51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{9760EB0E-665D-423C-9724-71925E1FC747}</x14:id>
        </ext>
      </extLst>
    </cfRule>
  </conditionalFormatting>
  <conditionalFormatting sqref="F52:H5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{48F2C242-7A07-4555-840A-030A7E1E6746}</x14:id>
        </ext>
      </extLst>
    </cfRule>
  </conditionalFormatting>
  <conditionalFormatting sqref="F59:H13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{6EA4B70A-92E5-47D7-9215-D09E46671D24}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34DE4-B40E-4ED6-B678-55F3D78FB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F46:H49</xm:sqref>
        </x14:conditionalFormatting>
        <x14:conditionalFormatting xmlns:xm="http://schemas.microsoft.com/office/excel/2006/main">
          <x14:cfRule type="dataBar" id="{F77076B7-958A-4167-A186-28952BB32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C3DA3192-A3A0-40A2-9DAA-C7A134783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0128AC48-485E-43C9-8827-904CA80B00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9760EB0E-665D-423C-9724-71925E1FC7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F51:H51</xm:sqref>
        </x14:conditionalFormatting>
        <x14:conditionalFormatting xmlns:xm="http://schemas.microsoft.com/office/excel/2006/main">
          <x14:cfRule type="dataBar" id="{48F2C242-7A07-4555-840A-030A7E1E6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F52:H54</xm:sqref>
        </x14:conditionalFormatting>
        <x14:conditionalFormatting xmlns:xm="http://schemas.microsoft.com/office/excel/2006/main">
          <x14:cfRule type="dataBar" id="{6EA4B70A-92E5-47D7-9215-D09E46671D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F59:H131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Mechanics</vt:lpstr>
      <vt:lpstr>Character Sheet</vt:lpstr>
      <vt:lpstr>Interstellar Travel</vt:lpstr>
      <vt:lpstr>World Union Members</vt:lpstr>
      <vt:lpstr>World Union Management</vt:lpstr>
      <vt:lpstr>StockMarket</vt:lpstr>
      <vt:lpstr>Lore</vt:lpstr>
      <vt:lpstr>DATA</vt:lpstr>
      <vt:lpstr>AbltyCost</vt:lpstr>
      <vt:lpstr>DBG</vt:lpstr>
      <vt:lpstr>DBP</vt:lpstr>
      <vt:lpstr>EarthTotPop</vt:lpstr>
      <vt:lpstr>EFG</vt:lpstr>
      <vt:lpstr>EFP</vt:lpstr>
      <vt:lpstr>ICG</vt:lpstr>
      <vt:lpstr>ICP</vt:lpstr>
      <vt:lpstr>LunaPopTot</vt:lpstr>
      <vt:lpstr>PAAG</vt:lpstr>
      <vt:lpstr>PAAP</vt:lpstr>
      <vt:lpstr>SFG</vt:lpstr>
      <vt:lpstr>SFP</vt:lpstr>
      <vt:lpstr>SkillCost</vt:lpstr>
      <vt:lpstr>TotRev</vt:lpstr>
      <vt:lpstr>UAPG</vt:lpstr>
      <vt:lpstr>UAPP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</dc:creator>
  <cp:lastModifiedBy>SUZAN</cp:lastModifiedBy>
  <cp:lastPrinted>2016-05-07T16:58:42Z</cp:lastPrinted>
  <dcterms:created xsi:type="dcterms:W3CDTF">2016-03-11T04:35:23Z</dcterms:created>
  <dcterms:modified xsi:type="dcterms:W3CDTF">2016-07-13T03:09:13Z</dcterms:modified>
</cp:coreProperties>
</file>