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updateLinks="never" codeName="ThisWorkbook" defaultThemeVersion="124226"/>
  <workbookProtection workbookPassword="B159" lockStructure="1"/>
  <bookViews>
    <workbookView xWindow="-105" yWindow="-105" windowWidth="19425" windowHeight="10425" tabRatio="897" activeTab="4"/>
  </bookViews>
  <sheets>
    <sheet name="Data" sheetId="1" r:id="rId1"/>
    <sheet name="R C" sheetId="2" state="hidden" r:id="rId2"/>
    <sheet name="Covering Lr" sheetId="4" r:id="rId3"/>
    <sheet name="Lr to DDO" sheetId="5" r:id="rId4"/>
    <sheet name="Checklist" sheetId="6" r:id="rId5"/>
    <sheet name="Appendix-II" sheetId="7" r:id="rId6"/>
    <sheet name="Nondrawn" sheetId="8" r:id="rId7"/>
    <sheet name="Spell Certificate" sheetId="9" r:id="rId8"/>
    <sheet name="Dependant certificate" sheetId="10" r:id="rId9"/>
    <sheet name="FORM C" sheetId="14" r:id="rId10"/>
    <sheet name="FORM E" sheetId="13" r:id="rId11"/>
    <sheet name="CLAIMING FORMS" sheetId="3" r:id="rId12"/>
    <sheet name="Conformity Lr" sheetId="11" r:id="rId13"/>
    <sheet name="Genuine certificate" sheetId="12" r:id="rId14"/>
  </sheets>
  <externalReferences>
    <externalReference r:id="rId15"/>
  </externalReferences>
  <definedNames>
    <definedName name="_xlnm._FilterDatabase" localSheetId="0" hidden="1">Data!$A$2:$D$28</definedName>
    <definedName name="PRINT">Data!#REF!</definedName>
    <definedName name="_xlnm.Print_Area" localSheetId="5">'Appendix-II'!$A$1:$I$31</definedName>
    <definedName name="_xlnm.Print_Area" localSheetId="4">Checklist!$A$1:$P$47</definedName>
    <definedName name="_xlnm.Print_Area" localSheetId="11">'CLAIMING FORMS'!$A$3:$V$251</definedName>
    <definedName name="_xlnm.Print_Area" localSheetId="12">'Conformity Lr'!$A$1:$I$36</definedName>
    <definedName name="_xlnm.Print_Area" localSheetId="2">'Covering Lr'!$A$1:$I$47</definedName>
    <definedName name="_xlnm.Print_Area" localSheetId="8">'Dependant certificate'!$A$2:$I$17</definedName>
    <definedName name="_xlnm.Print_Area" localSheetId="9">'FORM C'!$A$1:$E$37</definedName>
    <definedName name="_xlnm.Print_Area" localSheetId="13">'Genuine certificate'!$A$2:$I$26</definedName>
    <definedName name="_xlnm.Print_Area" localSheetId="3">'Lr to DDO'!$A$1:$I$43</definedName>
    <definedName name="_xlnm.Print_Area" localSheetId="6">Nondrawn!$A$1:$I$16</definedName>
    <definedName name="_xlnm.Print_Area" localSheetId="7">'Spell Certificate'!$A$5:$I$19</definedName>
    <definedName name="Z_103A096D_A9CC_4C43_943C_D5C1745C9614_.wvu.PrintArea" localSheetId="11" hidden="1">'CLAIMING FORMS'!$A$36:$V$81</definedName>
    <definedName name="Z_103A096D_A9CC_4C43_943C_D5C1745C9614_.wvu.Rows" localSheetId="11" hidden="1">'CLAIMING FORMS'!$31:$31</definedName>
    <definedName name="Z_2AFAE2B3_9E59_48CB_B9D4_A36B7DAD107D_.wvu.Cols" localSheetId="1" hidden="1">'R C'!$C:$DE</definedName>
    <definedName name="Z_2AFAE2B3_9E59_48CB_B9D4_A36B7DAD107D_.wvu.Rows" localSheetId="1" hidden="1">'R C'!$1:$12,'R C'!$14:$14</definedName>
    <definedName name="Z_2CF762E7_7F5D_4152_9AA4_4C5A69D32977_.wvu.PrintArea" localSheetId="11" hidden="1">'CLAIMING FORMS'!$A$36:$V$81</definedName>
    <definedName name="Z_2CF762E7_7F5D_4152_9AA4_4C5A69D32977_.wvu.Rows" localSheetId="11" hidden="1">'CLAIMING FORMS'!$31:$31</definedName>
    <definedName name="Z_445CA7D1_EA9C_4698_917C_D245849A2805_.wvu.PrintArea" localSheetId="11" hidden="1">'CLAIMING FORMS'!$A$36:$V$81</definedName>
    <definedName name="Z_445CA7D1_EA9C_4698_917C_D245849A2805_.wvu.Rows" localSheetId="11" hidden="1">'CLAIMING FORMS'!$31:$31</definedName>
    <definedName name="Z_55ACEA75_7491_4E9F_AB9F_61C52763C843_.wvu.Cols" localSheetId="1" hidden="1">'R C'!$C:$DE</definedName>
    <definedName name="Z_55ACEA75_7491_4E9F_AB9F_61C52763C843_.wvu.Rows" localSheetId="1" hidden="1">'R C'!$1:$12,'R C'!$14:$14</definedName>
    <definedName name="Z_6FBB232D_0911_4188_BA31_A62D185EA86A_.wvu.PrintArea" localSheetId="11" hidden="1">'CLAIMING FORMS'!$A$36:$V$81</definedName>
    <definedName name="Z_7F45A8B3_C969_42B3_9652_D1FF93C998F6_.wvu.Cols" localSheetId="1" hidden="1">'R C'!$C:$DE</definedName>
    <definedName name="Z_7F45A8B3_C969_42B3_9652_D1FF93C998F6_.wvu.Rows" localSheetId="1" hidden="1">'R C'!$1:$12,'R C'!$14:$14</definedName>
    <definedName name="Z_807F254B_987D_4BF4_9852_2E68168B9CD8_.wvu.Cols" localSheetId="1" hidden="1">'R C'!$C:$DE</definedName>
    <definedName name="Z_807F254B_987D_4BF4_9852_2E68168B9CD8_.wvu.Rows" localSheetId="1" hidden="1">'R C'!$1:$12,'R C'!$14:$14</definedName>
    <definedName name="Z_81B7F549_FAB9_4E02_97BC_FF4DAAAE0A4D_.wvu.Cols" localSheetId="1" hidden="1">'R C'!$C:$DE</definedName>
    <definedName name="Z_81B7F549_FAB9_4E02_97BC_FF4DAAAE0A4D_.wvu.Rows" localSheetId="1" hidden="1">'R C'!$1:$12,'R C'!$14:$14</definedName>
    <definedName name="Z_905FCB64_E173_4060_A7FB_5909CF15A118_.wvu.PrintArea" localSheetId="11" hidden="1">'CLAIMING FORMS'!$A$36:$V$81</definedName>
    <definedName name="Z_B625ED32_945B_469E_9979_E993C41040F6_.wvu.Cols" localSheetId="5" hidden="1">'Appendix-II'!$K:$IV</definedName>
    <definedName name="Z_B625ED32_945B_469E_9979_E993C41040F6_.wvu.Cols" localSheetId="4" hidden="1">Checklist!$R:$IV</definedName>
    <definedName name="Z_B625ED32_945B_469E_9979_E993C41040F6_.wvu.Cols" localSheetId="11" hidden="1">'CLAIMING FORMS'!$X:$IV</definedName>
    <definedName name="Z_B625ED32_945B_469E_9979_E993C41040F6_.wvu.Cols" localSheetId="12" hidden="1">'Conformity Lr'!$K:$IV</definedName>
    <definedName name="Z_B625ED32_945B_469E_9979_E993C41040F6_.wvu.Cols" localSheetId="2" hidden="1">'Covering Lr'!$K:$IV</definedName>
    <definedName name="Z_B625ED32_945B_469E_9979_E993C41040F6_.wvu.Cols" localSheetId="0" hidden="1">Data!$AE:$IV</definedName>
    <definedName name="Z_B625ED32_945B_469E_9979_E993C41040F6_.wvu.Cols" localSheetId="8" hidden="1">'Dependant certificate'!$K:$IV</definedName>
    <definedName name="Z_B625ED32_945B_469E_9979_E993C41040F6_.wvu.Cols" localSheetId="13" hidden="1">'Genuine certificate'!$R:$IV</definedName>
    <definedName name="Z_B625ED32_945B_469E_9979_E993C41040F6_.wvu.Cols" localSheetId="3" hidden="1">'Lr to DDO'!$K:$IV</definedName>
    <definedName name="Z_B625ED32_945B_469E_9979_E993C41040F6_.wvu.Cols" localSheetId="6" hidden="1">Nondrawn!$K:$IV</definedName>
    <definedName name="Z_B625ED32_945B_469E_9979_E993C41040F6_.wvu.Cols" localSheetId="1" hidden="1">'R C'!$C:$DD</definedName>
    <definedName name="Z_B625ED32_945B_469E_9979_E993C41040F6_.wvu.Cols" localSheetId="7" hidden="1">'Spell Certificate'!$K:$IV</definedName>
    <definedName name="Z_B625ED32_945B_469E_9979_E993C41040F6_.wvu.FilterData" localSheetId="0" hidden="1">Data!$A$2:$D$28</definedName>
    <definedName name="Z_B625ED32_945B_469E_9979_E993C41040F6_.wvu.PrintArea" localSheetId="5" hidden="1">'Appendix-II'!$A$1:$I$31</definedName>
    <definedName name="Z_B625ED32_945B_469E_9979_E993C41040F6_.wvu.PrintArea" localSheetId="4" hidden="1">Checklist!$A$1:$P$47</definedName>
    <definedName name="Z_B625ED32_945B_469E_9979_E993C41040F6_.wvu.PrintArea" localSheetId="11" hidden="1">'CLAIMING FORMS'!$A$3:$V$34</definedName>
    <definedName name="Z_B625ED32_945B_469E_9979_E993C41040F6_.wvu.PrintArea" localSheetId="12" hidden="1">'Conformity Lr'!$A$1:$I$36</definedName>
    <definedName name="Z_B625ED32_945B_469E_9979_E993C41040F6_.wvu.PrintArea" localSheetId="2" hidden="1">'Covering Lr'!$A$1:$I$47</definedName>
    <definedName name="Z_B625ED32_945B_469E_9979_E993C41040F6_.wvu.PrintArea" localSheetId="8" hidden="1">'Dependant certificate'!$A$2:$I$17</definedName>
    <definedName name="Z_B625ED32_945B_469E_9979_E993C41040F6_.wvu.PrintArea" localSheetId="13" hidden="1">'Genuine certificate'!$A$2:$I$26</definedName>
    <definedName name="Z_B625ED32_945B_469E_9979_E993C41040F6_.wvu.PrintArea" localSheetId="3" hidden="1">'Lr to DDO'!$A$1:$I$43</definedName>
    <definedName name="Z_B625ED32_945B_469E_9979_E993C41040F6_.wvu.PrintArea" localSheetId="6" hidden="1">Nondrawn!$A$1:$I$16</definedName>
    <definedName name="Z_B625ED32_945B_469E_9979_E993C41040F6_.wvu.PrintArea" localSheetId="7" hidden="1">'Spell Certificate'!$A$5:$I$19</definedName>
    <definedName name="Z_B625ED32_945B_469E_9979_E993C41040F6_.wvu.Rows" localSheetId="4" hidden="1">Checklist!$65:$65536,Checklist!$48:$64</definedName>
    <definedName name="Z_B625ED32_945B_469E_9979_E993C41040F6_.wvu.Rows" localSheetId="11" hidden="1">'CLAIMING FORMS'!$111:$65536,'CLAIMING FORMS'!$31:$31,'CLAIMING FORMS'!$36:$36,'CLAIMING FORMS'!$108:$108,'CLAIMING FORMS'!#REF!</definedName>
    <definedName name="Z_B625ED32_945B_469E_9979_E993C41040F6_.wvu.Rows" localSheetId="2" hidden="1">'Covering Lr'!$52:$65536,'Covering Lr'!$10:$10,'Covering Lr'!$49:$51</definedName>
    <definedName name="Z_B625ED32_945B_469E_9979_E993C41040F6_.wvu.Rows" localSheetId="0" hidden="1">Data!$38:$65536,Data!$27:$37</definedName>
    <definedName name="Z_B625ED32_945B_469E_9979_E993C41040F6_.wvu.Rows" localSheetId="3" hidden="1">'Lr to DDO'!$49:$65536,'Lr to DDO'!$43:$43,'Lr to DDO'!$45:$48</definedName>
    <definedName name="Z_B625ED32_945B_469E_9979_E993C41040F6_.wvu.Rows" localSheetId="1" hidden="1">'R C'!$1:$12,'R C'!$14:$14</definedName>
    <definedName name="Z_B625ED32_945B_469E_9979_E993C41040F6_.wvu.Rows" localSheetId="7" hidden="1">'Spell Certificate'!$1:$4</definedName>
    <definedName name="Z_BE3B6F76_21C8_48D8_8954_DCEF5546701C_.wvu.Cols" localSheetId="1" hidden="1">'R C'!$C:$DE</definedName>
    <definedName name="Z_BE3B6F76_21C8_48D8_8954_DCEF5546701C_.wvu.Rows" localSheetId="1" hidden="1">'R C'!$1:$12,'R C'!$14:$14</definedName>
    <definedName name="Z_EF730871_36CF_444D_94EB_8C166610D0F3_.wvu.Cols" localSheetId="1" hidden="1">'R C'!$C:$DE</definedName>
    <definedName name="Z_EF730871_36CF_444D_94EB_8C166610D0F3_.wvu.Rows" localSheetId="1" hidden="1">'R C'!$1:$12,'R C'!$14:$14</definedName>
  </definedNames>
  <calcPr calcId="144525"/>
  <customWorkbookViews>
    <customWorkbookView name="ULTIMATE - Personal View" guid="{B625ED32-945B-469E-9979-E993C41040F6}" mergeInterval="0" personalView="1" maximized="1" xWindow="1" yWindow="1" windowWidth="1362" windowHeight="538" tabRatio="861" activeSheetId="3"/>
  </customWorkbookViews>
</workbook>
</file>

<file path=xl/calcChain.xml><?xml version="1.0" encoding="utf-8"?>
<calcChain xmlns="http://schemas.openxmlformats.org/spreadsheetml/2006/main">
  <c r="B35" i="14" l="1"/>
  <c r="K10" i="14"/>
  <c r="K9" i="14"/>
  <c r="K8" i="14"/>
  <c r="K7" i="14"/>
  <c r="D11" i="14"/>
  <c r="D10" i="14"/>
  <c r="D9" i="14"/>
  <c r="D8" i="14"/>
  <c r="DI26" i="2"/>
  <c r="AQ6" i="1"/>
  <c r="AR6" i="1"/>
  <c r="G3" i="13"/>
  <c r="F3" i="13"/>
  <c r="E3" i="13"/>
  <c r="D18" i="14"/>
  <c r="D7" i="14"/>
  <c r="A6" i="3"/>
  <c r="K26" i="6"/>
  <c r="K25" i="6"/>
  <c r="K24" i="6"/>
  <c r="F7" i="4"/>
  <c r="O18" i="1"/>
  <c r="O15" i="1"/>
  <c r="B121" i="3"/>
  <c r="B139" i="3"/>
  <c r="E55" i="3"/>
  <c r="F224" i="3" s="1"/>
  <c r="A44" i="3"/>
  <c r="U24" i="3"/>
  <c r="T24" i="3"/>
  <c r="S24" i="3"/>
  <c r="A4" i="3"/>
  <c r="R70" i="3"/>
  <c r="S70" i="3"/>
  <c r="T70" i="3"/>
  <c r="O24" i="3"/>
  <c r="M24" i="3"/>
  <c r="K24" i="3"/>
  <c r="B24" i="3"/>
  <c r="AH6" i="1"/>
  <c r="P31" i="3"/>
  <c r="A5" i="3"/>
  <c r="A21" i="1"/>
  <c r="C12" i="3" s="1"/>
  <c r="A22" i="1"/>
  <c r="C14" i="3" s="1"/>
  <c r="Q70" i="3"/>
  <c r="O69" i="3"/>
  <c r="O70" i="3" s="1"/>
  <c r="M69" i="3"/>
  <c r="K69" i="3"/>
  <c r="I69" i="3"/>
  <c r="O121" i="3"/>
  <c r="O139" i="3" s="1"/>
  <c r="F69" i="3"/>
  <c r="K121" i="3"/>
  <c r="K139" i="3"/>
  <c r="A84" i="3"/>
  <c r="O16" i="1"/>
  <c r="AH5" i="1"/>
  <c r="K6" i="6" s="1"/>
  <c r="A9" i="5"/>
  <c r="R2" i="12"/>
  <c r="O2" i="11"/>
  <c r="B15" i="12"/>
  <c r="F22" i="12"/>
  <c r="A1" i="11"/>
  <c r="A2" i="11"/>
  <c r="A5" i="11"/>
  <c r="A6" i="11"/>
  <c r="F6" i="11"/>
  <c r="A7" i="11"/>
  <c r="F7" i="11"/>
  <c r="A8" i="11"/>
  <c r="A11" i="11"/>
  <c r="G33" i="11"/>
  <c r="G34" i="11"/>
  <c r="O2" i="10"/>
  <c r="B13" i="10"/>
  <c r="B14" i="10"/>
  <c r="G10" i="9"/>
  <c r="G11" i="9"/>
  <c r="O2" i="8"/>
  <c r="A4" i="8"/>
  <c r="A5" i="10" s="1"/>
  <c r="G4" i="8"/>
  <c r="A5" i="8"/>
  <c r="A6" i="10" s="1"/>
  <c r="G5" i="8"/>
  <c r="O2" i="7"/>
  <c r="F6" i="7"/>
  <c r="C3" i="13" s="1"/>
  <c r="F7" i="7"/>
  <c r="F10" i="7"/>
  <c r="D14" i="14"/>
  <c r="F11" i="7"/>
  <c r="D15" i="14" s="1"/>
  <c r="F12" i="7"/>
  <c r="D16" i="14"/>
  <c r="F15" i="7"/>
  <c r="D20" i="14" s="1"/>
  <c r="F18" i="7"/>
  <c r="D21" i="14" s="1"/>
  <c r="F20" i="7"/>
  <c r="C30" i="7"/>
  <c r="C31" i="7"/>
  <c r="T2" i="6"/>
  <c r="K9" i="6"/>
  <c r="K10" i="6"/>
  <c r="K11" i="6"/>
  <c r="K12" i="6"/>
  <c r="K13" i="6"/>
  <c r="K29" i="6"/>
  <c r="K32" i="6"/>
  <c r="O2" i="5"/>
  <c r="O5" i="9"/>
  <c r="A1" i="4"/>
  <c r="A2" i="4"/>
  <c r="O2" i="4"/>
  <c r="A5" i="4"/>
  <c r="A6" i="4"/>
  <c r="A5" i="5" s="1"/>
  <c r="A7" i="4"/>
  <c r="A8" i="4"/>
  <c r="A7" i="5" s="1"/>
  <c r="A11" i="4"/>
  <c r="B21" i="4"/>
  <c r="G36" i="4"/>
  <c r="G37" i="4"/>
  <c r="A36" i="3"/>
  <c r="AC7" i="3"/>
  <c r="A1" i="3" s="1"/>
  <c r="A42" i="3"/>
  <c r="E49" i="3"/>
  <c r="A150" i="3" s="1"/>
  <c r="D51" i="3"/>
  <c r="E53" i="3"/>
  <c r="E57" i="3"/>
  <c r="A64" i="3"/>
  <c r="A189" i="3"/>
  <c r="K189" i="3"/>
  <c r="A193" i="3"/>
  <c r="A213" i="3"/>
  <c r="D218" i="3"/>
  <c r="D222" i="3"/>
  <c r="K222" i="3"/>
  <c r="K224" i="3"/>
  <c r="A235" i="3"/>
  <c r="A240" i="3"/>
  <c r="A116" i="3"/>
  <c r="A134" i="3" s="1"/>
  <c r="A118" i="3"/>
  <c r="A151" i="3" s="1"/>
  <c r="A168" i="3" s="1"/>
  <c r="A136" i="3"/>
  <c r="C154" i="3"/>
  <c r="C173" i="3" s="1"/>
  <c r="K173" i="3"/>
  <c r="A16" i="2"/>
  <c r="C16" i="2" s="1"/>
  <c r="DH16" i="2"/>
  <c r="DL16" i="2"/>
  <c r="A17" i="2"/>
  <c r="S121" i="3" s="1"/>
  <c r="DH17" i="2"/>
  <c r="DL17" i="2"/>
  <c r="DO17" i="2"/>
  <c r="B19" i="2"/>
  <c r="C19" i="2"/>
  <c r="D19" i="2" s="1"/>
  <c r="G19" i="2"/>
  <c r="Q19" i="2"/>
  <c r="B20" i="2"/>
  <c r="C20" i="2"/>
  <c r="D20" i="2"/>
  <c r="G20" i="2"/>
  <c r="Q20" i="2"/>
  <c r="B21" i="2"/>
  <c r="C21" i="2"/>
  <c r="Q21" i="2"/>
  <c r="B22" i="2"/>
  <c r="C22" i="2"/>
  <c r="D22" i="2"/>
  <c r="H22" i="2"/>
  <c r="Q22" i="2"/>
  <c r="B23" i="2"/>
  <c r="C23" i="2"/>
  <c r="D23" i="2"/>
  <c r="O23" i="2" s="1"/>
  <c r="Q23" i="2"/>
  <c r="B24" i="2"/>
  <c r="C24" i="2"/>
  <c r="G24" i="2" s="1"/>
  <c r="N24" i="2"/>
  <c r="D24" i="2"/>
  <c r="Q24" i="2"/>
  <c r="B25" i="2"/>
  <c r="C25" i="2"/>
  <c r="D25" i="2" s="1"/>
  <c r="Q25" i="2"/>
  <c r="B26" i="2"/>
  <c r="C26" i="2"/>
  <c r="N26" i="2"/>
  <c r="D26" i="2"/>
  <c r="O26" i="2" s="1"/>
  <c r="G26" i="2"/>
  <c r="Q26" i="2"/>
  <c r="B27" i="2"/>
  <c r="C27" i="2"/>
  <c r="D27" i="2" s="1"/>
  <c r="G27" i="2"/>
  <c r="Q27" i="2"/>
  <c r="DL27" i="2"/>
  <c r="B28" i="2"/>
  <c r="C28" i="2"/>
  <c r="G28" i="2" s="1"/>
  <c r="Q28" i="2"/>
  <c r="B29" i="2"/>
  <c r="C29" i="2"/>
  <c r="D29" i="2" s="1"/>
  <c r="Q29" i="2"/>
  <c r="B30" i="2"/>
  <c r="C30" i="2"/>
  <c r="D30" i="2"/>
  <c r="G30" i="2"/>
  <c r="Q30" i="2"/>
  <c r="B31" i="2"/>
  <c r="C31" i="2"/>
  <c r="G31" i="2"/>
  <c r="D31" i="2"/>
  <c r="E31" i="2" s="1"/>
  <c r="Q31" i="2"/>
  <c r="B32" i="2"/>
  <c r="C32" i="2"/>
  <c r="D32" i="2" s="1"/>
  <c r="Q32" i="2"/>
  <c r="B33" i="2"/>
  <c r="C33" i="2"/>
  <c r="Q33" i="2"/>
  <c r="B34" i="2"/>
  <c r="C34" i="2"/>
  <c r="Q34" i="2"/>
  <c r="B35" i="2"/>
  <c r="C35" i="2"/>
  <c r="G35" i="2" s="1"/>
  <c r="Q35" i="2"/>
  <c r="B36" i="2"/>
  <c r="C36" i="2"/>
  <c r="E36" i="2" s="1"/>
  <c r="G36" i="2"/>
  <c r="Q36" i="2"/>
  <c r="B37" i="2"/>
  <c r="C37" i="2"/>
  <c r="E37" i="2" s="1"/>
  <c r="Q37" i="2"/>
  <c r="B38" i="2"/>
  <c r="C38" i="2"/>
  <c r="Q38" i="2"/>
  <c r="B39" i="2"/>
  <c r="C39" i="2"/>
  <c r="Q39" i="2"/>
  <c r="Y4" i="1"/>
  <c r="AL9" i="1"/>
  <c r="AL10" i="1"/>
  <c r="AF11" i="1"/>
  <c r="AG11" i="1"/>
  <c r="AH12" i="1" s="1"/>
  <c r="AH13" i="1" s="1"/>
  <c r="AH11" i="1"/>
  <c r="AL11" i="1"/>
  <c r="AE12" i="1"/>
  <c r="K14" i="6" s="1"/>
  <c r="AL12" i="1"/>
  <c r="AR12" i="1"/>
  <c r="AS12" i="1"/>
  <c r="AU12" i="1" s="1"/>
  <c r="AT12" i="1"/>
  <c r="AL13" i="1"/>
  <c r="AR13" i="1"/>
  <c r="AS13" i="1"/>
  <c r="AT13" i="1"/>
  <c r="AL14" i="1"/>
  <c r="AL15" i="1"/>
  <c r="AL16" i="1"/>
  <c r="AL17" i="1"/>
  <c r="AL18" i="1"/>
  <c r="AL19" i="1"/>
  <c r="F5" i="4"/>
  <c r="G25" i="1"/>
  <c r="F6" i="4"/>
  <c r="H26" i="2"/>
  <c r="H24" i="2"/>
  <c r="O24" i="2"/>
  <c r="O22" i="2"/>
  <c r="H30" i="2"/>
  <c r="O30" i="2"/>
  <c r="E30" i="2"/>
  <c r="F30" i="2" s="1"/>
  <c r="D39" i="2"/>
  <c r="O39" i="2"/>
  <c r="D36" i="2"/>
  <c r="O36" i="2" s="1"/>
  <c r="D33" i="2"/>
  <c r="O33" i="2"/>
  <c r="N31" i="2"/>
  <c r="N30" i="2"/>
  <c r="E20" i="2"/>
  <c r="K20" i="2" s="1"/>
  <c r="M20" i="2" s="1"/>
  <c r="E39" i="2"/>
  <c r="N27" i="2"/>
  <c r="N23" i="2"/>
  <c r="N21" i="2"/>
  <c r="N20" i="2"/>
  <c r="N19" i="2"/>
  <c r="N39" i="2"/>
  <c r="N38" i="2"/>
  <c r="N34" i="2"/>
  <c r="H39" i="2"/>
  <c r="H33" i="2"/>
  <c r="I30" i="2"/>
  <c r="E33" i="2"/>
  <c r="P33" i="2" s="1"/>
  <c r="G32" i="2"/>
  <c r="H36" i="2"/>
  <c r="D21" i="2"/>
  <c r="O21" i="2" s="1"/>
  <c r="G21" i="2"/>
  <c r="O31" i="2"/>
  <c r="H31" i="2"/>
  <c r="G39" i="2"/>
  <c r="D35" i="2"/>
  <c r="O35" i="2" s="1"/>
  <c r="N35" i="2"/>
  <c r="E26" i="2"/>
  <c r="K26" i="2" s="1"/>
  <c r="M26" i="2" s="1"/>
  <c r="N37" i="2"/>
  <c r="D37" i="2"/>
  <c r="O37" i="2" s="1"/>
  <c r="G33" i="2"/>
  <c r="N33" i="2"/>
  <c r="N29" i="2"/>
  <c r="G38" i="2"/>
  <c r="D38" i="2"/>
  <c r="E38" i="2" s="1"/>
  <c r="G34" i="2"/>
  <c r="D34" i="2"/>
  <c r="E34" i="2" s="1"/>
  <c r="D28" i="2"/>
  <c r="H28" i="2" s="1"/>
  <c r="G25" i="2"/>
  <c r="G22" i="2"/>
  <c r="E22" i="2"/>
  <c r="N22" i="2"/>
  <c r="H37" i="2"/>
  <c r="H21" i="2"/>
  <c r="H38" i="2"/>
  <c r="O28" i="2"/>
  <c r="O34" i="2"/>
  <c r="H34" i="2"/>
  <c r="H35" i="2"/>
  <c r="E21" i="2"/>
  <c r="P21" i="2" s="1"/>
  <c r="I33" i="2"/>
  <c r="P20" i="2"/>
  <c r="I22" i="2"/>
  <c r="P22" i="2"/>
  <c r="P26" i="2"/>
  <c r="F26" i="2"/>
  <c r="J26" i="2" s="1"/>
  <c r="E35" i="2"/>
  <c r="P35" i="2" s="1"/>
  <c r="F35" i="2"/>
  <c r="L35" i="2" s="1"/>
  <c r="F22" i="2"/>
  <c r="K22" i="2"/>
  <c r="F20" i="2"/>
  <c r="L20" i="2" s="1"/>
  <c r="P30" i="2"/>
  <c r="P39" i="2"/>
  <c r="F39" i="2"/>
  <c r="K39" i="2"/>
  <c r="H20" i="2"/>
  <c r="O20" i="2"/>
  <c r="I39" i="2"/>
  <c r="E23" i="2"/>
  <c r="P23" i="2" s="1"/>
  <c r="F23" i="2"/>
  <c r="J23" i="2" s="1"/>
  <c r="G23" i="2"/>
  <c r="L23" i="2"/>
  <c r="I35" i="2"/>
  <c r="L39" i="2"/>
  <c r="M39" i="2"/>
  <c r="J39" i="2"/>
  <c r="L26" i="2"/>
  <c r="J20" i="2"/>
  <c r="J22" i="2"/>
  <c r="L22" i="2"/>
  <c r="M22" i="2"/>
  <c r="D3" i="13"/>
  <c r="N195" i="3"/>
  <c r="D220" i="3"/>
  <c r="A188" i="3"/>
  <c r="A4" i="5"/>
  <c r="A5" i="12"/>
  <c r="A7" i="12"/>
  <c r="A6" i="5"/>
  <c r="U69" i="3"/>
  <c r="U70" i="3" s="1"/>
  <c r="B138" i="3"/>
  <c r="AU13" i="1" l="1"/>
  <c r="A8" i="12"/>
  <c r="A10" i="9"/>
  <c r="A6" i="12"/>
  <c r="A24" i="5"/>
  <c r="DX23" i="2"/>
  <c r="DY23" i="2" s="1"/>
  <c r="EC23" i="2" s="1"/>
  <c r="U7" i="1"/>
  <c r="H33" i="5"/>
  <c r="C121" i="3"/>
  <c r="C139" i="3" s="1"/>
  <c r="B69" i="3"/>
  <c r="C120" i="3"/>
  <c r="C138" i="3" s="1"/>
  <c r="K7" i="6"/>
  <c r="A23" i="7"/>
  <c r="F9" i="7"/>
  <c r="D13" i="14" s="1"/>
  <c r="G7" i="1"/>
  <c r="F13" i="7"/>
  <c r="D17" i="14" s="1"/>
  <c r="P2" i="10"/>
  <c r="F28" i="7"/>
  <c r="DI31" i="2"/>
  <c r="G24" i="3" s="1"/>
  <c r="DX27" i="2"/>
  <c r="DY27" i="2" s="1"/>
  <c r="DZ27" i="2" s="1"/>
  <c r="DX24" i="2"/>
  <c r="DY24" i="2" s="1"/>
  <c r="EB24" i="2" s="1"/>
  <c r="DX26" i="2"/>
  <c r="DY26" i="2" s="1"/>
  <c r="DZ26" i="2" s="1"/>
  <c r="Y20" i="1"/>
  <c r="AL20" i="1" s="1"/>
  <c r="G34" i="5"/>
  <c r="G8" i="10" s="1"/>
  <c r="K8" i="6"/>
  <c r="DX25" i="2"/>
  <c r="DY25" i="2" s="1"/>
  <c r="EC25" i="2" s="1"/>
  <c r="G35" i="5"/>
  <c r="DI27" i="2"/>
  <c r="K3" i="6" s="1"/>
  <c r="DX22" i="2"/>
  <c r="DY22" i="2" s="1"/>
  <c r="EC22" i="2" s="1"/>
  <c r="A23" i="1"/>
  <c r="A11" i="1"/>
  <c r="DX21" i="2"/>
  <c r="DY21" i="2" s="1"/>
  <c r="DZ21" i="2" s="1"/>
  <c r="N47" i="3" s="1"/>
  <c r="DI32" i="2"/>
  <c r="C24" i="3" s="1"/>
  <c r="S6" i="1"/>
  <c r="A39" i="3"/>
  <c r="A115" i="3"/>
  <c r="A133" i="3" s="1"/>
  <c r="H32" i="2"/>
  <c r="O32" i="2"/>
  <c r="E32" i="2"/>
  <c r="O19" i="2"/>
  <c r="H19" i="2"/>
  <c r="O29" i="2"/>
  <c r="H29" i="2"/>
  <c r="E29" i="2"/>
  <c r="O27" i="2"/>
  <c r="H27" i="2"/>
  <c r="I34" i="2"/>
  <c r="P34" i="2"/>
  <c r="F34" i="2"/>
  <c r="K34" i="2" s="1"/>
  <c r="P37" i="2"/>
  <c r="I37" i="2"/>
  <c r="F37" i="2"/>
  <c r="K37" i="2" s="1"/>
  <c r="H25" i="2"/>
  <c r="O25" i="2"/>
  <c r="J30" i="2"/>
  <c r="L30" i="2"/>
  <c r="P36" i="2"/>
  <c r="I36" i="2"/>
  <c r="F36" i="2"/>
  <c r="K36" i="2" s="1"/>
  <c r="I38" i="2"/>
  <c r="P38" i="2"/>
  <c r="AV12" i="1"/>
  <c r="K19" i="6" s="1"/>
  <c r="P31" i="2"/>
  <c r="I31" i="2"/>
  <c r="K23" i="2"/>
  <c r="M23" i="2" s="1"/>
  <c r="J35" i="2"/>
  <c r="I21" i="2"/>
  <c r="D6" i="14"/>
  <c r="E47" i="3"/>
  <c r="I23" i="2"/>
  <c r="K35" i="2"/>
  <c r="M35" i="2" s="1"/>
  <c r="H23" i="2"/>
  <c r="K30" i="2"/>
  <c r="M30" i="2" s="1"/>
  <c r="I26" i="2"/>
  <c r="I20" i="2"/>
  <c r="F33" i="2"/>
  <c r="F21" i="2"/>
  <c r="K21" i="2" s="1"/>
  <c r="O38" i="2"/>
  <c r="N25" i="2"/>
  <c r="G1" i="5"/>
  <c r="E19" i="2"/>
  <c r="F29" i="2"/>
  <c r="G37" i="2"/>
  <c r="E27" i="2"/>
  <c r="F31" i="2"/>
  <c r="N32" i="2"/>
  <c r="N36" i="2"/>
  <c r="N28" i="2"/>
  <c r="E25" i="2"/>
  <c r="E24" i="2"/>
  <c r="A117" i="3"/>
  <c r="A135" i="3" s="1"/>
  <c r="Y21" i="1"/>
  <c r="AL21" i="1" s="1"/>
  <c r="F38" i="2"/>
  <c r="E28" i="2"/>
  <c r="A11" i="9"/>
  <c r="F19" i="2"/>
  <c r="G29" i="2"/>
  <c r="K11" i="14"/>
  <c r="D12" i="14" s="1"/>
  <c r="EA23" i="2"/>
  <c r="O51" i="3" s="1"/>
  <c r="P226" i="3" s="1"/>
  <c r="S122" i="3"/>
  <c r="S140" i="3" s="1"/>
  <c r="S139" i="3"/>
  <c r="Q154" i="3" s="1"/>
  <c r="Q156" i="3" s="1"/>
  <c r="R173" i="3" s="1"/>
  <c r="R175" i="3" s="1"/>
  <c r="D16" i="2"/>
  <c r="E16" i="2" s="1"/>
  <c r="N16" i="2"/>
  <c r="G16" i="2"/>
  <c r="EC27" i="2"/>
  <c r="EB27" i="2"/>
  <c r="P59" i="3" s="1"/>
  <c r="R229" i="3" s="1"/>
  <c r="EA27" i="2"/>
  <c r="O59" i="3" s="1"/>
  <c r="P229" i="3" s="1"/>
  <c r="C17" i="2"/>
  <c r="A18" i="2"/>
  <c r="DZ23" i="2" l="1"/>
  <c r="N51" i="3" s="1"/>
  <c r="O226" i="3" s="1"/>
  <c r="EB23" i="2"/>
  <c r="P51" i="3" s="1"/>
  <c r="Q226" i="3" s="1"/>
  <c r="D10" i="8"/>
  <c r="F7" i="10"/>
  <c r="C11" i="8"/>
  <c r="DZ25" i="2"/>
  <c r="EC24" i="2"/>
  <c r="EA24" i="2"/>
  <c r="DZ24" i="2"/>
  <c r="EA26" i="2"/>
  <c r="O57" i="3" s="1"/>
  <c r="K229" i="3" s="1"/>
  <c r="EC26" i="2"/>
  <c r="EA22" i="2"/>
  <c r="O49" i="3" s="1"/>
  <c r="L226" i="3" s="1"/>
  <c r="EB22" i="2"/>
  <c r="EB26" i="2"/>
  <c r="P57" i="3" s="1"/>
  <c r="L229" i="3" s="1"/>
  <c r="H121" i="3"/>
  <c r="H139" i="3" s="1"/>
  <c r="AM21" i="1"/>
  <c r="AY21" i="1" s="1"/>
  <c r="A47" i="4" s="1"/>
  <c r="A42" i="5" s="1"/>
  <c r="EB25" i="2"/>
  <c r="EA25" i="2"/>
  <c r="O55" i="3" s="1"/>
  <c r="F229" i="3" s="1"/>
  <c r="DZ22" i="2"/>
  <c r="N49" i="3" s="1"/>
  <c r="K226" i="3" s="1"/>
  <c r="F5" i="7"/>
  <c r="D4" i="14" s="1"/>
  <c r="G9" i="10"/>
  <c r="C12" i="8"/>
  <c r="A3" i="10"/>
  <c r="DI29" i="2"/>
  <c r="F31" i="5" s="1"/>
  <c r="A18" i="3" s="1"/>
  <c r="EB21" i="2"/>
  <c r="P47" i="3" s="1"/>
  <c r="EC21" i="2"/>
  <c r="Q47" i="3" s="1"/>
  <c r="H226" i="3" s="1"/>
  <c r="U232" i="3" s="1"/>
  <c r="EA21" i="2"/>
  <c r="O47" i="3" s="1"/>
  <c r="F226" i="3" s="1"/>
  <c r="R232" i="3" s="1"/>
  <c r="DI28" i="2"/>
  <c r="B12" i="12" s="1"/>
  <c r="I28" i="2"/>
  <c r="P28" i="2"/>
  <c r="I27" i="2"/>
  <c r="P27" i="2"/>
  <c r="L33" i="2"/>
  <c r="K33" i="2"/>
  <c r="M33" i="2" s="1"/>
  <c r="J33" i="2"/>
  <c r="AM18" i="1"/>
  <c r="AY18" i="1" s="1"/>
  <c r="A44" i="4" s="1"/>
  <c r="A39" i="5" s="1"/>
  <c r="AM15" i="1"/>
  <c r="AY15" i="1" s="1"/>
  <c r="A41" i="4" s="1"/>
  <c r="A36" i="5" s="1"/>
  <c r="F27" i="2"/>
  <c r="AM9" i="1"/>
  <c r="AY9" i="1" s="1"/>
  <c r="A35" i="4" s="1"/>
  <c r="A30" i="5" s="1"/>
  <c r="AM14" i="1"/>
  <c r="AY14" i="1" s="1"/>
  <c r="A40" i="4" s="1"/>
  <c r="A35" i="5" s="1"/>
  <c r="J38" i="2"/>
  <c r="L38" i="2"/>
  <c r="K188" i="3"/>
  <c r="A169" i="3"/>
  <c r="D216" i="3"/>
  <c r="AM10" i="1"/>
  <c r="AY10" i="1" s="1"/>
  <c r="A36" i="4" s="1"/>
  <c r="A31" i="5" s="1"/>
  <c r="AM13" i="1"/>
  <c r="AY13" i="1" s="1"/>
  <c r="A39" i="4" s="1"/>
  <c r="A34" i="5" s="1"/>
  <c r="AM11" i="1"/>
  <c r="AY11" i="1" s="1"/>
  <c r="A37" i="4" s="1"/>
  <c r="A32" i="5" s="1"/>
  <c r="L19" i="2"/>
  <c r="J19" i="2"/>
  <c r="I24" i="2"/>
  <c r="K24" i="2"/>
  <c r="P24" i="2"/>
  <c r="J29" i="2"/>
  <c r="L29" i="2"/>
  <c r="K38" i="2"/>
  <c r="M38" i="2" s="1"/>
  <c r="J36" i="2"/>
  <c r="L36" i="2"/>
  <c r="M36" i="2" s="1"/>
  <c r="J37" i="2"/>
  <c r="L37" i="2"/>
  <c r="M37" i="2" s="1"/>
  <c r="L34" i="2"/>
  <c r="M34" i="2" s="1"/>
  <c r="J34" i="2"/>
  <c r="F24" i="2"/>
  <c r="P29" i="2"/>
  <c r="I29" i="2"/>
  <c r="K29" i="2"/>
  <c r="AM12" i="1"/>
  <c r="AY12" i="1" s="1"/>
  <c r="A38" i="4" s="1"/>
  <c r="A33" i="5" s="1"/>
  <c r="AM19" i="1"/>
  <c r="AY19" i="1" s="1"/>
  <c r="A45" i="4" s="1"/>
  <c r="A40" i="5" s="1"/>
  <c r="AM20" i="1"/>
  <c r="AY20" i="1" s="1"/>
  <c r="A46" i="4" s="1"/>
  <c r="A41" i="5" s="1"/>
  <c r="P32" i="2"/>
  <c r="I32" i="2"/>
  <c r="K32" i="2"/>
  <c r="F16" i="2"/>
  <c r="L16" i="2" s="1"/>
  <c r="I25" i="2"/>
  <c r="P25" i="2"/>
  <c r="L31" i="2"/>
  <c r="J31" i="2"/>
  <c r="P19" i="2"/>
  <c r="I19" i="2"/>
  <c r="K19" i="2"/>
  <c r="M19" i="2" s="1"/>
  <c r="J21" i="2"/>
  <c r="L21" i="2"/>
  <c r="M21" i="2" s="1"/>
  <c r="F28" i="2"/>
  <c r="K31" i="2"/>
  <c r="M31" i="2" s="1"/>
  <c r="F25" i="2"/>
  <c r="AM16" i="1"/>
  <c r="AY16" i="1" s="1"/>
  <c r="A42" i="4" s="1"/>
  <c r="A37" i="5" s="1"/>
  <c r="AM17" i="1"/>
  <c r="AY17" i="1" s="1"/>
  <c r="A43" i="4" s="1"/>
  <c r="A38" i="5" s="1"/>
  <c r="F32" i="2"/>
  <c r="J16" i="2"/>
  <c r="N17" i="2"/>
  <c r="D17" i="2"/>
  <c r="E17" i="2" s="1"/>
  <c r="G17" i="2"/>
  <c r="C18" i="2"/>
  <c r="D18" i="2" s="1"/>
  <c r="R62" i="3"/>
  <c r="E226" i="3"/>
  <c r="Q232" i="3" s="1"/>
  <c r="N55" i="3"/>
  <c r="E229" i="3" s="1"/>
  <c r="N59" i="3"/>
  <c r="O229" i="3" s="1"/>
  <c r="EE27" i="2"/>
  <c r="K16" i="2"/>
  <c r="P16" i="2"/>
  <c r="I16" i="2"/>
  <c r="EE23" i="2"/>
  <c r="S62" i="3"/>
  <c r="O16" i="2"/>
  <c r="H16" i="2"/>
  <c r="N57" i="3"/>
  <c r="J229" i="3" s="1"/>
  <c r="EE22" i="2" l="1"/>
  <c r="EE24" i="2"/>
  <c r="I24" i="3"/>
  <c r="EE26" i="2"/>
  <c r="EE25" i="2"/>
  <c r="DO28" i="2"/>
  <c r="A7" i="9" s="1"/>
  <c r="B3" i="13"/>
  <c r="A40" i="3"/>
  <c r="EE21" i="2"/>
  <c r="G226" i="3"/>
  <c r="S232" i="3" s="1"/>
  <c r="T62" i="3"/>
  <c r="E5" i="10"/>
  <c r="C8" i="8"/>
  <c r="F26" i="7"/>
  <c r="U62" i="3"/>
  <c r="J25" i="2"/>
  <c r="L25" i="2"/>
  <c r="K25" i="2"/>
  <c r="M25" i="2" s="1"/>
  <c r="M29" i="2"/>
  <c r="L27" i="2"/>
  <c r="J27" i="2"/>
  <c r="M16" i="2"/>
  <c r="Q16" i="2" s="1"/>
  <c r="B16" i="2" s="1"/>
  <c r="L32" i="2"/>
  <c r="J32" i="2"/>
  <c r="J28" i="2"/>
  <c r="L28" i="2"/>
  <c r="M32" i="2"/>
  <c r="M24" i="2"/>
  <c r="K27" i="2"/>
  <c r="M27" i="2" s="1"/>
  <c r="K28" i="2"/>
  <c r="M28" i="2" s="1"/>
  <c r="L24" i="2"/>
  <c r="J24" i="2"/>
  <c r="P17" i="2"/>
  <c r="I17" i="2"/>
  <c r="H18" i="2"/>
  <c r="O18" i="2"/>
  <c r="E18" i="2"/>
  <c r="F18" i="2" s="1"/>
  <c r="F17" i="2"/>
  <c r="G18" i="2"/>
  <c r="N18" i="2"/>
  <c r="H17" i="2"/>
  <c r="O17" i="2"/>
  <c r="EF21" i="2" l="1"/>
  <c r="V24" i="3" s="1"/>
  <c r="B10" i="5"/>
  <c r="B14" i="4"/>
  <c r="B14" i="11"/>
  <c r="C7" i="3"/>
  <c r="DH15" i="2"/>
  <c r="A2" i="8" s="1"/>
  <c r="A19" i="12"/>
  <c r="A21" i="5"/>
  <c r="A25" i="4"/>
  <c r="A20" i="11"/>
  <c r="D23" i="14"/>
  <c r="L17" i="2"/>
  <c r="J17" i="2"/>
  <c r="L18" i="2"/>
  <c r="J18" i="2"/>
  <c r="I18" i="2"/>
  <c r="P18" i="2"/>
  <c r="K18" i="2"/>
  <c r="M18" i="2" s="1"/>
  <c r="K17" i="2"/>
  <c r="Q18" i="2" l="1"/>
  <c r="B18" i="2" s="1"/>
  <c r="M17" i="2"/>
  <c r="Q17" i="2" s="1"/>
  <c r="B17" i="2" s="1"/>
  <c r="A81" i="3" s="1"/>
  <c r="A71" i="3" l="1"/>
  <c r="A105" i="3" s="1"/>
  <c r="A197" i="3"/>
  <c r="A124" i="3"/>
  <c r="A142" i="3" s="1"/>
  <c r="A158" i="3" s="1"/>
  <c r="A177" i="3" s="1"/>
  <c r="A66" i="3"/>
  <c r="A237" i="3"/>
  <c r="Q24" i="3"/>
</calcChain>
</file>

<file path=xl/comments1.xml><?xml version="1.0" encoding="utf-8"?>
<comments xmlns="http://schemas.openxmlformats.org/spreadsheetml/2006/main">
  <authors>
    <author>Vijayakumar Kota</author>
  </authors>
  <commentList>
    <comment ref="T7" authorId="0">
      <text>
        <r>
          <rPr>
            <sz val="9"/>
            <color indexed="81"/>
            <rFont val="Tahoma"/>
            <family val="2"/>
          </rPr>
          <t xml:space="preserve">here enter any other amount othar than DA,HRA
</t>
        </r>
      </text>
    </comment>
  </commentList>
</comments>
</file>

<file path=xl/sharedStrings.xml><?xml version="1.0" encoding="utf-8"?>
<sst xmlns="http://schemas.openxmlformats.org/spreadsheetml/2006/main" count="666" uniqueCount="537">
  <si>
    <t>INPATIENT / OUT PATIENT</t>
  </si>
  <si>
    <t>NAME OF DISEASE</t>
  </si>
  <si>
    <t>HOSPITAL NAME</t>
  </si>
  <si>
    <t>HOSPITAL ADDRESS</t>
  </si>
  <si>
    <t>TO</t>
  </si>
  <si>
    <t>RELATIONSHIP WITH THE EMPLOYEE</t>
  </si>
  <si>
    <t>To</t>
  </si>
  <si>
    <t>The District Educational Officer,</t>
  </si>
  <si>
    <t>From:</t>
  </si>
  <si>
    <t>Sir,</t>
  </si>
  <si>
    <t>Sub:-</t>
  </si>
  <si>
    <t>Ref:-</t>
  </si>
  <si>
    <t>1) G.O.Ms.No.74, Dated:15-03-2005.</t>
  </si>
  <si>
    <t>ababababab</t>
  </si>
  <si>
    <t xml:space="preserve">                 I submit herewith the original bills, necessary documents for reimbursement of medical expenses of above treatment. Kindly scrutinize the bills and take necessary action for sanction.</t>
  </si>
  <si>
    <t xml:space="preserve">                 Thanking you. Early action solicited.</t>
  </si>
  <si>
    <t>Yours faithfully</t>
  </si>
  <si>
    <t>Encl:-</t>
  </si>
  <si>
    <t>ENCLOSURES</t>
  </si>
  <si>
    <t>Yes</t>
  </si>
  <si>
    <t>No</t>
  </si>
  <si>
    <t>APPENDIX – II</t>
  </si>
  <si>
    <t xml:space="preserve">Application for claiming refund of Medical Expenses incurred by the </t>
  </si>
  <si>
    <t>Government Servant and their Families</t>
  </si>
  <si>
    <t>Place of Duty</t>
  </si>
  <si>
    <t>Place at which the patient fell ill</t>
  </si>
  <si>
    <t>Nature of illness and its duration</t>
  </si>
  <si>
    <t>Total Amount claimed Rs.</t>
  </si>
  <si>
    <t>List of Enclosures</t>
  </si>
  <si>
    <t>NONDRAWN CERTIFICATE</t>
  </si>
  <si>
    <t>DEPENDANT DECLARATION</t>
  </si>
  <si>
    <t>SPELL OF CLAIM</t>
  </si>
  <si>
    <t>Full residential address with Door No. and Name of the Mohalla</t>
  </si>
  <si>
    <t>Details of Amount claimed  cost of medicines purchased / list of cash memos and the essentiality certificate signed by treatment doctors</t>
  </si>
  <si>
    <t>Essentiality certificate enclosed</t>
  </si>
  <si>
    <t>Enclosed</t>
  </si>
  <si>
    <t>“Attested”</t>
  </si>
  <si>
    <t xml:space="preserve"> Dated:…………………………</t>
  </si>
  <si>
    <t>SPELL OF CLAIM CERTIFICATE</t>
  </si>
  <si>
    <t>At Home</t>
  </si>
  <si>
    <t>2) G.O.Ms.No.68 H,M&amp;FW(K1) Dept, Dated:28-03-2011.</t>
  </si>
  <si>
    <t>3) G.O.Ms.No.40, Dated:07-05-2002.</t>
  </si>
  <si>
    <t>PATIENT  DETAILS</t>
  </si>
  <si>
    <t>Sri</t>
  </si>
  <si>
    <t xml:space="preserve">EMPLOYEE NAME </t>
  </si>
  <si>
    <t>WWW.MEDAKBADI.IN</t>
  </si>
  <si>
    <t>Retired</t>
  </si>
  <si>
    <t>PERIOD OF TREATMENT  FROM</t>
  </si>
  <si>
    <t>net</t>
  </si>
  <si>
    <t>deduction</t>
  </si>
  <si>
    <t>gross</t>
  </si>
  <si>
    <t>IF(A16=0,"Zero",IF(A16&gt;0,TRIM(CONCATENATE(G16,N16,H16,O16,I16,P16,IF(AND(A16&gt;100,M16=6)," and ",""),J16)),""))</t>
  </si>
  <si>
    <t>IF(E16&gt;0," Hundred ","")</t>
  </si>
  <si>
    <t>IF(D16&gt;0," Thousand ","")</t>
  </si>
  <si>
    <t>IF(C16&gt;1," Lakhs ",IF(C16&gt;0," Lakh ",""))</t>
  </si>
  <si>
    <t>IF(OR(K16=1,L16=3),5,6)</t>
  </si>
  <si>
    <t>IF(F16=0,3,4)</t>
  </si>
  <si>
    <t>IF(AND(E16=0,F16=0),1,2)</t>
  </si>
  <si>
    <t>IF(F16=0,"",LOOKUP(F16,$G$2:$DD$2,$G$3:$DD$3))</t>
  </si>
  <si>
    <t>IF(E16=0,"",LOOKUP(E16,$G$2:$R$2,$G$3:$R$3))</t>
  </si>
  <si>
    <t>IF(D16=0,"",LOOKUP(D16,$G$2:$DD$2,$G$3:$DD$3))</t>
  </si>
  <si>
    <t>IF(C16=0,"",LOOKUP(C16,$G$2:$DD$2,$G$3:$DD$3))</t>
  </si>
  <si>
    <t>INT(A16-C16*100000-D16*1000-E16*100)</t>
  </si>
  <si>
    <t>INT(A16/100-C16*1000-D16*10)</t>
  </si>
  <si>
    <t>INT(A16/1000-C16*100)</t>
  </si>
  <si>
    <t>INT(A16/100000)</t>
  </si>
  <si>
    <t>Rupees in Words Conversion</t>
  </si>
  <si>
    <t>Number</t>
  </si>
  <si>
    <t>Ninety nine</t>
  </si>
  <si>
    <t>Ninety eight</t>
  </si>
  <si>
    <t>Ninety seven</t>
  </si>
  <si>
    <t>Ninety six</t>
  </si>
  <si>
    <t>Ninety five</t>
  </si>
  <si>
    <t>Ninety four</t>
  </si>
  <si>
    <t>Ninety three</t>
  </si>
  <si>
    <t>Ninety two</t>
  </si>
  <si>
    <t>Ninety one</t>
  </si>
  <si>
    <t>Ninety</t>
  </si>
  <si>
    <t>Eighty nine</t>
  </si>
  <si>
    <t>Eighty eight</t>
  </si>
  <si>
    <t>Eighty seven</t>
  </si>
  <si>
    <t>Eighty six</t>
  </si>
  <si>
    <t>Eighty five</t>
  </si>
  <si>
    <t>Eighty four</t>
  </si>
  <si>
    <t>Eighty three</t>
  </si>
  <si>
    <t>Eighty two</t>
  </si>
  <si>
    <t>Eighty one</t>
  </si>
  <si>
    <t xml:space="preserve">Eighty </t>
  </si>
  <si>
    <t>Seventy nine</t>
  </si>
  <si>
    <t>Seventy eight</t>
  </si>
  <si>
    <t>Seventy seven</t>
  </si>
  <si>
    <t>Seventy six</t>
  </si>
  <si>
    <t>Seventy five</t>
  </si>
  <si>
    <t>Seventy four</t>
  </si>
  <si>
    <t>Seventy three</t>
  </si>
  <si>
    <t>Seventy two</t>
  </si>
  <si>
    <t>Seventy one</t>
  </si>
  <si>
    <t>Seventy</t>
  </si>
  <si>
    <t>Sixty nine</t>
  </si>
  <si>
    <t>Sixty eight</t>
  </si>
  <si>
    <t>Sixty seven</t>
  </si>
  <si>
    <t>Sixty six</t>
  </si>
  <si>
    <t>Sixty five</t>
  </si>
  <si>
    <t>Sixty four</t>
  </si>
  <si>
    <t>Sixty three</t>
  </si>
  <si>
    <t>Sixty two</t>
  </si>
  <si>
    <t>Sixty one</t>
  </si>
  <si>
    <t>sixty</t>
  </si>
  <si>
    <t>Fifty nine</t>
  </si>
  <si>
    <t>Fifty eight</t>
  </si>
  <si>
    <t>Fifty seven</t>
  </si>
  <si>
    <t>Fifty six</t>
  </si>
  <si>
    <t>Fifty five</t>
  </si>
  <si>
    <t>Fifty four</t>
  </si>
  <si>
    <t>Fifty three</t>
  </si>
  <si>
    <t>Fifty two</t>
  </si>
  <si>
    <t>Fifty one</t>
  </si>
  <si>
    <t>Fifty</t>
  </si>
  <si>
    <t>Forty nine</t>
  </si>
  <si>
    <t>Forty eight</t>
  </si>
  <si>
    <t>Forty seven</t>
  </si>
  <si>
    <t>Forty six</t>
  </si>
  <si>
    <t>Forty five</t>
  </si>
  <si>
    <t>Forty four</t>
  </si>
  <si>
    <t>Forty three</t>
  </si>
  <si>
    <t>Forty two</t>
  </si>
  <si>
    <t>Forty one</t>
  </si>
  <si>
    <t xml:space="preserve">Forty </t>
  </si>
  <si>
    <t>Thirty nine</t>
  </si>
  <si>
    <t>Thirty eight</t>
  </si>
  <si>
    <t>Thirty seven</t>
  </si>
  <si>
    <t>Thirty six</t>
  </si>
  <si>
    <t>Thirty five</t>
  </si>
  <si>
    <t>Thirty four</t>
  </si>
  <si>
    <t>Thirty three</t>
  </si>
  <si>
    <t>Thirty two</t>
  </si>
  <si>
    <t>Thirty one</t>
  </si>
  <si>
    <t xml:space="preserve">Thirty </t>
  </si>
  <si>
    <t>Twenty nine</t>
  </si>
  <si>
    <t>Twenty eight</t>
  </si>
  <si>
    <t>Twenty seven</t>
  </si>
  <si>
    <t>Twenty six</t>
  </si>
  <si>
    <t>Twenty five</t>
  </si>
  <si>
    <t>Twenty four</t>
  </si>
  <si>
    <t>Twenty three</t>
  </si>
  <si>
    <t>Twenty two</t>
  </si>
  <si>
    <t>Twenty one</t>
  </si>
  <si>
    <t>Twenty</t>
  </si>
  <si>
    <t>Nineteen</t>
  </si>
  <si>
    <t>Eighteen</t>
  </si>
  <si>
    <t>Seventeen</t>
  </si>
  <si>
    <t>Sixteen</t>
  </si>
  <si>
    <t>Fifteen</t>
  </si>
  <si>
    <t>Fourteen</t>
  </si>
  <si>
    <t>Thirteen</t>
  </si>
  <si>
    <t>Twelve</t>
  </si>
  <si>
    <t>Eleven</t>
  </si>
  <si>
    <t>Ten</t>
  </si>
  <si>
    <t>Nine</t>
  </si>
  <si>
    <t>Eight</t>
  </si>
  <si>
    <t>Seven</t>
  </si>
  <si>
    <t>Six</t>
  </si>
  <si>
    <t>Five</t>
  </si>
  <si>
    <t>Four</t>
  </si>
  <si>
    <t>Three</t>
  </si>
  <si>
    <t>Two</t>
  </si>
  <si>
    <t>One</t>
  </si>
  <si>
    <t>WORKING PLACE</t>
  </si>
  <si>
    <t>patient</t>
  </si>
  <si>
    <t>emplo</t>
  </si>
  <si>
    <t>Self</t>
  </si>
  <si>
    <t>if None ,enter in right cell</t>
  </si>
  <si>
    <t>Mandal</t>
  </si>
  <si>
    <t>District</t>
  </si>
  <si>
    <t>First</t>
  </si>
  <si>
    <t>In service</t>
  </si>
  <si>
    <t>mother</t>
  </si>
  <si>
    <t>father</t>
  </si>
  <si>
    <t>son</t>
  </si>
  <si>
    <t>daughter</t>
  </si>
  <si>
    <t>sister</t>
  </si>
  <si>
    <t>brother</t>
  </si>
  <si>
    <t>wife</t>
  </si>
  <si>
    <t>husband</t>
  </si>
  <si>
    <t>CHECK LIST  FOR  SUBMISSION  OF  MEDICAL REIMBURSEMENT</t>
  </si>
  <si>
    <t>(As per Rc.No.8878/D3-4)MBI-/ 10. Dt.12-10-2010.)</t>
  </si>
  <si>
    <t>Name and Address of the employee</t>
  </si>
  <si>
    <t>Employee Code</t>
  </si>
  <si>
    <t xml:space="preserve">If Retired </t>
  </si>
  <si>
    <t>a)</t>
  </si>
  <si>
    <t>b)</t>
  </si>
  <si>
    <t>c)</t>
  </si>
  <si>
    <t>Date/ Year of Retirement</t>
  </si>
  <si>
    <t>Designation</t>
  </si>
  <si>
    <t>P.P.O.No.</t>
  </si>
  <si>
    <t>Name and Address of the Hospital</t>
  </si>
  <si>
    <t>Whether the following are enclosed</t>
  </si>
  <si>
    <t>Whether referral Letter produced (or)</t>
  </si>
  <si>
    <t>:</t>
  </si>
  <si>
    <t>Communication of the Applicant Address
For all purposes with cell No.</t>
  </si>
  <si>
    <t>Emergency Certificate</t>
  </si>
  <si>
    <t>Discharge Summary</t>
  </si>
  <si>
    <t>Non drawl certificate</t>
  </si>
  <si>
    <t xml:space="preserve">If the Patient is dependent on the Govt.Employee-An employee certificate and dependency certificate are to be enclosed with the Medical Reimbursement Proposals. </t>
  </si>
  <si>
    <t>Essentiality certificate, attested by the authorized  doctor, who undertakes treatment</t>
  </si>
  <si>
    <t xml:space="preserve"> In case of the dependents of deceased Govt. Employee/Retired employee whether legal heir certificate is enclosed (or) not.</t>
  </si>
  <si>
    <t xml:space="preserve">Whether the medical reimbursement proposal is prepared and submitted with reference to G.O. Ms.No.74 H.M.&amp; FW (K1) Dept.dt.15-03- 2005 and G.O.Ms.No. 60HM &amp;FW(K1) Dept. dt 15-10-2003 and also G.O. Ms. No. 105 HM &amp; FW(K1) Dept. dt.09-04-2007 and also G.O. Ms.No180 dt. 11-05-2006 </t>
  </si>
  <si>
    <t>Whether the medical reimbursement
claim is processed through the drawing officer and received with in the stipulated time.</t>
  </si>
  <si>
    <t>And whether the availment of No. of installments recorded (or) not.</t>
  </si>
  <si>
    <t>Whether an entry is made in the Service
Register (or) not for previous claim</t>
  </si>
  <si>
    <t>SIGNATURE OF FORWARDING AUTHORITY</t>
  </si>
  <si>
    <t>d)</t>
  </si>
  <si>
    <t>e)</t>
  </si>
  <si>
    <t>f)</t>
  </si>
  <si>
    <t>g)</t>
  </si>
  <si>
    <t>h)</t>
  </si>
  <si>
    <t>Whether it is Private Hospital (or) Recognized Hospital</t>
  </si>
  <si>
    <t xml:space="preserve"> Recognized orders to be enclosed  along with the proposals</t>
  </si>
  <si>
    <t>Whether the Medical Reimbursement Proposal  sent within 6 Months from the Date of discharge.</t>
  </si>
  <si>
    <t xml:space="preserve">Name, Designation &amp; Section (in Block Letter)
</t>
  </si>
  <si>
    <t>Office of the employee</t>
  </si>
  <si>
    <t>Pay of the Govt. Servant as defined in FRs and other employments which should be shown separately</t>
  </si>
  <si>
    <t xml:space="preserve">               I here by declared that the statement in the application is true to the best of my knowledge and belief and that the person from whom medical expenses were incurred is a member of my family as defined under the Government servant Medical attendance rules 1972 and wholly dependent upon me.</t>
  </si>
  <si>
    <t>Private</t>
  </si>
  <si>
    <t>Recognized</t>
  </si>
  <si>
    <t xml:space="preserve">Name of the patient and relation ship with Government Servant . In case of children state age also </t>
  </si>
  <si>
    <t>The Resident Medical Officer</t>
  </si>
  <si>
    <t xml:space="preserve">2).Medical Reimbursement Proposals </t>
  </si>
  <si>
    <t xml:space="preserve"> I am enclosing here with the Xerox copies of medical bills for reference. </t>
  </si>
  <si>
    <t>Encl:- Xerox copies of Medical bills.</t>
  </si>
  <si>
    <t>Letter No</t>
  </si>
  <si>
    <t>Date</t>
  </si>
  <si>
    <t>Manager-accounts</t>
  </si>
  <si>
    <t>IP No of  Patient</t>
  </si>
  <si>
    <t>Regn.No of  Patient</t>
  </si>
  <si>
    <t>Emergency certificate</t>
  </si>
  <si>
    <t>Essentiality certificate</t>
  </si>
  <si>
    <t>Discharge summary</t>
  </si>
  <si>
    <t>Original Medical Bills</t>
  </si>
  <si>
    <t>Checklist</t>
  </si>
  <si>
    <t>Appendix-II</t>
  </si>
  <si>
    <t>Non Drawn certificate</t>
  </si>
  <si>
    <t>Genuine Certificate</t>
  </si>
  <si>
    <t>Hospital Recognition G.O.</t>
  </si>
  <si>
    <t xml:space="preserve"> vijaykumarkota12@gmail.com</t>
  </si>
  <si>
    <t>HOSPITAL TYPE</t>
  </si>
  <si>
    <t>Date of submission proposals</t>
  </si>
  <si>
    <t>Smt</t>
  </si>
  <si>
    <t>Amount</t>
  </si>
  <si>
    <t>Applicant  Cell No</t>
  </si>
  <si>
    <t>To Address (Below Rs. 50,000/-)</t>
  </si>
  <si>
    <t>To Address  (Above Rs.50,000/-)</t>
  </si>
  <si>
    <t>----------------</t>
  </si>
  <si>
    <t>Telangana</t>
  </si>
  <si>
    <t>Andhra Pradesh</t>
  </si>
  <si>
    <t>4) Application of the Individual</t>
  </si>
  <si>
    <t xml:space="preserve">1).Pro.of the DSE,HYD. Rc.No.234/MB2/2015. DT.27-02-2016. </t>
  </si>
  <si>
    <t>DDO CODE</t>
  </si>
  <si>
    <t>Amount Passed</t>
  </si>
  <si>
    <t>Submission of medical reimbursement Proposal</t>
  </si>
  <si>
    <t>For Treasury use  Only</t>
  </si>
  <si>
    <t>Date:_______________________</t>
  </si>
  <si>
    <t>Trans ID:-</t>
  </si>
  <si>
    <t xml:space="preserve">Major Head </t>
  </si>
  <si>
    <t>DDO Code:</t>
  </si>
  <si>
    <t>Sub - Major Head</t>
  </si>
  <si>
    <t xml:space="preserve">DDO Designation:  </t>
  </si>
  <si>
    <t>Minor Head</t>
  </si>
  <si>
    <t xml:space="preserve">DDO, Office Name. </t>
  </si>
  <si>
    <t>Group Sub - Head</t>
  </si>
  <si>
    <t>Bank Branch Code</t>
  </si>
  <si>
    <t>Sub - Head</t>
  </si>
  <si>
    <t>Bank Branch Name:</t>
  </si>
  <si>
    <t>Detailed Head</t>
  </si>
  <si>
    <t>Sub - Detailled Head</t>
  </si>
  <si>
    <t xml:space="preserve">Non-Plan = N/ Plan =P           </t>
  </si>
  <si>
    <t>N</t>
  </si>
  <si>
    <t>Charged = C/ Voted = V:</t>
  </si>
  <si>
    <t>V</t>
  </si>
  <si>
    <t xml:space="preserve">Contingency Fund MH/
Service Major Head </t>
  </si>
  <si>
    <t>BUDGET PARTICULARS</t>
  </si>
  <si>
    <t>TSTC FORM - 101</t>
  </si>
  <si>
    <t>( See Subsidiary Rule 2 ( W) Under Treasury Rule 15 ;</t>
  </si>
  <si>
    <t>Govt. Memo No. 38907 / Accounts / 65-5 . Dt. : 21-02-1963 )</t>
  </si>
  <si>
    <t>The Treasury Officer / Manager,</t>
  </si>
  <si>
    <t xml:space="preserve">Dated : </t>
  </si>
  <si>
    <t>Whose specimen signature is attested here with.</t>
  </si>
  <si>
    <t>Signature of the Govt. Servant</t>
  </si>
  <si>
    <t xml:space="preserve">Received  the payment </t>
  </si>
  <si>
    <t xml:space="preserve">Dated :-                             </t>
  </si>
  <si>
    <t xml:space="preserve">Dated: -                     </t>
  </si>
  <si>
    <t>Attested</t>
  </si>
  <si>
    <t>Signature of the Govt servant</t>
  </si>
  <si>
    <t>receiving the payment.</t>
  </si>
  <si>
    <t>Signature of the DDO / DDO Seal</t>
  </si>
  <si>
    <t>…………………………………………………………………. Cut here …………………………………………….…………………………</t>
  </si>
  <si>
    <t>PAPER TOKEN</t>
  </si>
  <si>
    <t>STO Code:</t>
  </si>
  <si>
    <t>(For Treasury Use Only)</t>
  </si>
  <si>
    <t>STO Name:</t>
  </si>
  <si>
    <t>Date:……………………</t>
  </si>
  <si>
    <t>Trans ID:</t>
  </si>
  <si>
    <t>DDO Designation:</t>
  </si>
  <si>
    <t>Bank Branch Code:</t>
  </si>
  <si>
    <t>Head of Account:</t>
  </si>
  <si>
    <t>(Major Head)</t>
  </si>
  <si>
    <t>(Sub-MH)</t>
  </si>
  <si>
    <t>(Minor Head)</t>
  </si>
  <si>
    <t>(Grp-SH)</t>
  </si>
  <si>
    <t>(Sub-Head)</t>
  </si>
  <si>
    <t>(Det.Head)</t>
  </si>
  <si>
    <t>(Sub Det.Head)</t>
  </si>
  <si>
    <t>Non-Plan=N/</t>
  </si>
  <si>
    <t>Charged=C/</t>
  </si>
  <si>
    <t>Contingency Fund MH/</t>
  </si>
  <si>
    <t>Plan=P:</t>
  </si>
  <si>
    <t>Voted=V</t>
  </si>
  <si>
    <t>Service Major Head</t>
  </si>
  <si>
    <t>Messenger Name:</t>
  </si>
  <si>
    <t>Designation :</t>
  </si>
  <si>
    <t>Specimen Signature of Messenger</t>
  </si>
  <si>
    <t>DDO Signature</t>
  </si>
  <si>
    <t>STO Signature</t>
  </si>
  <si>
    <t>DDOSignature</t>
  </si>
  <si>
    <t>ANNEXURE-I</t>
  </si>
  <si>
    <t>S.NO</t>
  </si>
  <si>
    <t>Design</t>
  </si>
  <si>
    <t xml:space="preserve">Employee        Account No                 </t>
  </si>
  <si>
    <t xml:space="preserve">  Bank &amp;     Branch                               </t>
  </si>
  <si>
    <t xml:space="preserve">  Amount    Rs.</t>
  </si>
  <si>
    <t xml:space="preserve">                                                              TOTAL Rs.</t>
  </si>
  <si>
    <t>DDO Sign with Seal</t>
  </si>
  <si>
    <t>Signature of the S.T.O.withSeal</t>
  </si>
  <si>
    <t>……………………………………………………………cut here……………………………………………………………………</t>
  </si>
  <si>
    <t>ANEXURE-II</t>
  </si>
  <si>
    <t>Date:</t>
  </si>
  <si>
    <t>Trans ID No:</t>
  </si>
  <si>
    <t>S.No</t>
  </si>
  <si>
    <t>Name of the Bank</t>
  </si>
  <si>
    <t>Purpose of bill</t>
  </si>
  <si>
    <t>ATO / STO Signature</t>
  </si>
  <si>
    <t>ANNEXURE -III</t>
  </si>
  <si>
    <t>(Government Bank report)</t>
  </si>
  <si>
    <t>Name of the NLB</t>
  </si>
  <si>
    <t>Trans ID No</t>
  </si>
  <si>
    <t>Purpose</t>
  </si>
  <si>
    <t>Amount to be Credited</t>
  </si>
  <si>
    <t>STO Place</t>
  </si>
  <si>
    <t xml:space="preserve">Please Pay Bill No.      </t>
  </si>
  <si>
    <t>Medical reimbursement</t>
  </si>
  <si>
    <t>Treasury/ PAO Code</t>
  </si>
  <si>
    <t>Medical Bill type</t>
  </si>
  <si>
    <t>Link Bank Name</t>
  </si>
  <si>
    <t>L.Bank Code</t>
  </si>
  <si>
    <t>www.medakbadi.in                    Medical Reimbursement  proposal &amp; Claiming software</t>
  </si>
  <si>
    <t>Enclosed?</t>
  </si>
  <si>
    <t>HIGH SCHOOL</t>
  </si>
  <si>
    <t>PS/UPS SCHOOL</t>
  </si>
  <si>
    <t>NONE</t>
  </si>
  <si>
    <t>MH</t>
  </si>
  <si>
    <t>SUBMH</t>
  </si>
  <si>
    <t>MIN H</t>
  </si>
  <si>
    <t>GH</t>
  </si>
  <si>
    <t>SUB HEAD</t>
  </si>
  <si>
    <t>DET HEAD</t>
  </si>
  <si>
    <t>SUB DET HEAD</t>
  </si>
  <si>
    <t>UPS</t>
  </si>
  <si>
    <t xml:space="preserve">HS </t>
  </si>
  <si>
    <t>Rtd</t>
  </si>
  <si>
    <t>01</t>
  </si>
  <si>
    <t>02</t>
  </si>
  <si>
    <t>103</t>
  </si>
  <si>
    <t>191</t>
  </si>
  <si>
    <t>800</t>
  </si>
  <si>
    <t>05</t>
  </si>
  <si>
    <t>06</t>
  </si>
  <si>
    <t>010</t>
  </si>
  <si>
    <t>040</t>
  </si>
  <si>
    <t>017</t>
  </si>
  <si>
    <t>043</t>
  </si>
  <si>
    <t>2071</t>
  </si>
  <si>
    <t>Total Rs.</t>
  </si>
  <si>
    <t>Claiming of "Sanctioned medical bill Amount"</t>
  </si>
  <si>
    <t>IS THE EMPLOYEE AND PATIENT SAME ?</t>
  </si>
  <si>
    <t>Death- in service</t>
  </si>
  <si>
    <t>Patient</t>
  </si>
  <si>
    <t>Applicant</t>
  </si>
  <si>
    <t>employee</t>
  </si>
  <si>
    <t>employee design</t>
  </si>
  <si>
    <t>employee name</t>
  </si>
  <si>
    <t xml:space="preserve">         In this connection, I request you to confirm whether the above has taken  treatment  in your hospital or not and inform to this office immediately for taking further course of action in the matter. </t>
  </si>
  <si>
    <t>DDO TBR NO</t>
  </si>
  <si>
    <t>00</t>
  </si>
  <si>
    <t>SANGAREDDY</t>
  </si>
  <si>
    <t>Sir/Madam,</t>
  </si>
  <si>
    <t>PROFORMA - E</t>
  </si>
  <si>
    <t>Sl No.</t>
  </si>
  <si>
    <t>Name of the Employee with Designation</t>
  </si>
  <si>
    <t>Place of Working</t>
  </si>
  <si>
    <t>Name of the Disease</t>
  </si>
  <si>
    <t>Period</t>
  </si>
  <si>
    <t xml:space="preserve">Amount in Rs. </t>
  </si>
  <si>
    <t>Spell</t>
  </si>
  <si>
    <t>Whether entered in Service Register or not</t>
  </si>
  <si>
    <t>Whether entered in Reimbursement Register or not</t>
  </si>
  <si>
    <t>Signature of Authority</t>
  </si>
  <si>
    <t>FORM-C</t>
  </si>
  <si>
    <t>vide Rule 15 (3)</t>
  </si>
  <si>
    <t xml:space="preserve">APPLICATION FOR CLAIMING REFUND OF MEDECAL EXPENSES </t>
  </si>
  <si>
    <t xml:space="preserve">Name &amp; Designation &amp; Section </t>
  </si>
  <si>
    <t>( in block letters )</t>
  </si>
  <si>
    <t>Office in which employee</t>
  </si>
  <si>
    <t>Pay of the Govt.Servent as defined in FRs and other emoluments  which should be shown separately</t>
  </si>
  <si>
    <t>Full residential address with door No and Name of the Mohalla</t>
  </si>
  <si>
    <t>Name of the patient and his/ her relationship to the Govt. Servant. In case of children state age also</t>
  </si>
  <si>
    <t>Details of amount claimed, cost of Medicines purchased from the market, list of medicines, cash memos, and the essentiality certificate should be attached each in duplicate signed by treatment doctors</t>
  </si>
  <si>
    <t>List of Medicines in detailed
                           and 
 Essentiality Certificates are enclosed</t>
  </si>
  <si>
    <t>Total amount claimed RS</t>
  </si>
  <si>
    <t>List of enclosures</t>
  </si>
  <si>
    <t>1. Check list</t>
  </si>
  <si>
    <t>2. Appendix-II duly signed by the Employee</t>
  </si>
  <si>
    <t>3. Form- C duly signed by the Employee</t>
  </si>
  <si>
    <t xml:space="preserve">4. Non-Drawal Certificate in Prescribed proforma </t>
  </si>
  <si>
    <t>5. Dependent Certificate as required in prescribed proforma</t>
  </si>
  <si>
    <t>6. A copy of proceedings Issued by the Director of Medical Education for recognition of the hospital</t>
  </si>
  <si>
    <t xml:space="preserve">7. Discharge Summery / Discharge Memo.(OP card in respect of OP treatment) in original duly signed with stamped by the treating Doctor
</t>
  </si>
  <si>
    <t>8. Abstract of Bills (All original Medical Bills should be signed with stamp by the treating Doctor)</t>
  </si>
  <si>
    <t>9. Undertaking For Medical Reimbursement By The Forwarding Authority</t>
  </si>
  <si>
    <t>Declaration to be signed by the Govt. Servant</t>
  </si>
  <si>
    <t xml:space="preserve">        I here by declare that the statements in this application are true to the best of my knowledge and belief that the person for whom Medical expenses were incurred is a member of my family as defined under the Government servant Medical attendance rules and wholly dependent upon me.</t>
  </si>
  <si>
    <t>Signature of Govt. Servant</t>
  </si>
  <si>
    <t>Office to which attached</t>
  </si>
  <si>
    <r>
      <t xml:space="preserve">Programme Prepared By </t>
    </r>
    <r>
      <rPr>
        <b/>
        <sz val="8"/>
        <color indexed="9"/>
        <rFont val="Cambria"/>
        <family val="1"/>
      </rPr>
      <t xml:space="preserve">   K.VIJAYAKUMAR, HM Gr-II  ,ZPHS KANDI, MDL:KANDI ,DIST:SANGAREDDY 9441208422,9948543187 </t>
    </r>
  </si>
  <si>
    <t>Gen</t>
  </si>
  <si>
    <t>Class -IV</t>
  </si>
  <si>
    <t>Death- after Retd</t>
  </si>
  <si>
    <t>STATUS &amp;type</t>
  </si>
  <si>
    <t>C2/560/2019</t>
  </si>
  <si>
    <t>Pay bill month &amp; Year(MM.YYYY)</t>
  </si>
  <si>
    <t xml:space="preserve"> Name</t>
  </si>
  <si>
    <t>A/c No</t>
  </si>
  <si>
    <t>Bank Branch</t>
  </si>
  <si>
    <t>IFSC CODE</t>
  </si>
  <si>
    <t>Gross</t>
  </si>
  <si>
    <t>Bank Name</t>
  </si>
  <si>
    <t>PT Dedn</t>
  </si>
  <si>
    <t>TDS(IT)</t>
  </si>
  <si>
    <t>GST</t>
  </si>
  <si>
    <t>GIS</t>
  </si>
  <si>
    <t>Net
Amount(in
Rs.)</t>
  </si>
  <si>
    <t>DDO's SIGNATURE</t>
  </si>
  <si>
    <t>(FOR USE IN TREASURY / PAY &amp; ACCOUNTS OFFICE ONLY)</t>
  </si>
  <si>
    <t>Pay Rs_____________________________ (Rupees ___________________________________________________________________________________________________) by cash/cheque/Account credit</t>
  </si>
  <si>
    <t>Treasury Officer/ PAY &amp; ACCOUNTS Officer</t>
  </si>
  <si>
    <t>medical bill</t>
  </si>
  <si>
    <t>Note: Original Sanction Order should be enclosed</t>
  </si>
  <si>
    <t>Budget relaxed</t>
  </si>
  <si>
    <t>Non-Drawal Certificate</t>
  </si>
  <si>
    <t>Budget Particulars</t>
  </si>
  <si>
    <t>1.___________________________________________Yearly Estimated Budget</t>
  </si>
  <si>
    <t>Rs.___________________________________</t>
  </si>
  <si>
    <t>2.___________________________________________Amount including this bill</t>
  </si>
  <si>
    <t>3.Balance_________________________________ Rs.___________________________________</t>
  </si>
  <si>
    <t>Bill for Medical Reimbursement</t>
  </si>
  <si>
    <t>Branch</t>
  </si>
  <si>
    <t>SBI</t>
  </si>
  <si>
    <t>ifscode</t>
  </si>
  <si>
    <t>Total:</t>
  </si>
  <si>
    <t>09.08.2019</t>
  </si>
  <si>
    <t>1166/MR/SUPDT/SRD/2019</t>
  </si>
  <si>
    <t>05.08.2019</t>
  </si>
  <si>
    <t>Sub :</t>
  </si>
  <si>
    <t>Ref:</t>
  </si>
  <si>
    <t>1)The  G.O.Ms.No.74 HM &amp;FW(K1)  Dept.,. Dated:15.03.2005</t>
  </si>
  <si>
    <t>2)The  G.O.Ms.No.68 HM &amp;FW(K1)  Dept.,. Dated:28.03.2011</t>
  </si>
  <si>
    <t>order</t>
  </si>
  <si>
    <t>Name of the employee</t>
  </si>
  <si>
    <t>Ref.ID</t>
  </si>
  <si>
    <t>Treatment taken to</t>
  </si>
  <si>
    <t>Treatment Name</t>
  </si>
  <si>
    <t>Hospital Name</t>
  </si>
  <si>
    <t>Period of Treatment</t>
  </si>
  <si>
    <t xml:space="preserve">debitable relevant Head of Accounts </t>
  </si>
  <si>
    <t>Annexure-1</t>
  </si>
  <si>
    <t>copy to STO Concerned</t>
  </si>
  <si>
    <t>Copy to stock file</t>
  </si>
  <si>
    <t>Copy to the individual</t>
  </si>
  <si>
    <t>G.BHARATAMMA</t>
  </si>
  <si>
    <t>SBI SANGAREDDY</t>
  </si>
  <si>
    <t>SH</t>
  </si>
  <si>
    <t>DH</t>
  </si>
  <si>
    <t>SDH</t>
  </si>
  <si>
    <t xml:space="preserve">             Further the individual is informed that if any erroneous claims/fake claims found later on, the same amount will be recovered from th individual without any prior notice and the disciplinary action will be initiated as per rules in force.</t>
  </si>
  <si>
    <t>Credit A/c No</t>
  </si>
  <si>
    <t>Ifsc code</t>
  </si>
  <si>
    <t>Bank &amp; Branch</t>
  </si>
  <si>
    <t xml:space="preserve">D.D,O`s T.B.R.No : </t>
  </si>
  <si>
    <t>13/MEDICAL/2019</t>
  </si>
  <si>
    <r>
      <rPr>
        <u/>
        <sz val="10"/>
        <color indexed="8"/>
        <rFont val="Calibri"/>
        <family val="2"/>
      </rPr>
      <t>Retired employee Form 58 submission :</t>
    </r>
    <r>
      <rPr>
        <sz val="10"/>
        <color indexed="8"/>
        <rFont val="Calibri"/>
        <family val="2"/>
      </rPr>
      <t xml:space="preserve"> IFMIS LOG IN&gt;   1. Bill section &gt; add new agency&gt; enter name &gt; bank no &gt; ifsc code&gt; submit.     2). Bill section &gt; other bills&gt; form 58 &gt; medical reimburse retired employees selection &gt; feed name of the employee&gt; bank a/c no. &gt; enter amount &gt; enter head of account. &gt; major head&gt; enter remarks. Submit.</t>
    </r>
  </si>
  <si>
    <t>XXX</t>
  </si>
  <si>
    <t>XXXXX</t>
  </si>
  <si>
    <t>XXXX</t>
  </si>
  <si>
    <t>Sangareddy -TS</t>
  </si>
  <si>
    <t>DESIGNATION</t>
  </si>
  <si>
    <t>DDO /Forwarding officer Details :</t>
  </si>
  <si>
    <t>DDO/Forwarding officer Desig</t>
  </si>
  <si>
    <t>Name &amp; Qualification</t>
  </si>
  <si>
    <t>Office Name</t>
  </si>
  <si>
    <t>Appendix-II duly attested by the Head of the office</t>
  </si>
  <si>
    <t xml:space="preserve">                 Certified that no amount either in part or full pertining to the bill have been drawn an note to the effect have been recorded in the office copy and preserved in this office.</t>
  </si>
  <si>
    <t>Yes/No</t>
  </si>
  <si>
    <t>28940-78910</t>
  </si>
  <si>
    <t>Basic Pay</t>
  </si>
  <si>
    <t>Ref.ID No</t>
  </si>
  <si>
    <t>DA%</t>
  </si>
  <si>
    <t>HRA% &amp; others</t>
  </si>
  <si>
    <t>G MURALIMOHANA RAO</t>
  </si>
  <si>
    <t>S.G.T</t>
  </si>
  <si>
    <t>G P SCHOOL LAKKAGUDA</t>
  </si>
  <si>
    <t>G L PURAM</t>
  </si>
  <si>
    <t>PARVATHIPURAM MANYAM</t>
  </si>
  <si>
    <t>30.06.2009</t>
  </si>
  <si>
    <t>24-009256/SP</t>
  </si>
  <si>
    <t>Out Patient</t>
  </si>
  <si>
    <t>MEO</t>
  </si>
  <si>
    <t>B CHANDRA SEKHAR, B.Sc,B.Ed</t>
  </si>
  <si>
    <t>MP,G.L.PURAM</t>
  </si>
  <si>
    <t>15/MEDICAL REIMBURSEMENT/2023</t>
  </si>
  <si>
    <t>03.08.2023</t>
  </si>
  <si>
    <t>The District Educational offcier,</t>
  </si>
  <si>
    <t>PARVATHIPURAM MANYAM DISTRICT</t>
  </si>
  <si>
    <t>PARVATHIPURAM-535501</t>
  </si>
  <si>
    <t>HTN T2-DM AF PAH-SEVERE PIP AF C FVR OS ADS WITH LEFT TO RIGHT SHUNTI NORMAL LV FUNCTION</t>
  </si>
  <si>
    <t>26.06.2023</t>
  </si>
  <si>
    <t>28.06.2023</t>
  </si>
  <si>
    <t>KGH DOWN ROAD, VISAKHAPATNAM</t>
  </si>
  <si>
    <t>M/S INDUS HOSPITAL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</si>
</sst>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 #,##0_);_(* \(#,##0\);_(* &quot;-&quot;_);_(@_)"/>
    <numFmt numFmtId="165" formatCode="_(* #,##0.00_);_(* \(#,##0.00\);_(* &quot;-&quot;??_);_(@_)"/>
    <numFmt numFmtId="166" formatCode="[$-409]d\-mmm\-yy;@"/>
    <numFmt numFmtId="167" formatCode="00.0000"/>
    <numFmt numFmtId="168" formatCode="0.0%"/>
    <numFmt numFmtId="169" formatCode="0.000%"/>
  </numFmts>
  <fonts count="174">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0"/>
      <color indexed="12"/>
      <name val="Arial"/>
      <family val="2"/>
    </font>
    <font>
      <b/>
      <sz val="8"/>
      <color indexed="9"/>
      <name val="Cambria"/>
      <family val="1"/>
    </font>
    <font>
      <sz val="11"/>
      <name val="Calibri"/>
      <family val="2"/>
    </font>
    <font>
      <sz val="18"/>
      <name val="Calibri"/>
      <family val="2"/>
    </font>
    <font>
      <sz val="14"/>
      <name val="Andalus"/>
      <family val="1"/>
    </font>
    <font>
      <sz val="14"/>
      <name val="Arial"/>
      <family val="2"/>
    </font>
    <font>
      <sz val="12"/>
      <name val="Calibri"/>
      <family val="2"/>
    </font>
    <font>
      <sz val="16"/>
      <name val="Arial"/>
      <family val="2"/>
    </font>
    <font>
      <sz val="12"/>
      <color indexed="8"/>
      <name val="Arial"/>
      <family val="2"/>
    </font>
    <font>
      <sz val="12"/>
      <color indexed="9"/>
      <name val="Arial"/>
      <family val="2"/>
    </font>
    <font>
      <sz val="12"/>
      <color indexed="20"/>
      <name val="Arial"/>
      <family val="2"/>
    </font>
    <font>
      <b/>
      <sz val="12"/>
      <color indexed="52"/>
      <name val="Arial"/>
      <family val="2"/>
    </font>
    <font>
      <b/>
      <sz val="12"/>
      <color indexed="9"/>
      <name val="Arial"/>
      <family val="2"/>
    </font>
    <font>
      <sz val="10"/>
      <name val="Arial"/>
      <family val="2"/>
    </font>
    <font>
      <b/>
      <sz val="10"/>
      <color indexed="8"/>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sz val="10"/>
      <name val="Times New Roman"/>
      <family val="1"/>
    </font>
    <font>
      <b/>
      <sz val="12"/>
      <color indexed="63"/>
      <name val="Arial"/>
      <family val="2"/>
    </font>
    <font>
      <b/>
      <sz val="18"/>
      <color indexed="8"/>
      <name val="Cambria"/>
      <family val="1"/>
    </font>
    <font>
      <b/>
      <sz val="12"/>
      <color indexed="8"/>
      <name val="Arial"/>
      <family val="2"/>
    </font>
    <font>
      <sz val="12"/>
      <color indexed="10"/>
      <name val="Arial"/>
      <family val="2"/>
    </font>
    <font>
      <b/>
      <sz val="16"/>
      <name val="Arial"/>
      <family val="2"/>
    </font>
    <font>
      <b/>
      <sz val="10"/>
      <name val="Arial"/>
      <family val="2"/>
    </font>
    <font>
      <b/>
      <sz val="14"/>
      <name val="Arial"/>
      <family val="2"/>
    </font>
    <font>
      <b/>
      <sz val="12"/>
      <name val="Arial"/>
      <family val="2"/>
    </font>
    <font>
      <sz val="12"/>
      <name val="Arial"/>
      <family val="2"/>
    </font>
    <font>
      <b/>
      <sz val="11"/>
      <name val="Arial"/>
      <family val="2"/>
    </font>
    <font>
      <sz val="8"/>
      <name val="Arial"/>
      <family val="2"/>
    </font>
    <font>
      <b/>
      <sz val="9"/>
      <name val="Arial"/>
      <family val="2"/>
    </font>
    <font>
      <b/>
      <sz val="8"/>
      <name val="Arial"/>
      <family val="2"/>
    </font>
    <font>
      <b/>
      <sz val="12"/>
      <name val="Arial Narrow"/>
      <family val="2"/>
    </font>
    <font>
      <b/>
      <sz val="12"/>
      <name val="BRH Telugu"/>
      <family val="4"/>
    </font>
    <font>
      <sz val="12"/>
      <name val="BRH Telugu"/>
      <family val="4"/>
    </font>
    <font>
      <u/>
      <sz val="14"/>
      <color indexed="8"/>
      <name val="Arial"/>
      <family val="2"/>
    </font>
    <font>
      <sz val="14"/>
      <color indexed="8"/>
      <name val="Arial"/>
      <family val="2"/>
    </font>
    <font>
      <sz val="12"/>
      <name val="Times New Roman"/>
      <family val="1"/>
    </font>
    <font>
      <sz val="11"/>
      <name val="Arial"/>
      <family val="2"/>
    </font>
    <font>
      <sz val="8"/>
      <name val="Bookman Old Style"/>
      <family val="1"/>
    </font>
    <font>
      <b/>
      <sz val="14"/>
      <name val="Times New Roman"/>
      <family val="1"/>
    </font>
    <font>
      <b/>
      <sz val="14"/>
      <name val="BankGothic Lt BT"/>
      <family val="2"/>
    </font>
    <font>
      <b/>
      <sz val="18"/>
      <name val="BankGothic Lt BT"/>
      <family val="2"/>
    </font>
    <font>
      <sz val="12"/>
      <color indexed="8"/>
      <name val="Calibri"/>
      <family val="2"/>
    </font>
    <font>
      <sz val="14"/>
      <name val="Times New Roman"/>
      <family val="1"/>
    </font>
    <font>
      <b/>
      <sz val="10"/>
      <name val="Bookman Old Style"/>
      <family val="1"/>
    </font>
    <font>
      <b/>
      <i/>
      <sz val="10"/>
      <name val="Bookman Old Style"/>
      <family val="1"/>
    </font>
    <font>
      <sz val="12"/>
      <name val="Bookman Old Style"/>
      <family val="1"/>
    </font>
    <font>
      <b/>
      <i/>
      <sz val="10"/>
      <name val="Arial"/>
      <family val="2"/>
    </font>
    <font>
      <sz val="10"/>
      <name val="Bookman Old Style"/>
      <family val="1"/>
    </font>
    <font>
      <sz val="9"/>
      <name val="Bookman Old Style"/>
      <family val="1"/>
    </font>
    <font>
      <sz val="14"/>
      <name val="Bookman Old Style"/>
      <family val="1"/>
    </font>
    <font>
      <b/>
      <i/>
      <sz val="12"/>
      <name val="Times New Roman"/>
      <family val="1"/>
    </font>
    <font>
      <b/>
      <i/>
      <sz val="14"/>
      <name val="Times New Roman"/>
      <family val="1"/>
    </font>
    <font>
      <i/>
      <sz val="10"/>
      <name val="Bookman Old Style"/>
      <family val="1"/>
    </font>
    <font>
      <b/>
      <sz val="9"/>
      <name val="Bookman Old Style"/>
      <family val="1"/>
    </font>
    <font>
      <b/>
      <sz val="14"/>
      <name val="Bookman Old Style"/>
      <family val="1"/>
    </font>
    <font>
      <b/>
      <sz val="12"/>
      <name val="Bookman Old Style"/>
      <family val="1"/>
    </font>
    <font>
      <sz val="11"/>
      <name val="Times New Roman"/>
      <family val="1"/>
    </font>
    <font>
      <sz val="10"/>
      <name val="Cambria"/>
      <family val="1"/>
    </font>
    <font>
      <sz val="11"/>
      <name val="Bookman Old Style"/>
      <family val="1"/>
    </font>
    <font>
      <sz val="16"/>
      <name val="Times New Roman"/>
      <family val="1"/>
    </font>
    <font>
      <sz val="9"/>
      <name val="Times New Roman"/>
      <family val="1"/>
    </font>
    <font>
      <b/>
      <sz val="12"/>
      <name val="Verdana"/>
      <family val="2"/>
    </font>
    <font>
      <sz val="10"/>
      <name val="Verdana"/>
      <family val="2"/>
    </font>
    <font>
      <sz val="8"/>
      <name val="Verdana"/>
      <family val="2"/>
    </font>
    <font>
      <b/>
      <sz val="11"/>
      <color indexed="8"/>
      <name val="Comic Sans MS"/>
      <family val="4"/>
    </font>
    <font>
      <b/>
      <u/>
      <sz val="10"/>
      <name val="Arial"/>
      <family val="2"/>
    </font>
    <font>
      <sz val="10"/>
      <color indexed="8"/>
      <name val="Calibri"/>
      <family val="2"/>
    </font>
    <font>
      <b/>
      <sz val="10"/>
      <name val="Arial Narrow"/>
      <family val="2"/>
    </font>
    <font>
      <u/>
      <sz val="10"/>
      <color indexed="8"/>
      <name val="Calibri"/>
      <family val="2"/>
    </font>
    <font>
      <sz val="9"/>
      <color indexed="81"/>
      <name val="Tahoma"/>
      <family val="2"/>
    </font>
    <font>
      <sz val="11"/>
      <color theme="1"/>
      <name val="Calibri"/>
      <family val="2"/>
      <scheme val="minor"/>
    </font>
    <font>
      <sz val="11"/>
      <color theme="0"/>
      <name val="Calibri"/>
      <family val="2"/>
      <scheme val="minor"/>
    </font>
    <font>
      <b/>
      <sz val="14"/>
      <color theme="1"/>
      <name val="Cambria"/>
      <family val="1"/>
      <scheme val="major"/>
    </font>
    <font>
      <b/>
      <sz val="11"/>
      <color theme="1"/>
      <name val="Calibri"/>
      <family val="2"/>
      <scheme val="minor"/>
    </font>
    <font>
      <sz val="11"/>
      <color rgb="FFFF0000"/>
      <name val="Calibri"/>
      <family val="2"/>
      <scheme val="minor"/>
    </font>
    <font>
      <sz val="13"/>
      <color theme="1"/>
      <name val="Cambria"/>
      <family val="1"/>
      <scheme val="major"/>
    </font>
    <font>
      <sz val="13"/>
      <color theme="1"/>
      <name val="Wingdings 2"/>
      <family val="1"/>
      <charset val="2"/>
    </font>
    <font>
      <b/>
      <sz val="12"/>
      <color theme="8" tint="-0.249977111117893"/>
      <name val="Calibri"/>
      <family val="2"/>
      <scheme val="minor"/>
    </font>
    <font>
      <b/>
      <sz val="12"/>
      <color theme="8" tint="-0.499984740745262"/>
      <name val="Calibri"/>
      <family val="2"/>
      <scheme val="minor"/>
    </font>
    <font>
      <b/>
      <sz val="13"/>
      <color theme="1"/>
      <name val="Cambria"/>
      <family val="1"/>
      <scheme val="major"/>
    </font>
    <font>
      <b/>
      <sz val="16"/>
      <color theme="1"/>
      <name val="Cambria"/>
      <family val="1"/>
      <scheme val="major"/>
    </font>
    <font>
      <sz val="11"/>
      <color theme="1"/>
      <name val="Cambria"/>
      <family val="1"/>
      <scheme val="major"/>
    </font>
    <font>
      <sz val="12"/>
      <color theme="1"/>
      <name val="Cambria"/>
      <family val="1"/>
      <scheme val="major"/>
    </font>
    <font>
      <u/>
      <sz val="11"/>
      <color theme="1"/>
      <name val="Cambria"/>
      <family val="1"/>
      <scheme val="major"/>
    </font>
    <font>
      <b/>
      <sz val="11"/>
      <color rgb="FFFF0000"/>
      <name val="Calibri"/>
      <family val="2"/>
      <scheme val="minor"/>
    </font>
    <font>
      <sz val="12"/>
      <color rgb="FFFF0000"/>
      <name val="Calibri"/>
      <family val="2"/>
      <scheme val="minor"/>
    </font>
    <font>
      <b/>
      <sz val="12"/>
      <color rgb="FFFF0000"/>
      <name val="Calibri"/>
      <family val="2"/>
      <scheme val="minor"/>
    </font>
    <font>
      <b/>
      <sz val="10"/>
      <color theme="1"/>
      <name val="Calibri"/>
      <family val="2"/>
      <scheme val="minor"/>
    </font>
    <font>
      <b/>
      <sz val="12"/>
      <color theme="1"/>
      <name val="Calibri"/>
      <family val="2"/>
      <scheme val="minor"/>
    </font>
    <font>
      <b/>
      <sz val="10"/>
      <color theme="1"/>
      <name val="Cambria"/>
      <family val="1"/>
      <scheme val="major"/>
    </font>
    <font>
      <sz val="10"/>
      <color theme="1"/>
      <name val="Calibri"/>
      <family val="2"/>
      <scheme val="minor"/>
    </font>
    <font>
      <sz val="12"/>
      <color theme="1"/>
      <name val="Calibri"/>
      <family val="2"/>
      <scheme val="minor"/>
    </font>
    <font>
      <sz val="11"/>
      <color theme="1"/>
      <name val="Times New Roman"/>
      <family val="1"/>
    </font>
    <font>
      <sz val="11"/>
      <color theme="1"/>
      <name val="Bookman Old Style"/>
      <family val="1"/>
    </font>
    <font>
      <b/>
      <sz val="11"/>
      <color theme="8" tint="-0.249977111117893"/>
      <name val="Calibri"/>
      <family val="2"/>
      <scheme val="minor"/>
    </font>
    <font>
      <sz val="12"/>
      <color theme="1"/>
      <name val="Arial"/>
      <family val="2"/>
    </font>
    <font>
      <b/>
      <sz val="12"/>
      <color theme="1"/>
      <name val="Arial Narrow"/>
      <family val="2"/>
    </font>
    <font>
      <sz val="14"/>
      <color indexed="8"/>
      <name val="Cambria"/>
      <family val="1"/>
      <scheme val="major"/>
    </font>
    <font>
      <sz val="12"/>
      <color theme="1"/>
      <name val="Times New Roman"/>
      <family val="1"/>
    </font>
    <font>
      <sz val="14"/>
      <color theme="1"/>
      <name val="Times New Roman"/>
      <family val="1"/>
    </font>
    <font>
      <sz val="14"/>
      <color theme="1"/>
      <name val="Cambria"/>
      <family val="1"/>
      <scheme val="major"/>
    </font>
    <font>
      <b/>
      <sz val="11"/>
      <color theme="1"/>
      <name val="Times New Roman"/>
      <family val="1"/>
    </font>
    <font>
      <sz val="13"/>
      <color theme="1"/>
      <name val="Times New Roman"/>
      <family val="1"/>
    </font>
    <font>
      <b/>
      <sz val="11"/>
      <color theme="1" tint="0.249977111117893"/>
      <name val="Calibri"/>
      <family val="2"/>
      <scheme val="minor"/>
    </font>
    <font>
      <b/>
      <sz val="10"/>
      <color theme="1"/>
      <name val="Arial Narrow"/>
      <family val="2"/>
    </font>
    <font>
      <b/>
      <sz val="10"/>
      <color theme="1"/>
      <name val="Times New Roman"/>
      <family val="1"/>
    </font>
    <font>
      <u/>
      <sz val="16"/>
      <color theme="1"/>
      <name val="Times New Roman"/>
      <family val="1"/>
    </font>
    <font>
      <sz val="10"/>
      <color theme="1"/>
      <name val="Verdana"/>
      <family val="2"/>
    </font>
    <font>
      <b/>
      <sz val="9"/>
      <color theme="1"/>
      <name val="Verdana"/>
      <family val="2"/>
    </font>
    <font>
      <i/>
      <sz val="9"/>
      <color theme="1"/>
      <name val="Verdana"/>
      <family val="2"/>
    </font>
    <font>
      <i/>
      <sz val="10"/>
      <color theme="1"/>
      <name val="Verdana"/>
      <family val="2"/>
    </font>
    <font>
      <sz val="9"/>
      <color theme="1"/>
      <name val="Verdana"/>
      <family val="2"/>
    </font>
    <font>
      <b/>
      <sz val="11"/>
      <color theme="1"/>
      <name val="Verdana"/>
      <family val="2"/>
    </font>
    <font>
      <sz val="8"/>
      <color theme="1"/>
      <name val="Calibri"/>
      <family val="2"/>
      <scheme val="minor"/>
    </font>
    <font>
      <sz val="11"/>
      <color theme="8" tint="-0.499984740745262"/>
      <name val="Calibri"/>
      <family val="2"/>
      <scheme val="minor"/>
    </font>
    <font>
      <sz val="14"/>
      <color rgb="FFFF0000"/>
      <name val="Calibri"/>
      <family val="2"/>
      <scheme val="minor"/>
    </font>
    <font>
      <b/>
      <sz val="10"/>
      <color theme="4"/>
      <name val="Cambria"/>
      <family val="1"/>
      <scheme val="major"/>
    </font>
    <font>
      <b/>
      <sz val="12"/>
      <color rgb="FF7030A0"/>
      <name val="Calibri"/>
      <family val="2"/>
      <scheme val="minor"/>
    </font>
    <font>
      <sz val="9"/>
      <color theme="8" tint="-0.499984740745262"/>
      <name val="Calibri"/>
      <family val="2"/>
      <scheme val="minor"/>
    </font>
    <font>
      <b/>
      <sz val="8"/>
      <color theme="0"/>
      <name val="Cambria"/>
      <family val="1"/>
      <scheme val="major"/>
    </font>
    <font>
      <b/>
      <sz val="9"/>
      <color theme="0"/>
      <name val="Cambria"/>
      <family val="1"/>
      <scheme val="major"/>
    </font>
    <font>
      <b/>
      <sz val="14"/>
      <color theme="0"/>
      <name val="Cambria"/>
      <family val="1"/>
      <scheme val="major"/>
    </font>
    <font>
      <b/>
      <u/>
      <sz val="12"/>
      <color theme="0"/>
      <name val="Cambria"/>
      <family val="1"/>
      <scheme val="major"/>
    </font>
    <font>
      <b/>
      <sz val="14"/>
      <color rgb="FFFF0000"/>
      <name val="Calibri"/>
      <family val="2"/>
      <scheme val="minor"/>
    </font>
    <font>
      <b/>
      <sz val="10"/>
      <color theme="8" tint="-0.499984740745262"/>
      <name val="Calibri"/>
      <family val="2"/>
      <scheme val="minor"/>
    </font>
    <font>
      <b/>
      <sz val="11"/>
      <color rgb="FFFF0000"/>
      <name val="Cambria"/>
      <family val="1"/>
      <scheme val="major"/>
    </font>
    <font>
      <b/>
      <i/>
      <sz val="12"/>
      <color theme="8" tint="-0.249977111117893"/>
      <name val="Calibri"/>
      <family val="2"/>
      <scheme val="minor"/>
    </font>
    <font>
      <b/>
      <sz val="14"/>
      <color theme="0"/>
      <name val="Calibri"/>
      <family val="2"/>
      <scheme val="minor"/>
    </font>
    <font>
      <b/>
      <sz val="9"/>
      <color theme="1"/>
      <name val="Cambria"/>
      <family val="1"/>
      <scheme val="major"/>
    </font>
    <font>
      <b/>
      <sz val="8"/>
      <color theme="4"/>
      <name val="Arial Narrow"/>
      <family val="2"/>
    </font>
    <font>
      <sz val="8"/>
      <color theme="1"/>
      <name val="Cambria"/>
      <family val="1"/>
      <scheme val="major"/>
    </font>
    <font>
      <b/>
      <sz val="11"/>
      <color theme="4"/>
      <name val="Cambria"/>
      <family val="1"/>
      <scheme val="major"/>
    </font>
    <font>
      <i/>
      <sz val="14"/>
      <color theme="0"/>
      <name val="Arial Black"/>
      <family val="2"/>
    </font>
    <font>
      <u/>
      <sz val="18"/>
      <color theme="1"/>
      <name val="Times New Roman"/>
      <family val="1"/>
    </font>
    <font>
      <b/>
      <sz val="14"/>
      <color theme="1"/>
      <name val="Calibri"/>
      <family val="2"/>
      <scheme val="minor"/>
    </font>
    <font>
      <b/>
      <sz val="12"/>
      <color theme="1"/>
      <name val="Cambria"/>
      <family val="1"/>
      <scheme val="major"/>
    </font>
    <font>
      <u/>
      <sz val="13"/>
      <color theme="1"/>
      <name val="Cambria"/>
      <family val="1"/>
      <scheme val="major"/>
    </font>
    <font>
      <sz val="10"/>
      <color theme="1"/>
      <name val="Cambria"/>
      <family val="1"/>
      <scheme val="major"/>
    </font>
    <font>
      <b/>
      <sz val="11"/>
      <color theme="1"/>
      <name val="Cambria"/>
      <family val="1"/>
      <scheme val="major"/>
    </font>
    <font>
      <sz val="16"/>
      <color theme="1"/>
      <name val="Cambria"/>
      <family val="1"/>
      <scheme val="major"/>
    </font>
    <font>
      <b/>
      <u/>
      <sz val="14"/>
      <color theme="1"/>
      <name val="Cambria"/>
      <family val="1"/>
      <scheme val="major"/>
    </font>
    <font>
      <b/>
      <sz val="10"/>
      <color theme="1"/>
      <name val="Verdana"/>
      <family val="2"/>
    </font>
    <font>
      <sz val="8"/>
      <color theme="1"/>
      <name val="Verdana"/>
      <family val="2"/>
    </font>
    <font>
      <b/>
      <sz val="12"/>
      <color theme="1"/>
      <name val="Verdana"/>
      <family val="2"/>
    </font>
    <font>
      <sz val="14"/>
      <color theme="1"/>
      <name val="Verdana"/>
      <family val="2"/>
    </font>
    <font>
      <sz val="12"/>
      <color theme="1"/>
      <name val="Verdana"/>
      <family val="2"/>
    </font>
    <font>
      <b/>
      <sz val="8"/>
      <color theme="1"/>
      <name val="Verdana"/>
      <family val="2"/>
    </font>
    <font>
      <b/>
      <u/>
      <sz val="18"/>
      <color theme="1"/>
      <name val="Cambria"/>
      <family val="1"/>
      <scheme val="major"/>
    </font>
    <font>
      <b/>
      <sz val="12"/>
      <name val="Calibri"/>
      <family val="2"/>
      <scheme val="minor"/>
    </font>
  </fonts>
  <fills count="61">
    <fill>
      <patternFill patternType="none"/>
    </fill>
    <fill>
      <patternFill patternType="gray125"/>
    </fill>
    <fill>
      <patternFill patternType="solid">
        <fgColor indexed="31"/>
      </patternFill>
    </fill>
    <fill>
      <patternFill patternType="solid">
        <fgColor indexed="31"/>
        <bgColor indexed="22"/>
      </patternFill>
    </fill>
    <fill>
      <patternFill patternType="solid">
        <fgColor indexed="45"/>
      </patternFill>
    </fill>
    <fill>
      <patternFill patternType="solid">
        <fgColor indexed="45"/>
        <bgColor indexed="29"/>
      </patternFill>
    </fill>
    <fill>
      <patternFill patternType="solid">
        <fgColor indexed="42"/>
      </patternFill>
    </fill>
    <fill>
      <patternFill patternType="solid">
        <fgColor indexed="42"/>
        <bgColor indexed="27"/>
      </patternFill>
    </fill>
    <fill>
      <patternFill patternType="solid">
        <fgColor indexed="46"/>
      </patternFill>
    </fill>
    <fill>
      <patternFill patternType="solid">
        <fgColor indexed="46"/>
        <bgColor indexed="24"/>
      </patternFill>
    </fill>
    <fill>
      <patternFill patternType="solid">
        <fgColor indexed="27"/>
      </patternFill>
    </fill>
    <fill>
      <patternFill patternType="solid">
        <fgColor indexed="27"/>
        <bgColor indexed="41"/>
      </patternFill>
    </fill>
    <fill>
      <patternFill patternType="solid">
        <fgColor indexed="47"/>
      </patternFill>
    </fill>
    <fill>
      <patternFill patternType="solid">
        <fgColor indexed="47"/>
        <bgColor indexed="22"/>
      </patternFill>
    </fill>
    <fill>
      <patternFill patternType="solid">
        <fgColor indexed="44"/>
      </patternFill>
    </fill>
    <fill>
      <patternFill patternType="solid">
        <fgColor indexed="44"/>
        <bgColor indexed="31"/>
      </patternFill>
    </fill>
    <fill>
      <patternFill patternType="solid">
        <fgColor indexed="29"/>
      </patternFill>
    </fill>
    <fill>
      <patternFill patternType="solid">
        <fgColor indexed="29"/>
        <bgColor indexed="45"/>
      </patternFill>
    </fill>
    <fill>
      <patternFill patternType="solid">
        <fgColor indexed="11"/>
      </patternFill>
    </fill>
    <fill>
      <patternFill patternType="solid">
        <fgColor indexed="11"/>
        <bgColor indexed="49"/>
      </patternFill>
    </fill>
    <fill>
      <patternFill patternType="solid">
        <fgColor indexed="51"/>
      </patternFill>
    </fill>
    <fill>
      <patternFill patternType="solid">
        <fgColor indexed="51"/>
        <bgColor indexed="13"/>
      </patternFill>
    </fill>
    <fill>
      <patternFill patternType="solid">
        <fgColor indexed="30"/>
      </patternFill>
    </fill>
    <fill>
      <patternFill patternType="solid">
        <fgColor indexed="30"/>
        <bgColor indexed="21"/>
      </patternFill>
    </fill>
    <fill>
      <patternFill patternType="solid">
        <fgColor indexed="36"/>
      </patternFill>
    </fill>
    <fill>
      <patternFill patternType="solid">
        <fgColor indexed="20"/>
        <bgColor indexed="36"/>
      </patternFill>
    </fill>
    <fill>
      <patternFill patternType="solid">
        <fgColor indexed="49"/>
      </patternFill>
    </fill>
    <fill>
      <patternFill patternType="solid">
        <fgColor indexed="49"/>
        <bgColor indexed="40"/>
      </patternFill>
    </fill>
    <fill>
      <patternFill patternType="solid">
        <fgColor indexed="52"/>
      </patternFill>
    </fill>
    <fill>
      <patternFill patternType="solid">
        <fgColor indexed="52"/>
        <bgColor indexed="51"/>
      </patternFill>
    </fill>
    <fill>
      <patternFill patternType="solid">
        <fgColor indexed="62"/>
      </patternFill>
    </fill>
    <fill>
      <patternFill patternType="solid">
        <fgColor indexed="62"/>
        <bgColor indexed="56"/>
      </patternFill>
    </fill>
    <fill>
      <patternFill patternType="solid">
        <fgColor indexed="10"/>
      </patternFill>
    </fill>
    <fill>
      <patternFill patternType="solid">
        <fgColor indexed="10"/>
        <bgColor indexed="60"/>
      </patternFill>
    </fill>
    <fill>
      <patternFill patternType="solid">
        <fgColor indexed="57"/>
      </patternFill>
    </fill>
    <fill>
      <patternFill patternType="solid">
        <fgColor indexed="57"/>
        <bgColor indexed="21"/>
      </patternFill>
    </fill>
    <fill>
      <patternFill patternType="solid">
        <fgColor indexed="53"/>
      </patternFill>
    </fill>
    <fill>
      <patternFill patternType="solid">
        <fgColor indexed="53"/>
        <bgColor indexed="52"/>
      </patternFill>
    </fill>
    <fill>
      <patternFill patternType="solid">
        <fgColor indexed="22"/>
      </patternFill>
    </fill>
    <fill>
      <patternFill patternType="solid">
        <fgColor indexed="22"/>
        <bgColor indexed="31"/>
      </patternFill>
    </fill>
    <fill>
      <patternFill patternType="solid">
        <fgColor indexed="55"/>
      </patternFill>
    </fill>
    <fill>
      <patternFill patternType="solid">
        <fgColor indexed="55"/>
        <bgColor indexed="23"/>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43"/>
        <bgColor indexed="26"/>
      </patternFill>
    </fill>
    <fill>
      <patternFill patternType="solid">
        <fgColor indexed="26"/>
      </patternFill>
    </fill>
    <fill>
      <patternFill patternType="solid">
        <fgColor indexed="26"/>
        <bgColor indexed="9"/>
      </patternFill>
    </fill>
    <fill>
      <patternFill patternType="solid">
        <fgColor indexed="9"/>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1"/>
        <bgColor indexed="64"/>
      </patternFill>
    </fill>
    <fill>
      <patternFill patternType="solid">
        <fgColor theme="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5" tint="-0.499984740745262"/>
        <bgColor indexed="64"/>
      </patternFill>
    </fill>
    <fill>
      <patternFill patternType="solid">
        <fgColor theme="9" tint="-0.249977111117893"/>
        <bgColor indexed="64"/>
      </patternFill>
    </fill>
    <fill>
      <patternFill patternType="solid">
        <fgColor rgb="FF0070C0"/>
        <bgColor indexed="64"/>
      </patternFill>
    </fill>
    <fill>
      <patternFill patternType="solid">
        <fgColor rgb="FFFF0000"/>
        <bgColor indexed="64"/>
      </patternFill>
    </fill>
  </fills>
  <borders count="10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double">
        <color indexed="64"/>
      </right>
      <top/>
      <bottom/>
      <diagonal/>
    </border>
    <border>
      <left style="double">
        <color indexed="64"/>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style="double">
        <color indexed="64"/>
      </left>
      <right/>
      <top style="thin">
        <color indexed="64"/>
      </top>
      <bottom style="thin">
        <color indexed="64"/>
      </bottom>
      <diagonal/>
    </border>
    <border>
      <left/>
      <right style="double">
        <color indexed="64"/>
      </right>
      <top/>
      <bottom style="double">
        <color indexed="64"/>
      </bottom>
      <diagonal/>
    </border>
    <border>
      <left/>
      <right style="double">
        <color indexed="64"/>
      </right>
      <top style="thin">
        <color indexed="64"/>
      </top>
      <bottom/>
      <diagonal/>
    </border>
    <border>
      <left/>
      <right style="double">
        <color indexed="64"/>
      </right>
      <top style="thin">
        <color indexed="64"/>
      </top>
      <bottom style="thin">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thin">
        <color indexed="64"/>
      </left>
      <right style="double">
        <color indexed="64"/>
      </right>
      <top style="thin">
        <color indexed="64"/>
      </top>
      <bottom style="thin">
        <color indexed="64"/>
      </bottom>
      <diagonal/>
    </border>
    <border>
      <left/>
      <right style="double">
        <color indexed="64"/>
      </right>
      <top/>
      <bottom style="thin">
        <color indexed="64"/>
      </bottom>
      <diagonal/>
    </border>
    <border>
      <left style="thin">
        <color rgb="FFC00000"/>
      </left>
      <right style="thin">
        <color rgb="FFC00000"/>
      </right>
      <top style="thin">
        <color rgb="FFC00000"/>
      </top>
      <bottom style="thin">
        <color rgb="FFC00000"/>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style="double">
        <color theme="5" tint="-0.499984740745262"/>
      </left>
      <right style="double">
        <color theme="5" tint="-0.499984740745262"/>
      </right>
      <top style="double">
        <color theme="5" tint="-0.499984740745262"/>
      </top>
      <bottom style="double">
        <color theme="5" tint="-0.499984740745262"/>
      </bottom>
      <diagonal/>
    </border>
    <border>
      <left style="thin">
        <color theme="8" tint="-0.24994659260841701"/>
      </left>
      <right style="thin">
        <color theme="8" tint="-0.24994659260841701"/>
      </right>
      <top/>
      <bottom style="thin">
        <color theme="8" tint="-0.24994659260841701"/>
      </bottom>
      <diagonal/>
    </border>
    <border>
      <left/>
      <right/>
      <top style="double">
        <color theme="5" tint="-0.499984740745262"/>
      </top>
      <bottom style="double">
        <color theme="5" tint="-0.499984740745262"/>
      </bottom>
      <diagonal/>
    </border>
    <border>
      <left/>
      <right style="double">
        <color theme="8" tint="-0.24994659260841701"/>
      </right>
      <top/>
      <bottom/>
      <diagonal/>
    </border>
    <border>
      <left style="thin">
        <color indexed="64"/>
      </left>
      <right style="double">
        <color rgb="FFFF0000"/>
      </right>
      <top style="thin">
        <color indexed="64"/>
      </top>
      <bottom style="thin">
        <color indexed="64"/>
      </bottom>
      <diagonal/>
    </border>
    <border>
      <left style="double">
        <color rgb="FFFF0000"/>
      </left>
      <right/>
      <top/>
      <bottom/>
      <diagonal/>
    </border>
    <border>
      <left style="double">
        <color theme="1"/>
      </left>
      <right/>
      <top style="double">
        <color theme="5" tint="-0.499984740745262"/>
      </top>
      <bottom style="double">
        <color theme="5" tint="-0.499984740745262"/>
      </bottom>
      <diagonal/>
    </border>
    <border>
      <left/>
      <right style="double">
        <color theme="5" tint="-0.499984740745262"/>
      </right>
      <top style="double">
        <color theme="5" tint="-0.499984740745262"/>
      </top>
      <bottom style="double">
        <color theme="5" tint="-0.499984740745262"/>
      </bottom>
      <diagonal/>
    </border>
    <border>
      <left style="double">
        <color theme="5" tint="-0.499984740745262"/>
      </left>
      <right/>
      <top style="double">
        <color theme="5" tint="-0.499984740745262"/>
      </top>
      <bottom/>
      <diagonal/>
    </border>
    <border>
      <left/>
      <right style="double">
        <color theme="5" tint="-0.499984740745262"/>
      </right>
      <top style="double">
        <color theme="5" tint="-0.499984740745262"/>
      </top>
      <bottom/>
      <diagonal/>
    </border>
    <border>
      <left style="double">
        <color theme="5" tint="-0.499984740745262"/>
      </left>
      <right/>
      <top style="double">
        <color theme="5" tint="-0.499984740745262"/>
      </top>
      <bottom style="double">
        <color theme="5" tint="-0.499984740745262"/>
      </bottom>
      <diagonal/>
    </border>
    <border>
      <left/>
      <right/>
      <top style="double">
        <color theme="5" tint="-0.499984740745262"/>
      </top>
      <bottom/>
      <diagonal/>
    </border>
    <border>
      <left style="double">
        <color rgb="FFFF0000"/>
      </left>
      <right style="thin">
        <color indexed="64"/>
      </right>
      <top style="thin">
        <color indexed="64"/>
      </top>
      <bottom style="thin">
        <color indexed="64"/>
      </bottom>
      <diagonal/>
    </border>
    <border>
      <left/>
      <right/>
      <top/>
      <bottom style="double">
        <color theme="8" tint="-0.24994659260841701"/>
      </bottom>
      <diagonal/>
    </border>
    <border>
      <left style="double">
        <color theme="8" tint="-0.24994659260841701"/>
      </left>
      <right style="double">
        <color theme="8" tint="-0.24994659260841701"/>
      </right>
      <top style="double">
        <color theme="8" tint="-0.24994659260841701"/>
      </top>
      <bottom style="double">
        <color theme="8" tint="-0.24994659260841701"/>
      </bottom>
      <diagonal/>
    </border>
    <border>
      <left style="double">
        <color rgb="FFFF0000"/>
      </left>
      <right style="double">
        <color theme="8" tint="-0.24994659260841701"/>
      </right>
      <top style="double">
        <color theme="8" tint="-0.24994659260841701"/>
      </top>
      <bottom style="double">
        <color rgb="FFFF0000"/>
      </bottom>
      <diagonal/>
    </border>
    <border>
      <left style="double">
        <color theme="8" tint="-0.24994659260841701"/>
      </left>
      <right style="double">
        <color theme="8" tint="-0.24994659260841701"/>
      </right>
      <top style="double">
        <color theme="8" tint="-0.24994659260841701"/>
      </top>
      <bottom style="double">
        <color rgb="FFFF0000"/>
      </bottom>
      <diagonal/>
    </border>
    <border>
      <left style="double">
        <color theme="8" tint="-0.24994659260841701"/>
      </left>
      <right style="double">
        <color rgb="FFFF0000"/>
      </right>
      <top style="double">
        <color theme="8" tint="-0.24994659260841701"/>
      </top>
      <bottom style="double">
        <color rgb="FFFF0000"/>
      </bottom>
      <diagonal/>
    </border>
    <border>
      <left style="double">
        <color rgb="FFFF0000"/>
      </left>
      <right/>
      <top/>
      <bottom style="thin">
        <color indexed="64"/>
      </bottom>
      <diagonal/>
    </border>
    <border>
      <left/>
      <right style="double">
        <color rgb="FFFF0000"/>
      </right>
      <top/>
      <bottom style="thin">
        <color indexed="64"/>
      </bottom>
      <diagonal/>
    </border>
    <border>
      <left/>
      <right/>
      <top style="double">
        <color theme="8" tint="-0.24994659260841701"/>
      </top>
      <bottom style="double">
        <color theme="8" tint="-0.24994659260841701"/>
      </bottom>
      <diagonal/>
    </border>
    <border>
      <left style="double">
        <color rgb="FFFF0000"/>
      </left>
      <right style="double">
        <color theme="8" tint="-0.24994659260841701"/>
      </right>
      <top/>
      <bottom style="double">
        <color theme="8" tint="-0.24994659260841701"/>
      </bottom>
      <diagonal/>
    </border>
    <border>
      <left style="double">
        <color theme="8" tint="-0.24994659260841701"/>
      </left>
      <right style="double">
        <color theme="8" tint="-0.24994659260841701"/>
      </right>
      <top/>
      <bottom style="double">
        <color theme="8" tint="-0.24994659260841701"/>
      </bottom>
      <diagonal/>
    </border>
    <border>
      <left style="double">
        <color theme="8" tint="-0.24994659260841701"/>
      </left>
      <right style="double">
        <color rgb="FFFF0000"/>
      </right>
      <top/>
      <bottom style="double">
        <color theme="8" tint="-0.24994659260841701"/>
      </bottom>
      <diagonal/>
    </border>
    <border>
      <left style="thin">
        <color theme="8" tint="-0.24994659260841701"/>
      </left>
      <right/>
      <top/>
      <bottom/>
      <diagonal/>
    </border>
    <border>
      <left style="thin">
        <color theme="8" tint="-0.24994659260841701"/>
      </left>
      <right/>
      <top/>
      <bottom style="thin">
        <color theme="8" tint="-0.24994659260841701"/>
      </bottom>
      <diagonal/>
    </border>
    <border>
      <left/>
      <right/>
      <top/>
      <bottom style="thin">
        <color theme="8" tint="-0.24994659260841701"/>
      </bottom>
      <diagonal/>
    </border>
    <border>
      <left/>
      <right style="double">
        <color theme="5" tint="-0.499984740745262"/>
      </right>
      <top/>
      <bottom/>
      <diagonal/>
    </border>
    <border>
      <left style="thin">
        <color theme="0"/>
      </left>
      <right/>
      <top style="thin">
        <color theme="0"/>
      </top>
      <bottom style="thin">
        <color theme="0"/>
      </bottom>
      <diagonal/>
    </border>
    <border>
      <left/>
      <right/>
      <top style="thin">
        <color theme="0"/>
      </top>
      <bottom style="thin">
        <color theme="0"/>
      </bottom>
      <diagonal/>
    </border>
    <border>
      <left style="double">
        <color rgb="FFFF0000"/>
      </left>
      <right/>
      <top style="double">
        <color rgb="FFFF0000"/>
      </top>
      <bottom/>
      <diagonal/>
    </border>
    <border>
      <left/>
      <right/>
      <top style="double">
        <color rgb="FFFF0000"/>
      </top>
      <bottom/>
      <diagonal/>
    </border>
    <border>
      <left/>
      <right style="thin">
        <color theme="8" tint="-0.24994659260841701"/>
      </right>
      <top style="double">
        <color rgb="FFFF0000"/>
      </top>
      <bottom/>
      <diagonal/>
    </border>
    <border>
      <left style="thin">
        <color theme="8" tint="-0.24994659260841701"/>
      </left>
      <right/>
      <top style="double">
        <color rgb="FFFF0000"/>
      </top>
      <bottom/>
      <diagonal/>
    </border>
    <border>
      <left style="thin">
        <color theme="8" tint="-0.24994659260841701"/>
      </left>
      <right/>
      <top style="thin">
        <color theme="8" tint="-0.24994659260841701"/>
      </top>
      <bottom/>
      <diagonal/>
    </border>
    <border>
      <left/>
      <right/>
      <top style="thin">
        <color theme="8" tint="-0.24994659260841701"/>
      </top>
      <bottom/>
      <diagonal/>
    </border>
    <border>
      <left style="double">
        <color rgb="FFFF0000"/>
      </left>
      <right style="thin">
        <color theme="8" tint="-0.24994659260841701"/>
      </right>
      <top style="double">
        <color rgb="FFFF0000"/>
      </top>
      <bottom style="thin">
        <color theme="8" tint="-0.24994659260841701"/>
      </bottom>
      <diagonal/>
    </border>
    <border>
      <left style="thin">
        <color theme="8" tint="-0.24994659260841701"/>
      </left>
      <right style="thin">
        <color theme="8" tint="-0.24994659260841701"/>
      </right>
      <top style="double">
        <color rgb="FFFF0000"/>
      </top>
      <bottom style="thin">
        <color theme="8" tint="-0.24994659260841701"/>
      </bottom>
      <diagonal/>
    </border>
    <border>
      <left style="thin">
        <color theme="8" tint="-0.24994659260841701"/>
      </left>
      <right style="double">
        <color rgb="FFFF0000"/>
      </right>
      <top style="double">
        <color rgb="FFFF0000"/>
      </top>
      <bottom style="thin">
        <color theme="8" tint="-0.24994659260841701"/>
      </bottom>
      <diagonal/>
    </border>
    <border>
      <left style="double">
        <color theme="5" tint="-0.499984740745262"/>
      </left>
      <right/>
      <top/>
      <bottom style="double">
        <color theme="5" tint="-0.499984740745262"/>
      </bottom>
      <diagonal/>
    </border>
    <border>
      <left/>
      <right/>
      <top/>
      <bottom style="double">
        <color theme="5" tint="-0.499984740745262"/>
      </bottom>
      <diagonal/>
    </border>
    <border>
      <left style="double">
        <color rgb="FFFF0000"/>
      </left>
      <right style="double">
        <color theme="8" tint="-0.24994659260841701"/>
      </right>
      <top style="double">
        <color theme="8" tint="-0.24994659260841701"/>
      </top>
      <bottom style="double">
        <color theme="8" tint="-0.24994659260841701"/>
      </bottom>
      <diagonal/>
    </border>
    <border>
      <left style="double">
        <color theme="8" tint="-0.24994659260841701"/>
      </left>
      <right style="double">
        <color rgb="FFFF0000"/>
      </right>
      <top style="double">
        <color theme="8" tint="-0.24994659260841701"/>
      </top>
      <bottom style="double">
        <color theme="8" tint="-0.24994659260841701"/>
      </bottom>
      <diagonal/>
    </border>
    <border>
      <left/>
      <right style="double">
        <color rgb="FFFF0000"/>
      </right>
      <top style="double">
        <color rgb="FFFF0000"/>
      </top>
      <bottom/>
      <diagonal/>
    </border>
    <border>
      <left style="double">
        <color rgb="FFFF0000"/>
      </left>
      <right/>
      <top/>
      <bottom style="double">
        <color rgb="FFFF0000"/>
      </bottom>
      <diagonal/>
    </border>
    <border>
      <left/>
      <right/>
      <top/>
      <bottom style="double">
        <color rgb="FFFF0000"/>
      </bottom>
      <diagonal/>
    </border>
    <border>
      <left/>
      <right style="double">
        <color rgb="FFFF0000"/>
      </right>
      <top/>
      <bottom style="double">
        <color rgb="FFFF0000"/>
      </bottom>
      <diagonal/>
    </border>
    <border>
      <left style="double">
        <color rgb="FFFF0000"/>
      </left>
      <right style="thin">
        <color indexed="64"/>
      </right>
      <top style="thin">
        <color theme="8" tint="-0.24994659260841701"/>
      </top>
      <bottom style="thin">
        <color indexed="64"/>
      </bottom>
      <diagonal/>
    </border>
    <border>
      <left style="thin">
        <color indexed="64"/>
      </left>
      <right style="thin">
        <color indexed="64"/>
      </right>
      <top style="thin">
        <color theme="8" tint="-0.24994659260841701"/>
      </top>
      <bottom style="thin">
        <color indexed="64"/>
      </bottom>
      <diagonal/>
    </border>
    <border>
      <left style="thin">
        <color indexed="64"/>
      </left>
      <right style="double">
        <color rgb="FFFF0000"/>
      </right>
      <top style="thin">
        <color theme="8" tint="-0.24994659260841701"/>
      </top>
      <bottom style="thin">
        <color indexed="64"/>
      </bottom>
      <diagonal/>
    </border>
    <border>
      <left style="thin">
        <color indexed="64"/>
      </left>
      <right/>
      <top/>
      <bottom style="double">
        <color theme="5" tint="-0.499984740745262"/>
      </bottom>
      <diagonal/>
    </border>
    <border>
      <left/>
      <right style="double">
        <color theme="5" tint="-0.499984740745262"/>
      </right>
      <top/>
      <bottom style="double">
        <color theme="5" tint="-0.499984740745262"/>
      </bottom>
      <diagonal/>
    </border>
    <border>
      <left style="double">
        <color rgb="FFFF0000"/>
      </left>
      <right/>
      <top style="thin">
        <color indexed="64"/>
      </top>
      <bottom style="thin">
        <color indexed="64"/>
      </bottom>
      <diagonal/>
    </border>
    <border>
      <left style="double">
        <color rgb="FFFF0000"/>
      </left>
      <right style="thin">
        <color indexed="64"/>
      </right>
      <top style="thin">
        <color indexed="64"/>
      </top>
      <bottom/>
      <diagonal/>
    </border>
  </borders>
  <cellStyleXfs count="420">
    <xf numFmtId="0" fontId="0" fillId="0" borderId="0"/>
    <xf numFmtId="0" fontId="26" fillId="3" borderId="0" applyNumberFormat="0" applyBorder="0" applyAlignment="0" applyProtection="0"/>
    <xf numFmtId="0" fontId="1" fillId="2"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5" borderId="0" applyNumberFormat="0" applyBorder="0" applyAlignment="0" applyProtection="0"/>
    <xf numFmtId="0" fontId="1" fillId="4"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7" borderId="0" applyNumberFormat="0" applyBorder="0" applyAlignment="0" applyProtection="0"/>
    <xf numFmtId="0" fontId="1" fillId="6"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9" borderId="0" applyNumberFormat="0" applyBorder="0" applyAlignment="0" applyProtection="0"/>
    <xf numFmtId="0" fontId="1" fillId="8"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11" borderId="0" applyNumberFormat="0" applyBorder="0" applyAlignment="0" applyProtection="0"/>
    <xf numFmtId="0" fontId="1" fillId="10"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3" borderId="0" applyNumberFormat="0" applyBorder="0" applyAlignment="0" applyProtection="0"/>
    <xf numFmtId="0" fontId="1" fillId="12"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5" borderId="0" applyNumberFormat="0" applyBorder="0" applyAlignment="0" applyProtection="0"/>
    <xf numFmtId="0" fontId="1" fillId="14"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7" borderId="0" applyNumberFormat="0" applyBorder="0" applyAlignment="0" applyProtection="0"/>
    <xf numFmtId="0" fontId="1" fillId="16"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9" borderId="0" applyNumberFormat="0" applyBorder="0" applyAlignment="0" applyProtection="0"/>
    <xf numFmtId="0" fontId="1" fillId="18"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9" borderId="0" applyNumberFormat="0" applyBorder="0" applyAlignment="0" applyProtection="0"/>
    <xf numFmtId="0" fontId="1" fillId="8"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15" borderId="0" applyNumberFormat="0" applyBorder="0" applyAlignment="0" applyProtection="0"/>
    <xf numFmtId="0" fontId="1" fillId="14"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21" borderId="0" applyNumberFormat="0" applyBorder="0" applyAlignment="0" applyProtection="0"/>
    <xf numFmtId="0" fontId="1" fillId="20"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7" fillId="23" borderId="0" applyNumberFormat="0" applyBorder="0" applyAlignment="0" applyProtection="0"/>
    <xf numFmtId="0" fontId="2" fillId="22" borderId="0" applyNumberFormat="0" applyBorder="0" applyAlignment="0" applyProtection="0"/>
    <xf numFmtId="0" fontId="27" fillId="23" borderId="0" applyNumberFormat="0" applyBorder="0" applyAlignment="0" applyProtection="0"/>
    <xf numFmtId="0" fontId="27" fillId="23" borderId="0" applyNumberFormat="0" applyBorder="0" applyAlignment="0" applyProtection="0"/>
    <xf numFmtId="0" fontId="27" fillId="23"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7" fillId="23" borderId="0" applyNumberFormat="0" applyBorder="0" applyAlignment="0" applyProtection="0"/>
    <xf numFmtId="0" fontId="27" fillId="23" borderId="0" applyNumberFormat="0" applyBorder="0" applyAlignment="0" applyProtection="0"/>
    <xf numFmtId="0" fontId="27" fillId="17" borderId="0" applyNumberFormat="0" applyBorder="0" applyAlignment="0" applyProtection="0"/>
    <xf numFmtId="0" fontId="2" fillId="16"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9" borderId="0" applyNumberFormat="0" applyBorder="0" applyAlignment="0" applyProtection="0"/>
    <xf numFmtId="0" fontId="2" fillId="18"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25" borderId="0" applyNumberFormat="0" applyBorder="0" applyAlignment="0" applyProtection="0"/>
    <xf numFmtId="0" fontId="2" fillId="24"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7" borderId="0" applyNumberFormat="0" applyBorder="0" applyAlignment="0" applyProtection="0"/>
    <xf numFmtId="0" fontId="2" fillId="26"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27" fillId="29" borderId="0" applyNumberFormat="0" applyBorder="0" applyAlignment="0" applyProtection="0"/>
    <xf numFmtId="0" fontId="2" fillId="28"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31" borderId="0" applyNumberFormat="0" applyBorder="0" applyAlignment="0" applyProtection="0"/>
    <xf numFmtId="0" fontId="2" fillId="30" borderId="0" applyNumberFormat="0" applyBorder="0" applyAlignment="0" applyProtection="0"/>
    <xf numFmtId="0" fontId="27" fillId="31" borderId="0" applyNumberFormat="0" applyBorder="0" applyAlignment="0" applyProtection="0"/>
    <xf numFmtId="0" fontId="27" fillId="31" borderId="0" applyNumberFormat="0" applyBorder="0" applyAlignment="0" applyProtection="0"/>
    <xf numFmtId="0" fontId="27" fillId="31"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7" fillId="31" borderId="0" applyNumberFormat="0" applyBorder="0" applyAlignment="0" applyProtection="0"/>
    <xf numFmtId="0" fontId="27" fillId="31" borderId="0" applyNumberFormat="0" applyBorder="0" applyAlignment="0" applyProtection="0"/>
    <xf numFmtId="0" fontId="27" fillId="33" borderId="0" applyNumberFormat="0" applyBorder="0" applyAlignment="0" applyProtection="0"/>
    <xf numFmtId="0" fontId="2" fillId="32"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7" fillId="33" borderId="0" applyNumberFormat="0" applyBorder="0" applyAlignment="0" applyProtection="0"/>
    <xf numFmtId="0" fontId="27" fillId="33" borderId="0" applyNumberFormat="0" applyBorder="0" applyAlignment="0" applyProtection="0"/>
    <xf numFmtId="0" fontId="27" fillId="35" borderId="0" applyNumberFormat="0" applyBorder="0" applyAlignment="0" applyProtection="0"/>
    <xf numFmtId="0" fontId="2" fillId="34" borderId="0" applyNumberFormat="0" applyBorder="0" applyAlignment="0" applyProtection="0"/>
    <xf numFmtId="0" fontId="27" fillId="35" borderId="0" applyNumberFormat="0" applyBorder="0" applyAlignment="0" applyProtection="0"/>
    <xf numFmtId="0" fontId="27" fillId="35" borderId="0" applyNumberFormat="0" applyBorder="0" applyAlignment="0" applyProtection="0"/>
    <xf numFmtId="0" fontId="27" fillId="35"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7" fillId="35" borderId="0" applyNumberFormat="0" applyBorder="0" applyAlignment="0" applyProtection="0"/>
    <xf numFmtId="0" fontId="27" fillId="35" borderId="0" applyNumberFormat="0" applyBorder="0" applyAlignment="0" applyProtection="0"/>
    <xf numFmtId="0" fontId="27" fillId="25" borderId="0" applyNumberFormat="0" applyBorder="0" applyAlignment="0" applyProtection="0"/>
    <xf numFmtId="0" fontId="2" fillId="24"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7" borderId="0" applyNumberFormat="0" applyBorder="0" applyAlignment="0" applyProtection="0"/>
    <xf numFmtId="0" fontId="2" fillId="26"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27" fillId="37" borderId="0" applyNumberFormat="0" applyBorder="0" applyAlignment="0" applyProtection="0"/>
    <xf numFmtId="0" fontId="2" fillId="36" borderId="0" applyNumberFormat="0" applyBorder="0" applyAlignment="0" applyProtection="0"/>
    <xf numFmtId="0" fontId="27" fillId="37" borderId="0" applyNumberFormat="0" applyBorder="0" applyAlignment="0" applyProtection="0"/>
    <xf numFmtId="0" fontId="27" fillId="37" borderId="0" applyNumberFormat="0" applyBorder="0" applyAlignment="0" applyProtection="0"/>
    <xf numFmtId="0" fontId="27" fillId="37"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7" fillId="37" borderId="0" applyNumberFormat="0" applyBorder="0" applyAlignment="0" applyProtection="0"/>
    <xf numFmtId="0" fontId="27" fillId="37" borderId="0" applyNumberFormat="0" applyBorder="0" applyAlignment="0" applyProtection="0"/>
    <xf numFmtId="0" fontId="28" fillId="5" borderId="0" applyNumberFormat="0" applyBorder="0" applyAlignment="0" applyProtection="0"/>
    <xf numFmtId="0" fontId="3" fillId="4"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9" fillId="39" borderId="1" applyNumberFormat="0" applyAlignment="0" applyProtection="0"/>
    <xf numFmtId="0" fontId="4" fillId="38" borderId="1" applyNumberFormat="0" applyAlignment="0" applyProtection="0"/>
    <xf numFmtId="0" fontId="29" fillId="39" borderId="1" applyNumberFormat="0" applyAlignment="0" applyProtection="0"/>
    <xf numFmtId="0" fontId="29" fillId="39" borderId="1" applyNumberFormat="0" applyAlignment="0" applyProtection="0"/>
    <xf numFmtId="0" fontId="29" fillId="39" borderId="1" applyNumberFormat="0" applyAlignment="0" applyProtection="0"/>
    <xf numFmtId="0" fontId="4" fillId="38" borderId="1" applyNumberFormat="0" applyAlignment="0" applyProtection="0"/>
    <xf numFmtId="0" fontId="4" fillId="38" borderId="1" applyNumberFormat="0" applyAlignment="0" applyProtection="0"/>
    <xf numFmtId="0" fontId="29" fillId="39" borderId="1" applyNumberFormat="0" applyAlignment="0" applyProtection="0"/>
    <xf numFmtId="0" fontId="29" fillId="39" borderId="1" applyNumberFormat="0" applyAlignment="0" applyProtection="0"/>
    <xf numFmtId="0" fontId="30" fillId="41" borderId="2" applyNumberFormat="0" applyAlignment="0" applyProtection="0"/>
    <xf numFmtId="0" fontId="5" fillId="40" borderId="2" applyNumberFormat="0" applyAlignment="0" applyProtection="0"/>
    <xf numFmtId="0" fontId="30" fillId="41" borderId="2" applyNumberFormat="0" applyAlignment="0" applyProtection="0"/>
    <xf numFmtId="0" fontId="30" fillId="41" borderId="2" applyNumberFormat="0" applyAlignment="0" applyProtection="0"/>
    <xf numFmtId="0" fontId="30" fillId="41" borderId="2" applyNumberFormat="0" applyAlignment="0" applyProtection="0"/>
    <xf numFmtId="0" fontId="5" fillId="40" borderId="2" applyNumberFormat="0" applyAlignment="0" applyProtection="0"/>
    <xf numFmtId="0" fontId="5" fillId="40" borderId="2" applyNumberFormat="0" applyAlignment="0" applyProtection="0"/>
    <xf numFmtId="0" fontId="30" fillId="41" borderId="2" applyNumberFormat="0" applyAlignment="0" applyProtection="0"/>
    <xf numFmtId="0" fontId="30" fillId="41" borderId="2" applyNumberFormat="0" applyAlignment="0" applyProtection="0"/>
    <xf numFmtId="165" fontId="31" fillId="0" borderId="0" applyFont="0" applyFill="0" applyBorder="0" applyAlignment="0" applyProtection="0"/>
    <xf numFmtId="0" fontId="32" fillId="42"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3" fillId="0" borderId="0" applyNumberFormat="0" applyFill="0" applyBorder="0" applyAlignment="0" applyProtection="0"/>
    <xf numFmtId="0" fontId="6"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7" borderId="0" applyNumberFormat="0" applyBorder="0" applyAlignment="0" applyProtection="0"/>
    <xf numFmtId="0" fontId="7" fillId="6" borderId="0" applyNumberFormat="0" applyBorder="0" applyAlignment="0" applyProtection="0"/>
    <xf numFmtId="0" fontId="34" fillId="7" borderId="0" applyNumberFormat="0" applyBorder="0" applyAlignment="0" applyProtection="0"/>
    <xf numFmtId="0" fontId="34" fillId="7" borderId="0" applyNumberFormat="0" applyBorder="0" applyAlignment="0" applyProtection="0"/>
    <xf numFmtId="0" fontId="34" fillId="7"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34" fillId="7" borderId="0" applyNumberFormat="0" applyBorder="0" applyAlignment="0" applyProtection="0"/>
    <xf numFmtId="0" fontId="34" fillId="7" borderId="0" applyNumberFormat="0" applyBorder="0" applyAlignment="0" applyProtection="0"/>
    <xf numFmtId="0" fontId="35" fillId="0" borderId="3" applyNumberFormat="0" applyFill="0" applyAlignment="0" applyProtection="0"/>
    <xf numFmtId="0" fontId="8" fillId="0" borderId="3" applyNumberFormat="0" applyFill="0" applyAlignment="0" applyProtection="0"/>
    <xf numFmtId="0" fontId="35" fillId="0" borderId="3" applyNumberFormat="0" applyFill="0" applyAlignment="0" applyProtection="0"/>
    <xf numFmtId="0" fontId="35" fillId="0" borderId="3" applyNumberFormat="0" applyFill="0" applyAlignment="0" applyProtection="0"/>
    <xf numFmtId="0" fontId="35"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35" fillId="0" borderId="3" applyNumberFormat="0" applyFill="0" applyAlignment="0" applyProtection="0"/>
    <xf numFmtId="0" fontId="35" fillId="0" borderId="3" applyNumberFormat="0" applyFill="0" applyAlignment="0" applyProtection="0"/>
    <xf numFmtId="0" fontId="36" fillId="0" borderId="4" applyNumberFormat="0" applyFill="0" applyAlignment="0" applyProtection="0"/>
    <xf numFmtId="0" fontId="9" fillId="0" borderId="4" applyNumberFormat="0" applyFill="0" applyAlignment="0" applyProtection="0"/>
    <xf numFmtId="0" fontId="36" fillId="0" borderId="4" applyNumberFormat="0" applyFill="0" applyAlignment="0" applyProtection="0"/>
    <xf numFmtId="0" fontId="36" fillId="0" borderId="4" applyNumberFormat="0" applyFill="0" applyAlignment="0" applyProtection="0"/>
    <xf numFmtId="0" fontId="36" fillId="0" borderId="4" applyNumberFormat="0" applyFill="0" applyAlignment="0" applyProtection="0"/>
    <xf numFmtId="0" fontId="9" fillId="0" borderId="4" applyNumberFormat="0" applyFill="0" applyAlignment="0" applyProtection="0"/>
    <xf numFmtId="0" fontId="9" fillId="0" borderId="4" applyNumberFormat="0" applyFill="0" applyAlignment="0" applyProtection="0"/>
    <xf numFmtId="0" fontId="36" fillId="0" borderId="4" applyNumberFormat="0" applyFill="0" applyAlignment="0" applyProtection="0"/>
    <xf numFmtId="0" fontId="36" fillId="0" borderId="4" applyNumberFormat="0" applyFill="0" applyAlignment="0" applyProtection="0"/>
    <xf numFmtId="0" fontId="37" fillId="0" borderId="5" applyNumberFormat="0" applyFill="0" applyAlignment="0" applyProtection="0"/>
    <xf numFmtId="0" fontId="10" fillId="0" borderId="5" applyNumberFormat="0" applyFill="0" applyAlignment="0" applyProtection="0"/>
    <xf numFmtId="0" fontId="37" fillId="0" borderId="5" applyNumberFormat="0" applyFill="0" applyAlignment="0" applyProtection="0"/>
    <xf numFmtId="0" fontId="37" fillId="0" borderId="5" applyNumberFormat="0" applyFill="0" applyAlignment="0" applyProtection="0"/>
    <xf numFmtId="0" fontId="37" fillId="0" borderId="5" applyNumberFormat="0" applyFill="0" applyAlignment="0" applyProtection="0"/>
    <xf numFmtId="0" fontId="10" fillId="0" borderId="5" applyNumberFormat="0" applyFill="0" applyAlignment="0" applyProtection="0"/>
    <xf numFmtId="0" fontId="10" fillId="0" borderId="5" applyNumberFormat="0" applyFill="0" applyAlignment="0" applyProtection="0"/>
    <xf numFmtId="0" fontId="37" fillId="0" borderId="5" applyNumberFormat="0" applyFill="0" applyAlignment="0" applyProtection="0"/>
    <xf numFmtId="0" fontId="37" fillId="0" borderId="5" applyNumberFormat="0" applyFill="0" applyAlignment="0" applyProtection="0"/>
    <xf numFmtId="0" fontId="37" fillId="0" borderId="0" applyNumberFormat="0" applyFill="0" applyBorder="0" applyAlignment="0" applyProtection="0"/>
    <xf numFmtId="0" fontId="10"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18" fillId="0" borderId="0" applyNumberFormat="0" applyFill="0" applyBorder="0" applyAlignment="0" applyProtection="0">
      <alignment vertical="top"/>
      <protection locked="0"/>
    </xf>
    <xf numFmtId="0" fontId="38" fillId="13" borderId="1" applyNumberFormat="0" applyAlignment="0" applyProtection="0"/>
    <xf numFmtId="0" fontId="11" fillId="12" borderId="1" applyNumberFormat="0" applyAlignment="0" applyProtection="0"/>
    <xf numFmtId="0" fontId="38" fillId="13" borderId="1" applyNumberFormat="0" applyAlignment="0" applyProtection="0"/>
    <xf numFmtId="0" fontId="38" fillId="13" borderId="1" applyNumberFormat="0" applyAlignment="0" applyProtection="0"/>
    <xf numFmtId="0" fontId="38" fillId="13" borderId="1" applyNumberFormat="0" applyAlignment="0" applyProtection="0"/>
    <xf numFmtId="0" fontId="11" fillId="12" borderId="1" applyNumberFormat="0" applyAlignment="0" applyProtection="0"/>
    <xf numFmtId="0" fontId="11" fillId="12" borderId="1" applyNumberFormat="0" applyAlignment="0" applyProtection="0"/>
    <xf numFmtId="0" fontId="38" fillId="13" borderId="1" applyNumberFormat="0" applyAlignment="0" applyProtection="0"/>
    <xf numFmtId="0" fontId="38" fillId="13" borderId="1" applyNumberFormat="0" applyAlignment="0" applyProtection="0"/>
    <xf numFmtId="0" fontId="39" fillId="0" borderId="6" applyNumberFormat="0" applyFill="0" applyAlignment="0" applyProtection="0"/>
    <xf numFmtId="0" fontId="12" fillId="0" borderId="6" applyNumberFormat="0" applyFill="0" applyAlignment="0" applyProtection="0"/>
    <xf numFmtId="0" fontId="39" fillId="0" borderId="6" applyNumberFormat="0" applyFill="0" applyAlignment="0" applyProtection="0"/>
    <xf numFmtId="0" fontId="39" fillId="0" borderId="6" applyNumberFormat="0" applyFill="0" applyAlignment="0" applyProtection="0"/>
    <xf numFmtId="0" fontId="39"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39" fillId="0" borderId="6" applyNumberFormat="0" applyFill="0" applyAlignment="0" applyProtection="0"/>
    <xf numFmtId="0" fontId="39" fillId="0" borderId="6" applyNumberFormat="0" applyFill="0" applyAlignment="0" applyProtection="0"/>
    <xf numFmtId="0" fontId="40" fillId="45" borderId="0" applyNumberFormat="0" applyBorder="0" applyAlignment="0" applyProtection="0"/>
    <xf numFmtId="0" fontId="13"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31" fillId="0" borderId="0"/>
    <xf numFmtId="0" fontId="31" fillId="0" borderId="0"/>
    <xf numFmtId="0" fontId="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95" fillId="0" borderId="0"/>
    <xf numFmtId="0" fontId="1" fillId="0" borderId="0"/>
    <xf numFmtId="0" fontId="31" fillId="0" borderId="0"/>
    <xf numFmtId="0" fontId="95" fillId="0" borderId="0"/>
    <xf numFmtId="0" fontId="1" fillId="0" borderId="0"/>
    <xf numFmtId="0" fontId="1" fillId="0" borderId="0"/>
    <xf numFmtId="0" fontId="1" fillId="0" borderId="0"/>
    <xf numFmtId="0" fontId="31" fillId="0" borderId="0"/>
    <xf numFmtId="0" fontId="31" fillId="0" borderId="0">
      <alignment vertical="center"/>
    </xf>
    <xf numFmtId="0" fontId="31" fillId="0" borderId="0"/>
    <xf numFmtId="0" fontId="31" fillId="0" borderId="0"/>
    <xf numFmtId="0" fontId="31" fillId="0" borderId="0"/>
    <xf numFmtId="0" fontId="31" fillId="0" borderId="0"/>
    <xf numFmtId="0" fontId="31" fillId="0" borderId="0" applyNumberFormat="0" applyFont="0" applyFill="0" applyBorder="0" applyAlignment="0" applyProtection="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1" fillId="0" borderId="0"/>
    <xf numFmtId="0" fontId="1" fillId="0" borderId="0"/>
    <xf numFmtId="0" fontId="1" fillId="0" borderId="0"/>
    <xf numFmtId="0" fontId="31" fillId="0" borderId="0">
      <alignment vertical="center"/>
    </xf>
    <xf numFmtId="0" fontId="31" fillId="0" borderId="0">
      <alignment vertical="center"/>
    </xf>
    <xf numFmtId="0" fontId="31" fillId="0" borderId="0"/>
    <xf numFmtId="0" fontId="31" fillId="0" borderId="0">
      <alignment vertical="center"/>
    </xf>
    <xf numFmtId="0" fontId="31" fillId="0" borderId="0">
      <alignment vertical="center"/>
    </xf>
    <xf numFmtId="0" fontId="31" fillId="0" borderId="0">
      <alignment vertical="center"/>
    </xf>
    <xf numFmtId="0" fontId="31" fillId="0" borderId="0" applyNumberFormat="0" applyFont="0" applyFill="0" applyBorder="0" applyAlignment="0" applyProtection="0"/>
    <xf numFmtId="0" fontId="31" fillId="0" borderId="0">
      <alignment vertical="center"/>
    </xf>
    <xf numFmtId="0" fontId="31" fillId="0" borderId="0">
      <alignment vertical="center"/>
    </xf>
    <xf numFmtId="0" fontId="31" fillId="0" borderId="0">
      <alignment vertical="center"/>
    </xf>
    <xf numFmtId="0" fontId="41" fillId="0" borderId="0"/>
    <xf numFmtId="0" fontId="31" fillId="0" borderId="0" applyNumberFormat="0" applyFont="0" applyFill="0" applyBorder="0" applyAlignment="0" applyProtection="0"/>
    <xf numFmtId="0" fontId="31" fillId="0" borderId="0"/>
    <xf numFmtId="0" fontId="31" fillId="0" borderId="0"/>
    <xf numFmtId="0" fontId="31" fillId="47" borderId="7" applyNumberFormat="0" applyAlignment="0" applyProtection="0"/>
    <xf numFmtId="0" fontId="1" fillId="46" borderId="7" applyNumberFormat="0" applyFont="0" applyAlignment="0" applyProtection="0"/>
    <xf numFmtId="0" fontId="31" fillId="47" borderId="7" applyNumberFormat="0" applyAlignment="0" applyProtection="0"/>
    <xf numFmtId="0" fontId="31" fillId="47" borderId="7" applyNumberFormat="0" applyAlignment="0" applyProtection="0"/>
    <xf numFmtId="0" fontId="31" fillId="47" borderId="7" applyNumberFormat="0" applyAlignment="0" applyProtection="0"/>
    <xf numFmtId="0" fontId="1" fillId="46" borderId="7" applyNumberFormat="0" applyFont="0" applyAlignment="0" applyProtection="0"/>
    <xf numFmtId="0" fontId="1" fillId="46" borderId="7" applyNumberFormat="0" applyFont="0" applyAlignment="0" applyProtection="0"/>
    <xf numFmtId="0" fontId="31" fillId="47" borderId="7" applyNumberFormat="0" applyAlignment="0" applyProtection="0"/>
    <xf numFmtId="0" fontId="31" fillId="47" borderId="7" applyNumberFormat="0" applyAlignment="0" applyProtection="0"/>
    <xf numFmtId="0" fontId="42" fillId="39" borderId="8" applyNumberFormat="0" applyAlignment="0" applyProtection="0"/>
    <xf numFmtId="0" fontId="14" fillId="38" borderId="8" applyNumberFormat="0" applyAlignment="0" applyProtection="0"/>
    <xf numFmtId="0" fontId="42" fillId="39" borderId="8" applyNumberFormat="0" applyAlignment="0" applyProtection="0"/>
    <xf numFmtId="0" fontId="42" fillId="39" borderId="8" applyNumberFormat="0" applyAlignment="0" applyProtection="0"/>
    <xf numFmtId="0" fontId="42" fillId="39" borderId="8" applyNumberFormat="0" applyAlignment="0" applyProtection="0"/>
    <xf numFmtId="0" fontId="14" fillId="38" borderId="8" applyNumberFormat="0" applyAlignment="0" applyProtection="0"/>
    <xf numFmtId="0" fontId="14" fillId="38" borderId="8" applyNumberFormat="0" applyAlignment="0" applyProtection="0"/>
    <xf numFmtId="0" fontId="42" fillId="39" borderId="8" applyNumberFormat="0" applyAlignment="0" applyProtection="0"/>
    <xf numFmtId="0" fontId="42" fillId="39" borderId="8" applyNumberFormat="0" applyAlignment="0" applyProtection="0"/>
    <xf numFmtId="0" fontId="43" fillId="0" borderId="0" applyNumberFormat="0" applyFill="0" applyBorder="0" applyAlignment="0" applyProtection="0"/>
    <xf numFmtId="0" fontId="97" fillId="0" borderId="0" applyFont="0" applyAlignment="0">
      <alignment horizontal="center" vertical="center"/>
    </xf>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4" fillId="0" borderId="9" applyNumberFormat="0" applyFill="0" applyAlignment="0" applyProtection="0"/>
    <xf numFmtId="0" fontId="16" fillId="0" borderId="9" applyNumberFormat="0" applyFill="0" applyAlignment="0" applyProtection="0"/>
    <xf numFmtId="0" fontId="44" fillId="0" borderId="9" applyNumberFormat="0" applyFill="0" applyAlignment="0" applyProtection="0"/>
    <xf numFmtId="0" fontId="44" fillId="0" borderId="9" applyNumberFormat="0" applyFill="0" applyAlignment="0" applyProtection="0"/>
    <xf numFmtId="0" fontId="44"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44" fillId="0" borderId="9" applyNumberFormat="0" applyFill="0" applyAlignment="0" applyProtection="0"/>
    <xf numFmtId="0" fontId="44" fillId="0" borderId="9" applyNumberFormat="0" applyFill="0" applyAlignment="0" applyProtection="0"/>
    <xf numFmtId="0" fontId="45" fillId="0" borderId="0" applyNumberFormat="0" applyFill="0" applyBorder="0" applyAlignment="0" applyProtection="0"/>
    <xf numFmtId="0" fontId="17"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cellStyleXfs>
  <cellXfs count="975">
    <xf numFmtId="0" fontId="0" fillId="0" borderId="0" xfId="0"/>
    <xf numFmtId="0" fontId="0" fillId="0" borderId="0" xfId="0" applyAlignment="1">
      <alignment vertical="center" wrapText="1"/>
    </xf>
    <xf numFmtId="0" fontId="100" fillId="0" borderId="0" xfId="0" applyFont="1" applyAlignment="1" applyProtection="1">
      <alignment vertical="center"/>
      <protection hidden="1"/>
    </xf>
    <xf numFmtId="49" fontId="101" fillId="0" borderId="0" xfId="0" applyNumberFormat="1" applyFont="1" applyAlignment="1" applyProtection="1">
      <alignment horizontal="center" vertical="center"/>
      <protection hidden="1"/>
    </xf>
    <xf numFmtId="0" fontId="100" fillId="0" borderId="0" xfId="0" applyFont="1" applyAlignment="1" applyProtection="1">
      <alignment horizontal="center" vertical="center"/>
      <protection hidden="1"/>
    </xf>
    <xf numFmtId="0" fontId="100" fillId="0" borderId="0" xfId="0" applyFont="1" applyAlignment="1" applyProtection="1">
      <alignment horizontal="center" vertical="center"/>
      <protection hidden="1"/>
    </xf>
    <xf numFmtId="0" fontId="100" fillId="0" borderId="0" xfId="0" applyFont="1" applyAlignment="1" applyProtection="1">
      <alignment horizontal="center" vertical="center"/>
      <protection hidden="1"/>
    </xf>
    <xf numFmtId="14" fontId="100" fillId="0" borderId="0" xfId="0" applyNumberFormat="1" applyFont="1" applyAlignment="1" applyProtection="1">
      <alignment vertical="center"/>
      <protection hidden="1"/>
    </xf>
    <xf numFmtId="0" fontId="0" fillId="0" borderId="0" xfId="0" applyFill="1" applyBorder="1" applyAlignment="1">
      <alignment vertical="center" wrapText="1"/>
    </xf>
    <xf numFmtId="0" fontId="0" fillId="49" borderId="47" xfId="0" applyFont="1" applyFill="1" applyBorder="1" applyAlignment="1">
      <alignment horizontal="left" vertical="center"/>
    </xf>
    <xf numFmtId="0" fontId="0" fillId="50" borderId="48" xfId="0" applyFill="1" applyBorder="1" applyAlignment="1" applyProtection="1">
      <protection hidden="1"/>
    </xf>
    <xf numFmtId="0" fontId="0" fillId="51" borderId="0" xfId="0" applyFill="1" applyBorder="1" applyAlignment="1">
      <alignment vertical="center" wrapText="1"/>
    </xf>
    <xf numFmtId="0" fontId="102" fillId="51" borderId="0" xfId="0" applyFont="1" applyFill="1" applyBorder="1" applyAlignment="1">
      <alignment horizontal="left" vertical="center" shrinkToFit="1"/>
    </xf>
    <xf numFmtId="0" fontId="0" fillId="51" borderId="0" xfId="0" applyFill="1" applyAlignment="1">
      <alignment vertical="center" wrapText="1"/>
    </xf>
    <xf numFmtId="0" fontId="103" fillId="51" borderId="0" xfId="0" applyFont="1" applyFill="1" applyBorder="1" applyAlignment="1" applyProtection="1">
      <alignment vertical="center"/>
      <protection hidden="1"/>
    </xf>
    <xf numFmtId="0" fontId="20" fillId="0" borderId="0" xfId="332" applyFont="1" applyFill="1"/>
    <xf numFmtId="0" fontId="21" fillId="0" borderId="10" xfId="332" applyFont="1" applyFill="1" applyBorder="1" applyAlignment="1">
      <alignment horizontal="center" vertical="center"/>
    </xf>
    <xf numFmtId="0" fontId="21" fillId="0" borderId="11" xfId="332" applyFont="1" applyFill="1" applyBorder="1" applyAlignment="1">
      <alignment horizontal="center" vertical="center"/>
    </xf>
    <xf numFmtId="0" fontId="22" fillId="0" borderId="0" xfId="332" applyFont="1" applyFill="1" applyBorder="1"/>
    <xf numFmtId="0" fontId="23" fillId="0" borderId="0" xfId="332" applyFont="1" applyFill="1" applyBorder="1" applyAlignment="1">
      <alignment horizontal="center" vertical="center"/>
    </xf>
    <xf numFmtId="164" fontId="23" fillId="0" borderId="0" xfId="332" applyNumberFormat="1" applyFont="1" applyFill="1" applyBorder="1" applyAlignment="1">
      <alignment horizontal="center" vertical="center"/>
    </xf>
    <xf numFmtId="0" fontId="21" fillId="0" borderId="12" xfId="332" applyFont="1" applyFill="1" applyBorder="1" applyAlignment="1">
      <alignment horizontal="center" vertical="center"/>
    </xf>
    <xf numFmtId="0" fontId="21" fillId="0" borderId="13" xfId="332" applyFont="1" applyFill="1" applyBorder="1" applyAlignment="1">
      <alignment horizontal="center" vertical="center"/>
    </xf>
    <xf numFmtId="1" fontId="23" fillId="0" borderId="0" xfId="332" applyNumberFormat="1" applyFont="1" applyFill="1" applyBorder="1" applyAlignment="1">
      <alignment horizontal="center" vertical="center"/>
    </xf>
    <xf numFmtId="0" fontId="22" fillId="0" borderId="10" xfId="332" applyFont="1" applyFill="1" applyBorder="1"/>
    <xf numFmtId="2" fontId="23" fillId="0" borderId="10" xfId="332" applyNumberFormat="1" applyFont="1" applyFill="1" applyBorder="1" applyAlignment="1">
      <alignment horizontal="center" vertical="center"/>
    </xf>
    <xf numFmtId="1" fontId="23" fillId="0" borderId="10" xfId="332" applyNumberFormat="1" applyFont="1" applyFill="1" applyBorder="1" applyAlignment="1">
      <alignment horizontal="center" vertical="center"/>
    </xf>
    <xf numFmtId="0" fontId="24" fillId="0" borderId="14" xfId="332" applyFont="1" applyFill="1" applyBorder="1" applyAlignment="1">
      <alignment horizontal="left" vertical="center"/>
    </xf>
    <xf numFmtId="0" fontId="24" fillId="0" borderId="15" xfId="332" applyFont="1" applyFill="1" applyBorder="1" applyAlignment="1">
      <alignment horizontal="left" vertical="center"/>
    </xf>
    <xf numFmtId="0" fontId="25" fillId="0" borderId="0" xfId="332" applyFont="1" applyFill="1" applyBorder="1" applyAlignment="1">
      <alignment horizontal="center" vertical="center"/>
    </xf>
    <xf numFmtId="0" fontId="21" fillId="0" borderId="0" xfId="332" applyFont="1" applyFill="1" applyAlignment="1">
      <alignment horizontal="center" vertical="center"/>
    </xf>
    <xf numFmtId="0" fontId="21" fillId="0" borderId="16" xfId="332" applyFont="1" applyFill="1" applyBorder="1" applyAlignment="1">
      <alignment horizontal="center" vertical="center"/>
    </xf>
    <xf numFmtId="0" fontId="21" fillId="0" borderId="17" xfId="332" applyFont="1" applyFill="1" applyBorder="1" applyAlignment="1">
      <alignment horizontal="center" vertical="center"/>
    </xf>
    <xf numFmtId="0" fontId="20" fillId="0" borderId="0" xfId="332" applyFont="1" applyFill="1" applyAlignment="1"/>
    <xf numFmtId="0" fontId="20" fillId="0" borderId="0" xfId="332" applyFont="1" applyFill="1" applyAlignment="1">
      <alignment horizontal="center" vertical="center"/>
    </xf>
    <xf numFmtId="0" fontId="100" fillId="0" borderId="10" xfId="0" applyFont="1" applyBorder="1" applyAlignment="1" applyProtection="1">
      <alignment horizontal="center" vertical="center"/>
      <protection hidden="1"/>
    </xf>
    <xf numFmtId="0" fontId="100" fillId="0" borderId="10" xfId="0" applyFont="1" applyBorder="1" applyAlignment="1" applyProtection="1">
      <alignment horizontal="center" vertical="top"/>
      <protection hidden="1"/>
    </xf>
    <xf numFmtId="0" fontId="100" fillId="0" borderId="18" xfId="0" applyFont="1" applyBorder="1" applyAlignment="1" applyProtection="1">
      <alignment horizontal="center" vertical="center"/>
      <protection hidden="1"/>
    </xf>
    <xf numFmtId="0" fontId="100" fillId="0" borderId="0" xfId="0" applyFont="1" applyBorder="1" applyAlignment="1" applyProtection="1">
      <alignment vertical="center"/>
      <protection hidden="1"/>
    </xf>
    <xf numFmtId="0" fontId="104" fillId="0" borderId="0" xfId="0" applyFont="1" applyBorder="1" applyAlignment="1" applyProtection="1">
      <alignment horizontal="left" vertical="center" wrapText="1"/>
      <protection hidden="1"/>
    </xf>
    <xf numFmtId="0" fontId="104" fillId="0" borderId="19" xfId="0" applyFont="1" applyBorder="1" applyAlignment="1" applyProtection="1">
      <alignment horizontal="left" vertical="center" wrapText="1"/>
      <protection hidden="1"/>
    </xf>
    <xf numFmtId="0" fontId="100" fillId="0" borderId="18" xfId="0" applyFont="1" applyBorder="1" applyAlignment="1" applyProtection="1">
      <alignment vertical="center"/>
      <protection hidden="1"/>
    </xf>
    <xf numFmtId="0" fontId="100" fillId="0" borderId="19" xfId="0" applyFont="1" applyBorder="1" applyAlignment="1" applyProtection="1">
      <alignment vertical="center"/>
      <protection hidden="1"/>
    </xf>
    <xf numFmtId="0" fontId="100" fillId="0" borderId="0" xfId="0" applyFont="1" applyBorder="1" applyAlignment="1" applyProtection="1">
      <alignment horizontal="center" vertical="center"/>
      <protection hidden="1"/>
    </xf>
    <xf numFmtId="0" fontId="100" fillId="0" borderId="20" xfId="0" applyFont="1" applyBorder="1" applyAlignment="1" applyProtection="1">
      <alignment vertical="center"/>
      <protection hidden="1"/>
    </xf>
    <xf numFmtId="0" fontId="100" fillId="0" borderId="21" xfId="0" applyFont="1" applyBorder="1" applyAlignment="1" applyProtection="1">
      <alignment vertical="center"/>
      <protection hidden="1"/>
    </xf>
    <xf numFmtId="0" fontId="100" fillId="0" borderId="13" xfId="0" applyFont="1" applyBorder="1" applyAlignment="1" applyProtection="1">
      <alignment vertical="center"/>
      <protection hidden="1"/>
    </xf>
    <xf numFmtId="0" fontId="105" fillId="0" borderId="0" xfId="0" applyFont="1" applyAlignment="1" applyProtection="1">
      <alignment horizontal="center" vertical="center"/>
      <protection hidden="1"/>
    </xf>
    <xf numFmtId="0" fontId="100" fillId="0" borderId="0" xfId="0" applyFont="1" applyAlignment="1" applyProtection="1">
      <alignment horizontal="justify" vertical="center"/>
      <protection hidden="1"/>
    </xf>
    <xf numFmtId="0" fontId="100" fillId="0" borderId="0" xfId="0" applyFont="1" applyAlignment="1" applyProtection="1">
      <alignment horizontal="right" vertical="center"/>
      <protection hidden="1"/>
    </xf>
    <xf numFmtId="0" fontId="21" fillId="0" borderId="22" xfId="332" applyFont="1" applyFill="1" applyBorder="1" applyAlignment="1">
      <alignment horizontal="center" vertical="center"/>
    </xf>
    <xf numFmtId="0" fontId="20" fillId="0" borderId="0" xfId="332" applyFont="1" applyFill="1" applyBorder="1"/>
    <xf numFmtId="0" fontId="106" fillId="0" borderId="0" xfId="0" applyFont="1" applyBorder="1" applyAlignment="1" applyProtection="1">
      <alignment horizontal="left" vertical="center" wrapText="1"/>
      <protection hidden="1"/>
    </xf>
    <xf numFmtId="0" fontId="100" fillId="0" borderId="0" xfId="0" applyFont="1" applyBorder="1" applyAlignment="1" applyProtection="1">
      <alignment vertical="center" wrapText="1"/>
      <protection hidden="1"/>
    </xf>
    <xf numFmtId="0" fontId="100" fillId="0" borderId="0" xfId="0" applyFont="1" applyBorder="1" applyAlignment="1" applyProtection="1">
      <alignment horizontal="center" vertical="center" wrapText="1"/>
      <protection hidden="1"/>
    </xf>
    <xf numFmtId="0" fontId="106" fillId="0" borderId="0" xfId="0" applyFont="1" applyBorder="1" applyAlignment="1" applyProtection="1">
      <alignment vertical="center" wrapText="1"/>
      <protection hidden="1"/>
    </xf>
    <xf numFmtId="0" fontId="107" fillId="0" borderId="0" xfId="0" applyFont="1" applyBorder="1" applyAlignment="1" applyProtection="1">
      <alignment vertical="center"/>
      <protection hidden="1"/>
    </xf>
    <xf numFmtId="0" fontId="107" fillId="0" borderId="0" xfId="0" applyFont="1" applyAlignment="1" applyProtection="1">
      <alignment vertical="center"/>
      <protection hidden="1"/>
    </xf>
    <xf numFmtId="0" fontId="107" fillId="0" borderId="0" xfId="0" applyFont="1" applyBorder="1" applyAlignment="1" applyProtection="1">
      <alignment horizontal="center" vertical="center" wrapText="1"/>
      <protection hidden="1"/>
    </xf>
    <xf numFmtId="0" fontId="107" fillId="0" borderId="0" xfId="0" applyFont="1" applyBorder="1" applyAlignment="1" applyProtection="1">
      <alignment horizontal="center" vertical="center"/>
      <protection hidden="1"/>
    </xf>
    <xf numFmtId="0" fontId="107" fillId="0" borderId="10" xfId="0" applyFont="1" applyBorder="1" applyAlignment="1" applyProtection="1">
      <alignment vertical="center"/>
      <protection hidden="1"/>
    </xf>
    <xf numFmtId="0" fontId="107" fillId="0" borderId="14" xfId="0" applyFont="1" applyBorder="1" applyAlignment="1" applyProtection="1">
      <alignment vertical="center"/>
      <protection hidden="1"/>
    </xf>
    <xf numFmtId="0" fontId="107" fillId="0" borderId="23" xfId="0" applyFont="1" applyBorder="1" applyAlignment="1" applyProtection="1">
      <alignment vertical="center"/>
      <protection hidden="1"/>
    </xf>
    <xf numFmtId="0" fontId="107" fillId="0" borderId="12" xfId="0" applyFont="1" applyBorder="1" applyAlignment="1" applyProtection="1">
      <alignment vertical="center"/>
      <protection hidden="1"/>
    </xf>
    <xf numFmtId="0" fontId="100" fillId="0" borderId="10" xfId="0" applyFont="1" applyBorder="1" applyAlignment="1" applyProtection="1">
      <alignment horizontal="left" vertical="top"/>
      <protection hidden="1"/>
    </xf>
    <xf numFmtId="0" fontId="107" fillId="0" borderId="0" xfId="0" applyFont="1" applyBorder="1" applyAlignment="1" applyProtection="1">
      <protection hidden="1"/>
    </xf>
    <xf numFmtId="0" fontId="108" fillId="0" borderId="0" xfId="0" applyFont="1" applyAlignment="1" applyProtection="1">
      <alignment vertical="center"/>
      <protection hidden="1"/>
    </xf>
    <xf numFmtId="0" fontId="100" fillId="0" borderId="0" xfId="0" applyFont="1" applyAlignment="1" applyProtection="1">
      <alignment horizontal="justify" vertical="center" wrapText="1"/>
      <protection hidden="1"/>
    </xf>
    <xf numFmtId="0" fontId="100" fillId="52" borderId="10" xfId="0" applyFont="1" applyFill="1" applyBorder="1" applyAlignment="1" applyProtection="1">
      <alignment horizontal="left" vertical="center"/>
      <protection hidden="1"/>
    </xf>
    <xf numFmtId="0" fontId="100" fillId="0" borderId="0" xfId="0" applyFont="1" applyAlignment="1" applyProtection="1">
      <protection hidden="1"/>
    </xf>
    <xf numFmtId="0" fontId="109" fillId="0" borderId="0" xfId="0" applyFont="1" applyFill="1" applyBorder="1" applyAlignment="1" applyProtection="1">
      <alignment vertical="center" shrinkToFit="1"/>
      <protection locked="0"/>
    </xf>
    <xf numFmtId="0" fontId="107" fillId="0" borderId="10" xfId="0" applyFont="1" applyBorder="1" applyAlignment="1" applyProtection="1">
      <alignment horizontal="left" vertical="center"/>
      <protection hidden="1"/>
    </xf>
    <xf numFmtId="0" fontId="99" fillId="0" borderId="0" xfId="0" applyFont="1" applyFill="1" applyBorder="1" applyAlignment="1">
      <alignment vertical="center"/>
    </xf>
    <xf numFmtId="0" fontId="106" fillId="0" borderId="0" xfId="0" applyFont="1" applyBorder="1" applyAlignment="1" applyProtection="1">
      <alignment horizontal="left" vertical="center" wrapText="1"/>
      <protection hidden="1"/>
    </xf>
    <xf numFmtId="0" fontId="107" fillId="0" borderId="0" xfId="0" applyFont="1" applyBorder="1" applyAlignment="1" applyProtection="1">
      <alignment vertical="center" wrapText="1"/>
      <protection hidden="1"/>
    </xf>
    <xf numFmtId="0" fontId="99" fillId="53" borderId="49" xfId="0" applyFont="1" applyFill="1" applyBorder="1" applyAlignment="1" applyProtection="1">
      <alignment vertical="center" wrapText="1"/>
      <protection locked="0"/>
    </xf>
    <xf numFmtId="0" fontId="0" fillId="0" borderId="0" xfId="0" applyAlignment="1" applyProtection="1">
      <alignment vertical="center" wrapText="1"/>
    </xf>
    <xf numFmtId="1" fontId="103" fillId="0" borderId="0" xfId="0" applyNumberFormat="1" applyFont="1" applyFill="1" applyBorder="1" applyAlignment="1" applyProtection="1">
      <alignment vertical="center"/>
    </xf>
    <xf numFmtId="0" fontId="110" fillId="0" borderId="0" xfId="0" applyFont="1" applyFill="1" applyBorder="1" applyAlignment="1" applyProtection="1">
      <alignment vertical="center" shrinkToFit="1"/>
      <protection locked="0"/>
    </xf>
    <xf numFmtId="0" fontId="110" fillId="0" borderId="0" xfId="0" applyFont="1" applyFill="1" applyBorder="1" applyAlignment="1" applyProtection="1">
      <alignment horizontal="left" vertical="center" shrinkToFit="1"/>
      <protection locked="0"/>
    </xf>
    <xf numFmtId="0" fontId="111" fillId="0" borderId="0" xfId="0" applyFont="1" applyFill="1" applyBorder="1" applyAlignment="1" applyProtection="1">
      <alignment vertical="center" shrinkToFit="1"/>
      <protection locked="0"/>
    </xf>
    <xf numFmtId="0" fontId="100" fillId="0" borderId="0" xfId="0" applyFont="1" applyFill="1" applyAlignment="1" applyProtection="1">
      <alignment horizontal="center" vertical="center"/>
      <protection hidden="1"/>
    </xf>
    <xf numFmtId="0" fontId="100" fillId="0" borderId="0" xfId="0" applyFont="1" applyFill="1" applyAlignment="1" applyProtection="1">
      <alignment vertical="center"/>
      <protection hidden="1"/>
    </xf>
    <xf numFmtId="0" fontId="100" fillId="0" borderId="0" xfId="0" applyFont="1" applyFill="1" applyAlignment="1" applyProtection="1">
      <alignment horizontal="right" vertical="center"/>
      <protection hidden="1"/>
    </xf>
    <xf numFmtId="0" fontId="99" fillId="51" borderId="0" xfId="0" applyFont="1" applyFill="1" applyBorder="1" applyAlignment="1">
      <alignment vertical="center"/>
    </xf>
    <xf numFmtId="0" fontId="0" fillId="51" borderId="0" xfId="0" applyFill="1" applyBorder="1" applyAlignment="1">
      <alignment vertical="center"/>
    </xf>
    <xf numFmtId="0" fontId="0" fillId="50" borderId="50" xfId="0" applyFill="1" applyBorder="1" applyAlignment="1" applyProtection="1">
      <protection hidden="1"/>
    </xf>
    <xf numFmtId="0" fontId="107" fillId="0" borderId="0" xfId="0" applyFont="1" applyAlignment="1" applyProtection="1">
      <alignment horizontal="left" vertical="center"/>
      <protection hidden="1"/>
    </xf>
    <xf numFmtId="0" fontId="100" fillId="0" borderId="0" xfId="0" applyFont="1" applyAlignment="1" applyProtection="1">
      <alignment horizontal="center"/>
      <protection hidden="1"/>
    </xf>
    <xf numFmtId="0" fontId="100" fillId="0" borderId="0" xfId="0" applyFont="1" applyAlignment="1" applyProtection="1">
      <alignment vertical="center"/>
      <protection locked="0" hidden="1"/>
    </xf>
    <xf numFmtId="0" fontId="100" fillId="0" borderId="0" xfId="0" applyFont="1" applyAlignment="1" applyProtection="1">
      <alignment vertical="center"/>
      <protection locked="0"/>
    </xf>
    <xf numFmtId="0" fontId="20" fillId="54" borderId="0" xfId="332" quotePrefix="1" applyFont="1" applyFill="1"/>
    <xf numFmtId="0" fontId="20" fillId="54" borderId="0" xfId="332" applyFont="1" applyFill="1"/>
    <xf numFmtId="0" fontId="107" fillId="0" borderId="0" xfId="0" applyFont="1" applyAlignment="1" applyProtection="1">
      <alignment vertical="center"/>
      <protection locked="0"/>
    </xf>
    <xf numFmtId="0" fontId="102" fillId="51" borderId="0" xfId="0" applyFont="1" applyFill="1" applyBorder="1" applyAlignment="1">
      <alignment horizontal="left" vertical="center" shrinkToFit="1"/>
    </xf>
    <xf numFmtId="0" fontId="0" fillId="0" borderId="0" xfId="0" applyAlignment="1" applyProtection="1">
      <alignment vertical="center" wrapText="1"/>
      <protection locked="0"/>
    </xf>
    <xf numFmtId="0" fontId="0" fillId="0" borderId="0" xfId="0" applyFill="1" applyAlignment="1">
      <alignment vertical="center" wrapText="1"/>
    </xf>
    <xf numFmtId="0" fontId="109" fillId="52" borderId="51" xfId="0" applyFont="1" applyFill="1" applyBorder="1" applyAlignment="1" applyProtection="1">
      <alignment vertical="center" shrinkToFit="1"/>
      <protection hidden="1"/>
    </xf>
    <xf numFmtId="0" fontId="47" fillId="0" borderId="0" xfId="366" applyFont="1" applyBorder="1" applyAlignment="1" applyProtection="1">
      <alignment horizontal="center" vertical="center"/>
      <protection hidden="1"/>
    </xf>
    <xf numFmtId="0" fontId="31" fillId="0" borderId="19" xfId="366" applyBorder="1" applyProtection="1">
      <protection hidden="1"/>
    </xf>
    <xf numFmtId="0" fontId="50" fillId="0" borderId="0" xfId="366" applyFont="1" applyBorder="1" applyAlignment="1" applyProtection="1">
      <alignment vertical="center"/>
      <protection hidden="1"/>
    </xf>
    <xf numFmtId="0" fontId="0" fillId="0" borderId="19" xfId="0" applyBorder="1" applyProtection="1">
      <protection hidden="1"/>
    </xf>
    <xf numFmtId="0" fontId="51" fillId="0" borderId="0" xfId="366" applyFont="1" applyBorder="1" applyAlignment="1" applyProtection="1">
      <alignment horizontal="left" vertical="center"/>
      <protection hidden="1"/>
    </xf>
    <xf numFmtId="0" fontId="31" fillId="0" borderId="0" xfId="366" applyBorder="1" applyAlignment="1" applyProtection="1">
      <alignment vertical="center"/>
      <protection hidden="1"/>
    </xf>
    <xf numFmtId="0" fontId="31" fillId="0" borderId="0" xfId="366" applyBorder="1" applyAlignment="1" applyProtection="1">
      <alignment horizontal="center" vertical="center"/>
      <protection hidden="1"/>
    </xf>
    <xf numFmtId="0" fontId="47" fillId="0" borderId="15" xfId="366" applyFont="1" applyBorder="1" applyAlignment="1" applyProtection="1">
      <alignment horizontal="left" vertical="center" wrapText="1"/>
      <protection hidden="1"/>
    </xf>
    <xf numFmtId="0" fontId="31" fillId="0" borderId="24" xfId="366" applyBorder="1" applyAlignment="1" applyProtection="1">
      <alignment horizontal="left"/>
      <protection hidden="1"/>
    </xf>
    <xf numFmtId="0" fontId="31" fillId="0" borderId="25" xfId="366" applyBorder="1" applyAlignment="1" applyProtection="1">
      <alignment horizontal="left"/>
      <protection hidden="1"/>
    </xf>
    <xf numFmtId="0" fontId="0" fillId="0" borderId="25" xfId="0" applyBorder="1" applyProtection="1">
      <protection hidden="1"/>
    </xf>
    <xf numFmtId="0" fontId="0" fillId="0" borderId="15" xfId="0" applyBorder="1" applyProtection="1">
      <protection hidden="1"/>
    </xf>
    <xf numFmtId="0" fontId="49" fillId="0" borderId="18" xfId="366" applyFont="1" applyBorder="1" applyAlignment="1" applyProtection="1">
      <alignment vertical="top"/>
      <protection hidden="1"/>
    </xf>
    <xf numFmtId="0" fontId="49" fillId="0" borderId="0" xfId="366" applyFont="1" applyBorder="1" applyAlignment="1" applyProtection="1">
      <alignment vertical="top"/>
      <protection hidden="1"/>
    </xf>
    <xf numFmtId="0" fontId="49" fillId="0" borderId="0" xfId="366" applyFont="1" applyBorder="1" applyAlignment="1" applyProtection="1">
      <alignment vertical="center"/>
      <protection hidden="1"/>
    </xf>
    <xf numFmtId="0" fontId="0" fillId="0" borderId="20" xfId="0" applyBorder="1" applyAlignment="1" applyProtection="1">
      <alignment horizontal="left"/>
      <protection hidden="1"/>
    </xf>
    <xf numFmtId="0" fontId="0" fillId="0" borderId="21" xfId="0" applyBorder="1" applyAlignment="1" applyProtection="1">
      <alignment horizontal="left"/>
      <protection hidden="1"/>
    </xf>
    <xf numFmtId="0" fontId="0" fillId="0" borderId="21" xfId="0" applyBorder="1" applyProtection="1">
      <protection hidden="1"/>
    </xf>
    <xf numFmtId="0" fontId="0" fillId="0" borderId="13" xfId="0" applyBorder="1" applyProtection="1">
      <protection hidden="1"/>
    </xf>
    <xf numFmtId="0" fontId="51" fillId="0" borderId="0" xfId="366" applyFont="1" applyBorder="1" applyAlignment="1" applyProtection="1">
      <alignment vertical="center"/>
      <protection hidden="1"/>
    </xf>
    <xf numFmtId="0" fontId="31" fillId="0" borderId="0" xfId="366" applyBorder="1" applyAlignment="1" applyProtection="1">
      <alignment horizontal="left" vertical="center"/>
      <protection hidden="1"/>
    </xf>
    <xf numFmtId="0" fontId="52" fillId="0" borderId="0" xfId="366" applyFont="1" applyBorder="1" applyAlignment="1" applyProtection="1">
      <alignment horizontal="center" vertical="center"/>
      <protection hidden="1"/>
    </xf>
    <xf numFmtId="0" fontId="31" fillId="0" borderId="0" xfId="366" applyBorder="1" applyAlignment="1" applyProtection="1">
      <alignment horizontal="center"/>
      <protection hidden="1"/>
    </xf>
    <xf numFmtId="0" fontId="31" fillId="0" borderId="0" xfId="366" applyBorder="1" applyProtection="1">
      <protection hidden="1"/>
    </xf>
    <xf numFmtId="0" fontId="53" fillId="0" borderId="19" xfId="366" applyFont="1" applyBorder="1" applyAlignment="1" applyProtection="1">
      <alignment vertical="center" wrapText="1"/>
      <protection hidden="1"/>
    </xf>
    <xf numFmtId="0" fontId="47" fillId="0" borderId="0" xfId="366" applyFont="1" applyBorder="1" applyAlignment="1" applyProtection="1">
      <alignment horizontal="left" vertical="center"/>
      <protection hidden="1"/>
    </xf>
    <xf numFmtId="0" fontId="47" fillId="0" borderId="0" xfId="366" applyFont="1" applyBorder="1" applyAlignment="1" applyProtection="1">
      <alignment vertical="center"/>
      <protection hidden="1"/>
    </xf>
    <xf numFmtId="0" fontId="47" fillId="0" borderId="0" xfId="366" applyFont="1" applyBorder="1" applyAlignment="1" applyProtection="1">
      <alignment horizontal="left" vertical="center" wrapText="1"/>
      <protection hidden="1"/>
    </xf>
    <xf numFmtId="0" fontId="49" fillId="0" borderId="26" xfId="366" applyFont="1" applyBorder="1" applyAlignment="1" applyProtection="1">
      <alignment vertical="center"/>
      <protection hidden="1"/>
    </xf>
    <xf numFmtId="0" fontId="47" fillId="0" borderId="26" xfId="366" applyFont="1" applyBorder="1" applyAlignment="1" applyProtection="1">
      <alignment vertical="center"/>
      <protection hidden="1"/>
    </xf>
    <xf numFmtId="0" fontId="31" fillId="0" borderId="26" xfId="366" applyBorder="1" applyAlignment="1" applyProtection="1">
      <alignment vertical="center"/>
      <protection hidden="1"/>
    </xf>
    <xf numFmtId="0" fontId="49" fillId="0" borderId="0" xfId="366" applyFont="1" applyBorder="1" applyAlignment="1" applyProtection="1">
      <alignment horizontal="center" vertical="center"/>
      <protection hidden="1"/>
    </xf>
    <xf numFmtId="0" fontId="49" fillId="0" borderId="0" xfId="366" applyFont="1" applyBorder="1" applyProtection="1">
      <protection hidden="1"/>
    </xf>
    <xf numFmtId="0" fontId="56" fillId="0" borderId="0" xfId="366" applyFont="1" applyBorder="1" applyAlignment="1" applyProtection="1">
      <alignment horizontal="left"/>
      <protection hidden="1"/>
    </xf>
    <xf numFmtId="0" fontId="57" fillId="0" borderId="0" xfId="366" applyFont="1" applyBorder="1" applyProtection="1">
      <protection hidden="1"/>
    </xf>
    <xf numFmtId="0" fontId="50" fillId="0" borderId="0" xfId="366" applyFont="1" applyBorder="1" applyProtection="1">
      <protection hidden="1"/>
    </xf>
    <xf numFmtId="0" fontId="31" fillId="0" borderId="13" xfId="366" applyBorder="1" applyProtection="1">
      <protection hidden="1"/>
    </xf>
    <xf numFmtId="0" fontId="50" fillId="0" borderId="17" xfId="0" applyFont="1" applyBorder="1" applyAlignment="1" applyProtection="1">
      <alignment vertical="center"/>
      <protection hidden="1"/>
    </xf>
    <xf numFmtId="0" fontId="50" fillId="0" borderId="0" xfId="0" applyFont="1" applyBorder="1" applyAlignment="1" applyProtection="1">
      <alignment vertical="center"/>
      <protection hidden="1"/>
    </xf>
    <xf numFmtId="0" fontId="60" fillId="0" borderId="0" xfId="0" applyFont="1" applyBorder="1" applyAlignment="1" applyProtection="1">
      <alignment vertical="center"/>
      <protection hidden="1"/>
    </xf>
    <xf numFmtId="1" fontId="50" fillId="0" borderId="0" xfId="0" applyNumberFormat="1" applyFont="1" applyBorder="1" applyAlignment="1" applyProtection="1">
      <alignment vertical="center"/>
      <protection hidden="1"/>
    </xf>
    <xf numFmtId="0" fontId="31" fillId="0" borderId="0" xfId="333" applyFont="1" applyBorder="1" applyAlignment="1" applyProtection="1">
      <alignment vertical="center"/>
      <protection hidden="1"/>
    </xf>
    <xf numFmtId="0" fontId="50" fillId="0" borderId="0" xfId="333" applyFont="1" applyBorder="1" applyAlignment="1" applyProtection="1">
      <alignment vertical="center"/>
      <protection hidden="1"/>
    </xf>
    <xf numFmtId="2" fontId="50" fillId="0" borderId="0" xfId="0" applyNumberFormat="1" applyFont="1" applyBorder="1" applyAlignment="1" applyProtection="1">
      <alignment vertical="center"/>
      <protection hidden="1"/>
    </xf>
    <xf numFmtId="0" fontId="50" fillId="0" borderId="0" xfId="0" applyFont="1" applyBorder="1" applyAlignment="1" applyProtection="1">
      <alignment vertical="center" wrapText="1"/>
      <protection hidden="1"/>
    </xf>
    <xf numFmtId="0" fontId="61" fillId="0" borderId="17" xfId="0" applyFont="1" applyBorder="1" applyAlignment="1" applyProtection="1">
      <alignment vertical="center"/>
      <protection hidden="1"/>
    </xf>
    <xf numFmtId="0" fontId="60" fillId="0" borderId="27" xfId="0" applyFont="1" applyBorder="1" applyAlignment="1" applyProtection="1">
      <alignment vertical="center"/>
      <protection hidden="1"/>
    </xf>
    <xf numFmtId="0" fontId="60" fillId="0" borderId="28" xfId="0" applyFont="1" applyBorder="1" applyAlignment="1" applyProtection="1">
      <alignment vertical="center"/>
      <protection hidden="1"/>
    </xf>
    <xf numFmtId="0" fontId="62" fillId="0" borderId="0" xfId="0" applyFont="1" applyBorder="1" applyAlignment="1" applyProtection="1">
      <alignment vertical="center"/>
      <protection hidden="1"/>
    </xf>
    <xf numFmtId="0" fontId="41" fillId="0" borderId="0" xfId="0" applyFont="1" applyBorder="1" applyAlignment="1" applyProtection="1">
      <alignment vertical="center"/>
      <protection hidden="1"/>
    </xf>
    <xf numFmtId="0" fontId="65" fillId="0" borderId="17" xfId="333" applyFont="1" applyBorder="1" applyAlignment="1" applyProtection="1">
      <alignment horizontal="center" vertical="center"/>
      <protection hidden="1"/>
    </xf>
    <xf numFmtId="0" fontId="47" fillId="0" borderId="0" xfId="333" applyFont="1" applyBorder="1" applyAlignment="1" applyProtection="1">
      <alignment horizontal="center" vertical="center"/>
      <protection hidden="1"/>
    </xf>
    <xf numFmtId="0" fontId="47" fillId="0" borderId="21" xfId="333" applyFont="1" applyBorder="1" applyAlignment="1" applyProtection="1">
      <alignment horizontal="center" vertical="center"/>
      <protection hidden="1"/>
    </xf>
    <xf numFmtId="0" fontId="50" fillId="0" borderId="17" xfId="333" applyFont="1" applyBorder="1" applyAlignment="1" applyProtection="1">
      <alignment horizontal="left" vertical="center"/>
      <protection hidden="1"/>
    </xf>
    <xf numFmtId="0" fontId="50" fillId="0" borderId="25" xfId="333" applyFont="1" applyBorder="1" applyAlignment="1" applyProtection="1">
      <alignment horizontal="left" vertical="center"/>
      <protection hidden="1"/>
    </xf>
    <xf numFmtId="0" fontId="50" fillId="0" borderId="18" xfId="333" applyFont="1" applyBorder="1" applyAlignment="1" applyProtection="1">
      <alignment horizontal="left" vertical="center"/>
      <protection hidden="1"/>
    </xf>
    <xf numFmtId="0" fontId="50" fillId="0" borderId="0" xfId="333" applyFont="1" applyBorder="1" applyAlignment="1" applyProtection="1">
      <alignment horizontal="left" vertical="center"/>
      <protection hidden="1"/>
    </xf>
    <xf numFmtId="0" fontId="50" fillId="0" borderId="25" xfId="333" applyFont="1" applyBorder="1" applyAlignment="1" applyProtection="1">
      <alignment vertical="center"/>
      <protection hidden="1"/>
    </xf>
    <xf numFmtId="0" fontId="61" fillId="0" borderId="17" xfId="333" applyFont="1" applyBorder="1" applyAlignment="1" applyProtection="1">
      <alignment horizontal="left" vertical="center"/>
      <protection hidden="1"/>
    </xf>
    <xf numFmtId="0" fontId="49" fillId="0" borderId="0" xfId="333" applyFont="1" applyBorder="1" applyAlignment="1" applyProtection="1">
      <alignment vertical="center"/>
      <protection hidden="1"/>
    </xf>
    <xf numFmtId="0" fontId="50" fillId="0" borderId="0" xfId="333" applyFont="1" applyBorder="1" applyAlignment="1" applyProtection="1">
      <alignment horizontal="center" vertical="center"/>
      <protection hidden="1"/>
    </xf>
    <xf numFmtId="0" fontId="49" fillId="0" borderId="25" xfId="333" applyFont="1" applyBorder="1" applyAlignment="1" applyProtection="1">
      <alignment horizontal="center" vertical="center"/>
      <protection hidden="1"/>
    </xf>
    <xf numFmtId="0" fontId="49" fillId="0" borderId="0" xfId="333" applyFont="1" applyBorder="1" applyAlignment="1" applyProtection="1">
      <alignment horizontal="center" vertical="center"/>
      <protection hidden="1"/>
    </xf>
    <xf numFmtId="0" fontId="50" fillId="0" borderId="29" xfId="333" applyFont="1" applyBorder="1" applyAlignment="1" applyProtection="1">
      <alignment horizontal="left" vertical="center"/>
      <protection hidden="1"/>
    </xf>
    <xf numFmtId="0" fontId="50" fillId="0" borderId="26" xfId="333" applyFont="1" applyBorder="1" applyAlignment="1" applyProtection="1">
      <alignment vertical="center"/>
      <protection hidden="1"/>
    </xf>
    <xf numFmtId="0" fontId="50" fillId="0" borderId="26" xfId="333" applyFont="1" applyBorder="1" applyAlignment="1" applyProtection="1">
      <alignment horizontal="right" vertical="center"/>
      <protection hidden="1"/>
    </xf>
    <xf numFmtId="0" fontId="50" fillId="0" borderId="17" xfId="333" applyFont="1" applyBorder="1" applyAlignment="1" applyProtection="1">
      <alignment horizontal="right" vertical="center"/>
      <protection hidden="1"/>
    </xf>
    <xf numFmtId="0" fontId="50" fillId="0" borderId="0" xfId="333" applyFont="1" applyBorder="1" applyAlignment="1" applyProtection="1">
      <alignment horizontal="right" vertical="center"/>
      <protection hidden="1"/>
    </xf>
    <xf numFmtId="0" fontId="49" fillId="0" borderId="17" xfId="333" applyFont="1" applyBorder="1" applyAlignment="1" applyProtection="1">
      <alignment horizontal="center" vertical="center" wrapText="1"/>
      <protection hidden="1"/>
    </xf>
    <xf numFmtId="0" fontId="49" fillId="0" borderId="0" xfId="333" applyFont="1" applyBorder="1" applyAlignment="1" applyProtection="1">
      <alignment horizontal="center" vertical="center" wrapText="1"/>
      <protection hidden="1"/>
    </xf>
    <xf numFmtId="0" fontId="49" fillId="0" borderId="16" xfId="333" applyFont="1" applyBorder="1" applyAlignment="1" applyProtection="1">
      <alignment horizontal="center" vertical="center" wrapText="1"/>
      <protection hidden="1"/>
    </xf>
    <xf numFmtId="0" fontId="50" fillId="0" borderId="17" xfId="333" applyFont="1" applyBorder="1" applyAlignment="1" applyProtection="1">
      <alignment vertical="center"/>
      <protection hidden="1"/>
    </xf>
    <xf numFmtId="0" fontId="49" fillId="0" borderId="0" xfId="333" applyFont="1" applyBorder="1" applyAlignment="1" applyProtection="1">
      <alignment horizontal="left" vertical="center"/>
      <protection hidden="1"/>
    </xf>
    <xf numFmtId="0" fontId="50" fillId="0" borderId="17" xfId="333" applyFont="1" applyBorder="1" applyAlignment="1" applyProtection="1">
      <alignment horizontal="center" vertical="center"/>
      <protection hidden="1"/>
    </xf>
    <xf numFmtId="0" fontId="50" fillId="0" borderId="27" xfId="333" applyFont="1" applyBorder="1" applyAlignment="1" applyProtection="1">
      <alignment vertical="center"/>
      <protection hidden="1"/>
    </xf>
    <xf numFmtId="0" fontId="50" fillId="0" borderId="28" xfId="333" applyFont="1" applyBorder="1" applyAlignment="1" applyProtection="1">
      <alignment vertical="center"/>
      <protection hidden="1"/>
    </xf>
    <xf numFmtId="0" fontId="60" fillId="0" borderId="0" xfId="333" applyFont="1" applyFill="1" applyBorder="1" applyAlignment="1" applyProtection="1">
      <alignment vertical="center"/>
      <protection hidden="1"/>
    </xf>
    <xf numFmtId="0" fontId="69" fillId="0" borderId="0" xfId="333" applyFont="1" applyFill="1" applyBorder="1" applyAlignment="1" applyProtection="1">
      <alignment horizontal="center" vertical="center"/>
      <protection hidden="1"/>
    </xf>
    <xf numFmtId="0" fontId="72" fillId="0" borderId="0" xfId="333" applyFont="1" applyFill="1" applyAlignment="1" applyProtection="1">
      <alignment vertical="center" wrapText="1"/>
      <protection hidden="1"/>
    </xf>
    <xf numFmtId="0" fontId="72" fillId="0" borderId="0" xfId="333" applyFont="1" applyFill="1" applyBorder="1" applyAlignment="1" applyProtection="1">
      <alignment vertical="center"/>
      <protection hidden="1"/>
    </xf>
    <xf numFmtId="0" fontId="48" fillId="0" borderId="0" xfId="333" applyFont="1" applyFill="1" applyBorder="1" applyAlignment="1" applyProtection="1">
      <alignment horizontal="center" vertical="center" wrapText="1"/>
      <protection hidden="1"/>
    </xf>
    <xf numFmtId="0" fontId="74" fillId="0" borderId="0" xfId="333" applyFont="1" applyFill="1" applyBorder="1" applyAlignment="1" applyProtection="1">
      <alignment horizontal="center" vertical="center" wrapText="1"/>
      <protection hidden="1"/>
    </xf>
    <xf numFmtId="0" fontId="70" fillId="0" borderId="0" xfId="333" applyFont="1" applyFill="1" applyBorder="1" applyAlignment="1" applyProtection="1">
      <alignment vertical="center"/>
      <protection hidden="1"/>
    </xf>
    <xf numFmtId="0" fontId="50" fillId="0" borderId="0" xfId="333" applyFont="1" applyFill="1" applyProtection="1">
      <protection hidden="1"/>
    </xf>
    <xf numFmtId="0" fontId="75" fillId="0" borderId="0" xfId="333" applyFont="1" applyFill="1" applyBorder="1" applyAlignment="1" applyProtection="1">
      <alignment vertical="center" wrapText="1"/>
      <protection hidden="1"/>
    </xf>
    <xf numFmtId="0" fontId="76" fillId="0" borderId="0" xfId="333" applyFont="1" applyFill="1" applyBorder="1" applyAlignment="1" applyProtection="1">
      <alignment vertical="center" wrapText="1"/>
      <protection hidden="1"/>
    </xf>
    <xf numFmtId="0" fontId="31" fillId="0" borderId="0" xfId="333" applyFont="1" applyFill="1" applyProtection="1">
      <protection hidden="1"/>
    </xf>
    <xf numFmtId="0" fontId="31" fillId="0" borderId="0" xfId="333" applyFill="1" applyProtection="1">
      <protection hidden="1"/>
    </xf>
    <xf numFmtId="0" fontId="41" fillId="0" borderId="0" xfId="333" applyFont="1" applyFill="1" applyBorder="1" applyAlignment="1" applyProtection="1">
      <alignment vertical="center"/>
      <protection hidden="1"/>
    </xf>
    <xf numFmtId="0" fontId="72" fillId="0" borderId="10" xfId="333" applyFont="1" applyFill="1" applyBorder="1" applyAlignment="1" applyProtection="1">
      <alignment horizontal="center" vertical="center" wrapText="1"/>
      <protection hidden="1"/>
    </xf>
    <xf numFmtId="0" fontId="68" fillId="0" borderId="0" xfId="333" applyFont="1" applyFill="1" applyAlignment="1" applyProtection="1">
      <alignment vertical="center" wrapText="1"/>
      <protection hidden="1"/>
    </xf>
    <xf numFmtId="0" fontId="68" fillId="0" borderId="0" xfId="333" applyFont="1" applyFill="1" applyBorder="1" applyAlignment="1" applyProtection="1">
      <alignment vertical="center"/>
      <protection hidden="1"/>
    </xf>
    <xf numFmtId="0" fontId="79" fillId="0" borderId="0" xfId="333" applyFont="1" applyFill="1" applyBorder="1" applyAlignment="1" applyProtection="1">
      <alignment horizontal="center" vertical="center" wrapText="1"/>
      <protection hidden="1"/>
    </xf>
    <xf numFmtId="0" fontId="80" fillId="0" borderId="0" xfId="333" applyFont="1" applyFill="1" applyBorder="1" applyAlignment="1" applyProtection="1">
      <alignment vertical="center"/>
      <protection hidden="1"/>
    </xf>
    <xf numFmtId="0" fontId="81" fillId="0" borderId="0" xfId="0" applyFont="1" applyAlignment="1" applyProtection="1">
      <alignment vertical="center"/>
      <protection hidden="1"/>
    </xf>
    <xf numFmtId="49" fontId="70" fillId="0" borderId="0" xfId="0" applyNumberFormat="1" applyFont="1" applyAlignment="1" applyProtection="1">
      <alignment vertical="center"/>
      <protection hidden="1"/>
    </xf>
    <xf numFmtId="0" fontId="70" fillId="0" borderId="0" xfId="0" applyFont="1" applyAlignment="1" applyProtection="1">
      <alignment vertical="center"/>
      <protection hidden="1"/>
    </xf>
    <xf numFmtId="0" fontId="72" fillId="0" borderId="0" xfId="0" applyFont="1" applyAlignment="1" applyProtection="1">
      <alignment vertical="center"/>
      <protection hidden="1"/>
    </xf>
    <xf numFmtId="0" fontId="72" fillId="0" borderId="0" xfId="0" applyFont="1" applyAlignment="1" applyProtection="1">
      <alignment vertical="center" shrinkToFit="1"/>
      <protection hidden="1"/>
    </xf>
    <xf numFmtId="2" fontId="51" fillId="0" borderId="26" xfId="366" applyNumberFormat="1" applyFont="1" applyBorder="1" applyAlignment="1" applyProtection="1">
      <alignment vertical="center"/>
      <protection hidden="1"/>
    </xf>
    <xf numFmtId="2" fontId="31" fillId="0" borderId="26" xfId="366" applyNumberFormat="1" applyBorder="1" applyAlignment="1" applyProtection="1">
      <alignment vertical="center"/>
      <protection hidden="1"/>
    </xf>
    <xf numFmtId="2" fontId="49" fillId="0" borderId="26" xfId="366" applyNumberFormat="1" applyFont="1" applyBorder="1" applyAlignment="1" applyProtection="1">
      <alignment vertical="center"/>
      <protection hidden="1"/>
    </xf>
    <xf numFmtId="2" fontId="49" fillId="0" borderId="11" xfId="366" applyNumberFormat="1" applyFont="1" applyBorder="1" applyAlignment="1" applyProtection="1">
      <alignment vertical="center"/>
      <protection hidden="1"/>
    </xf>
    <xf numFmtId="1" fontId="50" fillId="0" borderId="17" xfId="0" applyNumberFormat="1" applyFont="1" applyBorder="1" applyAlignment="1" applyProtection="1">
      <alignment horizontal="left" vertical="center"/>
      <protection hidden="1"/>
    </xf>
    <xf numFmtId="1" fontId="50" fillId="0" borderId="0" xfId="0" applyNumberFormat="1" applyFont="1" applyBorder="1" applyAlignment="1" applyProtection="1">
      <alignment horizontal="left" vertical="center"/>
      <protection hidden="1"/>
    </xf>
    <xf numFmtId="0" fontId="31" fillId="0" borderId="17" xfId="0" applyFont="1" applyBorder="1" applyAlignment="1" applyProtection="1">
      <alignment vertical="center"/>
      <protection hidden="1"/>
    </xf>
    <xf numFmtId="0" fontId="31" fillId="0" borderId="0" xfId="0" applyFont="1" applyBorder="1" applyAlignment="1" applyProtection="1">
      <alignment vertical="center"/>
      <protection hidden="1"/>
    </xf>
    <xf numFmtId="1" fontId="49" fillId="0" borderId="26" xfId="333" applyNumberFormat="1" applyFont="1" applyBorder="1" applyAlignment="1" applyProtection="1">
      <alignment vertical="center"/>
      <protection hidden="1"/>
    </xf>
    <xf numFmtId="2" fontId="49" fillId="0" borderId="26" xfId="333" applyNumberFormat="1" applyFont="1" applyBorder="1" applyAlignment="1" applyProtection="1">
      <alignment vertical="center"/>
      <protection hidden="1"/>
    </xf>
    <xf numFmtId="0" fontId="49" fillId="0" borderId="26" xfId="333" applyNumberFormat="1" applyFont="1" applyBorder="1" applyAlignment="1" applyProtection="1">
      <alignment vertical="center"/>
      <protection hidden="1"/>
    </xf>
    <xf numFmtId="0" fontId="51" fillId="0" borderId="22" xfId="366" applyFont="1" applyBorder="1" applyAlignment="1" applyProtection="1">
      <alignment vertical="center"/>
      <protection hidden="1"/>
    </xf>
    <xf numFmtId="0" fontId="51" fillId="0" borderId="18" xfId="366" applyFont="1" applyBorder="1" applyAlignment="1" applyProtection="1">
      <alignment vertical="center"/>
      <protection hidden="1"/>
    </xf>
    <xf numFmtId="0" fontId="0" fillId="0" borderId="18" xfId="0" applyBorder="1" applyAlignment="1" applyProtection="1">
      <protection hidden="1"/>
    </xf>
    <xf numFmtId="0" fontId="0" fillId="0" borderId="18" xfId="0" applyBorder="1" applyProtection="1">
      <protection hidden="1"/>
    </xf>
    <xf numFmtId="0" fontId="47" fillId="0" borderId="18" xfId="366" applyFont="1" applyBorder="1" applyAlignment="1" applyProtection="1">
      <alignment vertical="center"/>
      <protection hidden="1"/>
    </xf>
    <xf numFmtId="0" fontId="112" fillId="0" borderId="0" xfId="0" applyFont="1" applyFill="1" applyBorder="1" applyAlignment="1" applyProtection="1">
      <alignment vertical="center" shrinkToFit="1"/>
      <protection locked="0"/>
    </xf>
    <xf numFmtId="0" fontId="113" fillId="0" borderId="0" xfId="0" applyFont="1" applyFill="1" applyBorder="1" applyAlignment="1" applyProtection="1">
      <alignment vertical="center" shrinkToFit="1"/>
      <protection locked="0"/>
    </xf>
    <xf numFmtId="1" fontId="109" fillId="0" borderId="0" xfId="0" applyNumberFormat="1" applyFont="1" applyFill="1" applyBorder="1" applyAlignment="1" applyProtection="1">
      <alignment vertical="center"/>
      <protection locked="0"/>
    </xf>
    <xf numFmtId="0" fontId="31" fillId="0" borderId="18" xfId="366" applyFont="1" applyBorder="1" applyAlignment="1" applyProtection="1">
      <protection hidden="1"/>
    </xf>
    <xf numFmtId="0" fontId="47" fillId="0" borderId="18" xfId="366" applyFont="1" applyBorder="1" applyAlignment="1" applyProtection="1">
      <alignment horizontal="left" vertical="center"/>
      <protection hidden="1"/>
    </xf>
    <xf numFmtId="0" fontId="114" fillId="0" borderId="0" xfId="0" applyFont="1" applyFill="1" applyBorder="1" applyAlignment="1" applyProtection="1">
      <alignment horizontal="left" vertical="center" shrinkToFit="1"/>
      <protection hidden="1"/>
    </xf>
    <xf numFmtId="0" fontId="96" fillId="0" borderId="0" xfId="0" applyFont="1" applyFill="1" applyBorder="1" applyAlignment="1" applyProtection="1">
      <alignment horizontal="left" vertical="center" wrapText="1"/>
      <protection hidden="1"/>
    </xf>
    <xf numFmtId="0" fontId="47" fillId="0" borderId="24" xfId="366" applyFont="1" applyBorder="1" applyAlignment="1" applyProtection="1">
      <alignment horizontal="left" vertical="center"/>
      <protection hidden="1"/>
    </xf>
    <xf numFmtId="0" fontId="100" fillId="0" borderId="0" xfId="0" applyFont="1" applyAlignment="1" applyProtection="1">
      <alignment horizontal="left" vertical="center"/>
      <protection hidden="1"/>
    </xf>
    <xf numFmtId="49" fontId="20" fillId="0" borderId="0" xfId="332" applyNumberFormat="1" applyFont="1" applyFill="1"/>
    <xf numFmtId="0" fontId="20" fillId="0" borderId="0" xfId="332" applyFont="1" applyFill="1" applyAlignment="1">
      <alignment horizontal="left"/>
    </xf>
    <xf numFmtId="0" fontId="0" fillId="0" borderId="0" xfId="0" applyProtection="1">
      <protection hidden="1"/>
    </xf>
    <xf numFmtId="0" fontId="0" fillId="0" borderId="0" xfId="0" applyBorder="1" applyProtection="1">
      <protection hidden="1"/>
    </xf>
    <xf numFmtId="0" fontId="31" fillId="0" borderId="19" xfId="366" applyBorder="1" applyAlignment="1" applyProtection="1">
      <alignment horizontal="center" vertical="center"/>
      <protection hidden="1"/>
    </xf>
    <xf numFmtId="0" fontId="115" fillId="0" borderId="18" xfId="0" applyFont="1" applyBorder="1" applyProtection="1">
      <protection hidden="1"/>
    </xf>
    <xf numFmtId="0" fontId="47" fillId="0" borderId="10" xfId="366" applyFont="1" applyBorder="1" applyAlignment="1" applyProtection="1">
      <alignment horizontal="center" vertical="center"/>
      <protection hidden="1"/>
    </xf>
    <xf numFmtId="0" fontId="0" fillId="0" borderId="26" xfId="0" applyBorder="1" applyProtection="1">
      <protection hidden="1"/>
    </xf>
    <xf numFmtId="0" fontId="48" fillId="0" borderId="18" xfId="366" applyFont="1" applyBorder="1" applyAlignment="1" applyProtection="1">
      <alignment textRotation="90"/>
      <protection hidden="1"/>
    </xf>
    <xf numFmtId="0" fontId="47" fillId="0" borderId="0" xfId="366" applyFont="1" applyBorder="1" applyProtection="1">
      <protection hidden="1"/>
    </xf>
    <xf numFmtId="0" fontId="31" fillId="0" borderId="18" xfId="366" applyBorder="1" applyProtection="1">
      <protection hidden="1"/>
    </xf>
    <xf numFmtId="0" fontId="47" fillId="0" borderId="0" xfId="366" applyFont="1" applyBorder="1" applyAlignment="1" applyProtection="1">
      <alignment horizontal="center" vertical="center" wrapText="1"/>
      <protection hidden="1"/>
    </xf>
    <xf numFmtId="0" fontId="31" fillId="0" borderId="20" xfId="366" applyBorder="1" applyProtection="1">
      <protection hidden="1"/>
    </xf>
    <xf numFmtId="0" fontId="47" fillId="0" borderId="21" xfId="366" applyFont="1" applyBorder="1" applyAlignment="1" applyProtection="1">
      <alignment horizontal="center" vertical="center"/>
      <protection hidden="1"/>
    </xf>
    <xf numFmtId="0" fontId="26" fillId="0" borderId="0" xfId="0" applyFont="1" applyBorder="1" applyProtection="1">
      <protection hidden="1"/>
    </xf>
    <xf numFmtId="0" fontId="59" fillId="0" borderId="18" xfId="0" applyFont="1" applyBorder="1" applyAlignment="1" applyProtection="1">
      <alignment horizontal="center" vertical="center"/>
      <protection hidden="1"/>
    </xf>
    <xf numFmtId="0" fontId="59" fillId="0" borderId="0" xfId="0" applyFont="1" applyBorder="1" applyAlignment="1" applyProtection="1">
      <alignment horizontal="center" vertical="center"/>
      <protection hidden="1"/>
    </xf>
    <xf numFmtId="0" fontId="59" fillId="0" borderId="19"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0" fontId="0" fillId="0" borderId="20" xfId="0" applyBorder="1" applyProtection="1">
      <protection hidden="1"/>
    </xf>
    <xf numFmtId="0" fontId="0" fillId="0" borderId="16" xfId="0" applyBorder="1" applyProtection="1">
      <protection hidden="1"/>
    </xf>
    <xf numFmtId="0" fontId="0" fillId="0" borderId="28" xfId="0" applyBorder="1" applyProtection="1">
      <protection hidden="1"/>
    </xf>
    <xf numFmtId="0" fontId="0" fillId="0" borderId="30" xfId="0" applyBorder="1" applyProtection="1">
      <protection hidden="1"/>
    </xf>
    <xf numFmtId="0" fontId="116" fillId="0" borderId="0" xfId="0" applyFont="1" applyBorder="1" applyProtection="1">
      <protection hidden="1"/>
    </xf>
    <xf numFmtId="0" fontId="116" fillId="0" borderId="0" xfId="0" applyFont="1" applyBorder="1" applyAlignment="1" applyProtection="1">
      <alignment horizontal="left"/>
      <protection hidden="1"/>
    </xf>
    <xf numFmtId="0" fontId="116" fillId="0" borderId="16" xfId="0" applyFont="1" applyBorder="1" applyAlignment="1" applyProtection="1">
      <alignment horizontal="left"/>
      <protection hidden="1"/>
    </xf>
    <xf numFmtId="0" fontId="116" fillId="0" borderId="25" xfId="0" applyFont="1" applyBorder="1" applyProtection="1">
      <protection hidden="1"/>
    </xf>
    <xf numFmtId="0" fontId="116" fillId="0" borderId="31" xfId="0" applyFont="1" applyBorder="1" applyProtection="1">
      <protection hidden="1"/>
    </xf>
    <xf numFmtId="0" fontId="115" fillId="0" borderId="0" xfId="0" applyFont="1" applyBorder="1" applyProtection="1">
      <protection hidden="1"/>
    </xf>
    <xf numFmtId="0" fontId="116" fillId="0" borderId="16" xfId="0" applyFont="1" applyBorder="1" applyProtection="1">
      <protection hidden="1"/>
    </xf>
    <xf numFmtId="0" fontId="0" fillId="0" borderId="0" xfId="0" applyFont="1" applyBorder="1" applyProtection="1">
      <protection hidden="1"/>
    </xf>
    <xf numFmtId="0" fontId="49" fillId="0" borderId="10" xfId="333" applyFont="1" applyBorder="1" applyAlignment="1" applyProtection="1">
      <alignment horizontal="center" vertical="center"/>
      <protection hidden="1"/>
    </xf>
    <xf numFmtId="0" fontId="116" fillId="0" borderId="10" xfId="0" applyFont="1" applyBorder="1" applyAlignment="1" applyProtection="1">
      <alignment horizontal="center"/>
      <protection hidden="1"/>
    </xf>
    <xf numFmtId="0" fontId="116" fillId="0" borderId="16" xfId="0" applyFont="1" applyBorder="1" applyAlignment="1" applyProtection="1">
      <protection hidden="1"/>
    </xf>
    <xf numFmtId="0" fontId="61" fillId="0" borderId="0" xfId="333" applyFont="1" applyBorder="1" applyAlignment="1" applyProtection="1">
      <alignment vertical="center"/>
      <protection hidden="1"/>
    </xf>
    <xf numFmtId="0" fontId="61" fillId="0" borderId="25" xfId="333" applyFont="1" applyBorder="1" applyAlignment="1" applyProtection="1">
      <alignment vertical="center"/>
      <protection hidden="1"/>
    </xf>
    <xf numFmtId="0" fontId="0" fillId="0" borderId="0" xfId="0" applyFont="1" applyBorder="1" applyAlignment="1" applyProtection="1">
      <alignment vertical="top"/>
      <protection hidden="1"/>
    </xf>
    <xf numFmtId="0" fontId="50" fillId="0" borderId="10" xfId="333" applyFont="1" applyBorder="1" applyAlignment="1" applyProtection="1">
      <alignment horizontal="center" vertical="center"/>
      <protection hidden="1"/>
    </xf>
    <xf numFmtId="0" fontId="61" fillId="0" borderId="25" xfId="333" applyFont="1" applyBorder="1" applyAlignment="1" applyProtection="1">
      <alignment horizontal="left" vertical="center"/>
      <protection hidden="1"/>
    </xf>
    <xf numFmtId="0" fontId="61" fillId="0" borderId="0" xfId="333" applyFont="1" applyBorder="1" applyAlignment="1" applyProtection="1">
      <alignment horizontal="center" vertical="center"/>
      <protection hidden="1"/>
    </xf>
    <xf numFmtId="0" fontId="50" fillId="0" borderId="21" xfId="333" applyFont="1" applyBorder="1" applyAlignment="1" applyProtection="1">
      <alignment vertical="center"/>
      <protection hidden="1"/>
    </xf>
    <xf numFmtId="0" fontId="49" fillId="0" borderId="18" xfId="333" applyFont="1" applyBorder="1" applyAlignment="1" applyProtection="1">
      <alignment vertical="center"/>
      <protection hidden="1"/>
    </xf>
    <xf numFmtId="0" fontId="31" fillId="0" borderId="18" xfId="333" applyFont="1" applyBorder="1" applyAlignment="1" applyProtection="1">
      <alignment vertical="center"/>
      <protection hidden="1"/>
    </xf>
    <xf numFmtId="0" fontId="116" fillId="0" borderId="26" xfId="0" applyFont="1" applyBorder="1" applyProtection="1">
      <protection hidden="1"/>
    </xf>
    <xf numFmtId="0" fontId="116" fillId="0" borderId="32" xfId="0" applyFont="1" applyBorder="1" applyProtection="1">
      <protection hidden="1"/>
    </xf>
    <xf numFmtId="0" fontId="31" fillId="0" borderId="17" xfId="333" applyFont="1" applyBorder="1" applyAlignment="1" applyProtection="1">
      <alignment vertical="center"/>
      <protection hidden="1"/>
    </xf>
    <xf numFmtId="0" fontId="116" fillId="0" borderId="28" xfId="0" applyFont="1" applyBorder="1" applyProtection="1">
      <protection hidden="1"/>
    </xf>
    <xf numFmtId="0" fontId="116" fillId="0" borderId="30" xfId="0" applyFont="1" applyBorder="1" applyProtection="1">
      <protection hidden="1"/>
    </xf>
    <xf numFmtId="0" fontId="117" fillId="0" borderId="0" xfId="0" applyFont="1" applyProtection="1">
      <protection hidden="1"/>
    </xf>
    <xf numFmtId="0" fontId="118" fillId="0" borderId="0" xfId="0" applyFont="1" applyBorder="1" applyAlignment="1" applyProtection="1">
      <alignment horizontal="center"/>
      <protection hidden="1"/>
    </xf>
    <xf numFmtId="0" fontId="118" fillId="0" borderId="0" xfId="0" applyFont="1" applyProtection="1">
      <protection hidden="1"/>
    </xf>
    <xf numFmtId="0" fontId="60" fillId="0" borderId="0" xfId="0" applyFont="1" applyFill="1" applyBorder="1" applyAlignment="1" applyProtection="1">
      <alignment vertical="center"/>
      <protection hidden="1"/>
    </xf>
    <xf numFmtId="0" fontId="41" fillId="0" borderId="0" xfId="0" applyFont="1" applyFill="1" applyBorder="1" applyAlignment="1" applyProtection="1">
      <alignment vertical="center"/>
      <protection hidden="1"/>
    </xf>
    <xf numFmtId="0" fontId="41" fillId="0" borderId="0" xfId="0" applyFont="1" applyFill="1" applyAlignment="1" applyProtection="1">
      <alignment vertical="center"/>
      <protection hidden="1"/>
    </xf>
    <xf numFmtId="0" fontId="60" fillId="0" borderId="0" xfId="0" applyFont="1" applyFill="1" applyBorder="1" applyAlignment="1" applyProtection="1">
      <alignment vertical="top"/>
      <protection hidden="1"/>
    </xf>
    <xf numFmtId="0" fontId="60" fillId="0" borderId="0" xfId="0" applyFont="1" applyFill="1" applyAlignment="1" applyProtection="1">
      <alignment vertical="center" wrapText="1"/>
      <protection hidden="1"/>
    </xf>
    <xf numFmtId="0" fontId="60" fillId="0" borderId="0" xfId="0" applyFont="1" applyFill="1" applyAlignment="1" applyProtection="1">
      <alignment vertical="center"/>
      <protection hidden="1"/>
    </xf>
    <xf numFmtId="0" fontId="81" fillId="0" borderId="0" xfId="0" applyFont="1" applyFill="1" applyAlignment="1" applyProtection="1">
      <alignment horizontal="center" vertical="center"/>
      <protection hidden="1"/>
    </xf>
    <xf numFmtId="0" fontId="47" fillId="0" borderId="22" xfId="366" applyFont="1" applyBorder="1" applyAlignment="1" applyProtection="1">
      <alignment horizontal="center" vertical="center"/>
      <protection hidden="1"/>
    </xf>
    <xf numFmtId="0" fontId="31" fillId="0" borderId="0" xfId="366" applyBorder="1" applyAlignment="1" applyProtection="1">
      <alignment horizontal="left" vertical="center" shrinkToFit="1"/>
      <protection hidden="1"/>
    </xf>
    <xf numFmtId="0" fontId="31" fillId="0" borderId="19" xfId="366" applyBorder="1" applyAlignment="1" applyProtection="1">
      <alignment horizontal="left" vertical="center" shrinkToFit="1"/>
      <protection hidden="1"/>
    </xf>
    <xf numFmtId="1" fontId="31" fillId="0" borderId="0" xfId="366" applyNumberFormat="1" applyBorder="1" applyAlignment="1" applyProtection="1">
      <alignment horizontal="left" vertical="center" shrinkToFit="1"/>
      <protection hidden="1"/>
    </xf>
    <xf numFmtId="1" fontId="31" fillId="0" borderId="19" xfId="366" applyNumberFormat="1" applyBorder="1" applyAlignment="1" applyProtection="1">
      <alignment horizontal="left" vertical="center" shrinkToFit="1"/>
      <protection hidden="1"/>
    </xf>
    <xf numFmtId="0" fontId="119" fillId="51" borderId="52" xfId="0" applyFont="1" applyFill="1" applyBorder="1" applyAlignment="1">
      <alignment horizontal="center" vertical="center" shrinkToFit="1"/>
    </xf>
    <xf numFmtId="0" fontId="102" fillId="51" borderId="0" xfId="0" applyFont="1" applyFill="1" applyBorder="1" applyAlignment="1">
      <alignment vertical="center" shrinkToFit="1"/>
    </xf>
    <xf numFmtId="0" fontId="119" fillId="51" borderId="0" xfId="0" applyFont="1" applyFill="1" applyBorder="1" applyAlignment="1">
      <alignment horizontal="center" vertical="center" shrinkToFit="1"/>
    </xf>
    <xf numFmtId="0" fontId="102" fillId="51" borderId="52" xfId="0" applyFont="1" applyFill="1" applyBorder="1" applyAlignment="1" applyProtection="1">
      <alignment vertical="center" shrinkToFit="1"/>
      <protection hidden="1"/>
    </xf>
    <xf numFmtId="0" fontId="100" fillId="0" borderId="0" xfId="0" applyFont="1" applyAlignment="1" applyProtection="1">
      <alignment vertical="center" shrinkToFit="1"/>
      <protection locked="0" hidden="1"/>
    </xf>
    <xf numFmtId="0" fontId="100" fillId="0" borderId="0" xfId="0" applyFont="1" applyAlignment="1" applyProtection="1">
      <alignment horizontal="left" vertical="center" shrinkToFit="1"/>
      <protection hidden="1"/>
    </xf>
    <xf numFmtId="0" fontId="0" fillId="51" borderId="0" xfId="0" applyFill="1" applyAlignment="1" applyProtection="1">
      <alignment vertical="center" wrapText="1"/>
    </xf>
    <xf numFmtId="1" fontId="109" fillId="51" borderId="25" xfId="0" applyNumberFormat="1" applyFont="1" applyFill="1" applyBorder="1" applyAlignment="1" applyProtection="1">
      <alignment vertical="center"/>
    </xf>
    <xf numFmtId="0" fontId="0" fillId="51" borderId="0" xfId="0" applyFill="1" applyBorder="1" applyAlignment="1" applyProtection="1">
      <alignment vertical="center" wrapText="1"/>
    </xf>
    <xf numFmtId="0" fontId="99" fillId="52" borderId="10" xfId="0" applyFont="1" applyFill="1" applyBorder="1" applyAlignment="1" applyProtection="1">
      <alignment horizontal="center" vertical="center" wrapText="1"/>
      <protection locked="0"/>
    </xf>
    <xf numFmtId="0" fontId="99" fillId="0" borderId="0" xfId="0" applyFont="1" applyFill="1" applyBorder="1" applyAlignment="1" applyProtection="1">
      <alignment vertical="center"/>
      <protection locked="0"/>
    </xf>
    <xf numFmtId="0" fontId="0" fillId="0" borderId="0" xfId="0" applyFill="1" applyBorder="1" applyAlignment="1" applyProtection="1">
      <alignment vertical="center" wrapText="1"/>
      <protection locked="0"/>
    </xf>
    <xf numFmtId="0" fontId="0" fillId="0" borderId="0" xfId="0" applyFill="1" applyBorder="1" applyAlignment="1" applyProtection="1">
      <alignment vertical="center"/>
      <protection locked="0"/>
    </xf>
    <xf numFmtId="0" fontId="0" fillId="0" borderId="0" xfId="0" applyAlignment="1" applyProtection="1">
      <alignment vertical="center"/>
      <protection locked="0"/>
    </xf>
    <xf numFmtId="0" fontId="20" fillId="0" borderId="0" xfId="332" applyFont="1" applyFill="1" applyProtection="1">
      <protection locked="0"/>
    </xf>
    <xf numFmtId="0" fontId="0" fillId="0" borderId="0" xfId="0" applyAlignment="1" applyProtection="1">
      <alignment horizontal="right" vertical="center" wrapText="1"/>
      <protection locked="0"/>
    </xf>
    <xf numFmtId="166" fontId="0" fillId="0" borderId="0" xfId="0" applyNumberFormat="1" applyAlignment="1" applyProtection="1">
      <alignment vertical="center" wrapText="1"/>
      <protection locked="0"/>
    </xf>
    <xf numFmtId="0" fontId="0" fillId="0" borderId="0" xfId="0" applyProtection="1">
      <protection locked="0"/>
    </xf>
    <xf numFmtId="0" fontId="99" fillId="0" borderId="0" xfId="0" applyFont="1" applyAlignment="1" applyProtection="1">
      <alignment vertical="center" wrapText="1"/>
      <protection locked="0"/>
    </xf>
    <xf numFmtId="14" fontId="0" fillId="0" borderId="0" xfId="0" applyNumberFormat="1" applyAlignment="1" applyProtection="1">
      <alignment vertical="center" wrapText="1"/>
      <protection locked="0"/>
    </xf>
    <xf numFmtId="0" fontId="0" fillId="0" borderId="0" xfId="0" applyFill="1" applyBorder="1" applyAlignment="1" applyProtection="1">
      <alignment vertical="center" wrapText="1"/>
      <protection locked="0" hidden="1"/>
    </xf>
    <xf numFmtId="0" fontId="102" fillId="55" borderId="10" xfId="0" applyFont="1" applyFill="1" applyBorder="1" applyAlignment="1" applyProtection="1">
      <alignment horizontal="center" vertical="center" shrinkToFit="1"/>
    </xf>
    <xf numFmtId="0" fontId="99" fillId="55" borderId="0" xfId="0" applyFont="1" applyFill="1" applyAlignment="1" applyProtection="1">
      <alignment vertical="center" wrapText="1"/>
      <protection locked="0"/>
    </xf>
    <xf numFmtId="0" fontId="98" fillId="55" borderId="0" xfId="0" applyFont="1" applyFill="1" applyAlignment="1" applyProtection="1">
      <alignment vertical="center" wrapText="1"/>
      <protection locked="0"/>
    </xf>
    <xf numFmtId="0" fontId="24" fillId="0" borderId="0" xfId="332" applyFont="1" applyFill="1"/>
    <xf numFmtId="0" fontId="106" fillId="0" borderId="0" xfId="0" applyFont="1" applyAlignment="1" applyProtection="1">
      <alignment vertical="center"/>
      <protection hidden="1"/>
    </xf>
    <xf numFmtId="0" fontId="20" fillId="0" borderId="0" xfId="332" applyFont="1" applyFill="1" applyAlignment="1">
      <alignment wrapText="1"/>
    </xf>
    <xf numFmtId="0" fontId="20" fillId="55" borderId="0" xfId="332" applyFont="1" applyFill="1"/>
    <xf numFmtId="0" fontId="102" fillId="0" borderId="0" xfId="0" applyFont="1" applyFill="1" applyBorder="1" applyAlignment="1">
      <alignment vertical="center" shrinkToFit="1"/>
    </xf>
    <xf numFmtId="0" fontId="119" fillId="0" borderId="0" xfId="0" applyFont="1" applyFill="1" applyBorder="1" applyAlignment="1">
      <alignment vertical="center" shrinkToFit="1"/>
    </xf>
    <xf numFmtId="0" fontId="119" fillId="0" borderId="0" xfId="0" applyFont="1" applyFill="1" applyBorder="1" applyAlignment="1" applyProtection="1">
      <alignment vertical="center" shrinkToFit="1"/>
    </xf>
    <xf numFmtId="0" fontId="100" fillId="0" borderId="21" xfId="0" applyFont="1" applyBorder="1" applyAlignment="1" applyProtection="1">
      <alignment horizontal="center" vertical="top"/>
      <protection hidden="1"/>
    </xf>
    <xf numFmtId="0" fontId="87" fillId="0" borderId="10" xfId="0" applyFont="1" applyBorder="1" applyAlignment="1">
      <alignment horizontal="center" vertical="center" wrapText="1"/>
    </xf>
    <xf numFmtId="0" fontId="87" fillId="0" borderId="10" xfId="0" applyFont="1" applyBorder="1" applyAlignment="1">
      <alignment vertical="center" wrapText="1"/>
    </xf>
    <xf numFmtId="0" fontId="88" fillId="0" borderId="10" xfId="0" applyFont="1" applyBorder="1" applyAlignment="1">
      <alignment vertical="center" wrapText="1"/>
    </xf>
    <xf numFmtId="49" fontId="109" fillId="53" borderId="53" xfId="0" applyNumberFormat="1" applyFont="1" applyFill="1" applyBorder="1" applyAlignment="1" applyProtection="1">
      <alignment horizontal="left" vertical="center" shrinkToFit="1"/>
      <protection locked="0"/>
    </xf>
    <xf numFmtId="0" fontId="58" fillId="0" borderId="18" xfId="0" applyFont="1" applyBorder="1" applyAlignment="1" applyProtection="1">
      <alignment horizontal="center" vertical="center"/>
      <protection hidden="1"/>
    </xf>
    <xf numFmtId="0" fontId="58" fillId="0" borderId="0" xfId="0" applyFont="1" applyBorder="1" applyAlignment="1" applyProtection="1">
      <alignment horizontal="center" vertical="center"/>
      <protection hidden="1"/>
    </xf>
    <xf numFmtId="0" fontId="58" fillId="0" borderId="19" xfId="0" applyFont="1" applyBorder="1" applyAlignment="1" applyProtection="1">
      <alignment horizontal="center" vertical="center"/>
      <protection hidden="1"/>
    </xf>
    <xf numFmtId="0" fontId="120" fillId="0" borderId="10" xfId="0" applyFont="1" applyBorder="1" applyAlignment="1" applyProtection="1">
      <alignment horizontal="center" vertical="center" wrapText="1"/>
      <protection hidden="1"/>
    </xf>
    <xf numFmtId="0" fontId="0" fillId="0" borderId="0" xfId="0" applyAlignment="1" applyProtection="1">
      <alignment horizontal="center" vertical="center" wrapText="1"/>
      <protection locked="0"/>
    </xf>
    <xf numFmtId="0" fontId="0" fillId="0" borderId="0" xfId="0" applyBorder="1" applyAlignment="1" applyProtection="1">
      <alignment vertical="center"/>
      <protection hidden="1"/>
    </xf>
    <xf numFmtId="0" fontId="0" fillId="0" borderId="19" xfId="0" applyBorder="1" applyAlignment="1" applyProtection="1">
      <alignment vertical="center"/>
      <protection hidden="1"/>
    </xf>
    <xf numFmtId="0" fontId="121" fillId="0" borderId="10" xfId="0" applyFont="1" applyBorder="1" applyAlignment="1" applyProtection="1">
      <alignment horizontal="center" vertical="center" wrapText="1"/>
      <protection hidden="1"/>
    </xf>
    <xf numFmtId="0" fontId="50" fillId="0" borderId="10" xfId="366" applyFont="1" applyBorder="1" applyAlignment="1" applyProtection="1">
      <alignment horizontal="center" vertical="center" wrapText="1"/>
      <protection hidden="1"/>
    </xf>
    <xf numFmtId="0" fontId="0" fillId="0" borderId="0" xfId="0" applyBorder="1" applyAlignment="1" applyProtection="1">
      <alignment wrapText="1"/>
      <protection hidden="1"/>
    </xf>
    <xf numFmtId="0" fontId="0" fillId="0" borderId="19" xfId="0" applyBorder="1" applyAlignment="1" applyProtection="1">
      <alignment wrapText="1"/>
      <protection hidden="1"/>
    </xf>
    <xf numFmtId="0" fontId="58" fillId="0" borderId="18" xfId="0" applyFont="1" applyBorder="1" applyAlignment="1" applyProtection="1">
      <alignment horizontal="left" vertical="center"/>
      <protection hidden="1"/>
    </xf>
    <xf numFmtId="0" fontId="0" fillId="0" borderId="0" xfId="0" applyBorder="1" applyAlignment="1" applyProtection="1">
      <protection hidden="1"/>
    </xf>
    <xf numFmtId="0" fontId="0" fillId="0" borderId="0" xfId="0" applyBorder="1" applyAlignment="1" applyProtection="1">
      <alignment horizontal="left"/>
      <protection hidden="1"/>
    </xf>
    <xf numFmtId="0" fontId="0" fillId="0" borderId="20" xfId="0" applyBorder="1" applyAlignment="1" applyProtection="1">
      <alignment vertical="center" wrapText="1"/>
      <protection hidden="1"/>
    </xf>
    <xf numFmtId="0" fontId="0" fillId="0" borderId="21" xfId="0" applyBorder="1" applyAlignment="1" applyProtection="1">
      <alignment vertical="center" wrapText="1"/>
      <protection hidden="1"/>
    </xf>
    <xf numFmtId="0" fontId="49" fillId="0" borderId="18" xfId="366" applyFont="1" applyBorder="1" applyAlignment="1" applyProtection="1">
      <protection hidden="1"/>
    </xf>
    <xf numFmtId="0" fontId="49" fillId="0" borderId="0" xfId="366" applyFont="1" applyBorder="1" applyAlignment="1" applyProtection="1">
      <protection hidden="1"/>
    </xf>
    <xf numFmtId="0" fontId="51" fillId="0" borderId="33" xfId="366" applyFont="1" applyBorder="1" applyAlignment="1" applyProtection="1">
      <alignment vertical="center"/>
      <protection hidden="1"/>
    </xf>
    <xf numFmtId="0" fontId="51" fillId="0" borderId="34" xfId="366" applyFont="1" applyBorder="1" applyAlignment="1" applyProtection="1">
      <alignment vertical="center"/>
      <protection hidden="1"/>
    </xf>
    <xf numFmtId="0" fontId="51" fillId="0" borderId="33" xfId="366" applyFont="1" applyBorder="1" applyAlignment="1" applyProtection="1">
      <alignment horizontal="left" vertical="center"/>
      <protection hidden="1"/>
    </xf>
    <xf numFmtId="0" fontId="31" fillId="0" borderId="33" xfId="366" applyBorder="1" applyAlignment="1" applyProtection="1">
      <alignment horizontal="center" vertical="center"/>
      <protection hidden="1"/>
    </xf>
    <xf numFmtId="0" fontId="52" fillId="0" borderId="33" xfId="366" applyFont="1" applyBorder="1" applyAlignment="1" applyProtection="1">
      <alignment horizontal="center" vertical="center"/>
      <protection hidden="1"/>
    </xf>
    <xf numFmtId="0" fontId="31" fillId="0" borderId="33" xfId="366" applyBorder="1" applyAlignment="1" applyProtection="1">
      <alignment horizontal="left" vertical="center"/>
      <protection hidden="1"/>
    </xf>
    <xf numFmtId="0" fontId="31" fillId="0" borderId="33" xfId="366" applyBorder="1" applyAlignment="1" applyProtection="1">
      <alignment horizontal="center"/>
      <protection hidden="1"/>
    </xf>
    <xf numFmtId="0" fontId="31" fillId="0" borderId="33" xfId="366" applyBorder="1" applyProtection="1">
      <protection hidden="1"/>
    </xf>
    <xf numFmtId="0" fontId="31" fillId="0" borderId="35" xfId="366" applyBorder="1" applyProtection="1">
      <protection hidden="1"/>
    </xf>
    <xf numFmtId="0" fontId="31" fillId="0" borderId="34" xfId="366" applyBorder="1" applyAlignment="1" applyProtection="1">
      <alignment horizontal="center" vertical="center"/>
      <protection hidden="1"/>
    </xf>
    <xf numFmtId="0" fontId="31" fillId="0" borderId="35" xfId="366" applyBorder="1" applyAlignment="1" applyProtection="1">
      <alignment horizontal="center" vertical="center"/>
      <protection hidden="1"/>
    </xf>
    <xf numFmtId="0" fontId="0" fillId="0" borderId="18" xfId="0" applyBorder="1" applyAlignment="1" applyProtection="1">
      <alignment vertical="center" textRotation="90" wrapText="1"/>
      <protection hidden="1"/>
    </xf>
    <xf numFmtId="0" fontId="0" fillId="55" borderId="22" xfId="0" applyFill="1" applyBorder="1" applyAlignment="1">
      <alignment vertical="center" wrapText="1"/>
    </xf>
    <xf numFmtId="0" fontId="0" fillId="51" borderId="54" xfId="0" applyFill="1" applyBorder="1" applyAlignment="1">
      <alignment vertical="center" wrapText="1"/>
    </xf>
    <xf numFmtId="0" fontId="47" fillId="0" borderId="25" xfId="366" applyFont="1" applyBorder="1" applyAlignment="1" applyProtection="1">
      <alignment vertical="center" shrinkToFit="1"/>
      <protection hidden="1"/>
    </xf>
    <xf numFmtId="0" fontId="47" fillId="0" borderId="15" xfId="366" applyFont="1" applyBorder="1" applyAlignment="1" applyProtection="1">
      <alignment vertical="center" shrinkToFit="1"/>
      <protection hidden="1"/>
    </xf>
    <xf numFmtId="0" fontId="89" fillId="48" borderId="10" xfId="0" applyFont="1" applyFill="1" applyBorder="1" applyAlignment="1" applyProtection="1">
      <alignment horizontal="center" vertical="center" textRotation="90" wrapText="1"/>
      <protection hidden="1"/>
    </xf>
    <xf numFmtId="0" fontId="0" fillId="0" borderId="24" xfId="0" applyBorder="1" applyProtection="1">
      <protection hidden="1"/>
    </xf>
    <xf numFmtId="0" fontId="0" fillId="0" borderId="0" xfId="0" applyBorder="1" applyAlignment="1" applyProtection="1">
      <alignment horizontal="left" vertical="top"/>
      <protection hidden="1"/>
    </xf>
    <xf numFmtId="0" fontId="50" fillId="0" borderId="0" xfId="366" applyFont="1" applyBorder="1" applyAlignment="1" applyProtection="1">
      <alignment horizontal="left" vertical="top"/>
      <protection hidden="1"/>
    </xf>
    <xf numFmtId="0" fontId="122" fillId="48" borderId="10" xfId="0" applyFont="1" applyFill="1" applyBorder="1" applyAlignment="1" applyProtection="1">
      <alignment horizontal="center" vertical="center" wrapText="1"/>
      <protection hidden="1"/>
    </xf>
    <xf numFmtId="3" fontId="50" fillId="0" borderId="22" xfId="366" applyNumberFormat="1" applyFont="1" applyBorder="1" applyAlignment="1" applyProtection="1">
      <alignment vertical="center"/>
      <protection hidden="1"/>
    </xf>
    <xf numFmtId="0" fontId="98" fillId="0" borderId="18" xfId="0" applyFont="1" applyBorder="1" applyAlignment="1" applyProtection="1">
      <alignment horizontal="left" vertical="top"/>
      <protection hidden="1"/>
    </xf>
    <xf numFmtId="0" fontId="49" fillId="0" borderId="10" xfId="366" applyFont="1" applyBorder="1" applyAlignment="1" applyProtection="1">
      <alignment horizontal="center" vertical="center"/>
      <protection hidden="1"/>
    </xf>
    <xf numFmtId="0" fontId="31" fillId="0" borderId="0" xfId="366" applyBorder="1" applyAlignment="1" applyProtection="1">
      <protection hidden="1"/>
    </xf>
    <xf numFmtId="0" fontId="31" fillId="0" borderId="19" xfId="366" applyBorder="1" applyAlignment="1" applyProtection="1">
      <protection hidden="1"/>
    </xf>
    <xf numFmtId="0" fontId="54" fillId="0" borderId="0" xfId="366" applyFont="1" applyBorder="1" applyAlignment="1" applyProtection="1">
      <alignment vertical="center"/>
      <protection hidden="1"/>
    </xf>
    <xf numFmtId="0" fontId="54" fillId="0" borderId="19" xfId="366" applyFont="1" applyBorder="1" applyAlignment="1" applyProtection="1">
      <alignment vertical="center"/>
      <protection hidden="1"/>
    </xf>
    <xf numFmtId="0" fontId="123" fillId="0" borderId="18" xfId="0" applyFont="1" applyBorder="1" applyProtection="1">
      <protection hidden="1"/>
    </xf>
    <xf numFmtId="0" fontId="124" fillId="0" borderId="0" xfId="0" applyFont="1" applyBorder="1" applyProtection="1">
      <protection hidden="1"/>
    </xf>
    <xf numFmtId="0" fontId="123" fillId="0" borderId="0" xfId="0" applyFont="1" applyBorder="1" applyProtection="1">
      <protection hidden="1"/>
    </xf>
    <xf numFmtId="0" fontId="123" fillId="0" borderId="19" xfId="0" applyFont="1" applyBorder="1" applyProtection="1">
      <protection hidden="1"/>
    </xf>
    <xf numFmtId="0" fontId="98" fillId="0" borderId="10" xfId="0" applyFont="1" applyBorder="1" applyAlignment="1" applyProtection="1">
      <alignment horizontal="center" vertical="center" textRotation="90" wrapText="1"/>
      <protection hidden="1"/>
    </xf>
    <xf numFmtId="0" fontId="125" fillId="0" borderId="10" xfId="0" applyFont="1" applyBorder="1" applyAlignment="1" applyProtection="1">
      <alignment horizontal="center" vertical="center" wrapText="1"/>
      <protection hidden="1"/>
    </xf>
    <xf numFmtId="0" fontId="126" fillId="0" borderId="10" xfId="0" applyFont="1" applyBorder="1" applyAlignment="1" applyProtection="1">
      <alignment horizontal="center" vertical="center" textRotation="90" wrapText="1"/>
      <protection hidden="1"/>
    </xf>
    <xf numFmtId="49" fontId="100" fillId="0" borderId="10" xfId="0" applyNumberFormat="1" applyFont="1" applyBorder="1" applyAlignment="1" applyProtection="1">
      <alignment horizontal="center" textRotation="90" wrapText="1"/>
      <protection hidden="1"/>
    </xf>
    <xf numFmtId="1" fontId="100" fillId="0" borderId="10" xfId="0" applyNumberFormat="1" applyFont="1" applyBorder="1" applyAlignment="1" applyProtection="1">
      <alignment horizontal="center" textRotation="90" wrapText="1"/>
      <protection hidden="1"/>
    </xf>
    <xf numFmtId="0" fontId="72" fillId="0" borderId="22" xfId="333" applyFont="1" applyFill="1" applyBorder="1" applyAlignment="1" applyProtection="1">
      <alignment vertical="center" textRotation="90" wrapText="1"/>
      <protection hidden="1"/>
    </xf>
    <xf numFmtId="0" fontId="72" fillId="0" borderId="22" xfId="333" applyFont="1" applyFill="1" applyBorder="1" applyAlignment="1" applyProtection="1">
      <alignment vertical="center" wrapText="1"/>
      <protection hidden="1"/>
    </xf>
    <xf numFmtId="0" fontId="100" fillId="0" borderId="10" xfId="0" applyFont="1" applyBorder="1" applyAlignment="1" applyProtection="1">
      <alignment textRotation="90" wrapText="1"/>
      <protection hidden="1"/>
    </xf>
    <xf numFmtId="0" fontId="124" fillId="0" borderId="18" xfId="0" applyFont="1" applyBorder="1" applyProtection="1">
      <protection hidden="1"/>
    </xf>
    <xf numFmtId="0" fontId="127" fillId="0" borderId="18" xfId="0" applyFont="1" applyBorder="1" applyProtection="1">
      <protection hidden="1"/>
    </xf>
    <xf numFmtId="0" fontId="127" fillId="0" borderId="0" xfId="0" applyFont="1" applyBorder="1" applyProtection="1">
      <protection hidden="1"/>
    </xf>
    <xf numFmtId="0" fontId="128" fillId="55" borderId="10" xfId="0" applyFont="1" applyFill="1" applyBorder="1" applyAlignment="1" applyProtection="1">
      <alignment vertical="center" wrapText="1"/>
      <protection locked="0"/>
    </xf>
    <xf numFmtId="0" fontId="92" fillId="0" borderId="10" xfId="366" applyFont="1" applyBorder="1" applyAlignment="1" applyProtection="1">
      <alignment horizontal="center" vertical="center" wrapText="1"/>
      <protection hidden="1"/>
    </xf>
    <xf numFmtId="0" fontId="129" fillId="0" borderId="10" xfId="0" applyFont="1" applyBorder="1" applyAlignment="1" applyProtection="1">
      <alignment horizontal="center" vertical="center" wrapText="1"/>
      <protection hidden="1"/>
    </xf>
    <xf numFmtId="0" fontId="130" fillId="0" borderId="10" xfId="0" applyFont="1" applyBorder="1" applyAlignment="1" applyProtection="1">
      <alignment horizontal="center" vertical="center" textRotation="90" wrapText="1"/>
      <protection hidden="1"/>
    </xf>
    <xf numFmtId="0" fontId="131" fillId="0" borderId="0" xfId="0" applyFont="1" applyBorder="1" applyProtection="1">
      <protection hidden="1"/>
    </xf>
    <xf numFmtId="0" fontId="47" fillId="0" borderId="0" xfId="366" applyFont="1" applyBorder="1" applyAlignment="1" applyProtection="1">
      <alignment vertical="center" wrapText="1"/>
      <protection hidden="1"/>
    </xf>
    <xf numFmtId="0" fontId="132" fillId="0" borderId="0" xfId="0" applyFont="1" applyFill="1" applyAlignment="1" applyProtection="1">
      <alignment horizontal="right" vertical="top" wrapText="1"/>
      <protection hidden="1"/>
    </xf>
    <xf numFmtId="0" fontId="132" fillId="0" borderId="0" xfId="0" applyFont="1" applyFill="1" applyAlignment="1" applyProtection="1">
      <alignment horizontal="justify" vertical="top"/>
      <protection hidden="1"/>
    </xf>
    <xf numFmtId="0" fontId="132" fillId="0" borderId="0" xfId="0" applyFont="1" applyFill="1" applyAlignment="1" applyProtection="1">
      <alignment vertical="top" wrapText="1"/>
      <protection hidden="1"/>
    </xf>
    <xf numFmtId="0" fontId="133" fillId="0" borderId="0" xfId="0" applyFont="1" applyFill="1" applyAlignment="1" applyProtection="1">
      <alignment vertical="top" wrapText="1"/>
      <protection hidden="1"/>
    </xf>
    <xf numFmtId="0" fontId="132" fillId="0" borderId="0" xfId="0" applyFont="1" applyFill="1" applyAlignment="1" applyProtection="1">
      <alignment horizontal="justify" vertical="top" wrapText="1"/>
      <protection hidden="1"/>
    </xf>
    <xf numFmtId="0" fontId="134" fillId="0" borderId="0" xfId="0" applyFont="1" applyFill="1" applyAlignment="1" applyProtection="1">
      <alignment vertical="top" wrapText="1"/>
      <protection hidden="1"/>
    </xf>
    <xf numFmtId="0" fontId="133" fillId="0" borderId="0" xfId="0" applyFont="1" applyFill="1" applyAlignment="1" applyProtection="1">
      <alignment horizontal="center" vertical="top" wrapText="1"/>
      <protection hidden="1"/>
    </xf>
    <xf numFmtId="0" fontId="135" fillId="0" borderId="0" xfId="0" applyFont="1" applyFill="1" applyAlignment="1" applyProtection="1">
      <alignment vertical="top" wrapText="1"/>
      <protection hidden="1"/>
    </xf>
    <xf numFmtId="0" fontId="98" fillId="0" borderId="0" xfId="0" applyFont="1" applyFill="1" applyAlignment="1" applyProtection="1">
      <alignment horizontal="center" vertical="center"/>
      <protection hidden="1"/>
    </xf>
    <xf numFmtId="0" fontId="136" fillId="0" borderId="0" xfId="0" applyFont="1" applyFill="1" applyAlignment="1" applyProtection="1">
      <alignment horizontal="justify" vertical="top" wrapText="1"/>
      <protection hidden="1"/>
    </xf>
    <xf numFmtId="0" fontId="137" fillId="0" borderId="0" xfId="0" applyFont="1" applyFill="1" applyAlignment="1" applyProtection="1">
      <alignment vertical="top" wrapText="1"/>
      <protection hidden="1"/>
    </xf>
    <xf numFmtId="0" fontId="0" fillId="0" borderId="0" xfId="0" applyFill="1"/>
    <xf numFmtId="0" fontId="132" fillId="0" borderId="0" xfId="0" applyFont="1" applyFill="1" applyAlignment="1" applyProtection="1">
      <alignment horizontal="right"/>
      <protection hidden="1"/>
    </xf>
    <xf numFmtId="0" fontId="98" fillId="0" borderId="0" xfId="0" applyFont="1" applyFill="1" applyProtection="1">
      <protection hidden="1"/>
    </xf>
    <xf numFmtId="0" fontId="138" fillId="0" borderId="0" xfId="0" applyFont="1" applyFill="1" applyAlignment="1" applyProtection="1">
      <alignment horizontal="center"/>
      <protection hidden="1"/>
    </xf>
    <xf numFmtId="3" fontId="87" fillId="0" borderId="10" xfId="0" applyNumberFormat="1" applyFont="1" applyBorder="1" applyAlignment="1">
      <alignment horizontal="center" vertical="center" wrapText="1"/>
    </xf>
    <xf numFmtId="0" fontId="139" fillId="55" borderId="49" xfId="0" applyFont="1" applyFill="1" applyBorder="1" applyAlignment="1" applyProtection="1">
      <alignment vertical="center" shrinkToFit="1"/>
      <protection hidden="1"/>
    </xf>
    <xf numFmtId="0" fontId="99" fillId="53" borderId="49" xfId="0" applyFont="1" applyFill="1" applyBorder="1" applyAlignment="1" applyProtection="1">
      <alignment vertical="center" shrinkToFit="1"/>
      <protection locked="0"/>
    </xf>
    <xf numFmtId="0" fontId="99" fillId="53" borderId="49" xfId="0" applyFont="1" applyFill="1" applyBorder="1" applyAlignment="1" applyProtection="1">
      <alignment horizontal="center" vertical="center" shrinkToFit="1"/>
      <protection locked="0"/>
    </xf>
    <xf numFmtId="169" fontId="99" fillId="0" borderId="0" xfId="0" applyNumberFormat="1" applyFont="1" applyAlignment="1" applyProtection="1">
      <alignment vertical="center" shrinkToFit="1"/>
      <protection locked="0"/>
    </xf>
    <xf numFmtId="168" fontId="99" fillId="0" borderId="0" xfId="0" applyNumberFormat="1" applyFont="1" applyAlignment="1" applyProtection="1">
      <alignment vertical="center" shrinkToFit="1"/>
      <protection locked="0"/>
    </xf>
    <xf numFmtId="0" fontId="0" fillId="0" borderId="0" xfId="0" applyFill="1" applyAlignment="1">
      <alignment horizontal="center" vertical="center"/>
    </xf>
    <xf numFmtId="0" fontId="173" fillId="51" borderId="10" xfId="0" applyFont="1" applyFill="1" applyBorder="1" applyAlignment="1" applyProtection="1">
      <alignment horizontal="center" vertical="center" shrinkToFit="1"/>
      <protection locked="0"/>
    </xf>
    <xf numFmtId="0" fontId="139" fillId="55" borderId="55" xfId="0" applyFont="1" applyFill="1" applyBorder="1" applyAlignment="1" applyProtection="1">
      <alignment horizontal="center" vertical="center" shrinkToFit="1"/>
      <protection hidden="1"/>
    </xf>
    <xf numFmtId="0" fontId="139" fillId="55" borderId="56" xfId="0" applyFont="1" applyFill="1" applyBorder="1" applyAlignment="1" applyProtection="1">
      <alignment horizontal="center" vertical="center" shrinkToFit="1"/>
      <protection hidden="1"/>
    </xf>
    <xf numFmtId="0" fontId="99" fillId="53" borderId="57" xfId="0" applyFont="1" applyFill="1" applyBorder="1" applyAlignment="1" applyProtection="1">
      <alignment horizontal="center" vertical="center"/>
      <protection locked="0"/>
    </xf>
    <xf numFmtId="0" fontId="99" fillId="53" borderId="58" xfId="0" applyFont="1" applyFill="1" applyBorder="1" applyAlignment="1" applyProtection="1">
      <alignment horizontal="center" vertical="center"/>
      <protection locked="0"/>
    </xf>
    <xf numFmtId="0" fontId="139" fillId="55" borderId="59" xfId="0" applyFont="1" applyFill="1" applyBorder="1" applyAlignment="1" applyProtection="1">
      <alignment horizontal="center" vertical="center" shrinkToFit="1"/>
      <protection hidden="1"/>
    </xf>
    <xf numFmtId="0" fontId="99" fillId="53" borderId="57" xfId="0" applyFont="1" applyFill="1" applyBorder="1" applyAlignment="1" applyProtection="1">
      <alignment horizontal="center" vertical="center" shrinkToFit="1"/>
      <protection locked="0"/>
    </xf>
    <xf numFmtId="0" fontId="99" fillId="53" borderId="60" xfId="0" applyFont="1" applyFill="1" applyBorder="1" applyAlignment="1" applyProtection="1">
      <alignment horizontal="center" vertical="center" shrinkToFit="1"/>
      <protection locked="0"/>
    </xf>
    <xf numFmtId="0" fontId="99" fillId="53" borderId="58" xfId="0" applyFont="1" applyFill="1" applyBorder="1" applyAlignment="1" applyProtection="1">
      <alignment horizontal="center" vertical="center" shrinkToFit="1"/>
      <protection locked="0"/>
    </xf>
    <xf numFmtId="0" fontId="99" fillId="53" borderId="49" xfId="0" applyFont="1" applyFill="1" applyBorder="1" applyAlignment="1" applyProtection="1">
      <alignment horizontal="left" vertical="center" shrinkToFit="1"/>
      <protection locked="0"/>
    </xf>
    <xf numFmtId="0" fontId="0" fillId="51" borderId="0" xfId="0" applyFill="1" applyBorder="1" applyAlignment="1">
      <alignment horizontal="center" vertical="center"/>
    </xf>
    <xf numFmtId="0" fontId="145" fillId="57" borderId="74" xfId="0" applyFont="1" applyFill="1" applyBorder="1" applyAlignment="1" applyProtection="1">
      <alignment horizontal="left" wrapText="1"/>
      <protection hidden="1"/>
    </xf>
    <xf numFmtId="0" fontId="145" fillId="57" borderId="75" xfId="0" applyFont="1" applyFill="1" applyBorder="1" applyAlignment="1" applyProtection="1">
      <alignment horizontal="left" wrapText="1"/>
      <protection hidden="1"/>
    </xf>
    <xf numFmtId="0" fontId="0" fillId="51" borderId="76" xfId="0" applyFill="1" applyBorder="1" applyAlignment="1">
      <alignment horizontal="center" vertical="center" wrapText="1"/>
    </xf>
    <xf numFmtId="0" fontId="0" fillId="51" borderId="0" xfId="0" applyFill="1" applyBorder="1" applyAlignment="1">
      <alignment horizontal="center" vertical="center" wrapText="1"/>
    </xf>
    <xf numFmtId="0" fontId="139" fillId="55" borderId="49" xfId="0" applyFont="1" applyFill="1" applyBorder="1" applyAlignment="1" applyProtection="1">
      <alignment horizontal="center" vertical="center" shrinkToFit="1"/>
      <protection hidden="1"/>
    </xf>
    <xf numFmtId="0" fontId="119" fillId="55" borderId="10" xfId="0" applyFont="1" applyFill="1" applyBorder="1" applyAlignment="1" applyProtection="1">
      <alignment horizontal="left" vertical="center" shrinkToFit="1"/>
    </xf>
    <xf numFmtId="0" fontId="109" fillId="53" borderId="26" xfId="0" applyFont="1" applyFill="1" applyBorder="1" applyAlignment="1" applyProtection="1">
      <alignment horizontal="center" vertical="center" wrapText="1"/>
      <protection locked="0"/>
    </xf>
    <xf numFmtId="49" fontId="109" fillId="53" borderId="22" xfId="0" applyNumberFormat="1" applyFont="1" applyFill="1" applyBorder="1" applyAlignment="1" applyProtection="1">
      <alignment horizontal="left" vertical="center" wrapText="1"/>
      <protection locked="0"/>
    </xf>
    <xf numFmtId="49" fontId="109" fillId="53" borderId="26" xfId="0" applyNumberFormat="1" applyFont="1" applyFill="1" applyBorder="1" applyAlignment="1" applyProtection="1">
      <alignment horizontal="left" vertical="center" wrapText="1"/>
      <protection locked="0"/>
    </xf>
    <xf numFmtId="49" fontId="109" fillId="53" borderId="11" xfId="0" applyNumberFormat="1" applyFont="1" applyFill="1" applyBorder="1" applyAlignment="1" applyProtection="1">
      <alignment horizontal="left" vertical="center" wrapText="1"/>
      <protection locked="0"/>
    </xf>
    <xf numFmtId="0" fontId="114" fillId="0" borderId="0" xfId="0" applyFont="1" applyFill="1" applyBorder="1" applyAlignment="1" applyProtection="1">
      <alignment horizontal="left" vertical="center" shrinkToFit="1"/>
      <protection hidden="1"/>
    </xf>
    <xf numFmtId="3" fontId="109" fillId="53" borderId="10" xfId="0" applyNumberFormat="1" applyFont="1" applyFill="1" applyBorder="1" applyAlignment="1" applyProtection="1">
      <alignment horizontal="center" vertical="center" shrinkToFit="1"/>
      <protection locked="0"/>
    </xf>
    <xf numFmtId="0" fontId="119" fillId="55" borderId="10" xfId="0" applyFont="1" applyFill="1" applyBorder="1" applyAlignment="1" applyProtection="1">
      <alignment horizontal="center" vertical="center" shrinkToFit="1"/>
    </xf>
    <xf numFmtId="0" fontId="119" fillId="55" borderId="22" xfId="0" applyFont="1" applyFill="1" applyBorder="1" applyAlignment="1" applyProtection="1">
      <alignment horizontal="center" vertical="center" shrinkToFit="1"/>
      <protection hidden="1"/>
    </xf>
    <xf numFmtId="0" fontId="119" fillId="55" borderId="11" xfId="0" applyFont="1" applyFill="1" applyBorder="1" applyAlignment="1" applyProtection="1">
      <alignment horizontal="center" vertical="center" shrinkToFit="1"/>
      <protection hidden="1"/>
    </xf>
    <xf numFmtId="0" fontId="111" fillId="53" borderId="10" xfId="0" applyFont="1" applyFill="1" applyBorder="1" applyAlignment="1" applyProtection="1">
      <alignment horizontal="center" vertical="center" shrinkToFit="1"/>
      <protection locked="0"/>
    </xf>
    <xf numFmtId="0" fontId="119" fillId="55" borderId="61" xfId="0" applyFont="1" applyFill="1" applyBorder="1" applyAlignment="1" applyProtection="1">
      <alignment horizontal="center" vertical="center" shrinkToFit="1"/>
    </xf>
    <xf numFmtId="0" fontId="0" fillId="0" borderId="10" xfId="0" applyBorder="1"/>
    <xf numFmtId="0" fontId="119" fillId="55" borderId="61" xfId="0" applyFont="1" applyFill="1" applyBorder="1" applyAlignment="1" applyProtection="1">
      <alignment horizontal="center" vertical="center" shrinkToFit="1"/>
      <protection hidden="1"/>
    </xf>
    <xf numFmtId="0" fontId="119" fillId="55" borderId="10" xfId="0" applyFont="1" applyFill="1" applyBorder="1" applyAlignment="1" applyProtection="1">
      <alignment horizontal="center" vertical="center" shrinkToFit="1"/>
      <protection hidden="1"/>
    </xf>
    <xf numFmtId="0" fontId="142" fillId="56" borderId="62" xfId="0" applyFont="1" applyFill="1" applyBorder="1" applyAlignment="1" applyProtection="1">
      <alignment horizontal="center" vertical="center" shrinkToFit="1"/>
      <protection hidden="1"/>
    </xf>
    <xf numFmtId="1" fontId="119" fillId="55" borderId="10" xfId="0" applyNumberFormat="1" applyFont="1" applyFill="1" applyBorder="1" applyAlignment="1" applyProtection="1">
      <alignment horizontal="center" vertical="center"/>
    </xf>
    <xf numFmtId="0" fontId="109" fillId="53" borderId="63" xfId="0" applyFont="1" applyFill="1" applyBorder="1" applyAlignment="1" applyProtection="1">
      <alignment horizontal="center" vertical="center" shrinkToFit="1"/>
      <protection locked="0"/>
    </xf>
    <xf numFmtId="0" fontId="109" fillId="53" borderId="64" xfId="0" applyFont="1" applyFill="1" applyBorder="1" applyAlignment="1" applyProtection="1">
      <alignment horizontal="center" vertical="center" shrinkToFit="1"/>
      <protection locked="0"/>
    </xf>
    <xf numFmtId="0" fontId="109" fillId="53" borderId="65" xfId="0" applyFont="1" applyFill="1" applyBorder="1" applyAlignment="1" applyProtection="1">
      <alignment horizontal="center" vertical="center" shrinkToFit="1"/>
      <protection locked="0"/>
    </xf>
    <xf numFmtId="0" fontId="109" fillId="53" borderId="66" xfId="0" applyFont="1" applyFill="1" applyBorder="1" applyAlignment="1" applyProtection="1">
      <alignment horizontal="center" vertical="center" shrinkToFit="1"/>
      <protection locked="0"/>
    </xf>
    <xf numFmtId="0" fontId="111" fillId="53" borderId="10" xfId="0" applyFont="1" applyFill="1" applyBorder="1" applyAlignment="1" applyProtection="1">
      <alignment horizontal="left" vertical="center" shrinkToFit="1"/>
      <protection locked="0"/>
    </xf>
    <xf numFmtId="0" fontId="142" fillId="56" borderId="67" xfId="0" applyFont="1" applyFill="1" applyBorder="1" applyAlignment="1">
      <alignment horizontal="center" vertical="center" shrinkToFit="1"/>
    </xf>
    <xf numFmtId="0" fontId="142" fillId="56" borderId="21" xfId="0" applyFont="1" applyFill="1" applyBorder="1" applyAlignment="1">
      <alignment horizontal="center" vertical="center" shrinkToFit="1"/>
    </xf>
    <xf numFmtId="0" fontId="142" fillId="56" borderId="68" xfId="0" applyFont="1" applyFill="1" applyBorder="1" applyAlignment="1">
      <alignment horizontal="center" vertical="center" shrinkToFit="1"/>
    </xf>
    <xf numFmtId="0" fontId="109" fillId="53" borderId="69" xfId="0" applyFont="1" applyFill="1" applyBorder="1" applyAlignment="1" applyProtection="1">
      <alignment horizontal="center" vertical="center" shrinkToFit="1"/>
      <protection locked="0"/>
    </xf>
    <xf numFmtId="0" fontId="109" fillId="53" borderId="70" xfId="0" applyFont="1" applyFill="1" applyBorder="1" applyAlignment="1" applyProtection="1">
      <alignment horizontal="center" vertical="center" shrinkToFit="1"/>
      <protection locked="0"/>
    </xf>
    <xf numFmtId="0" fontId="109" fillId="53" borderId="71" xfId="0" applyFont="1" applyFill="1" applyBorder="1" applyAlignment="1" applyProtection="1">
      <alignment horizontal="center" vertical="center" shrinkToFit="1"/>
      <protection locked="0"/>
    </xf>
    <xf numFmtId="0" fontId="109" fillId="53" borderId="72" xfId="0" applyFont="1" applyFill="1" applyBorder="1" applyAlignment="1" applyProtection="1">
      <alignment horizontal="center" vertical="center" shrinkToFit="1"/>
      <protection locked="0"/>
    </xf>
    <xf numFmtId="3" fontId="111" fillId="53" borderId="24" xfId="0" applyNumberFormat="1" applyFont="1" applyFill="1" applyBorder="1" applyAlignment="1" applyProtection="1">
      <alignment horizontal="center" vertical="center" shrinkToFit="1"/>
      <protection locked="0"/>
    </xf>
    <xf numFmtId="3" fontId="111" fillId="53" borderId="25" xfId="0" applyNumberFormat="1" applyFont="1" applyFill="1" applyBorder="1" applyAlignment="1" applyProtection="1">
      <alignment horizontal="center" vertical="center" shrinkToFit="1"/>
      <protection locked="0"/>
    </xf>
    <xf numFmtId="0" fontId="109" fillId="53" borderId="22" xfId="0" applyFont="1" applyFill="1" applyBorder="1" applyAlignment="1" applyProtection="1">
      <alignment horizontal="center" vertical="center"/>
      <protection locked="0"/>
    </xf>
    <xf numFmtId="0" fontId="109" fillId="53" borderId="26" xfId="0" applyFont="1" applyFill="1" applyBorder="1" applyAlignment="1" applyProtection="1">
      <alignment horizontal="center" vertical="center"/>
      <protection locked="0"/>
    </xf>
    <xf numFmtId="49" fontId="111" fillId="53" borderId="14" xfId="0" applyNumberFormat="1" applyFont="1" applyFill="1" applyBorder="1" applyAlignment="1" applyProtection="1">
      <alignment horizontal="center" vertical="center" shrinkToFit="1"/>
      <protection locked="0"/>
    </xf>
    <xf numFmtId="0" fontId="111" fillId="53" borderId="14" xfId="0" applyFont="1" applyFill="1" applyBorder="1" applyAlignment="1" applyProtection="1">
      <alignment horizontal="left" vertical="center" shrinkToFit="1"/>
      <protection locked="0"/>
    </xf>
    <xf numFmtId="0" fontId="109" fillId="53" borderId="90" xfId="0" applyFont="1" applyFill="1" applyBorder="1" applyAlignment="1" applyProtection="1">
      <alignment horizontal="center" vertical="center" shrinkToFit="1"/>
      <protection locked="0"/>
    </xf>
    <xf numFmtId="0" fontId="109" fillId="53" borderId="91" xfId="0" applyFont="1" applyFill="1" applyBorder="1" applyAlignment="1" applyProtection="1">
      <alignment horizontal="center" vertical="center" shrinkToFit="1"/>
      <protection locked="0"/>
    </xf>
    <xf numFmtId="0" fontId="0" fillId="55" borderId="10" xfId="0" applyFill="1" applyBorder="1" applyAlignment="1">
      <alignment horizontal="center" vertical="center" wrapText="1"/>
    </xf>
    <xf numFmtId="49" fontId="109" fillId="53" borderId="10" xfId="0" applyNumberFormat="1" applyFont="1" applyFill="1" applyBorder="1" applyAlignment="1" applyProtection="1">
      <alignment horizontal="left" vertical="center" shrinkToFit="1"/>
      <protection locked="0"/>
    </xf>
    <xf numFmtId="49" fontId="109" fillId="53" borderId="10" xfId="0" applyNumberFormat="1" applyFont="1" applyFill="1" applyBorder="1" applyAlignment="1" applyProtection="1">
      <alignment horizontal="center" vertical="center" shrinkToFit="1"/>
      <protection locked="0"/>
    </xf>
    <xf numFmtId="49" fontId="109" fillId="53" borderId="22" xfId="0" applyNumberFormat="1" applyFont="1" applyFill="1" applyBorder="1" applyAlignment="1" applyProtection="1">
      <alignment horizontal="center" vertical="center" shrinkToFit="1"/>
      <protection locked="0"/>
    </xf>
    <xf numFmtId="0" fontId="143" fillId="55" borderId="49" xfId="0" applyFont="1" applyFill="1" applyBorder="1" applyAlignment="1" applyProtection="1">
      <alignment horizontal="center" vertical="center" shrinkToFit="1"/>
      <protection hidden="1"/>
    </xf>
    <xf numFmtId="0" fontId="144" fillId="57" borderId="73" xfId="0" applyFont="1" applyFill="1" applyBorder="1" applyAlignment="1" applyProtection="1">
      <alignment horizontal="center" vertical="center" wrapText="1"/>
      <protection hidden="1"/>
    </xf>
    <xf numFmtId="0" fontId="144" fillId="57" borderId="0" xfId="0" applyFont="1" applyFill="1" applyBorder="1" applyAlignment="1" applyProtection="1">
      <alignment horizontal="center" vertical="center" wrapText="1"/>
      <protection hidden="1"/>
    </xf>
    <xf numFmtId="0" fontId="119" fillId="55" borderId="10" xfId="0" applyFont="1" applyFill="1" applyBorder="1" applyAlignment="1" applyProtection="1">
      <alignment horizontal="center" vertical="center"/>
      <protection hidden="1"/>
    </xf>
    <xf numFmtId="0" fontId="146" fillId="58" borderId="77" xfId="0" applyFont="1" applyFill="1" applyBorder="1" applyAlignment="1">
      <alignment horizontal="left" vertical="center" wrapText="1"/>
    </xf>
    <xf numFmtId="0" fontId="146" fillId="58" borderId="78" xfId="0" applyFont="1" applyFill="1" applyBorder="1" applyAlignment="1">
      <alignment horizontal="left" vertical="center" wrapText="1"/>
    </xf>
    <xf numFmtId="0" fontId="102" fillId="56" borderId="79" xfId="0" applyFont="1" applyFill="1" applyBorder="1" applyAlignment="1">
      <alignment horizontal="left" vertical="center" shrinkToFit="1"/>
    </xf>
    <xf numFmtId="0" fontId="102" fillId="56" borderId="80" xfId="0" applyFont="1" applyFill="1" applyBorder="1" applyAlignment="1">
      <alignment horizontal="left" vertical="center" shrinkToFit="1"/>
    </xf>
    <xf numFmtId="0" fontId="102" fillId="56" borderId="81" xfId="0" applyFont="1" applyFill="1" applyBorder="1" applyAlignment="1">
      <alignment horizontal="left" vertical="center" shrinkToFit="1"/>
    </xf>
    <xf numFmtId="0" fontId="102" fillId="55" borderId="82" xfId="0" applyFont="1" applyFill="1" applyBorder="1" applyAlignment="1" applyProtection="1">
      <alignment horizontal="left" vertical="center" shrinkToFit="1"/>
      <protection hidden="1"/>
    </xf>
    <xf numFmtId="0" fontId="102" fillId="55" borderId="80" xfId="0" applyFont="1" applyFill="1" applyBorder="1" applyAlignment="1" applyProtection="1">
      <alignment horizontal="left" vertical="center" shrinkToFit="1"/>
      <protection hidden="1"/>
    </xf>
    <xf numFmtId="0" fontId="147" fillId="59" borderId="83" xfId="302" applyFont="1" applyFill="1" applyBorder="1" applyAlignment="1" applyProtection="1">
      <alignment horizontal="center" vertical="center" wrapText="1"/>
      <protection hidden="1"/>
    </xf>
    <xf numFmtId="0" fontId="147" fillId="59" borderId="84" xfId="302" applyFont="1" applyFill="1" applyBorder="1" applyAlignment="1" applyProtection="1">
      <alignment horizontal="center" vertical="center" wrapText="1"/>
      <protection hidden="1"/>
    </xf>
    <xf numFmtId="0" fontId="102" fillId="56" borderId="59" xfId="0" applyFont="1" applyFill="1" applyBorder="1" applyAlignment="1" applyProtection="1">
      <alignment horizontal="left" vertical="center"/>
      <protection hidden="1"/>
    </xf>
    <xf numFmtId="0" fontId="102" fillId="56" borderId="51" xfId="0" applyFont="1" applyFill="1" applyBorder="1" applyAlignment="1" applyProtection="1">
      <alignment horizontal="left" vertical="center"/>
      <protection hidden="1"/>
    </xf>
    <xf numFmtId="0" fontId="99" fillId="53" borderId="49" xfId="0" applyFont="1" applyFill="1" applyBorder="1" applyAlignment="1" applyProtection="1">
      <alignment horizontal="left" vertical="center"/>
      <protection locked="0"/>
    </xf>
    <xf numFmtId="0" fontId="102" fillId="56" borderId="85" xfId="0" applyFont="1" applyFill="1" applyBorder="1" applyAlignment="1" applyProtection="1">
      <alignment horizontal="center" vertical="center" shrinkToFit="1"/>
      <protection hidden="1"/>
    </xf>
    <xf numFmtId="0" fontId="102" fillId="56" borderId="86" xfId="0" applyFont="1" applyFill="1" applyBorder="1" applyAlignment="1" applyProtection="1">
      <alignment horizontal="center" vertical="center" shrinkToFit="1"/>
      <protection hidden="1"/>
    </xf>
    <xf numFmtId="0" fontId="102" fillId="56" borderId="87" xfId="0" applyFont="1" applyFill="1" applyBorder="1" applyAlignment="1" applyProtection="1">
      <alignment horizontal="center" vertical="center" shrinkToFit="1"/>
      <protection hidden="1"/>
    </xf>
    <xf numFmtId="0" fontId="109" fillId="53" borderId="10" xfId="0" applyFont="1" applyFill="1" applyBorder="1" applyAlignment="1" applyProtection="1">
      <alignment horizontal="left" vertical="center" shrinkToFit="1"/>
      <protection locked="0"/>
    </xf>
    <xf numFmtId="0" fontId="109" fillId="53" borderId="53" xfId="0" applyFont="1" applyFill="1" applyBorder="1" applyAlignment="1" applyProtection="1">
      <alignment horizontal="left" vertical="center" shrinkToFit="1"/>
      <protection locked="0"/>
    </xf>
    <xf numFmtId="0" fontId="148" fillId="53" borderId="88" xfId="0" applyFont="1" applyFill="1" applyBorder="1" applyAlignment="1" applyProtection="1">
      <alignment horizontal="left" vertical="center" shrinkToFit="1"/>
      <protection locked="0"/>
    </xf>
    <xf numFmtId="0" fontId="148" fillId="53" borderId="89" xfId="0" applyFont="1" applyFill="1" applyBorder="1" applyAlignment="1" applyProtection="1">
      <alignment horizontal="left" vertical="center" shrinkToFit="1"/>
      <protection locked="0"/>
    </xf>
    <xf numFmtId="0" fontId="148" fillId="53" borderId="51" xfId="0" applyFont="1" applyFill="1" applyBorder="1" applyAlignment="1" applyProtection="1">
      <alignment horizontal="left" vertical="center" shrinkToFit="1"/>
      <protection locked="0"/>
    </xf>
    <xf numFmtId="0" fontId="148" fillId="53" borderId="56" xfId="0" applyFont="1" applyFill="1" applyBorder="1" applyAlignment="1" applyProtection="1">
      <alignment horizontal="left" vertical="center" shrinkToFit="1"/>
      <protection locked="0"/>
    </xf>
    <xf numFmtId="0" fontId="149" fillId="55" borderId="49" xfId="0" applyFont="1" applyFill="1" applyBorder="1" applyAlignment="1" applyProtection="1">
      <alignment horizontal="center" vertical="center" shrinkToFit="1"/>
      <protection hidden="1"/>
    </xf>
    <xf numFmtId="0" fontId="150" fillId="53" borderId="36" xfId="0" applyFont="1" applyFill="1" applyBorder="1" applyAlignment="1" applyProtection="1">
      <alignment horizontal="center" vertical="center" wrapText="1"/>
      <protection locked="0"/>
    </xf>
    <xf numFmtId="0" fontId="150" fillId="53" borderId="37" xfId="0" applyFont="1" applyFill="1" applyBorder="1" applyAlignment="1" applyProtection="1">
      <alignment horizontal="center" vertical="center" wrapText="1"/>
      <protection locked="0"/>
    </xf>
    <xf numFmtId="0" fontId="111" fillId="53" borderId="12" xfId="0" applyFont="1" applyFill="1" applyBorder="1" applyAlignment="1" applyProtection="1">
      <alignment horizontal="left" vertical="center" shrinkToFit="1"/>
      <protection locked="0"/>
    </xf>
    <xf numFmtId="0" fontId="151" fillId="55" borderId="10" xfId="0" applyFont="1" applyFill="1" applyBorder="1" applyAlignment="1" applyProtection="1">
      <alignment horizontal="center" vertical="center"/>
      <protection hidden="1"/>
    </xf>
    <xf numFmtId="0" fontId="142" fillId="56" borderId="71" xfId="0" applyFont="1" applyFill="1" applyBorder="1" applyAlignment="1" applyProtection="1">
      <alignment horizontal="center" vertical="center" shrinkToFit="1"/>
      <protection hidden="1"/>
    </xf>
    <xf numFmtId="0" fontId="156" fillId="52" borderId="10" xfId="0" applyFont="1" applyFill="1" applyBorder="1" applyAlignment="1" applyProtection="1">
      <alignment horizontal="left" vertical="center" shrinkToFit="1"/>
      <protection locked="0"/>
    </xf>
    <xf numFmtId="0" fontId="141" fillId="52" borderId="10" xfId="0" applyFont="1" applyFill="1" applyBorder="1" applyAlignment="1" applyProtection="1">
      <alignment horizontal="left" vertical="center" shrinkToFit="1"/>
      <protection locked="0"/>
    </xf>
    <xf numFmtId="0" fontId="152" fillId="51" borderId="79" xfId="0" applyFont="1" applyFill="1" applyBorder="1" applyAlignment="1" applyProtection="1">
      <alignment horizontal="center" vertical="center" wrapText="1"/>
      <protection hidden="1"/>
    </xf>
    <xf numFmtId="0" fontId="152" fillId="51" borderId="80" xfId="0" applyFont="1" applyFill="1" applyBorder="1" applyAlignment="1" applyProtection="1">
      <alignment horizontal="center" vertical="center" wrapText="1"/>
      <protection hidden="1"/>
    </xf>
    <xf numFmtId="0" fontId="152" fillId="51" borderId="92" xfId="0" applyFont="1" applyFill="1" applyBorder="1" applyAlignment="1" applyProtection="1">
      <alignment horizontal="center" vertical="center" wrapText="1"/>
      <protection hidden="1"/>
    </xf>
    <xf numFmtId="0" fontId="152" fillId="51" borderId="93" xfId="0" applyFont="1" applyFill="1" applyBorder="1" applyAlignment="1" applyProtection="1">
      <alignment horizontal="center" vertical="center" wrapText="1"/>
      <protection hidden="1"/>
    </xf>
    <xf numFmtId="0" fontId="152" fillId="51" borderId="94" xfId="0" applyFont="1" applyFill="1" applyBorder="1" applyAlignment="1" applyProtection="1">
      <alignment horizontal="center" vertical="center" wrapText="1"/>
      <protection hidden="1"/>
    </xf>
    <xf numFmtId="0" fontId="152" fillId="51" borderId="95" xfId="0" applyFont="1" applyFill="1" applyBorder="1" applyAlignment="1" applyProtection="1">
      <alignment horizontal="center" vertical="center" wrapText="1"/>
      <protection hidden="1"/>
    </xf>
    <xf numFmtId="0" fontId="153" fillId="55" borderId="10" xfId="0" applyFont="1" applyFill="1" applyBorder="1" applyAlignment="1" applyProtection="1">
      <alignment horizontal="center" vertical="center" shrinkToFit="1"/>
      <protection hidden="1"/>
    </xf>
    <xf numFmtId="0" fontId="111" fillId="53" borderId="49" xfId="0" applyFont="1" applyFill="1" applyBorder="1" applyAlignment="1" applyProtection="1">
      <alignment horizontal="left" vertical="center" shrinkToFit="1"/>
      <protection locked="0"/>
    </xf>
    <xf numFmtId="0" fontId="154" fillId="52" borderId="22" xfId="0" applyFont="1" applyFill="1" applyBorder="1" applyAlignment="1" applyProtection="1">
      <alignment horizontal="left" vertical="center" shrinkToFit="1"/>
      <protection locked="0"/>
    </xf>
    <xf numFmtId="0" fontId="154" fillId="52" borderId="26" xfId="0" applyFont="1" applyFill="1" applyBorder="1" applyAlignment="1" applyProtection="1">
      <alignment horizontal="left" vertical="center" shrinkToFit="1"/>
      <protection locked="0"/>
    </xf>
    <xf numFmtId="0" fontId="154" fillId="52" borderId="11" xfId="0" applyFont="1" applyFill="1" applyBorder="1" applyAlignment="1" applyProtection="1">
      <alignment horizontal="left" vertical="center" shrinkToFit="1"/>
      <protection locked="0"/>
    </xf>
    <xf numFmtId="0" fontId="155" fillId="55" borderId="10" xfId="0" applyFont="1" applyFill="1" applyBorder="1" applyAlignment="1" applyProtection="1">
      <alignment horizontal="center" vertical="center" wrapText="1"/>
      <protection hidden="1"/>
    </xf>
    <xf numFmtId="0" fontId="110" fillId="53" borderId="10" xfId="0" applyFont="1" applyFill="1" applyBorder="1" applyAlignment="1" applyProtection="1">
      <alignment horizontal="left" vertical="center" shrinkToFit="1"/>
      <protection locked="0"/>
    </xf>
    <xf numFmtId="0" fontId="119" fillId="55" borderId="10" xfId="0" applyFont="1" applyFill="1" applyBorder="1" applyAlignment="1">
      <alignment horizontal="center" vertical="center" wrapText="1"/>
    </xf>
    <xf numFmtId="0" fontId="119" fillId="55" borderId="22" xfId="0" applyFont="1" applyFill="1" applyBorder="1" applyAlignment="1">
      <alignment horizontal="center" vertical="center" wrapText="1"/>
    </xf>
    <xf numFmtId="0" fontId="119" fillId="55" borderId="10" xfId="0" applyFont="1" applyFill="1" applyBorder="1" applyAlignment="1" applyProtection="1">
      <alignment horizontal="left" vertical="center" shrinkToFit="1"/>
      <protection hidden="1"/>
    </xf>
    <xf numFmtId="0" fontId="140" fillId="53" borderId="10" xfId="0" applyFont="1" applyFill="1" applyBorder="1" applyAlignment="1" applyProtection="1">
      <alignment horizontal="left" vertical="center" shrinkToFit="1"/>
      <protection locked="0"/>
    </xf>
    <xf numFmtId="0" fontId="119" fillId="55" borderId="96" xfId="0" applyFont="1" applyFill="1" applyBorder="1" applyAlignment="1" applyProtection="1">
      <alignment horizontal="center" vertical="center" wrapText="1" shrinkToFit="1"/>
    </xf>
    <xf numFmtId="0" fontId="119" fillId="55" borderId="97" xfId="0" applyFont="1" applyFill="1" applyBorder="1" applyAlignment="1" applyProtection="1">
      <alignment horizontal="center" vertical="center" wrapText="1" shrinkToFit="1"/>
    </xf>
    <xf numFmtId="0" fontId="109" fillId="53" borderId="97" xfId="0" applyFont="1" applyFill="1" applyBorder="1" applyAlignment="1" applyProtection="1">
      <alignment horizontal="left" vertical="center" shrinkToFit="1"/>
      <protection locked="0"/>
    </xf>
    <xf numFmtId="0" fontId="109" fillId="53" borderId="98" xfId="0" applyFont="1" applyFill="1" applyBorder="1" applyAlignment="1" applyProtection="1">
      <alignment horizontal="left" vertical="center" shrinkToFit="1"/>
      <protection locked="0"/>
    </xf>
    <xf numFmtId="0" fontId="102" fillId="55" borderId="61" xfId="0" applyFont="1" applyFill="1" applyBorder="1" applyAlignment="1" applyProtection="1">
      <alignment horizontal="left" vertical="center" shrinkToFit="1"/>
      <protection hidden="1"/>
    </xf>
    <xf numFmtId="0" fontId="102" fillId="55" borderId="10" xfId="0" applyFont="1" applyFill="1" applyBorder="1" applyAlignment="1" applyProtection="1">
      <alignment horizontal="left" vertical="center" shrinkToFit="1"/>
      <protection hidden="1"/>
    </xf>
    <xf numFmtId="0" fontId="109" fillId="53" borderId="10" xfId="0" applyFont="1" applyFill="1" applyBorder="1" applyAlignment="1" applyProtection="1">
      <alignment horizontal="center" vertical="center" shrinkToFit="1"/>
      <protection locked="0"/>
    </xf>
    <xf numFmtId="0" fontId="109" fillId="53" borderId="53" xfId="0" applyFont="1" applyFill="1" applyBorder="1" applyAlignment="1" applyProtection="1">
      <alignment horizontal="center" vertical="center" shrinkToFit="1"/>
      <protection locked="0"/>
    </xf>
    <xf numFmtId="0" fontId="96" fillId="0" borderId="0" xfId="0" applyFont="1" applyFill="1" applyBorder="1" applyAlignment="1" applyProtection="1">
      <alignment horizontal="left" vertical="center" wrapText="1"/>
      <protection hidden="1"/>
    </xf>
    <xf numFmtId="0" fontId="119" fillId="55" borderId="61" xfId="0" applyFont="1" applyFill="1" applyBorder="1" applyAlignment="1" applyProtection="1">
      <alignment horizontal="left" vertical="center" shrinkToFit="1"/>
    </xf>
    <xf numFmtId="0" fontId="102" fillId="55" borderId="61" xfId="0" applyFont="1" applyFill="1" applyBorder="1" applyAlignment="1" applyProtection="1">
      <alignment horizontal="left" vertical="center" shrinkToFit="1"/>
    </xf>
    <xf numFmtId="0" fontId="102" fillId="55" borderId="10" xfId="0" applyFont="1" applyFill="1" applyBorder="1" applyAlignment="1" applyProtection="1">
      <alignment horizontal="left" vertical="center" shrinkToFit="1"/>
    </xf>
    <xf numFmtId="49" fontId="109" fillId="53" borderId="22" xfId="0" applyNumberFormat="1" applyFont="1" applyFill="1" applyBorder="1" applyAlignment="1" applyProtection="1">
      <alignment horizontal="left" vertical="center" shrinkToFit="1"/>
      <protection locked="0"/>
    </xf>
    <xf numFmtId="49" fontId="109" fillId="53" borderId="26" xfId="0" applyNumberFormat="1" applyFont="1" applyFill="1" applyBorder="1" applyAlignment="1" applyProtection="1">
      <alignment horizontal="left" vertical="center" shrinkToFit="1"/>
      <protection locked="0"/>
    </xf>
    <xf numFmtId="49" fontId="109" fillId="53" borderId="11" xfId="0" applyNumberFormat="1" applyFont="1" applyFill="1" applyBorder="1" applyAlignment="1" applyProtection="1">
      <alignment horizontal="left" vertical="center" shrinkToFit="1"/>
      <protection locked="0"/>
    </xf>
    <xf numFmtId="0" fontId="119" fillId="55" borderId="14" xfId="0" applyFont="1" applyFill="1" applyBorder="1" applyAlignment="1" applyProtection="1">
      <alignment horizontal="center" vertical="center"/>
      <protection hidden="1"/>
    </xf>
    <xf numFmtId="0" fontId="102" fillId="55" borderId="14" xfId="0" applyFont="1" applyFill="1" applyBorder="1" applyAlignment="1">
      <alignment horizontal="center" vertical="center" shrinkToFit="1"/>
    </xf>
    <xf numFmtId="167" fontId="109" fillId="53" borderId="22" xfId="0" applyNumberFormat="1" applyFont="1" applyFill="1" applyBorder="1" applyAlignment="1" applyProtection="1">
      <alignment horizontal="left" vertical="center" wrapText="1"/>
      <protection locked="0"/>
    </xf>
    <xf numFmtId="167" fontId="109" fillId="53" borderId="26" xfId="0" applyNumberFormat="1" applyFont="1" applyFill="1" applyBorder="1" applyAlignment="1" applyProtection="1">
      <alignment horizontal="left" vertical="center" wrapText="1"/>
      <protection locked="0"/>
    </xf>
    <xf numFmtId="3" fontId="111" fillId="53" borderId="10" xfId="0" applyNumberFormat="1" applyFont="1" applyFill="1" applyBorder="1" applyAlignment="1" applyProtection="1">
      <alignment horizontal="left" vertical="center" shrinkToFit="1"/>
      <protection locked="0"/>
    </xf>
    <xf numFmtId="0" fontId="102" fillId="52" borderId="10" xfId="0" applyFont="1" applyFill="1" applyBorder="1" applyAlignment="1" applyProtection="1">
      <alignment horizontal="left" vertical="center" shrinkToFit="1"/>
    </xf>
    <xf numFmtId="0" fontId="111" fillId="53" borderId="22" xfId="0" applyFont="1" applyFill="1" applyBorder="1" applyAlignment="1" applyProtection="1">
      <alignment horizontal="center" vertical="center" wrapText="1"/>
      <protection locked="0"/>
    </xf>
    <xf numFmtId="0" fontId="111" fillId="53" borderId="26" xfId="0" applyFont="1" applyFill="1" applyBorder="1" applyAlignment="1" applyProtection="1">
      <alignment horizontal="center" vertical="center" wrapText="1"/>
      <protection locked="0"/>
    </xf>
    <xf numFmtId="0" fontId="111" fillId="53" borderId="11" xfId="0" applyFont="1" applyFill="1" applyBorder="1" applyAlignment="1" applyProtection="1">
      <alignment horizontal="center" vertical="center" wrapText="1"/>
      <protection locked="0"/>
    </xf>
    <xf numFmtId="1" fontId="109" fillId="53" borderId="99" xfId="0" applyNumberFormat="1" applyFont="1" applyFill="1" applyBorder="1" applyAlignment="1" applyProtection="1">
      <alignment horizontal="left" vertical="center"/>
      <protection locked="0"/>
    </xf>
    <xf numFmtId="1" fontId="109" fillId="53" borderId="89" xfId="0" applyNumberFormat="1" applyFont="1" applyFill="1" applyBorder="1" applyAlignment="1" applyProtection="1">
      <alignment horizontal="left" vertical="center"/>
      <protection locked="0"/>
    </xf>
    <xf numFmtId="0" fontId="139" fillId="55" borderId="59" xfId="0" applyFont="1" applyFill="1" applyBorder="1" applyAlignment="1">
      <alignment horizontal="left" vertical="center" shrinkToFit="1"/>
    </xf>
    <xf numFmtId="0" fontId="139" fillId="55" borderId="100" xfId="0" applyFont="1" applyFill="1" applyBorder="1" applyAlignment="1">
      <alignment horizontal="left" vertical="center" shrinkToFit="1"/>
    </xf>
    <xf numFmtId="0" fontId="0" fillId="55" borderId="59" xfId="0" applyFill="1" applyBorder="1" applyAlignment="1" applyProtection="1">
      <alignment horizontal="center" vertical="center" shrinkToFit="1"/>
      <protection hidden="1"/>
    </xf>
    <xf numFmtId="0" fontId="0" fillId="55" borderId="56" xfId="0" applyFill="1" applyBorder="1" applyAlignment="1" applyProtection="1">
      <alignment horizontal="center" vertical="center" shrinkToFit="1"/>
      <protection hidden="1"/>
    </xf>
    <xf numFmtId="0" fontId="119" fillId="55" borderId="101" xfId="0" applyFont="1" applyFill="1" applyBorder="1" applyAlignment="1" applyProtection="1">
      <alignment horizontal="center" vertical="center" shrinkToFit="1"/>
      <protection hidden="1"/>
    </xf>
    <xf numFmtId="0" fontId="119" fillId="55" borderId="26" xfId="0" applyFont="1" applyFill="1" applyBorder="1" applyAlignment="1" applyProtection="1">
      <alignment horizontal="center" vertical="center" shrinkToFit="1"/>
      <protection hidden="1"/>
    </xf>
    <xf numFmtId="0" fontId="109" fillId="53" borderId="10" xfId="0" applyFont="1" applyFill="1" applyBorder="1" applyAlignment="1" applyProtection="1">
      <alignment horizontal="center" vertical="center" wrapText="1"/>
      <protection locked="0"/>
    </xf>
    <xf numFmtId="0" fontId="119" fillId="55" borderId="102" xfId="0" applyFont="1" applyFill="1" applyBorder="1" applyAlignment="1" applyProtection="1">
      <alignment horizontal="left" vertical="center" shrinkToFit="1"/>
      <protection hidden="1"/>
    </xf>
    <xf numFmtId="0" fontId="119" fillId="55" borderId="14" xfId="0" applyFont="1" applyFill="1" applyBorder="1" applyAlignment="1" applyProtection="1">
      <alignment horizontal="left" vertical="center" shrinkToFit="1"/>
      <protection hidden="1"/>
    </xf>
    <xf numFmtId="49" fontId="109" fillId="53" borderId="53" xfId="0" applyNumberFormat="1" applyFont="1" applyFill="1" applyBorder="1" applyAlignment="1" applyProtection="1">
      <alignment horizontal="center" vertical="center" shrinkToFit="1"/>
      <protection locked="0"/>
    </xf>
    <xf numFmtId="0" fontId="100" fillId="0" borderId="0" xfId="0" applyFont="1" applyAlignment="1" applyProtection="1">
      <alignment horizontal="left" vertical="center" wrapText="1"/>
      <protection hidden="1"/>
    </xf>
    <xf numFmtId="0" fontId="100" fillId="0" borderId="0" xfId="0" applyFont="1" applyAlignment="1" applyProtection="1">
      <alignment horizontal="left" vertical="center" shrinkToFit="1"/>
      <protection locked="0" hidden="1"/>
    </xf>
    <xf numFmtId="0" fontId="100" fillId="0" borderId="0" xfId="0" applyFont="1" applyAlignment="1" applyProtection="1">
      <alignment horizontal="justify" vertical="center"/>
      <protection hidden="1"/>
    </xf>
    <xf numFmtId="0" fontId="160" fillId="0" borderId="0" xfId="0" applyFont="1" applyAlignment="1" applyProtection="1">
      <alignment horizontal="center" vertical="center"/>
      <protection hidden="1"/>
    </xf>
    <xf numFmtId="0" fontId="161" fillId="0" borderId="0" xfId="0" applyFont="1" applyAlignment="1" applyProtection="1">
      <alignment horizontal="center" vertical="center"/>
      <protection hidden="1"/>
    </xf>
    <xf numFmtId="0" fontId="100" fillId="0" borderId="0" xfId="0" applyFont="1" applyAlignment="1" applyProtection="1">
      <alignment horizontal="justify" vertical="top" wrapText="1"/>
      <protection hidden="1"/>
    </xf>
    <xf numFmtId="0" fontId="100" fillId="0" borderId="0" xfId="0" applyFont="1" applyAlignment="1" applyProtection="1">
      <alignment horizontal="justify" vertical="center"/>
      <protection locked="0" hidden="1"/>
    </xf>
    <xf numFmtId="0" fontId="100" fillId="0" borderId="0" xfId="0" applyFont="1" applyAlignment="1" applyProtection="1">
      <alignment horizontal="justify" vertical="center" wrapText="1"/>
      <protection hidden="1"/>
    </xf>
    <xf numFmtId="0" fontId="107" fillId="0" borderId="0" xfId="0" applyFont="1" applyFill="1" applyAlignment="1" applyProtection="1">
      <alignment horizontal="center" vertical="center" wrapText="1"/>
      <protection hidden="1"/>
    </xf>
    <xf numFmtId="0" fontId="106" fillId="0" borderId="10" xfId="0" applyFont="1" applyBorder="1" applyAlignment="1" applyProtection="1">
      <alignment horizontal="left" vertical="center" wrapText="1"/>
      <protection hidden="1"/>
    </xf>
    <xf numFmtId="0" fontId="107" fillId="0" borderId="10" xfId="0" applyFont="1" applyBorder="1" applyAlignment="1" applyProtection="1">
      <alignment horizontal="center" vertical="top"/>
      <protection hidden="1"/>
    </xf>
    <xf numFmtId="0" fontId="107" fillId="0" borderId="10" xfId="0" applyFont="1" applyBorder="1" applyAlignment="1" applyProtection="1">
      <alignment horizontal="left" vertical="center" wrapText="1"/>
      <protection hidden="1"/>
    </xf>
    <xf numFmtId="0" fontId="107" fillId="0" borderId="10" xfId="0" applyFont="1" applyBorder="1" applyAlignment="1" applyProtection="1">
      <alignment horizontal="left" vertical="top" wrapText="1"/>
      <protection hidden="1"/>
    </xf>
    <xf numFmtId="0" fontId="107" fillId="0" borderId="14" xfId="0" applyFont="1" applyBorder="1" applyAlignment="1" applyProtection="1">
      <alignment horizontal="center" vertical="center"/>
      <protection hidden="1"/>
    </xf>
    <xf numFmtId="0" fontId="107" fillId="0" borderId="12" xfId="0" applyFont="1" applyBorder="1" applyAlignment="1" applyProtection="1">
      <alignment horizontal="center" vertical="center"/>
      <protection hidden="1"/>
    </xf>
    <xf numFmtId="0" fontId="107" fillId="0" borderId="14" xfId="0" applyFont="1" applyBorder="1" applyAlignment="1" applyProtection="1">
      <alignment horizontal="center" vertical="top"/>
      <protection hidden="1"/>
    </xf>
    <xf numFmtId="0" fontId="107" fillId="0" borderId="23" xfId="0" applyFont="1" applyBorder="1" applyAlignment="1" applyProtection="1">
      <alignment horizontal="center" vertical="top"/>
      <protection hidden="1"/>
    </xf>
    <xf numFmtId="0" fontId="107" fillId="0" borderId="12" xfId="0" applyFont="1" applyBorder="1" applyAlignment="1" applyProtection="1">
      <alignment horizontal="center" vertical="top"/>
      <protection hidden="1"/>
    </xf>
    <xf numFmtId="0" fontId="107" fillId="0" borderId="23" xfId="0" applyFont="1" applyBorder="1" applyAlignment="1" applyProtection="1">
      <alignment horizontal="center" vertical="center"/>
      <protection hidden="1"/>
    </xf>
    <xf numFmtId="0" fontId="107" fillId="0" borderId="24" xfId="0" applyFont="1" applyBorder="1" applyAlignment="1" applyProtection="1">
      <alignment horizontal="left" vertical="center" wrapText="1"/>
      <protection hidden="1"/>
    </xf>
    <xf numFmtId="0" fontId="107" fillId="0" borderId="25" xfId="0" applyFont="1" applyBorder="1" applyAlignment="1" applyProtection="1">
      <alignment horizontal="left" vertical="center" wrapText="1"/>
      <protection hidden="1"/>
    </xf>
    <xf numFmtId="0" fontId="107" fillId="0" borderId="15" xfId="0" applyFont="1" applyBorder="1" applyAlignment="1" applyProtection="1">
      <alignment horizontal="left" vertical="center" wrapText="1"/>
      <protection hidden="1"/>
    </xf>
    <xf numFmtId="0" fontId="107" fillId="0" borderId="20" xfId="0" applyFont="1" applyBorder="1" applyAlignment="1" applyProtection="1">
      <alignment horizontal="left" vertical="center" wrapText="1"/>
      <protection hidden="1"/>
    </xf>
    <xf numFmtId="0" fontId="107" fillId="0" borderId="21" xfId="0" applyFont="1" applyBorder="1" applyAlignment="1" applyProtection="1">
      <alignment horizontal="left" vertical="center" wrapText="1"/>
      <protection hidden="1"/>
    </xf>
    <xf numFmtId="0" fontId="107" fillId="0" borderId="13" xfId="0" applyFont="1" applyBorder="1" applyAlignment="1" applyProtection="1">
      <alignment horizontal="left" vertical="center" wrapText="1"/>
      <protection hidden="1"/>
    </xf>
    <xf numFmtId="0" fontId="107" fillId="0" borderId="24" xfId="0" applyFont="1" applyBorder="1" applyAlignment="1" applyProtection="1">
      <alignment horizontal="left" vertical="center"/>
      <protection hidden="1"/>
    </xf>
    <xf numFmtId="0" fontId="107" fillId="0" borderId="25" xfId="0" applyFont="1" applyBorder="1" applyAlignment="1" applyProtection="1">
      <alignment horizontal="left" vertical="center"/>
      <protection hidden="1"/>
    </xf>
    <xf numFmtId="0" fontId="107" fillId="0" borderId="15" xfId="0" applyFont="1" applyBorder="1" applyAlignment="1" applyProtection="1">
      <alignment horizontal="left" vertical="center"/>
      <protection hidden="1"/>
    </xf>
    <xf numFmtId="0" fontId="107" fillId="0" borderId="18" xfId="0" applyFont="1" applyBorder="1" applyAlignment="1" applyProtection="1">
      <alignment horizontal="left" vertical="center" wrapText="1"/>
      <protection hidden="1"/>
    </xf>
    <xf numFmtId="0" fontId="107" fillId="0" borderId="0" xfId="0" applyFont="1" applyBorder="1" applyAlignment="1" applyProtection="1">
      <alignment horizontal="left" vertical="center" wrapText="1"/>
      <protection hidden="1"/>
    </xf>
    <xf numFmtId="0" fontId="107" fillId="0" borderId="19" xfId="0" applyFont="1" applyBorder="1" applyAlignment="1" applyProtection="1">
      <alignment horizontal="left" vertical="center" wrapText="1"/>
      <protection hidden="1"/>
    </xf>
    <xf numFmtId="0" fontId="107" fillId="0" borderId="10" xfId="0" applyFont="1" applyBorder="1" applyAlignment="1" applyProtection="1">
      <alignment horizontal="left" vertical="center"/>
      <protection hidden="1"/>
    </xf>
    <xf numFmtId="0" fontId="107" fillId="0" borderId="22" xfId="0" applyFont="1" applyBorder="1" applyAlignment="1" applyProtection="1">
      <alignment horizontal="left"/>
      <protection hidden="1"/>
    </xf>
    <xf numFmtId="0" fontId="107" fillId="0" borderId="26" xfId="0" applyFont="1" applyBorder="1" applyAlignment="1" applyProtection="1">
      <alignment horizontal="left"/>
      <protection hidden="1"/>
    </xf>
    <xf numFmtId="0" fontId="107" fillId="0" borderId="11" xfId="0" applyFont="1" applyBorder="1" applyAlignment="1" applyProtection="1">
      <alignment horizontal="left"/>
      <protection hidden="1"/>
    </xf>
    <xf numFmtId="0" fontId="107" fillId="0" borderId="14" xfId="0" applyFont="1" applyBorder="1" applyAlignment="1" applyProtection="1">
      <alignment horizontal="left" vertical="center"/>
      <protection hidden="1"/>
    </xf>
    <xf numFmtId="0" fontId="107" fillId="0" borderId="23" xfId="0" applyFont="1" applyBorder="1" applyAlignment="1" applyProtection="1">
      <alignment horizontal="left" vertical="center"/>
      <protection hidden="1"/>
    </xf>
    <xf numFmtId="0" fontId="107" fillId="0" borderId="20" xfId="0" applyFont="1" applyBorder="1" applyAlignment="1" applyProtection="1">
      <alignment horizontal="left" vertical="center"/>
      <protection hidden="1"/>
    </xf>
    <xf numFmtId="0" fontId="107" fillId="0" borderId="21" xfId="0" applyFont="1" applyBorder="1" applyAlignment="1" applyProtection="1">
      <alignment horizontal="left" vertical="center"/>
      <protection hidden="1"/>
    </xf>
    <xf numFmtId="0" fontId="107" fillId="0" borderId="13" xfId="0" applyFont="1" applyBorder="1" applyAlignment="1" applyProtection="1">
      <alignment horizontal="left" vertical="center"/>
      <protection hidden="1"/>
    </xf>
    <xf numFmtId="0" fontId="107" fillId="0" borderId="24" xfId="0" applyFont="1" applyBorder="1" applyAlignment="1" applyProtection="1">
      <alignment horizontal="left" vertical="center"/>
      <protection locked="0"/>
    </xf>
    <xf numFmtId="0" fontId="107" fillId="0" borderId="25" xfId="0" applyFont="1" applyBorder="1" applyAlignment="1" applyProtection="1">
      <alignment horizontal="left" vertical="center"/>
      <protection locked="0"/>
    </xf>
    <xf numFmtId="0" fontId="107" fillId="0" borderId="15" xfId="0" applyFont="1" applyBorder="1" applyAlignment="1" applyProtection="1">
      <alignment horizontal="left" vertical="center"/>
      <protection locked="0"/>
    </xf>
    <xf numFmtId="0" fontId="107" fillId="0" borderId="18" xfId="0" applyFont="1" applyBorder="1" applyAlignment="1" applyProtection="1">
      <alignment horizontal="left" vertical="center"/>
      <protection locked="0"/>
    </xf>
    <xf numFmtId="0" fontId="107" fillId="0" borderId="0" xfId="0" applyFont="1" applyBorder="1" applyAlignment="1" applyProtection="1">
      <alignment horizontal="left" vertical="center"/>
      <protection locked="0"/>
    </xf>
    <xf numFmtId="0" fontId="107" fillId="0" borderId="19" xfId="0" applyFont="1" applyBorder="1" applyAlignment="1" applyProtection="1">
      <alignment horizontal="left" vertical="center"/>
      <protection locked="0"/>
    </xf>
    <xf numFmtId="0" fontId="107" fillId="0" borderId="20" xfId="0" applyFont="1" applyBorder="1" applyAlignment="1" applyProtection="1">
      <alignment horizontal="left" vertical="center"/>
      <protection locked="0"/>
    </xf>
    <xf numFmtId="0" fontId="107" fillId="0" borderId="21" xfId="0" applyFont="1" applyBorder="1" applyAlignment="1" applyProtection="1">
      <alignment horizontal="left" vertical="center"/>
      <protection locked="0"/>
    </xf>
    <xf numFmtId="0" fontId="107" fillId="0" borderId="13" xfId="0" applyFont="1" applyBorder="1" applyAlignment="1" applyProtection="1">
      <alignment horizontal="left" vertical="center"/>
      <protection locked="0"/>
    </xf>
    <xf numFmtId="0" fontId="107" fillId="0" borderId="10" xfId="0" applyFont="1" applyBorder="1" applyAlignment="1" applyProtection="1">
      <alignment horizontal="center" vertical="center"/>
      <protection hidden="1"/>
    </xf>
    <xf numFmtId="0" fontId="107" fillId="0" borderId="22" xfId="0" applyFont="1" applyBorder="1" applyAlignment="1" applyProtection="1">
      <alignment horizontal="left" vertical="center"/>
      <protection hidden="1"/>
    </xf>
    <xf numFmtId="0" fontId="107" fillId="0" borderId="26" xfId="0" applyFont="1" applyBorder="1" applyAlignment="1" applyProtection="1">
      <alignment horizontal="left" vertical="center"/>
      <protection hidden="1"/>
    </xf>
    <xf numFmtId="0" fontId="107" fillId="0" borderId="11" xfId="0" applyFont="1" applyBorder="1" applyAlignment="1" applyProtection="1">
      <alignment horizontal="left" vertical="center"/>
      <protection hidden="1"/>
    </xf>
    <xf numFmtId="0" fontId="104" fillId="0" borderId="14" xfId="0" applyFont="1" applyBorder="1" applyAlignment="1" applyProtection="1">
      <alignment horizontal="center" vertical="center" wrapText="1"/>
      <protection hidden="1"/>
    </xf>
    <xf numFmtId="0" fontId="114" fillId="0" borderId="12" xfId="0" applyFont="1" applyBorder="1" applyAlignment="1" applyProtection="1">
      <alignment horizontal="center" vertical="center" wrapText="1"/>
      <protection hidden="1"/>
    </xf>
    <xf numFmtId="0" fontId="107" fillId="0" borderId="12" xfId="0" applyFont="1" applyBorder="1" applyAlignment="1" applyProtection="1">
      <alignment horizontal="left" vertical="center"/>
      <protection hidden="1"/>
    </xf>
    <xf numFmtId="0" fontId="106" fillId="0" borderId="22" xfId="0" applyFont="1" applyBorder="1" applyAlignment="1" applyProtection="1">
      <alignment horizontal="left" vertical="top" wrapText="1"/>
      <protection hidden="1"/>
    </xf>
    <xf numFmtId="0" fontId="106" fillId="0" borderId="26" xfId="0" applyFont="1" applyBorder="1" applyAlignment="1" applyProtection="1">
      <alignment horizontal="left" vertical="top" wrapText="1"/>
      <protection hidden="1"/>
    </xf>
    <xf numFmtId="0" fontId="106" fillId="0" borderId="11" xfId="0" applyFont="1" applyBorder="1" applyAlignment="1" applyProtection="1">
      <alignment horizontal="left" vertical="top" wrapText="1"/>
      <protection hidden="1"/>
    </xf>
    <xf numFmtId="0" fontId="107" fillId="0" borderId="22" xfId="0" applyFont="1" applyBorder="1" applyAlignment="1" applyProtection="1">
      <alignment horizontal="left" vertical="top"/>
      <protection hidden="1"/>
    </xf>
    <xf numFmtId="0" fontId="107" fillId="0" borderId="26" xfId="0" applyFont="1" applyBorder="1" applyAlignment="1" applyProtection="1">
      <alignment horizontal="left" vertical="top"/>
      <protection hidden="1"/>
    </xf>
    <xf numFmtId="0" fontId="107" fillId="0" borderId="11" xfId="0" applyFont="1" applyBorder="1" applyAlignment="1" applyProtection="1">
      <alignment horizontal="left" vertical="top"/>
      <protection hidden="1"/>
    </xf>
    <xf numFmtId="0" fontId="107" fillId="0" borderId="14" xfId="0" applyFont="1" applyBorder="1" applyAlignment="1" applyProtection="1">
      <alignment horizontal="center" vertical="top" wrapText="1"/>
      <protection hidden="1"/>
    </xf>
    <xf numFmtId="0" fontId="107" fillId="0" borderId="23" xfId="0" applyFont="1" applyBorder="1" applyAlignment="1" applyProtection="1">
      <alignment horizontal="center" vertical="top" wrapText="1"/>
      <protection hidden="1"/>
    </xf>
    <xf numFmtId="0" fontId="107" fillId="0" borderId="12" xfId="0" applyFont="1" applyBorder="1" applyAlignment="1" applyProtection="1">
      <alignment horizontal="center" vertical="top" wrapText="1"/>
      <protection hidden="1"/>
    </xf>
    <xf numFmtId="0" fontId="107" fillId="0" borderId="24" xfId="0" applyFont="1" applyBorder="1" applyAlignment="1" applyProtection="1">
      <alignment horizontal="left" vertical="top" wrapText="1"/>
      <protection hidden="1"/>
    </xf>
    <xf numFmtId="0" fontId="107" fillId="0" borderId="25" xfId="0" applyFont="1" applyBorder="1" applyAlignment="1" applyProtection="1">
      <alignment horizontal="left" vertical="top" wrapText="1"/>
      <protection hidden="1"/>
    </xf>
    <xf numFmtId="0" fontId="107" fillId="0" borderId="15" xfId="0" applyFont="1" applyBorder="1" applyAlignment="1" applyProtection="1">
      <alignment horizontal="left" vertical="top" wrapText="1"/>
      <protection hidden="1"/>
    </xf>
    <xf numFmtId="0" fontId="107" fillId="0" borderId="20" xfId="0" applyFont="1" applyBorder="1" applyAlignment="1" applyProtection="1">
      <alignment horizontal="left" vertical="top"/>
      <protection hidden="1"/>
    </xf>
    <xf numFmtId="0" fontId="107" fillId="0" borderId="21" xfId="0" applyFont="1" applyBorder="1" applyAlignment="1" applyProtection="1">
      <alignment horizontal="left" vertical="top"/>
      <protection hidden="1"/>
    </xf>
    <xf numFmtId="0" fontId="107" fillId="0" borderId="13" xfId="0" applyFont="1" applyBorder="1" applyAlignment="1" applyProtection="1">
      <alignment horizontal="left" vertical="top"/>
      <protection hidden="1"/>
    </xf>
    <xf numFmtId="0" fontId="107" fillId="0" borderId="24" xfId="0" applyFont="1" applyBorder="1" applyAlignment="1" applyProtection="1">
      <alignment horizontal="center" vertical="center" wrapText="1"/>
      <protection hidden="1"/>
    </xf>
    <xf numFmtId="0" fontId="107" fillId="0" borderId="25" xfId="0" applyFont="1" applyBorder="1" applyAlignment="1" applyProtection="1">
      <alignment horizontal="center" vertical="center" wrapText="1"/>
      <protection hidden="1"/>
    </xf>
    <xf numFmtId="0" fontId="107" fillId="0" borderId="15" xfId="0" applyFont="1" applyBorder="1" applyAlignment="1" applyProtection="1">
      <alignment horizontal="center" vertical="center" wrapText="1"/>
      <protection hidden="1"/>
    </xf>
    <xf numFmtId="0" fontId="107" fillId="0" borderId="20" xfId="0" applyFont="1" applyBorder="1" applyAlignment="1" applyProtection="1">
      <alignment horizontal="center" vertical="center" wrapText="1"/>
      <protection hidden="1"/>
    </xf>
    <xf numFmtId="0" fontId="107" fillId="0" borderId="21" xfId="0" applyFont="1" applyBorder="1" applyAlignment="1" applyProtection="1">
      <alignment horizontal="center" vertical="center" wrapText="1"/>
      <protection hidden="1"/>
    </xf>
    <xf numFmtId="0" fontId="107" fillId="0" borderId="13" xfId="0" applyFont="1" applyBorder="1" applyAlignment="1" applyProtection="1">
      <alignment horizontal="center" vertical="center" wrapText="1"/>
      <protection hidden="1"/>
    </xf>
    <xf numFmtId="0" fontId="107" fillId="0" borderId="24" xfId="0" applyFont="1" applyBorder="1" applyAlignment="1" applyProtection="1">
      <alignment horizontal="justify" vertical="top" wrapText="1"/>
      <protection hidden="1"/>
    </xf>
    <xf numFmtId="0" fontId="107" fillId="0" borderId="25" xfId="0" applyFont="1" applyBorder="1" applyAlignment="1" applyProtection="1">
      <alignment horizontal="justify" vertical="top" wrapText="1"/>
      <protection hidden="1"/>
    </xf>
    <xf numFmtId="0" fontId="107" fillId="0" borderId="15" xfId="0" applyFont="1" applyBorder="1" applyAlignment="1" applyProtection="1">
      <alignment horizontal="justify" vertical="top" wrapText="1"/>
      <protection hidden="1"/>
    </xf>
    <xf numFmtId="0" fontId="107" fillId="0" borderId="20" xfId="0" applyFont="1" applyBorder="1" applyAlignment="1" applyProtection="1">
      <alignment horizontal="justify" vertical="top" wrapText="1"/>
      <protection hidden="1"/>
    </xf>
    <xf numFmtId="0" fontId="107" fillId="0" borderId="21" xfId="0" applyFont="1" applyBorder="1" applyAlignment="1" applyProtection="1">
      <alignment horizontal="justify" vertical="top" wrapText="1"/>
      <protection hidden="1"/>
    </xf>
    <xf numFmtId="0" fontId="107" fillId="0" borderId="13" xfId="0" applyFont="1" applyBorder="1" applyAlignment="1" applyProtection="1">
      <alignment horizontal="justify" vertical="top" wrapText="1"/>
      <protection hidden="1"/>
    </xf>
    <xf numFmtId="0" fontId="106" fillId="0" borderId="24" xfId="0" applyFont="1" applyBorder="1" applyAlignment="1" applyProtection="1">
      <alignment horizontal="left" vertical="top" wrapText="1"/>
      <protection hidden="1"/>
    </xf>
    <xf numFmtId="0" fontId="106" fillId="0" borderId="25" xfId="0" applyFont="1" applyBorder="1" applyAlignment="1" applyProtection="1">
      <alignment horizontal="left" vertical="top" wrapText="1"/>
      <protection hidden="1"/>
    </xf>
    <xf numFmtId="0" fontId="106" fillId="0" borderId="15" xfId="0" applyFont="1" applyBorder="1" applyAlignment="1" applyProtection="1">
      <alignment horizontal="left" vertical="top" wrapText="1"/>
      <protection hidden="1"/>
    </xf>
    <xf numFmtId="0" fontId="106" fillId="0" borderId="20" xfId="0" applyFont="1" applyBorder="1" applyAlignment="1" applyProtection="1">
      <alignment horizontal="left" vertical="top" wrapText="1"/>
      <protection hidden="1"/>
    </xf>
    <xf numFmtId="0" fontId="106" fillId="0" borderId="21" xfId="0" applyFont="1" applyBorder="1" applyAlignment="1" applyProtection="1">
      <alignment horizontal="left" vertical="top" wrapText="1"/>
      <protection hidden="1"/>
    </xf>
    <xf numFmtId="0" fontId="106" fillId="0" borderId="13" xfId="0" applyFont="1" applyBorder="1" applyAlignment="1" applyProtection="1">
      <alignment horizontal="left" vertical="top" wrapText="1"/>
      <protection hidden="1"/>
    </xf>
    <xf numFmtId="0" fontId="107" fillId="0" borderId="18" xfId="0" applyFont="1" applyBorder="1" applyAlignment="1" applyProtection="1">
      <alignment horizontal="left" vertical="center"/>
      <protection hidden="1"/>
    </xf>
    <xf numFmtId="0" fontId="107" fillId="0" borderId="0" xfId="0" applyFont="1" applyBorder="1" applyAlignment="1" applyProtection="1">
      <alignment horizontal="left" vertical="center"/>
      <protection hidden="1"/>
    </xf>
    <xf numFmtId="0" fontId="107" fillId="0" borderId="19" xfId="0" applyFont="1" applyBorder="1" applyAlignment="1" applyProtection="1">
      <alignment horizontal="left" vertical="center"/>
      <protection hidden="1"/>
    </xf>
    <xf numFmtId="0" fontId="162" fillId="0" borderId="0" xfId="0" applyFont="1" applyBorder="1" applyAlignment="1" applyProtection="1">
      <alignment horizontal="center" vertical="center" wrapText="1"/>
      <protection hidden="1"/>
    </xf>
    <xf numFmtId="0" fontId="162" fillId="0" borderId="19" xfId="0" applyFont="1" applyBorder="1" applyAlignment="1" applyProtection="1">
      <alignment horizontal="center" vertical="center" wrapText="1"/>
      <protection hidden="1"/>
    </xf>
    <xf numFmtId="0" fontId="162" fillId="0" borderId="0" xfId="0" applyFont="1" applyBorder="1" applyAlignment="1" applyProtection="1">
      <alignment horizontal="center" vertical="top" wrapText="1"/>
      <protection hidden="1"/>
    </xf>
    <xf numFmtId="0" fontId="162" fillId="0" borderId="19" xfId="0" applyFont="1" applyBorder="1" applyAlignment="1" applyProtection="1">
      <alignment horizontal="center" vertical="top" wrapText="1"/>
      <protection hidden="1"/>
    </xf>
    <xf numFmtId="0" fontId="104" fillId="0" borderId="24" xfId="0" applyFont="1" applyBorder="1" applyAlignment="1" applyProtection="1">
      <alignment horizontal="left" vertical="center" wrapText="1"/>
      <protection hidden="1"/>
    </xf>
    <xf numFmtId="0" fontId="104" fillId="0" borderId="25" xfId="0" applyFont="1" applyBorder="1" applyAlignment="1" applyProtection="1">
      <alignment horizontal="left" vertical="center" wrapText="1"/>
      <protection hidden="1"/>
    </xf>
    <xf numFmtId="0" fontId="104" fillId="0" borderId="15" xfId="0" applyFont="1" applyBorder="1" applyAlignment="1" applyProtection="1">
      <alignment horizontal="left" vertical="center" wrapText="1"/>
      <protection hidden="1"/>
    </xf>
    <xf numFmtId="0" fontId="104" fillId="0" borderId="20" xfId="0" applyFont="1" applyBorder="1" applyAlignment="1" applyProtection="1">
      <alignment horizontal="left" vertical="center" wrapText="1"/>
      <protection hidden="1"/>
    </xf>
    <xf numFmtId="0" fontId="104" fillId="0" borderId="21" xfId="0" applyFont="1" applyBorder="1" applyAlignment="1" applyProtection="1">
      <alignment horizontal="left" vertical="center" wrapText="1"/>
      <protection hidden="1"/>
    </xf>
    <xf numFmtId="0" fontId="104" fillId="0" borderId="13" xfId="0" applyFont="1" applyBorder="1" applyAlignment="1" applyProtection="1">
      <alignment horizontal="left" vertical="center" wrapText="1"/>
      <protection hidden="1"/>
    </xf>
    <xf numFmtId="0" fontId="100" fillId="0" borderId="14" xfId="0" applyFont="1" applyBorder="1" applyAlignment="1" applyProtection="1">
      <alignment horizontal="center" vertical="top"/>
      <protection hidden="1"/>
    </xf>
    <xf numFmtId="0" fontId="100" fillId="0" borderId="23" xfId="0" applyFont="1" applyBorder="1" applyAlignment="1" applyProtection="1">
      <alignment horizontal="center" vertical="top"/>
      <protection hidden="1"/>
    </xf>
    <xf numFmtId="0" fontId="100" fillId="0" borderId="12" xfId="0" applyFont="1" applyBorder="1" applyAlignment="1" applyProtection="1">
      <alignment horizontal="center" vertical="top"/>
      <protection hidden="1"/>
    </xf>
    <xf numFmtId="0" fontId="100" fillId="0" borderId="24" xfId="0" applyFont="1" applyBorder="1" applyAlignment="1" applyProtection="1">
      <alignment horizontal="left" vertical="top"/>
      <protection hidden="1"/>
    </xf>
    <xf numFmtId="0" fontId="100" fillId="0" borderId="25" xfId="0" applyFont="1" applyBorder="1" applyAlignment="1" applyProtection="1">
      <alignment horizontal="left" vertical="top"/>
      <protection hidden="1"/>
    </xf>
    <xf numFmtId="0" fontId="100" fillId="0" borderId="15" xfId="0" applyFont="1" applyBorder="1" applyAlignment="1" applyProtection="1">
      <alignment horizontal="left" vertical="top"/>
      <protection hidden="1"/>
    </xf>
    <xf numFmtId="0" fontId="100" fillId="0" borderId="18" xfId="0" applyFont="1" applyBorder="1" applyAlignment="1" applyProtection="1">
      <alignment horizontal="left" vertical="top"/>
      <protection hidden="1"/>
    </xf>
    <xf numFmtId="0" fontId="100" fillId="0" borderId="0" xfId="0" applyFont="1" applyBorder="1" applyAlignment="1" applyProtection="1">
      <alignment horizontal="left" vertical="top"/>
      <protection hidden="1"/>
    </xf>
    <xf numFmtId="0" fontId="100" fillId="0" borderId="19" xfId="0" applyFont="1" applyBorder="1" applyAlignment="1" applyProtection="1">
      <alignment horizontal="left" vertical="top"/>
      <protection hidden="1"/>
    </xf>
    <xf numFmtId="0" fontId="100" fillId="0" borderId="20" xfId="0" applyFont="1" applyBorder="1" applyAlignment="1" applyProtection="1">
      <alignment horizontal="left" vertical="top"/>
      <protection hidden="1"/>
    </xf>
    <xf numFmtId="0" fontId="100" fillId="0" borderId="21" xfId="0" applyFont="1" applyBorder="1" applyAlignment="1" applyProtection="1">
      <alignment horizontal="left" vertical="top"/>
      <protection hidden="1"/>
    </xf>
    <xf numFmtId="0" fontId="100" fillId="0" borderId="13" xfId="0" applyFont="1" applyBorder="1" applyAlignment="1" applyProtection="1">
      <alignment horizontal="left" vertical="top"/>
      <protection hidden="1"/>
    </xf>
    <xf numFmtId="0" fontId="100" fillId="0" borderId="22" xfId="0" applyFont="1" applyBorder="1" applyAlignment="1" applyProtection="1">
      <alignment horizontal="left" vertical="top"/>
      <protection hidden="1"/>
    </xf>
    <xf numFmtId="0" fontId="100" fillId="0" borderId="26" xfId="0" applyFont="1" applyBorder="1" applyAlignment="1" applyProtection="1">
      <alignment horizontal="left" vertical="top"/>
      <protection hidden="1"/>
    </xf>
    <xf numFmtId="0" fontId="100" fillId="0" borderId="11" xfId="0" applyFont="1" applyBorder="1" applyAlignment="1" applyProtection="1">
      <alignment horizontal="left" vertical="top"/>
      <protection hidden="1"/>
    </xf>
    <xf numFmtId="0" fontId="100" fillId="0" borderId="10" xfId="0" applyFont="1" applyBorder="1" applyAlignment="1" applyProtection="1">
      <alignment horizontal="left" vertical="top" wrapText="1"/>
      <protection hidden="1"/>
    </xf>
    <xf numFmtId="0" fontId="163" fillId="0" borderId="24" xfId="0" applyFont="1" applyBorder="1" applyAlignment="1" applyProtection="1">
      <alignment horizontal="justify" vertical="top" wrapText="1"/>
      <protection hidden="1"/>
    </xf>
    <xf numFmtId="0" fontId="163" fillId="0" borderId="25" xfId="0" applyFont="1" applyBorder="1" applyAlignment="1" applyProtection="1">
      <alignment horizontal="justify" vertical="top" wrapText="1"/>
      <protection hidden="1"/>
    </xf>
    <xf numFmtId="0" fontId="163" fillId="0" borderId="15" xfId="0" applyFont="1" applyBorder="1" applyAlignment="1" applyProtection="1">
      <alignment horizontal="justify" vertical="top" wrapText="1"/>
      <protection hidden="1"/>
    </xf>
    <xf numFmtId="0" fontId="163" fillId="0" borderId="18" xfId="0" applyFont="1" applyBorder="1" applyAlignment="1" applyProtection="1">
      <alignment horizontal="justify" vertical="top" wrapText="1"/>
      <protection hidden="1"/>
    </xf>
    <xf numFmtId="0" fontId="163" fillId="0" borderId="0" xfId="0" applyFont="1" applyBorder="1" applyAlignment="1" applyProtection="1">
      <alignment horizontal="justify" vertical="top" wrapText="1"/>
      <protection hidden="1"/>
    </xf>
    <xf numFmtId="0" fontId="163" fillId="0" borderId="19" xfId="0" applyFont="1" applyBorder="1" applyAlignment="1" applyProtection="1">
      <alignment horizontal="justify" vertical="top" wrapText="1"/>
      <protection hidden="1"/>
    </xf>
    <xf numFmtId="0" fontId="163" fillId="0" borderId="20" xfId="0" applyFont="1" applyBorder="1" applyAlignment="1" applyProtection="1">
      <alignment horizontal="justify" vertical="top" wrapText="1"/>
      <protection hidden="1"/>
    </xf>
    <xf numFmtId="0" fontId="163" fillId="0" borderId="21" xfId="0" applyFont="1" applyBorder="1" applyAlignment="1" applyProtection="1">
      <alignment horizontal="justify" vertical="top" wrapText="1"/>
      <protection hidden="1"/>
    </xf>
    <xf numFmtId="0" fontId="163" fillId="0" borderId="13" xfId="0" applyFont="1" applyBorder="1" applyAlignment="1" applyProtection="1">
      <alignment horizontal="justify" vertical="top" wrapText="1"/>
      <protection hidden="1"/>
    </xf>
    <xf numFmtId="0" fontId="104" fillId="0" borderId="10" xfId="0" applyFont="1" applyBorder="1" applyAlignment="1" applyProtection="1">
      <alignment horizontal="left" vertical="center" wrapText="1"/>
      <protection hidden="1"/>
    </xf>
    <xf numFmtId="0" fontId="100" fillId="0" borderId="22" xfId="0" applyFont="1" applyBorder="1" applyAlignment="1" applyProtection="1">
      <alignment horizontal="center" vertical="center"/>
      <protection hidden="1"/>
    </xf>
    <xf numFmtId="0" fontId="100" fillId="0" borderId="26" xfId="0" applyFont="1" applyBorder="1" applyAlignment="1" applyProtection="1">
      <alignment horizontal="center" vertical="center"/>
      <protection hidden="1"/>
    </xf>
    <xf numFmtId="0" fontId="100" fillId="0" borderId="11" xfId="0" applyFont="1" applyBorder="1" applyAlignment="1" applyProtection="1">
      <alignment horizontal="center" vertical="center"/>
      <protection hidden="1"/>
    </xf>
    <xf numFmtId="0" fontId="100" fillId="0" borderId="22" xfId="0" applyFont="1" applyBorder="1" applyAlignment="1" applyProtection="1">
      <alignment horizontal="left" vertical="center" wrapText="1"/>
      <protection hidden="1"/>
    </xf>
    <xf numFmtId="0" fontId="100" fillId="0" borderId="26" xfId="0" applyFont="1" applyBorder="1" applyAlignment="1" applyProtection="1">
      <alignment horizontal="left" vertical="center" wrapText="1"/>
      <protection hidden="1"/>
    </xf>
    <xf numFmtId="0" fontId="100" fillId="0" borderId="11" xfId="0" applyFont="1" applyBorder="1" applyAlignment="1" applyProtection="1">
      <alignment horizontal="left" vertical="center" wrapText="1"/>
      <protection hidden="1"/>
    </xf>
    <xf numFmtId="0" fontId="164" fillId="0" borderId="10" xfId="0" applyFont="1" applyBorder="1" applyAlignment="1" applyProtection="1">
      <alignment horizontal="center" vertical="center"/>
      <protection hidden="1"/>
    </xf>
    <xf numFmtId="0" fontId="100" fillId="0" borderId="14" xfId="0" applyFont="1" applyBorder="1" applyAlignment="1" applyProtection="1">
      <alignment horizontal="center" vertical="center"/>
      <protection hidden="1"/>
    </xf>
    <xf numFmtId="0" fontId="100" fillId="0" borderId="12" xfId="0" applyFont="1" applyBorder="1" applyAlignment="1" applyProtection="1">
      <alignment horizontal="center" vertical="center"/>
      <protection hidden="1"/>
    </xf>
    <xf numFmtId="0" fontId="100" fillId="0" borderId="18" xfId="0" applyFont="1" applyBorder="1" applyAlignment="1" applyProtection="1">
      <alignment horizontal="justify" vertical="center" wrapText="1"/>
      <protection hidden="1"/>
    </xf>
    <xf numFmtId="0" fontId="100" fillId="0" borderId="0" xfId="0" applyFont="1" applyBorder="1" applyAlignment="1" applyProtection="1">
      <alignment horizontal="justify" vertical="center" wrapText="1"/>
      <protection hidden="1"/>
    </xf>
    <xf numFmtId="0" fontId="100" fillId="0" borderId="19" xfId="0" applyFont="1" applyBorder="1" applyAlignment="1" applyProtection="1">
      <alignment horizontal="justify" vertical="center" wrapText="1"/>
      <protection hidden="1"/>
    </xf>
    <xf numFmtId="0" fontId="165" fillId="0" borderId="18" xfId="0" applyFont="1" applyBorder="1" applyAlignment="1" applyProtection="1">
      <alignment horizontal="center" vertical="center"/>
      <protection hidden="1"/>
    </xf>
    <xf numFmtId="0" fontId="165" fillId="0" borderId="0" xfId="0" applyFont="1" applyBorder="1" applyAlignment="1" applyProtection="1">
      <alignment horizontal="center" vertical="center"/>
      <protection hidden="1"/>
    </xf>
    <xf numFmtId="0" fontId="165" fillId="0" borderId="19" xfId="0" applyFont="1" applyBorder="1" applyAlignment="1" applyProtection="1">
      <alignment horizontal="center" vertical="center"/>
      <protection hidden="1"/>
    </xf>
    <xf numFmtId="0" fontId="104" fillId="0" borderId="22" xfId="0" applyFont="1" applyBorder="1" applyAlignment="1" applyProtection="1">
      <alignment horizontal="left" vertical="top" wrapText="1"/>
      <protection hidden="1"/>
    </xf>
    <xf numFmtId="0" fontId="104" fillId="0" borderId="26" xfId="0" applyFont="1" applyBorder="1" applyAlignment="1" applyProtection="1">
      <alignment horizontal="left" vertical="top" wrapText="1"/>
      <protection hidden="1"/>
    </xf>
    <xf numFmtId="0" fontId="104" fillId="0" borderId="11" xfId="0" applyFont="1" applyBorder="1" applyAlignment="1" applyProtection="1">
      <alignment horizontal="left" vertical="top" wrapText="1"/>
      <protection hidden="1"/>
    </xf>
    <xf numFmtId="0" fontId="172" fillId="0" borderId="0" xfId="0" applyFont="1" applyAlignment="1" applyProtection="1">
      <alignment horizontal="center" vertical="center"/>
      <protection hidden="1"/>
    </xf>
    <xf numFmtId="0" fontId="106" fillId="0" borderId="0" xfId="0" applyFont="1" applyAlignment="1" applyProtection="1">
      <alignment horizontal="center" vertical="center" wrapText="1"/>
      <protection hidden="1"/>
    </xf>
    <xf numFmtId="0" fontId="165" fillId="0" borderId="0" xfId="0" applyFont="1" applyAlignment="1" applyProtection="1">
      <alignment horizontal="center" vertical="center"/>
      <protection hidden="1"/>
    </xf>
    <xf numFmtId="0" fontId="133" fillId="0" borderId="0" xfId="0" applyFont="1" applyFill="1" applyAlignment="1" applyProtection="1">
      <alignment horizontal="left" vertical="top" wrapText="1"/>
      <protection hidden="1"/>
    </xf>
    <xf numFmtId="0" fontId="166" fillId="0" borderId="0" xfId="0" applyFont="1" applyFill="1" applyAlignment="1" applyProtection="1">
      <alignment horizontal="left" vertical="top" wrapText="1"/>
      <protection hidden="1"/>
    </xf>
    <xf numFmtId="0" fontId="132" fillId="0" borderId="0" xfId="0" applyFont="1" applyFill="1" applyAlignment="1" applyProtection="1">
      <alignment horizontal="left" vertical="top" wrapText="1"/>
      <protection hidden="1"/>
    </xf>
    <xf numFmtId="0" fontId="132" fillId="0" borderId="0" xfId="0" applyFont="1" applyFill="1" applyAlignment="1" applyProtection="1">
      <alignment horizontal="center"/>
      <protection hidden="1"/>
    </xf>
    <xf numFmtId="0" fontId="167" fillId="0" borderId="0" xfId="0" applyFont="1" applyFill="1" applyAlignment="1" applyProtection="1">
      <alignment horizontal="center"/>
      <protection hidden="1"/>
    </xf>
    <xf numFmtId="0" fontId="136" fillId="0" borderId="0" xfId="0" applyFont="1" applyFill="1" applyAlignment="1" applyProtection="1">
      <alignment horizontal="left" vertical="top" wrapText="1"/>
      <protection hidden="1"/>
    </xf>
    <xf numFmtId="0" fontId="168" fillId="0" borderId="0" xfId="0" applyFont="1" applyFill="1" applyAlignment="1" applyProtection="1">
      <alignment horizontal="center"/>
      <protection hidden="1"/>
    </xf>
    <xf numFmtId="0" fontId="132" fillId="0" borderId="0" xfId="0" applyFont="1" applyFill="1" applyProtection="1">
      <protection hidden="1"/>
    </xf>
    <xf numFmtId="0" fontId="132" fillId="0" borderId="0" xfId="0" applyFont="1" applyFill="1" applyAlignment="1" applyProtection="1">
      <alignment horizontal="justify" vertical="top" wrapText="1"/>
      <protection hidden="1"/>
    </xf>
    <xf numFmtId="0" fontId="98" fillId="0" borderId="0" xfId="0" applyFont="1" applyFill="1" applyAlignment="1" applyProtection="1">
      <alignment horizontal="center"/>
      <protection hidden="1"/>
    </xf>
    <xf numFmtId="0" fontId="138" fillId="0" borderId="0" xfId="0" applyFont="1" applyFill="1" applyAlignment="1" applyProtection="1">
      <alignment horizontal="center"/>
      <protection hidden="1"/>
    </xf>
    <xf numFmtId="0" fontId="132" fillId="0" borderId="0" xfId="0" applyFont="1" applyFill="1" applyAlignment="1" applyProtection="1">
      <alignment horizontal="right" vertical="top" wrapText="1"/>
      <protection hidden="1"/>
    </xf>
    <xf numFmtId="0" fontId="132" fillId="0" borderId="0" xfId="0" applyFont="1" applyFill="1" applyAlignment="1" applyProtection="1">
      <alignment vertical="top" wrapText="1"/>
      <protection hidden="1"/>
    </xf>
    <xf numFmtId="0" fontId="133" fillId="0" borderId="0" xfId="0" applyFont="1" applyFill="1" applyAlignment="1" applyProtection="1">
      <alignment vertical="top" wrapText="1"/>
      <protection hidden="1"/>
    </xf>
    <xf numFmtId="0" fontId="166" fillId="0" borderId="0" xfId="0" applyFont="1" applyFill="1" applyAlignment="1" applyProtection="1">
      <alignment vertical="top" wrapText="1"/>
      <protection hidden="1"/>
    </xf>
    <xf numFmtId="0" fontId="169" fillId="0" borderId="0" xfId="0" applyFont="1" applyFill="1" applyAlignment="1" applyProtection="1">
      <alignment horizontal="center" vertical="center" wrapText="1"/>
      <protection hidden="1"/>
    </xf>
    <xf numFmtId="0" fontId="170" fillId="0" borderId="0" xfId="0" applyFont="1" applyFill="1" applyAlignment="1" applyProtection="1">
      <alignment horizontal="center" vertical="center" wrapText="1"/>
      <protection hidden="1"/>
    </xf>
    <xf numFmtId="0" fontId="171" fillId="0" borderId="0" xfId="0" applyFont="1" applyFill="1" applyAlignment="1" applyProtection="1">
      <alignment horizontal="center" vertical="center" wrapText="1"/>
      <protection hidden="1"/>
    </xf>
    <xf numFmtId="0" fontId="133" fillId="0" borderId="0" xfId="0" applyFont="1" applyFill="1" applyAlignment="1" applyProtection="1">
      <alignment horizontal="center" vertical="top" wrapText="1"/>
      <protection hidden="1"/>
    </xf>
    <xf numFmtId="0" fontId="86" fillId="0" borderId="0" xfId="0" applyFont="1" applyAlignment="1">
      <alignment horizontal="center" vertical="center" wrapText="1"/>
    </xf>
    <xf numFmtId="0" fontId="157" fillId="60" borderId="38" xfId="0" applyFont="1" applyFill="1" applyBorder="1" applyAlignment="1">
      <alignment horizontal="center" vertical="center"/>
    </xf>
    <xf numFmtId="0" fontId="157" fillId="60" borderId="39" xfId="0" applyFont="1" applyFill="1" applyBorder="1" applyAlignment="1">
      <alignment horizontal="center" vertical="center"/>
    </xf>
    <xf numFmtId="0" fontId="157" fillId="60" borderId="40" xfId="0" applyFont="1" applyFill="1" applyBorder="1" applyAlignment="1">
      <alignment horizontal="center" vertical="center"/>
    </xf>
    <xf numFmtId="0" fontId="0" fillId="0" borderId="0" xfId="0" applyBorder="1" applyAlignment="1" applyProtection="1">
      <alignment horizontal="center"/>
      <protection hidden="1"/>
    </xf>
    <xf numFmtId="0" fontId="47" fillId="0" borderId="22" xfId="366" applyFont="1" applyBorder="1" applyAlignment="1" applyProtection="1">
      <alignment horizontal="center"/>
      <protection hidden="1"/>
    </xf>
    <xf numFmtId="0" fontId="47" fillId="0" borderId="26" xfId="366" applyFont="1" applyBorder="1" applyAlignment="1" applyProtection="1">
      <alignment horizontal="center"/>
      <protection hidden="1"/>
    </xf>
    <xf numFmtId="0" fontId="47" fillId="0" borderId="11" xfId="366" applyFont="1" applyBorder="1" applyAlignment="1" applyProtection="1">
      <alignment horizontal="center"/>
      <protection hidden="1"/>
    </xf>
    <xf numFmtId="0" fontId="47" fillId="0" borderId="0" xfId="366" applyFont="1" applyBorder="1" applyAlignment="1" applyProtection="1">
      <alignment horizontal="left" vertical="center"/>
      <protection hidden="1"/>
    </xf>
    <xf numFmtId="0" fontId="123" fillId="0" borderId="0" xfId="0" applyFont="1" applyBorder="1" applyAlignment="1" applyProtection="1">
      <alignment horizontal="left" vertical="top" wrapText="1"/>
      <protection locked="0"/>
    </xf>
    <xf numFmtId="0" fontId="123" fillId="0" borderId="19" xfId="0" applyFont="1" applyBorder="1" applyAlignment="1" applyProtection="1">
      <alignment horizontal="left" vertical="top" wrapText="1"/>
      <protection locked="0"/>
    </xf>
    <xf numFmtId="0" fontId="115" fillId="0" borderId="41" xfId="0" applyFont="1" applyBorder="1" applyAlignment="1">
      <alignment horizontal="left" wrapText="1"/>
    </xf>
    <xf numFmtId="0" fontId="123" fillId="0" borderId="0" xfId="0" applyFont="1" applyBorder="1" applyAlignment="1" applyProtection="1">
      <alignment horizontal="justify" vertical="center" wrapText="1"/>
      <protection hidden="1"/>
    </xf>
    <xf numFmtId="0" fontId="123" fillId="0" borderId="19" xfId="0" applyFont="1" applyBorder="1" applyAlignment="1" applyProtection="1">
      <alignment horizontal="justify" vertical="center" wrapText="1"/>
      <protection hidden="1"/>
    </xf>
    <xf numFmtId="0" fontId="98" fillId="0" borderId="10" xfId="0" applyFont="1" applyBorder="1" applyAlignment="1" applyProtection="1">
      <alignment horizontal="center" vertical="center" wrapText="1"/>
      <protection hidden="1"/>
    </xf>
    <xf numFmtId="0" fontId="158" fillId="0" borderId="18" xfId="0" applyFont="1" applyBorder="1" applyAlignment="1" applyProtection="1">
      <alignment horizontal="center" vertical="center" shrinkToFit="1"/>
      <protection hidden="1"/>
    </xf>
    <xf numFmtId="0" fontId="158" fillId="0" borderId="0" xfId="0" applyFont="1" applyBorder="1" applyAlignment="1" applyProtection="1">
      <alignment horizontal="center" vertical="center" shrinkToFit="1"/>
      <protection hidden="1"/>
    </xf>
    <xf numFmtId="0" fontId="158" fillId="0" borderId="19" xfId="0" applyFont="1" applyBorder="1" applyAlignment="1" applyProtection="1">
      <alignment horizontal="center" vertical="center" shrinkToFit="1"/>
      <protection hidden="1"/>
    </xf>
    <xf numFmtId="0" fontId="61" fillId="0" borderId="0" xfId="333" applyFont="1" applyBorder="1" applyAlignment="1" applyProtection="1">
      <alignment horizontal="center" vertical="center"/>
      <protection hidden="1"/>
    </xf>
    <xf numFmtId="0" fontId="63" fillId="0" borderId="42" xfId="333" applyFont="1" applyBorder="1" applyAlignment="1" applyProtection="1">
      <alignment horizontal="center" vertical="center"/>
      <protection hidden="1"/>
    </xf>
    <xf numFmtId="0" fontId="63" fillId="0" borderId="43" xfId="333" applyFont="1" applyBorder="1" applyAlignment="1" applyProtection="1">
      <alignment horizontal="center" vertical="center"/>
      <protection hidden="1"/>
    </xf>
    <xf numFmtId="0" fontId="63" fillId="0" borderId="44" xfId="333" applyFont="1" applyBorder="1" applyAlignment="1" applyProtection="1">
      <alignment horizontal="center" vertical="center"/>
      <protection hidden="1"/>
    </xf>
    <xf numFmtId="0" fontId="64" fillId="0" borderId="17" xfId="333" applyFont="1" applyBorder="1" applyAlignment="1" applyProtection="1">
      <alignment horizontal="center" vertical="center"/>
      <protection hidden="1"/>
    </xf>
    <xf numFmtId="0" fontId="64" fillId="0" borderId="0" xfId="333" applyFont="1" applyBorder="1" applyAlignment="1" applyProtection="1">
      <alignment horizontal="center" vertical="center"/>
      <protection hidden="1"/>
    </xf>
    <xf numFmtId="0" fontId="64" fillId="0" borderId="16" xfId="333" applyFont="1" applyBorder="1" applyAlignment="1" applyProtection="1">
      <alignment horizontal="center" vertical="center"/>
      <protection hidden="1"/>
    </xf>
    <xf numFmtId="0" fontId="50" fillId="0" borderId="22" xfId="333" applyFont="1" applyBorder="1" applyAlignment="1" applyProtection="1">
      <alignment horizontal="left" vertical="center"/>
      <protection hidden="1"/>
    </xf>
    <xf numFmtId="0" fontId="50" fillId="0" borderId="26" xfId="333" applyFont="1" applyBorder="1" applyAlignment="1" applyProtection="1">
      <alignment horizontal="left" vertical="center"/>
      <protection hidden="1"/>
    </xf>
    <xf numFmtId="0" fontId="50" fillId="0" borderId="11" xfId="333" applyFont="1" applyBorder="1" applyAlignment="1" applyProtection="1">
      <alignment horizontal="left" vertical="center"/>
      <protection hidden="1"/>
    </xf>
    <xf numFmtId="0" fontId="126" fillId="0" borderId="10" xfId="0" applyFont="1" applyBorder="1" applyAlignment="1" applyProtection="1">
      <alignment horizontal="center" vertical="center" wrapText="1"/>
      <protection hidden="1"/>
    </xf>
    <xf numFmtId="0" fontId="100" fillId="0" borderId="10" xfId="0" applyFont="1" applyBorder="1" applyAlignment="1" applyProtection="1">
      <alignment horizontal="center" textRotation="90" wrapText="1"/>
      <protection hidden="1"/>
    </xf>
    <xf numFmtId="0" fontId="72" fillId="0" borderId="10" xfId="333" applyFont="1" applyFill="1" applyBorder="1" applyAlignment="1" applyProtection="1">
      <alignment horizontal="center" vertical="center" wrapText="1"/>
      <protection hidden="1"/>
    </xf>
    <xf numFmtId="49" fontId="72" fillId="0" borderId="10" xfId="333" applyNumberFormat="1" applyFont="1" applyFill="1" applyBorder="1" applyAlignment="1" applyProtection="1">
      <alignment horizontal="center" vertical="center" wrapText="1"/>
      <protection hidden="1"/>
    </xf>
    <xf numFmtId="2" fontId="125" fillId="0" borderId="10" xfId="0" applyNumberFormat="1" applyFont="1" applyBorder="1" applyAlignment="1" applyProtection="1">
      <alignment horizontal="center" textRotation="90" wrapText="1"/>
      <protection hidden="1"/>
    </xf>
    <xf numFmtId="0" fontId="54" fillId="0" borderId="18" xfId="366" applyFont="1" applyBorder="1" applyAlignment="1" applyProtection="1">
      <alignment vertical="center" wrapText="1"/>
      <protection hidden="1"/>
    </xf>
    <xf numFmtId="0" fontId="54" fillId="0" borderId="0" xfId="366" applyFont="1" applyBorder="1" applyAlignment="1" applyProtection="1">
      <alignment vertical="center" wrapText="1"/>
      <protection hidden="1"/>
    </xf>
    <xf numFmtId="0" fontId="54" fillId="0" borderId="19" xfId="366" applyFont="1" applyBorder="1" applyAlignment="1" applyProtection="1">
      <alignment vertical="center" wrapText="1"/>
      <protection hidden="1"/>
    </xf>
    <xf numFmtId="1" fontId="49" fillId="0" borderId="22" xfId="366" applyNumberFormat="1" applyFont="1" applyBorder="1" applyAlignment="1" applyProtection="1">
      <alignment horizontal="left" vertical="center"/>
      <protection hidden="1"/>
    </xf>
    <xf numFmtId="1" fontId="49" fillId="0" borderId="26" xfId="366" applyNumberFormat="1" applyFont="1" applyBorder="1" applyAlignment="1" applyProtection="1">
      <alignment horizontal="left" vertical="center"/>
      <protection hidden="1"/>
    </xf>
    <xf numFmtId="1" fontId="49" fillId="0" borderId="11" xfId="366" applyNumberFormat="1" applyFont="1" applyBorder="1" applyAlignment="1" applyProtection="1">
      <alignment horizontal="left" vertical="center"/>
      <protection hidden="1"/>
    </xf>
    <xf numFmtId="0" fontId="113" fillId="0" borderId="18" xfId="0" applyFont="1" applyBorder="1" applyAlignment="1" applyProtection="1">
      <alignment horizontal="center" vertical="center" shrinkToFit="1"/>
      <protection hidden="1"/>
    </xf>
    <xf numFmtId="0" fontId="113" fillId="0" borderId="0" xfId="0" applyFont="1" applyBorder="1" applyAlignment="1" applyProtection="1">
      <alignment horizontal="center" vertical="center" shrinkToFit="1"/>
      <protection hidden="1"/>
    </xf>
    <xf numFmtId="0" fontId="54" fillId="0" borderId="18" xfId="366" applyFont="1" applyBorder="1" applyAlignment="1" applyProtection="1">
      <alignment horizontal="center" vertical="center" wrapText="1"/>
      <protection hidden="1"/>
    </xf>
    <xf numFmtId="0" fontId="54" fillId="0" borderId="0" xfId="366" applyFont="1" applyBorder="1" applyAlignment="1" applyProtection="1">
      <alignment horizontal="center" vertical="center" wrapText="1"/>
      <protection hidden="1"/>
    </xf>
    <xf numFmtId="0" fontId="54" fillId="0" borderId="19" xfId="366" applyFont="1" applyBorder="1" applyAlignment="1" applyProtection="1">
      <alignment horizontal="center" vertical="center" wrapText="1"/>
      <protection hidden="1"/>
    </xf>
    <xf numFmtId="0" fontId="53" fillId="0" borderId="0" xfId="366" applyFont="1" applyBorder="1" applyAlignment="1" applyProtection="1">
      <alignment vertical="center" wrapText="1"/>
      <protection hidden="1"/>
    </xf>
    <xf numFmtId="0" fontId="53" fillId="0" borderId="19" xfId="366" applyFont="1" applyBorder="1" applyAlignment="1" applyProtection="1">
      <alignment vertical="center" wrapText="1"/>
      <protection hidden="1"/>
    </xf>
    <xf numFmtId="0" fontId="55" fillId="0" borderId="10" xfId="366" applyFont="1" applyBorder="1" applyAlignment="1" applyProtection="1">
      <alignment horizontal="center" vertical="center" wrapText="1"/>
      <protection hidden="1"/>
    </xf>
    <xf numFmtId="0" fontId="92" fillId="0" borderId="10" xfId="366" applyFont="1" applyBorder="1" applyAlignment="1" applyProtection="1">
      <alignment horizontal="center" vertical="center" wrapText="1"/>
      <protection hidden="1"/>
    </xf>
    <xf numFmtId="0" fontId="67" fillId="0" borderId="0" xfId="333" applyFont="1" applyFill="1" applyBorder="1" applyAlignment="1" applyProtection="1">
      <alignment horizontal="center" vertical="center"/>
      <protection hidden="1"/>
    </xf>
    <xf numFmtId="0" fontId="51" fillId="0" borderId="18" xfId="366" applyFont="1" applyBorder="1" applyAlignment="1" applyProtection="1">
      <alignment horizontal="left" vertical="center" wrapText="1"/>
      <protection hidden="1"/>
    </xf>
    <xf numFmtId="0" fontId="51" fillId="0" borderId="0" xfId="366" applyFont="1" applyBorder="1" applyAlignment="1" applyProtection="1">
      <alignment horizontal="left" vertical="center" wrapText="1"/>
      <protection hidden="1"/>
    </xf>
    <xf numFmtId="0" fontId="51" fillId="0" borderId="19" xfId="366" applyFont="1" applyBorder="1" applyAlignment="1" applyProtection="1">
      <alignment horizontal="left" vertical="center" wrapText="1"/>
      <protection hidden="1"/>
    </xf>
    <xf numFmtId="49" fontId="50" fillId="0" borderId="10" xfId="366" applyNumberFormat="1" applyFont="1" applyBorder="1" applyAlignment="1" applyProtection="1">
      <alignment horizontal="center" vertical="center" wrapText="1"/>
      <protection hidden="1"/>
    </xf>
    <xf numFmtId="1" fontId="47" fillId="0" borderId="24" xfId="366" applyNumberFormat="1" applyFont="1" applyBorder="1" applyAlignment="1" applyProtection="1">
      <alignment horizontal="left" vertical="center" shrinkToFit="1"/>
      <protection hidden="1"/>
    </xf>
    <xf numFmtId="1" fontId="47" fillId="0" borderId="25" xfId="366" applyNumberFormat="1" applyFont="1" applyBorder="1" applyAlignment="1" applyProtection="1">
      <alignment horizontal="left" vertical="center" shrinkToFit="1"/>
      <protection hidden="1"/>
    </xf>
    <xf numFmtId="1" fontId="47" fillId="0" borderId="15" xfId="366" applyNumberFormat="1" applyFont="1" applyBorder="1" applyAlignment="1" applyProtection="1">
      <alignment horizontal="left" vertical="center" shrinkToFit="1"/>
      <protection hidden="1"/>
    </xf>
    <xf numFmtId="1" fontId="47" fillId="0" borderId="20" xfId="366" applyNumberFormat="1" applyFont="1" applyBorder="1" applyAlignment="1" applyProtection="1">
      <alignment horizontal="left" vertical="center" shrinkToFit="1"/>
      <protection hidden="1"/>
    </xf>
    <xf numFmtId="1" fontId="47" fillId="0" borderId="21" xfId="366" applyNumberFormat="1" applyFont="1" applyBorder="1" applyAlignment="1" applyProtection="1">
      <alignment horizontal="left" vertical="center" shrinkToFit="1"/>
      <protection hidden="1"/>
    </xf>
    <xf numFmtId="1" fontId="47" fillId="0" borderId="13" xfId="366" applyNumberFormat="1" applyFont="1" applyBorder="1" applyAlignment="1" applyProtection="1">
      <alignment horizontal="left" vertical="center" shrinkToFit="1"/>
      <protection hidden="1"/>
    </xf>
    <xf numFmtId="0" fontId="53" fillId="0" borderId="0" xfId="366" applyFont="1" applyBorder="1" applyAlignment="1" applyProtection="1">
      <alignment horizontal="left" vertical="center"/>
      <protection hidden="1"/>
    </xf>
    <xf numFmtId="0" fontId="50" fillId="0" borderId="0" xfId="333" applyFont="1" applyBorder="1" applyAlignment="1" applyProtection="1">
      <alignment horizontal="center" vertical="center"/>
      <protection hidden="1"/>
    </xf>
    <xf numFmtId="0" fontId="49" fillId="0" borderId="24" xfId="333" applyFont="1" applyBorder="1" applyAlignment="1" applyProtection="1">
      <alignment horizontal="center" vertical="center"/>
      <protection hidden="1"/>
    </xf>
    <xf numFmtId="0" fontId="49" fillId="0" borderId="20" xfId="333" applyFont="1" applyBorder="1" applyAlignment="1" applyProtection="1">
      <alignment horizontal="center" vertical="center"/>
      <protection hidden="1"/>
    </xf>
    <xf numFmtId="0" fontId="49" fillId="0" borderId="14" xfId="333" applyFont="1" applyBorder="1" applyAlignment="1" applyProtection="1">
      <alignment horizontal="center" vertical="center"/>
      <protection hidden="1"/>
    </xf>
    <xf numFmtId="0" fontId="49" fillId="0" borderId="12" xfId="333" applyFont="1" applyBorder="1" applyAlignment="1" applyProtection="1">
      <alignment horizontal="center" vertical="center"/>
      <protection hidden="1"/>
    </xf>
    <xf numFmtId="0" fontId="49" fillId="0" borderId="10" xfId="333" applyFont="1" applyBorder="1" applyAlignment="1" applyProtection="1">
      <alignment horizontal="center" vertical="center"/>
      <protection hidden="1"/>
    </xf>
    <xf numFmtId="0" fontId="51" fillId="0" borderId="17" xfId="333" applyFont="1" applyBorder="1" applyAlignment="1" applyProtection="1">
      <alignment horizontal="left" vertical="center" shrinkToFit="1"/>
      <protection hidden="1"/>
    </xf>
    <xf numFmtId="0" fontId="51" fillId="0" borderId="0" xfId="333" applyFont="1" applyBorder="1" applyAlignment="1" applyProtection="1">
      <alignment horizontal="left" vertical="center" shrinkToFit="1"/>
      <protection hidden="1"/>
    </xf>
    <xf numFmtId="0" fontId="51" fillId="0" borderId="16" xfId="333" applyFont="1" applyBorder="1" applyAlignment="1" applyProtection="1">
      <alignment horizontal="left" vertical="center" shrinkToFit="1"/>
      <protection hidden="1"/>
    </xf>
    <xf numFmtId="0" fontId="58" fillId="0" borderId="18" xfId="0" applyFont="1" applyBorder="1" applyAlignment="1" applyProtection="1">
      <alignment horizontal="center" vertical="center"/>
      <protection hidden="1"/>
    </xf>
    <xf numFmtId="0" fontId="58" fillId="0" borderId="0" xfId="0" applyFont="1" applyBorder="1" applyAlignment="1" applyProtection="1">
      <alignment horizontal="center" vertical="center"/>
      <protection hidden="1"/>
    </xf>
    <xf numFmtId="0" fontId="58" fillId="0" borderId="19" xfId="0" applyFont="1" applyBorder="1" applyAlignment="1" applyProtection="1">
      <alignment horizontal="center" vertical="center"/>
      <protection hidden="1"/>
    </xf>
    <xf numFmtId="0" fontId="58" fillId="0" borderId="18" xfId="0" applyFont="1" applyBorder="1" applyAlignment="1" applyProtection="1">
      <alignment horizontal="left" vertical="center"/>
      <protection hidden="1"/>
    </xf>
    <xf numFmtId="0" fontId="58" fillId="0" borderId="0" xfId="0" applyFont="1" applyBorder="1" applyAlignment="1" applyProtection="1">
      <alignment horizontal="left" vertical="center"/>
      <protection hidden="1"/>
    </xf>
    <xf numFmtId="0" fontId="58" fillId="0" borderId="19" xfId="0" applyFont="1" applyBorder="1" applyAlignment="1" applyProtection="1">
      <alignment horizontal="left" vertical="center"/>
      <protection hidden="1"/>
    </xf>
    <xf numFmtId="0" fontId="50" fillId="0" borderId="17" xfId="0" applyFont="1" applyBorder="1" applyAlignment="1" applyProtection="1">
      <alignment horizontal="center" vertical="center"/>
      <protection hidden="1"/>
    </xf>
    <xf numFmtId="0" fontId="50" fillId="0" borderId="0" xfId="0" applyFont="1" applyBorder="1" applyAlignment="1" applyProtection="1">
      <alignment horizontal="center" vertical="center"/>
      <protection hidden="1"/>
    </xf>
    <xf numFmtId="0" fontId="50" fillId="0" borderId="16" xfId="0" applyFont="1" applyBorder="1" applyAlignment="1" applyProtection="1">
      <alignment horizontal="center" vertical="center"/>
      <protection hidden="1"/>
    </xf>
    <xf numFmtId="0" fontId="73" fillId="0" borderId="0" xfId="333" applyFont="1" applyFill="1" applyBorder="1" applyAlignment="1" applyProtection="1">
      <alignment horizontal="center" vertical="center" wrapText="1"/>
      <protection hidden="1"/>
    </xf>
    <xf numFmtId="0" fontId="50" fillId="0" borderId="17" xfId="333" applyFont="1" applyBorder="1" applyAlignment="1" applyProtection="1">
      <alignment horizontal="center" vertical="center"/>
      <protection hidden="1"/>
    </xf>
    <xf numFmtId="0" fontId="49" fillId="0" borderId="45" xfId="333" applyFont="1" applyBorder="1" applyAlignment="1" applyProtection="1">
      <alignment horizontal="center" vertical="center"/>
      <protection hidden="1"/>
    </xf>
    <xf numFmtId="0" fontId="67" fillId="0" borderId="0" xfId="0" applyFont="1" applyAlignment="1" applyProtection="1">
      <alignment horizontal="center" vertical="center" wrapText="1"/>
      <protection hidden="1"/>
    </xf>
    <xf numFmtId="0" fontId="73" fillId="0" borderId="22" xfId="0" applyFont="1" applyBorder="1" applyAlignment="1" applyProtection="1">
      <alignment horizontal="center" vertical="center"/>
      <protection hidden="1"/>
    </xf>
    <xf numFmtId="0" fontId="73" fillId="0" borderId="11" xfId="0" applyFont="1" applyBorder="1" applyAlignment="1" applyProtection="1">
      <alignment horizontal="center" vertical="center"/>
      <protection hidden="1"/>
    </xf>
    <xf numFmtId="0" fontId="72" fillId="0" borderId="22" xfId="0" applyFont="1" applyBorder="1" applyAlignment="1" applyProtection="1">
      <alignment horizontal="center" vertical="center"/>
      <protection hidden="1"/>
    </xf>
    <xf numFmtId="0" fontId="72" fillId="0" borderId="26" xfId="0" applyFont="1" applyBorder="1" applyAlignment="1" applyProtection="1">
      <alignment horizontal="center" vertical="center"/>
      <protection hidden="1"/>
    </xf>
    <xf numFmtId="0" fontId="72" fillId="0" borderId="11" xfId="0" applyFont="1" applyBorder="1" applyAlignment="1" applyProtection="1">
      <alignment horizontal="center" vertical="center"/>
      <protection hidden="1"/>
    </xf>
    <xf numFmtId="0" fontId="72" fillId="0" borderId="10" xfId="0" applyFont="1" applyBorder="1" applyAlignment="1" applyProtection="1">
      <alignment horizontal="center" vertical="center"/>
      <protection hidden="1"/>
    </xf>
    <xf numFmtId="1" fontId="70" fillId="0" borderId="0" xfId="0" applyNumberFormat="1" applyFont="1" applyAlignment="1" applyProtection="1">
      <alignment horizontal="center" vertical="top" wrapText="1"/>
      <protection hidden="1"/>
    </xf>
    <xf numFmtId="0" fontId="71" fillId="0" borderId="0" xfId="333" applyFont="1" applyFill="1" applyBorder="1" applyAlignment="1" applyProtection="1">
      <alignment horizontal="center" vertical="center"/>
      <protection hidden="1"/>
    </xf>
    <xf numFmtId="0" fontId="78" fillId="0" borderId="0" xfId="333" applyFont="1" applyFill="1" applyBorder="1" applyAlignment="1" applyProtection="1">
      <alignment horizontal="center" vertical="center" wrapText="1"/>
      <protection hidden="1"/>
    </xf>
    <xf numFmtId="0" fontId="68" fillId="0" borderId="0" xfId="333" applyFont="1" applyFill="1" applyAlignment="1" applyProtection="1">
      <alignment horizontal="center" vertical="center" wrapText="1"/>
      <protection hidden="1"/>
    </xf>
    <xf numFmtId="0" fontId="74" fillId="0" borderId="10" xfId="0" applyFont="1" applyBorder="1" applyAlignment="1" applyProtection="1">
      <alignment horizontal="center" vertical="center"/>
      <protection hidden="1"/>
    </xf>
    <xf numFmtId="2" fontId="72" fillId="0" borderId="24" xfId="0" applyNumberFormat="1" applyFont="1" applyBorder="1" applyAlignment="1" applyProtection="1">
      <alignment horizontal="center" vertical="center" shrinkToFit="1"/>
      <protection hidden="1"/>
    </xf>
    <xf numFmtId="2" fontId="72" fillId="0" borderId="25" xfId="0" applyNumberFormat="1" applyFont="1" applyBorder="1" applyAlignment="1" applyProtection="1">
      <alignment horizontal="center" vertical="center" shrinkToFit="1"/>
      <protection hidden="1"/>
    </xf>
    <xf numFmtId="2" fontId="72" fillId="0" borderId="15" xfId="0" applyNumberFormat="1" applyFont="1" applyBorder="1" applyAlignment="1" applyProtection="1">
      <alignment horizontal="center" vertical="center" shrinkToFit="1"/>
      <protection hidden="1"/>
    </xf>
    <xf numFmtId="2" fontId="72" fillId="0" borderId="20" xfId="0" applyNumberFormat="1" applyFont="1" applyBorder="1" applyAlignment="1" applyProtection="1">
      <alignment horizontal="center" vertical="center" shrinkToFit="1"/>
      <protection hidden="1"/>
    </xf>
    <xf numFmtId="2" fontId="72" fillId="0" borderId="21" xfId="0" applyNumberFormat="1" applyFont="1" applyBorder="1" applyAlignment="1" applyProtection="1">
      <alignment horizontal="center" vertical="center" shrinkToFit="1"/>
      <protection hidden="1"/>
    </xf>
    <xf numFmtId="2" fontId="72" fillId="0" borderId="13" xfId="0" applyNumberFormat="1" applyFont="1" applyBorder="1" applyAlignment="1" applyProtection="1">
      <alignment horizontal="center" vertical="center" shrinkToFit="1"/>
      <protection hidden="1"/>
    </xf>
    <xf numFmtId="164" fontId="83" fillId="0" borderId="10" xfId="0" applyNumberFormat="1" applyFont="1" applyBorder="1" applyAlignment="1" applyProtection="1">
      <alignment horizontal="center" vertical="center" shrinkToFit="1"/>
      <protection hidden="1"/>
    </xf>
    <xf numFmtId="1" fontId="82" fillId="0" borderId="24" xfId="0" applyNumberFormat="1" applyFont="1" applyBorder="1" applyAlignment="1" applyProtection="1">
      <alignment horizontal="center" vertical="center" wrapText="1"/>
      <protection hidden="1"/>
    </xf>
    <xf numFmtId="1" fontId="82" fillId="0" borderId="25" xfId="0" applyNumberFormat="1" applyFont="1" applyBorder="1" applyAlignment="1" applyProtection="1">
      <alignment horizontal="center" vertical="center" wrapText="1"/>
      <protection hidden="1"/>
    </xf>
    <xf numFmtId="1" fontId="82" fillId="0" borderId="15" xfId="0" applyNumberFormat="1" applyFont="1" applyBorder="1" applyAlignment="1" applyProtection="1">
      <alignment horizontal="center" vertical="center" wrapText="1"/>
      <protection hidden="1"/>
    </xf>
    <xf numFmtId="1" fontId="82" fillId="0" borderId="20" xfId="0" applyNumberFormat="1" applyFont="1" applyBorder="1" applyAlignment="1" applyProtection="1">
      <alignment horizontal="center" vertical="center" wrapText="1"/>
      <protection hidden="1"/>
    </xf>
    <xf numFmtId="1" fontId="82" fillId="0" borderId="21" xfId="0" applyNumberFormat="1" applyFont="1" applyBorder="1" applyAlignment="1" applyProtection="1">
      <alignment horizontal="center" vertical="center" wrapText="1"/>
      <protection hidden="1"/>
    </xf>
    <xf numFmtId="1" fontId="82" fillId="0" borderId="13" xfId="0" applyNumberFormat="1" applyFont="1" applyBorder="1" applyAlignment="1" applyProtection="1">
      <alignment horizontal="center" vertical="center" wrapText="1"/>
      <protection hidden="1"/>
    </xf>
    <xf numFmtId="0" fontId="74" fillId="0" borderId="22" xfId="0" applyFont="1" applyBorder="1" applyAlignment="1" applyProtection="1">
      <alignment horizontal="center" vertical="center"/>
      <protection hidden="1"/>
    </xf>
    <xf numFmtId="0" fontId="74" fillId="0" borderId="26" xfId="0" applyFont="1" applyBorder="1" applyAlignment="1" applyProtection="1">
      <alignment horizontal="center" vertical="center"/>
      <protection hidden="1"/>
    </xf>
    <xf numFmtId="0" fontId="74" fillId="0" borderId="11" xfId="0" applyFont="1" applyBorder="1" applyAlignment="1" applyProtection="1">
      <alignment horizontal="center" vertical="center"/>
      <protection hidden="1"/>
    </xf>
    <xf numFmtId="164" fontId="83" fillId="0" borderId="10" xfId="0" applyNumberFormat="1" applyFont="1" applyBorder="1" applyAlignment="1" applyProtection="1">
      <alignment horizontal="center" vertical="center"/>
      <protection hidden="1"/>
    </xf>
    <xf numFmtId="1" fontId="72" fillId="0" borderId="0" xfId="0" applyNumberFormat="1" applyFont="1" applyAlignment="1" applyProtection="1">
      <alignment horizontal="center" vertical="center" wrapText="1"/>
      <protection hidden="1"/>
    </xf>
    <xf numFmtId="0" fontId="84" fillId="0" borderId="0" xfId="0" applyFont="1" applyFill="1" applyAlignment="1" applyProtection="1">
      <alignment horizontal="center" vertical="center"/>
      <protection hidden="1"/>
    </xf>
    <xf numFmtId="0" fontId="60" fillId="0" borderId="0" xfId="0" applyFont="1" applyFill="1" applyAlignment="1" applyProtection="1">
      <alignment horizontal="center" vertical="center"/>
      <protection hidden="1"/>
    </xf>
    <xf numFmtId="0" fontId="81" fillId="0" borderId="0" xfId="0" applyFont="1" applyFill="1" applyAlignment="1" applyProtection="1">
      <alignment horizontal="left" vertical="center" wrapText="1"/>
      <protection hidden="1"/>
    </xf>
    <xf numFmtId="0" fontId="60" fillId="0" borderId="0" xfId="0" applyFont="1" applyFill="1" applyAlignment="1" applyProtection="1">
      <alignment horizontal="left" vertical="center"/>
      <protection hidden="1"/>
    </xf>
    <xf numFmtId="0" fontId="85" fillId="0" borderId="10" xfId="0" applyFont="1" applyFill="1" applyBorder="1" applyAlignment="1" applyProtection="1">
      <alignment horizontal="center" vertical="center"/>
      <protection hidden="1"/>
    </xf>
    <xf numFmtId="0" fontId="60" fillId="0" borderId="10" xfId="0" applyFont="1" applyFill="1" applyBorder="1" applyAlignment="1" applyProtection="1">
      <alignment horizontal="center" vertical="center"/>
      <protection hidden="1"/>
    </xf>
    <xf numFmtId="0" fontId="41" fillId="0" borderId="10" xfId="0" applyFont="1" applyFill="1" applyBorder="1" applyAlignment="1" applyProtection="1">
      <alignment horizontal="center" vertical="center" wrapText="1"/>
      <protection hidden="1"/>
    </xf>
    <xf numFmtId="0" fontId="67" fillId="0" borderId="10" xfId="0" applyFont="1" applyFill="1" applyBorder="1" applyAlignment="1" applyProtection="1">
      <alignment horizontal="center" vertical="center"/>
      <protection hidden="1"/>
    </xf>
    <xf numFmtId="0" fontId="60" fillId="0" borderId="10" xfId="0" applyFont="1" applyFill="1" applyBorder="1" applyAlignment="1" applyProtection="1">
      <alignment horizontal="center" vertical="center" wrapText="1"/>
      <protection hidden="1"/>
    </xf>
    <xf numFmtId="0" fontId="67" fillId="0" borderId="22" xfId="0" applyFont="1" applyFill="1" applyBorder="1" applyAlignment="1" applyProtection="1">
      <alignment horizontal="center" vertical="center"/>
      <protection hidden="1"/>
    </xf>
    <xf numFmtId="0" fontId="67" fillId="0" borderId="26" xfId="0" applyFont="1" applyFill="1" applyBorder="1" applyAlignment="1" applyProtection="1">
      <alignment horizontal="center" vertical="center"/>
      <protection hidden="1"/>
    </xf>
    <xf numFmtId="0" fontId="67" fillId="0" borderId="11" xfId="0" applyFont="1" applyFill="1" applyBorder="1" applyAlignment="1" applyProtection="1">
      <alignment horizontal="center" vertical="center"/>
      <protection hidden="1"/>
    </xf>
    <xf numFmtId="164" fontId="67" fillId="0" borderId="10" xfId="0" applyNumberFormat="1" applyFont="1" applyFill="1" applyBorder="1" applyAlignment="1" applyProtection="1">
      <alignment horizontal="center" vertical="center"/>
      <protection hidden="1"/>
    </xf>
    <xf numFmtId="1" fontId="81" fillId="0" borderId="0" xfId="0" applyNumberFormat="1" applyFont="1" applyFill="1" applyBorder="1" applyAlignment="1" applyProtection="1">
      <alignment horizontal="center" vertical="center" wrapText="1"/>
      <protection hidden="1"/>
    </xf>
    <xf numFmtId="0" fontId="41" fillId="0" borderId="10" xfId="0" applyFont="1" applyFill="1" applyBorder="1" applyAlignment="1" applyProtection="1">
      <alignment horizontal="center" vertical="center"/>
      <protection hidden="1"/>
    </xf>
    <xf numFmtId="1" fontId="41" fillId="0" borderId="10" xfId="0" applyNumberFormat="1" applyFont="1" applyFill="1" applyBorder="1" applyAlignment="1" applyProtection="1">
      <alignment horizontal="center" vertical="center" wrapText="1"/>
      <protection hidden="1"/>
    </xf>
    <xf numFmtId="0" fontId="50" fillId="0" borderId="20" xfId="333" applyFont="1" applyBorder="1" applyAlignment="1" applyProtection="1">
      <alignment horizontal="left" vertical="center"/>
      <protection hidden="1"/>
    </xf>
    <xf numFmtId="0" fontId="50" fillId="0" borderId="21" xfId="333" applyFont="1" applyBorder="1" applyAlignment="1" applyProtection="1">
      <alignment horizontal="left" vertical="center"/>
      <protection hidden="1"/>
    </xf>
    <xf numFmtId="0" fontId="50" fillId="0" borderId="46" xfId="333" applyFont="1" applyBorder="1" applyAlignment="1" applyProtection="1">
      <alignment horizontal="left" vertical="center"/>
      <protection hidden="1"/>
    </xf>
    <xf numFmtId="2" fontId="50" fillId="0" borderId="10" xfId="333" applyNumberFormat="1" applyFont="1" applyBorder="1" applyAlignment="1" applyProtection="1">
      <alignment horizontal="center" vertical="center" shrinkToFit="1"/>
      <protection hidden="1"/>
    </xf>
    <xf numFmtId="0" fontId="25" fillId="0" borderId="42" xfId="0" applyFont="1" applyBorder="1" applyAlignment="1" applyProtection="1">
      <alignment horizontal="center" vertical="center"/>
      <protection hidden="1"/>
    </xf>
    <xf numFmtId="0" fontId="25" fillId="0" borderId="43" xfId="0" applyFont="1" applyBorder="1" applyAlignment="1" applyProtection="1">
      <alignment horizontal="center" vertical="center"/>
      <protection hidden="1"/>
    </xf>
    <xf numFmtId="0" fontId="25" fillId="0" borderId="44" xfId="0" applyFont="1" applyBorder="1" applyAlignment="1" applyProtection="1">
      <alignment horizontal="center" vertical="center"/>
      <protection hidden="1"/>
    </xf>
    <xf numFmtId="0" fontId="50" fillId="0" borderId="17" xfId="0" applyFont="1" applyBorder="1" applyAlignment="1" applyProtection="1">
      <alignment horizontal="left" vertical="center" wrapText="1"/>
      <protection hidden="1"/>
    </xf>
    <xf numFmtId="0" fontId="50" fillId="0" borderId="0" xfId="0" applyFont="1" applyBorder="1" applyAlignment="1" applyProtection="1">
      <alignment horizontal="left" vertical="center" wrapText="1"/>
      <protection hidden="1"/>
    </xf>
    <xf numFmtId="0" fontId="50" fillId="0" borderId="16" xfId="0" applyFont="1" applyBorder="1" applyAlignment="1" applyProtection="1">
      <alignment horizontal="left" vertical="center" wrapText="1"/>
      <protection hidden="1"/>
    </xf>
    <xf numFmtId="0" fontId="0" fillId="0" borderId="10" xfId="0" applyBorder="1" applyAlignment="1" applyProtection="1">
      <alignment horizontal="center"/>
      <protection hidden="1"/>
    </xf>
    <xf numFmtId="0" fontId="50" fillId="0" borderId="22" xfId="333" applyFont="1" applyBorder="1" applyAlignment="1" applyProtection="1">
      <alignment horizontal="center" vertical="center"/>
      <protection hidden="1"/>
    </xf>
    <xf numFmtId="0" fontId="50" fillId="0" borderId="11" xfId="333" applyFont="1" applyBorder="1" applyAlignment="1" applyProtection="1">
      <alignment horizontal="center" vertical="center"/>
      <protection hidden="1"/>
    </xf>
    <xf numFmtId="0" fontId="50" fillId="0" borderId="0" xfId="333" applyFont="1" applyBorder="1" applyAlignment="1" applyProtection="1">
      <alignment horizontal="left" vertical="center" shrinkToFit="1"/>
      <protection hidden="1"/>
    </xf>
    <xf numFmtId="0" fontId="50" fillId="0" borderId="16" xfId="333" applyFont="1" applyBorder="1" applyAlignment="1" applyProtection="1">
      <alignment horizontal="left" vertical="center" shrinkToFit="1"/>
      <protection hidden="1"/>
    </xf>
    <xf numFmtId="0" fontId="66" fillId="0" borderId="0" xfId="333" applyFont="1" applyBorder="1" applyAlignment="1" applyProtection="1">
      <alignment horizontal="left" vertical="center" shrinkToFit="1"/>
      <protection hidden="1"/>
    </xf>
    <xf numFmtId="0" fontId="66" fillId="0" borderId="16" xfId="333" applyFont="1" applyBorder="1" applyAlignment="1" applyProtection="1">
      <alignment horizontal="left" vertical="center" shrinkToFit="1"/>
      <protection hidden="1"/>
    </xf>
    <xf numFmtId="3" fontId="50" fillId="0" borderId="22" xfId="333" applyNumberFormat="1" applyFont="1" applyBorder="1" applyAlignment="1" applyProtection="1">
      <alignment horizontal="left" vertical="center"/>
      <protection hidden="1"/>
    </xf>
    <xf numFmtId="0" fontId="50" fillId="0" borderId="24" xfId="333" applyFont="1" applyBorder="1" applyAlignment="1" applyProtection="1">
      <alignment horizontal="left" vertical="center"/>
      <protection hidden="1"/>
    </xf>
    <xf numFmtId="0" fontId="50" fillId="0" borderId="25" xfId="333" applyFont="1" applyBorder="1" applyAlignment="1" applyProtection="1">
      <alignment horizontal="left" vertical="center"/>
      <protection hidden="1"/>
    </xf>
    <xf numFmtId="0" fontId="50" fillId="0" borderId="31" xfId="333" applyFont="1" applyBorder="1" applyAlignment="1" applyProtection="1">
      <alignment horizontal="left" vertical="center"/>
      <protection hidden="1"/>
    </xf>
    <xf numFmtId="0" fontId="50" fillId="0" borderId="18" xfId="333" applyFont="1" applyBorder="1" applyAlignment="1" applyProtection="1">
      <alignment horizontal="left" vertical="center"/>
      <protection hidden="1"/>
    </xf>
    <xf numFmtId="0" fontId="50" fillId="0" borderId="0" xfId="333" applyFont="1" applyBorder="1" applyAlignment="1" applyProtection="1">
      <alignment horizontal="left" vertical="center"/>
      <protection hidden="1"/>
    </xf>
    <xf numFmtId="0" fontId="50" fillId="0" borderId="16" xfId="333" applyFont="1" applyBorder="1" applyAlignment="1" applyProtection="1">
      <alignment horizontal="left" vertical="center"/>
      <protection hidden="1"/>
    </xf>
    <xf numFmtId="1" fontId="50" fillId="0" borderId="22" xfId="333" applyNumberFormat="1" applyFont="1" applyBorder="1" applyAlignment="1" applyProtection="1">
      <alignment horizontal="center" vertical="center"/>
      <protection hidden="1"/>
    </xf>
    <xf numFmtId="1" fontId="50" fillId="0" borderId="26" xfId="333" applyNumberFormat="1" applyFont="1" applyBorder="1" applyAlignment="1" applyProtection="1">
      <alignment horizontal="center" vertical="center"/>
      <protection hidden="1"/>
    </xf>
    <xf numFmtId="1" fontId="50" fillId="0" borderId="11" xfId="333" applyNumberFormat="1" applyFont="1" applyBorder="1" applyAlignment="1" applyProtection="1">
      <alignment horizontal="center" vertical="center"/>
      <protection hidden="1"/>
    </xf>
    <xf numFmtId="0" fontId="50" fillId="0" borderId="10" xfId="333" applyFont="1" applyBorder="1" applyAlignment="1" applyProtection="1">
      <alignment horizontal="center" vertical="center"/>
      <protection hidden="1"/>
    </xf>
    <xf numFmtId="1" fontId="50" fillId="0" borderId="22" xfId="333" applyNumberFormat="1" applyFont="1" applyBorder="1" applyAlignment="1" applyProtection="1">
      <alignment horizontal="left" vertical="center"/>
      <protection hidden="1"/>
    </xf>
    <xf numFmtId="1" fontId="50" fillId="0" borderId="26" xfId="333" applyNumberFormat="1" applyFont="1" applyBorder="1" applyAlignment="1" applyProtection="1">
      <alignment horizontal="left" vertical="center"/>
      <protection hidden="1"/>
    </xf>
    <xf numFmtId="1" fontId="50" fillId="0" borderId="11" xfId="333" applyNumberFormat="1" applyFont="1" applyBorder="1" applyAlignment="1" applyProtection="1">
      <alignment horizontal="left" vertical="center"/>
      <protection hidden="1"/>
    </xf>
    <xf numFmtId="0" fontId="49" fillId="0" borderId="25" xfId="366" applyFont="1" applyBorder="1" applyAlignment="1" applyProtection="1">
      <alignment horizontal="right"/>
      <protection hidden="1"/>
    </xf>
    <xf numFmtId="0" fontId="49" fillId="0" borderId="15" xfId="366" applyFont="1" applyBorder="1" applyAlignment="1" applyProtection="1">
      <alignment horizontal="right"/>
      <protection hidden="1"/>
    </xf>
    <xf numFmtId="0" fontId="159" fillId="0" borderId="24" xfId="0" applyFont="1" applyBorder="1" applyAlignment="1" applyProtection="1">
      <alignment horizontal="left" vertical="center" shrinkToFit="1"/>
      <protection hidden="1"/>
    </xf>
    <xf numFmtId="0" fontId="159" fillId="0" borderId="25" xfId="0" applyFont="1" applyBorder="1" applyAlignment="1" applyProtection="1">
      <alignment horizontal="left" vertical="center" shrinkToFit="1"/>
      <protection hidden="1"/>
    </xf>
    <xf numFmtId="0" fontId="159" fillId="0" borderId="15" xfId="0" applyFont="1" applyBorder="1" applyAlignment="1" applyProtection="1">
      <alignment horizontal="left" vertical="center" shrinkToFit="1"/>
      <protection hidden="1"/>
    </xf>
    <xf numFmtId="0" fontId="90" fillId="0" borderId="18" xfId="366" applyFont="1" applyBorder="1" applyAlignment="1" applyProtection="1">
      <alignment horizontal="center" vertical="center"/>
      <protection hidden="1"/>
    </xf>
    <xf numFmtId="0" fontId="90" fillId="0" borderId="0" xfId="366" applyFont="1" applyBorder="1" applyAlignment="1" applyProtection="1">
      <alignment horizontal="center" vertical="center"/>
      <protection hidden="1"/>
    </xf>
    <xf numFmtId="0" fontId="47" fillId="0" borderId="21" xfId="366" applyFont="1" applyBorder="1" applyAlignment="1" applyProtection="1">
      <alignment horizontal="center" vertical="center" wrapText="1"/>
      <protection hidden="1"/>
    </xf>
    <xf numFmtId="1" fontId="50" fillId="0" borderId="10" xfId="366" applyNumberFormat="1" applyFont="1" applyBorder="1" applyAlignment="1" applyProtection="1">
      <alignment horizontal="center" vertical="center" shrinkToFit="1"/>
      <protection hidden="1"/>
    </xf>
    <xf numFmtId="3" fontId="50" fillId="0" borderId="22" xfId="366" applyNumberFormat="1" applyFont="1" applyBorder="1" applyAlignment="1" applyProtection="1">
      <alignment horizontal="center" vertical="center" shrinkToFit="1"/>
      <protection hidden="1"/>
    </xf>
    <xf numFmtId="3" fontId="50" fillId="0" borderId="11" xfId="366" applyNumberFormat="1" applyFont="1" applyBorder="1" applyAlignment="1" applyProtection="1">
      <alignment horizontal="center" vertical="center" shrinkToFit="1"/>
      <protection hidden="1"/>
    </xf>
    <xf numFmtId="0" fontId="47" fillId="0" borderId="18" xfId="366" applyFont="1" applyBorder="1" applyAlignment="1" applyProtection="1">
      <alignment horizontal="center" vertical="center" shrinkToFit="1"/>
      <protection hidden="1"/>
    </xf>
    <xf numFmtId="0" fontId="47" fillId="0" borderId="0" xfId="366" applyFont="1" applyBorder="1" applyAlignment="1" applyProtection="1">
      <alignment horizontal="center" vertical="center" shrinkToFit="1"/>
      <protection hidden="1"/>
    </xf>
    <xf numFmtId="0" fontId="47" fillId="0" borderId="19" xfId="366" applyFont="1" applyBorder="1" applyAlignment="1" applyProtection="1">
      <alignment horizontal="center" vertical="center" shrinkToFit="1"/>
      <protection hidden="1"/>
    </xf>
    <xf numFmtId="0" fontId="47" fillId="0" borderId="0" xfId="366" applyFont="1" applyBorder="1" applyAlignment="1" applyProtection="1">
      <alignment horizontal="left" vertical="center" wrapText="1"/>
      <protection hidden="1"/>
    </xf>
    <xf numFmtId="0" fontId="50" fillId="0" borderId="10" xfId="366" applyFont="1" applyBorder="1" applyAlignment="1" applyProtection="1">
      <alignment horizontal="center" vertical="center" wrapText="1"/>
      <protection hidden="1"/>
    </xf>
    <xf numFmtId="0" fontId="31" fillId="0" borderId="18" xfId="366" applyBorder="1" applyAlignment="1" applyProtection="1">
      <alignment horizontal="center" vertical="center" wrapText="1"/>
      <protection hidden="1"/>
    </xf>
    <xf numFmtId="0" fontId="31" fillId="0" borderId="0" xfId="366" applyBorder="1" applyAlignment="1" applyProtection="1">
      <alignment horizontal="center" vertical="center" wrapText="1"/>
      <protection hidden="1"/>
    </xf>
    <xf numFmtId="0" fontId="31" fillId="0" borderId="19" xfId="366" applyBorder="1" applyAlignment="1" applyProtection="1">
      <alignment horizontal="center" vertical="center" wrapText="1"/>
      <protection hidden="1"/>
    </xf>
    <xf numFmtId="0" fontId="55" fillId="0" borderId="18" xfId="366" applyFont="1" applyBorder="1" applyAlignment="1" applyProtection="1">
      <alignment horizontal="left" vertical="center" wrapText="1"/>
      <protection hidden="1"/>
    </xf>
    <xf numFmtId="0" fontId="55" fillId="0" borderId="0" xfId="366" applyFont="1" applyBorder="1" applyAlignment="1" applyProtection="1">
      <alignment horizontal="left" vertical="center" wrapText="1"/>
      <protection hidden="1"/>
    </xf>
    <xf numFmtId="0" fontId="55" fillId="0" borderId="19" xfId="366" applyFont="1" applyBorder="1" applyAlignment="1" applyProtection="1">
      <alignment horizontal="left" vertical="center" wrapText="1"/>
      <protection hidden="1"/>
    </xf>
    <xf numFmtId="0" fontId="47" fillId="0" borderId="22" xfId="366" applyFont="1" applyBorder="1" applyAlignment="1" applyProtection="1">
      <alignment horizontal="center" vertical="center" wrapText="1" shrinkToFit="1"/>
      <protection hidden="1"/>
    </xf>
    <xf numFmtId="0" fontId="47" fillId="0" borderId="26" xfId="366" applyFont="1" applyBorder="1" applyAlignment="1" applyProtection="1">
      <alignment horizontal="center" vertical="center" wrapText="1" shrinkToFit="1"/>
      <protection hidden="1"/>
    </xf>
    <xf numFmtId="0" fontId="47" fillId="0" borderId="11" xfId="366" applyFont="1" applyBorder="1" applyAlignment="1" applyProtection="1">
      <alignment horizontal="center" vertical="center" wrapText="1" shrinkToFit="1"/>
      <protection hidden="1"/>
    </xf>
    <xf numFmtId="0" fontId="47" fillId="0" borderId="10" xfId="366" applyFont="1" applyBorder="1" applyAlignment="1" applyProtection="1">
      <alignment horizontal="center" vertical="center" shrinkToFit="1"/>
      <protection hidden="1"/>
    </xf>
    <xf numFmtId="0" fontId="31" fillId="0" borderId="18" xfId="366" applyBorder="1" applyAlignment="1" applyProtection="1">
      <alignment horizontal="center" vertical="center"/>
      <protection hidden="1"/>
    </xf>
    <xf numFmtId="0" fontId="31" fillId="0" borderId="0" xfId="366" applyBorder="1" applyAlignment="1" applyProtection="1">
      <alignment horizontal="center" vertical="center"/>
      <protection hidden="1"/>
    </xf>
    <xf numFmtId="0" fontId="31" fillId="0" borderId="19" xfId="366" applyBorder="1" applyAlignment="1" applyProtection="1">
      <alignment horizontal="center" vertical="center"/>
      <protection hidden="1"/>
    </xf>
    <xf numFmtId="0" fontId="47" fillId="0" borderId="0" xfId="366" applyFont="1" applyBorder="1" applyAlignment="1" applyProtection="1">
      <alignment vertical="center"/>
      <protection hidden="1"/>
    </xf>
    <xf numFmtId="0" fontId="47" fillId="0" borderId="19" xfId="366" applyFont="1" applyBorder="1" applyAlignment="1" applyProtection="1">
      <alignment vertical="center"/>
      <protection hidden="1"/>
    </xf>
    <xf numFmtId="0" fontId="124" fillId="0" borderId="18" xfId="0" applyFont="1" applyBorder="1" applyAlignment="1" applyProtection="1">
      <alignment horizontal="right" vertical="top"/>
      <protection hidden="1"/>
    </xf>
    <xf numFmtId="0" fontId="124" fillId="0" borderId="0" xfId="0" applyFont="1" applyBorder="1" applyAlignment="1" applyProtection="1">
      <alignment horizontal="right" vertical="top"/>
      <protection hidden="1"/>
    </xf>
    <xf numFmtId="0" fontId="124" fillId="0" borderId="18" xfId="0" applyFont="1" applyBorder="1" applyAlignment="1" applyProtection="1">
      <alignment horizontal="right"/>
      <protection hidden="1"/>
    </xf>
    <xf numFmtId="0" fontId="124" fillId="0" borderId="0" xfId="0" applyFont="1" applyBorder="1" applyAlignment="1" applyProtection="1">
      <alignment horizontal="right"/>
      <protection hidden="1"/>
    </xf>
    <xf numFmtId="0" fontId="49" fillId="0" borderId="10" xfId="0" applyNumberFormat="1" applyFont="1" applyBorder="1" applyAlignment="1" applyProtection="1">
      <alignment horizontal="center" vertical="center"/>
      <protection hidden="1"/>
    </xf>
    <xf numFmtId="0" fontId="50" fillId="0" borderId="11" xfId="366" applyFont="1" applyBorder="1" applyAlignment="1" applyProtection="1">
      <alignment horizontal="center" vertical="center" shrinkToFit="1"/>
      <protection hidden="1"/>
    </xf>
    <xf numFmtId="0" fontId="0" fillId="0" borderId="10" xfId="0" applyBorder="1" applyAlignment="1" applyProtection="1">
      <alignment horizontal="center" vertical="center" textRotation="90" wrapText="1"/>
      <protection hidden="1"/>
    </xf>
    <xf numFmtId="0" fontId="50" fillId="0" borderId="22" xfId="366" applyFont="1" applyBorder="1" applyAlignment="1" applyProtection="1">
      <alignment horizontal="left" vertical="center" shrinkToFit="1"/>
      <protection hidden="1"/>
    </xf>
    <xf numFmtId="0" fontId="50" fillId="0" borderId="26" xfId="366" applyFont="1" applyBorder="1" applyAlignment="1" applyProtection="1">
      <alignment horizontal="left" vertical="center" shrinkToFit="1"/>
      <protection hidden="1"/>
    </xf>
    <xf numFmtId="0" fontId="50" fillId="0" borderId="11" xfId="366" applyFont="1" applyBorder="1" applyAlignment="1" applyProtection="1">
      <alignment horizontal="left" vertical="center" shrinkToFit="1"/>
      <protection hidden="1"/>
    </xf>
    <xf numFmtId="0" fontId="50" fillId="0" borderId="10" xfId="366" applyFont="1" applyBorder="1" applyAlignment="1" applyProtection="1">
      <alignment horizontal="center" vertical="center"/>
      <protection hidden="1"/>
    </xf>
    <xf numFmtId="0" fontId="48" fillId="0" borderId="18" xfId="366" applyFont="1" applyBorder="1" applyAlignment="1" applyProtection="1">
      <alignment horizontal="center" vertical="center" wrapText="1"/>
      <protection hidden="1"/>
    </xf>
    <xf numFmtId="0" fontId="48" fillId="0" borderId="0" xfId="366" applyFont="1" applyBorder="1" applyAlignment="1" applyProtection="1">
      <alignment horizontal="center" vertical="center" wrapText="1"/>
      <protection hidden="1"/>
    </xf>
    <xf numFmtId="0" fontId="48" fillId="0" borderId="19" xfId="366" applyFont="1" applyBorder="1" applyAlignment="1" applyProtection="1">
      <alignment horizontal="center" vertical="center" wrapText="1"/>
      <protection hidden="1"/>
    </xf>
    <xf numFmtId="0" fontId="122" fillId="48" borderId="10" xfId="0" applyFont="1" applyFill="1" applyBorder="1" applyAlignment="1" applyProtection="1">
      <alignment horizontal="center" textRotation="90" wrapText="1"/>
      <protection hidden="1"/>
    </xf>
    <xf numFmtId="0" fontId="46" fillId="0" borderId="24" xfId="366" applyFont="1" applyBorder="1" applyAlignment="1" applyProtection="1">
      <alignment horizontal="center" vertical="center"/>
      <protection hidden="1"/>
    </xf>
    <xf numFmtId="0" fontId="46" fillId="0" borderId="25" xfId="366" applyFont="1" applyBorder="1" applyAlignment="1" applyProtection="1">
      <alignment horizontal="center" vertical="center"/>
      <protection hidden="1"/>
    </xf>
    <xf numFmtId="0" fontId="46" fillId="0" borderId="15" xfId="366" applyFont="1" applyBorder="1" applyAlignment="1" applyProtection="1">
      <alignment horizontal="center" vertical="center"/>
      <protection hidden="1"/>
    </xf>
    <xf numFmtId="0" fontId="49" fillId="0" borderId="18" xfId="366" applyFont="1" applyBorder="1" applyAlignment="1" applyProtection="1">
      <alignment horizontal="center" vertical="center"/>
      <protection hidden="1"/>
    </xf>
    <xf numFmtId="0" fontId="49" fillId="0" borderId="0" xfId="366" applyFont="1" applyBorder="1" applyAlignment="1" applyProtection="1">
      <alignment horizontal="center" vertical="center"/>
      <protection hidden="1"/>
    </xf>
    <xf numFmtId="0" fontId="49" fillId="0" borderId="19" xfId="366" applyFont="1" applyBorder="1" applyAlignment="1" applyProtection="1">
      <alignment horizontal="center" vertical="center"/>
      <protection hidden="1"/>
    </xf>
    <xf numFmtId="1" fontId="49" fillId="0" borderId="22" xfId="366" applyNumberFormat="1" applyFont="1" applyBorder="1" applyAlignment="1" applyProtection="1">
      <alignment horizontal="left" vertical="center" shrinkToFit="1"/>
      <protection hidden="1"/>
    </xf>
    <xf numFmtId="1" fontId="49" fillId="0" borderId="26" xfId="366" applyNumberFormat="1" applyFont="1" applyBorder="1" applyAlignment="1" applyProtection="1">
      <alignment horizontal="left" vertical="center" shrinkToFit="1"/>
      <protection hidden="1"/>
    </xf>
    <xf numFmtId="1" fontId="49" fillId="0" borderId="11" xfId="366" applyNumberFormat="1" applyFont="1" applyBorder="1" applyAlignment="1" applyProtection="1">
      <alignment horizontal="left" vertical="center" shrinkToFit="1"/>
      <protection hidden="1"/>
    </xf>
    <xf numFmtId="0" fontId="47" fillId="0" borderId="24" xfId="366" applyFont="1" applyBorder="1" applyAlignment="1" applyProtection="1">
      <alignment horizontal="left" vertical="center"/>
      <protection hidden="1"/>
    </xf>
    <xf numFmtId="0" fontId="47" fillId="0" borderId="15" xfId="366" applyFont="1" applyBorder="1" applyAlignment="1" applyProtection="1">
      <alignment horizontal="left" vertical="center"/>
      <protection hidden="1"/>
    </xf>
    <xf numFmtId="0" fontId="47" fillId="0" borderId="20" xfId="366" applyFont="1" applyBorder="1" applyAlignment="1" applyProtection="1">
      <alignment horizontal="left" vertical="center"/>
      <protection hidden="1"/>
    </xf>
    <xf numFmtId="0" fontId="47" fillId="0" borderId="13" xfId="366" applyFont="1" applyBorder="1" applyAlignment="1" applyProtection="1">
      <alignment horizontal="left" vertical="center"/>
      <protection hidden="1"/>
    </xf>
    <xf numFmtId="0" fontId="49" fillId="0" borderId="22" xfId="366" applyFont="1" applyBorder="1" applyAlignment="1" applyProtection="1">
      <alignment horizontal="left" vertical="center"/>
      <protection hidden="1"/>
    </xf>
    <xf numFmtId="0" fontId="49" fillId="0" borderId="26" xfId="366" applyFont="1" applyBorder="1" applyAlignment="1" applyProtection="1">
      <alignment horizontal="left" vertical="center"/>
      <protection hidden="1"/>
    </xf>
    <xf numFmtId="0" fontId="49" fillId="0" borderId="11" xfId="366" applyFont="1" applyBorder="1" applyAlignment="1" applyProtection="1">
      <alignment horizontal="left" vertical="center"/>
      <protection hidden="1"/>
    </xf>
    <xf numFmtId="1" fontId="72" fillId="0" borderId="10" xfId="333" applyNumberFormat="1" applyFont="1" applyFill="1" applyBorder="1" applyAlignment="1" applyProtection="1">
      <alignment horizontal="center" vertical="center" wrapText="1"/>
      <protection hidden="1"/>
    </xf>
    <xf numFmtId="0" fontId="26" fillId="0" borderId="18" xfId="0" applyFont="1" applyBorder="1" applyAlignment="1" applyProtection="1">
      <alignment horizontal="left" vertical="center" wrapText="1"/>
      <protection hidden="1"/>
    </xf>
    <xf numFmtId="0" fontId="26" fillId="0" borderId="0" xfId="0" applyFont="1" applyBorder="1" applyAlignment="1" applyProtection="1">
      <alignment horizontal="left" vertical="center" wrapText="1"/>
      <protection hidden="1"/>
    </xf>
    <xf numFmtId="0" fontId="26" fillId="0" borderId="19" xfId="0" applyFont="1" applyBorder="1" applyAlignment="1" applyProtection="1">
      <alignment horizontal="left" vertical="center" wrapText="1"/>
      <protection hidden="1"/>
    </xf>
    <xf numFmtId="0" fontId="60" fillId="0" borderId="0" xfId="333" applyFont="1" applyFill="1" applyBorder="1" applyAlignment="1" applyProtection="1">
      <alignment horizontal="center" vertical="center"/>
      <protection hidden="1"/>
    </xf>
    <xf numFmtId="0" fontId="72" fillId="0" borderId="0" xfId="333" applyFont="1" applyFill="1" applyAlignment="1" applyProtection="1">
      <alignment horizontal="center" vertical="center" wrapText="1"/>
      <protection hidden="1"/>
    </xf>
    <xf numFmtId="1" fontId="83" fillId="0" borderId="10" xfId="333" applyNumberFormat="1" applyFont="1" applyFill="1" applyBorder="1" applyAlignment="1" applyProtection="1">
      <alignment horizontal="center" vertical="center" wrapText="1"/>
      <protection hidden="1"/>
    </xf>
    <xf numFmtId="0" fontId="83" fillId="0" borderId="10" xfId="333" applyFont="1" applyFill="1" applyBorder="1" applyAlignment="1" applyProtection="1">
      <alignment horizontal="center" vertical="center" wrapText="1"/>
      <protection hidden="1"/>
    </xf>
    <xf numFmtId="0" fontId="77" fillId="0" borderId="10" xfId="333" applyFont="1" applyFill="1" applyBorder="1" applyAlignment="1" applyProtection="1">
      <alignment horizontal="center" vertical="center"/>
      <protection hidden="1"/>
    </xf>
    <xf numFmtId="1" fontId="118" fillId="0" borderId="10" xfId="0" applyNumberFormat="1" applyFont="1" applyBorder="1" applyAlignment="1" applyProtection="1">
      <alignment horizontal="center" vertical="center"/>
      <protection hidden="1"/>
    </xf>
    <xf numFmtId="0" fontId="118" fillId="0" borderId="10" xfId="0" applyFont="1" applyBorder="1" applyAlignment="1" applyProtection="1">
      <alignment horizontal="center" vertical="center"/>
      <protection hidden="1"/>
    </xf>
    <xf numFmtId="0" fontId="124" fillId="0" borderId="18" xfId="0" applyFont="1" applyBorder="1" applyAlignment="1" applyProtection="1">
      <alignment horizontal="center" vertical="center" shrinkToFit="1"/>
      <protection hidden="1"/>
    </xf>
    <xf numFmtId="0" fontId="124" fillId="0" borderId="0" xfId="0" applyFont="1" applyBorder="1" applyAlignment="1" applyProtection="1">
      <alignment horizontal="center" vertical="center" shrinkToFit="1"/>
      <protection hidden="1"/>
    </xf>
    <xf numFmtId="0" fontId="124" fillId="0" borderId="19" xfId="0" applyFont="1" applyBorder="1" applyAlignment="1" applyProtection="1">
      <alignment horizontal="center" vertical="center" shrinkToFit="1"/>
      <protection hidden="1"/>
    </xf>
    <xf numFmtId="0" fontId="124" fillId="0" borderId="18" xfId="0" applyFont="1" applyBorder="1" applyAlignment="1" applyProtection="1">
      <alignment horizontal="justify" vertical="center" wrapText="1"/>
      <protection hidden="1"/>
    </xf>
    <xf numFmtId="0" fontId="124" fillId="0" borderId="0" xfId="0" applyFont="1" applyBorder="1" applyAlignment="1" applyProtection="1">
      <alignment horizontal="justify" vertical="center" wrapText="1"/>
      <protection hidden="1"/>
    </xf>
    <xf numFmtId="0" fontId="124" fillId="0" borderId="19" xfId="0" applyFont="1" applyBorder="1" applyAlignment="1" applyProtection="1">
      <alignment horizontal="justify" vertical="center" wrapText="1"/>
      <protection hidden="1"/>
    </xf>
    <xf numFmtId="0" fontId="117" fillId="0" borderId="0" xfId="0" applyFont="1" applyBorder="1" applyAlignment="1" applyProtection="1">
      <alignment horizontal="center" vertical="center" wrapText="1"/>
      <protection hidden="1"/>
    </xf>
    <xf numFmtId="0" fontId="117" fillId="0" borderId="19" xfId="0" applyFont="1" applyBorder="1" applyAlignment="1" applyProtection="1">
      <alignment horizontal="center" vertical="center" wrapText="1"/>
      <protection hidden="1"/>
    </xf>
    <xf numFmtId="0" fontId="63" fillId="0" borderId="0" xfId="333" applyFont="1" applyFill="1" applyBorder="1" applyAlignment="1" applyProtection="1">
      <alignment horizontal="center" vertical="center"/>
      <protection hidden="1"/>
    </xf>
    <xf numFmtId="1" fontId="118" fillId="0" borderId="22" xfId="0" applyNumberFormat="1" applyFont="1" applyBorder="1" applyAlignment="1" applyProtection="1">
      <alignment horizontal="center" vertical="center"/>
      <protection hidden="1"/>
    </xf>
    <xf numFmtId="0" fontId="118" fillId="0" borderId="26" xfId="0" applyFont="1" applyBorder="1" applyAlignment="1" applyProtection="1">
      <alignment horizontal="center" vertical="center"/>
      <protection hidden="1"/>
    </xf>
    <xf numFmtId="0" fontId="118" fillId="0" borderId="11" xfId="0" applyFont="1" applyBorder="1" applyAlignment="1" applyProtection="1">
      <alignment horizontal="center" vertical="center"/>
      <protection hidden="1"/>
    </xf>
    <xf numFmtId="0" fontId="0" fillId="0" borderId="18" xfId="0" applyBorder="1" applyAlignment="1" applyProtection="1">
      <alignment horizontal="left" vertical="center"/>
      <protection hidden="1"/>
    </xf>
    <xf numFmtId="0" fontId="0" fillId="0" borderId="0" xfId="0" applyBorder="1" applyAlignment="1" applyProtection="1">
      <alignment horizontal="left" vertical="center"/>
      <protection hidden="1"/>
    </xf>
    <xf numFmtId="0" fontId="0" fillId="0" borderId="19" xfId="0" applyBorder="1" applyAlignment="1" applyProtection="1">
      <alignment horizontal="left" vertical="center"/>
      <protection hidden="1"/>
    </xf>
    <xf numFmtId="0" fontId="89" fillId="48" borderId="10" xfId="0" applyFont="1" applyFill="1" applyBorder="1" applyAlignment="1" applyProtection="1">
      <alignment horizontal="center" vertical="center" wrapText="1"/>
      <protection hidden="1"/>
    </xf>
    <xf numFmtId="1" fontId="70" fillId="0" borderId="0" xfId="0" applyNumberFormat="1" applyFont="1" applyAlignment="1" applyProtection="1">
      <alignment horizontal="left" vertical="top" wrapText="1"/>
      <protection hidden="1"/>
    </xf>
    <xf numFmtId="0" fontId="124" fillId="0" borderId="18" xfId="0" applyFont="1" applyBorder="1" applyAlignment="1" applyProtection="1">
      <alignment horizontal="left" vertical="center" wrapText="1"/>
      <protection hidden="1"/>
    </xf>
    <xf numFmtId="0" fontId="124" fillId="0" borderId="0" xfId="0" applyFont="1" applyBorder="1" applyAlignment="1" applyProtection="1">
      <alignment horizontal="left" vertical="center" wrapText="1"/>
      <protection hidden="1"/>
    </xf>
    <xf numFmtId="0" fontId="124" fillId="0" borderId="19" xfId="0" applyFont="1" applyBorder="1" applyAlignment="1" applyProtection="1">
      <alignment horizontal="left" vertical="center" wrapText="1"/>
      <protection hidden="1"/>
    </xf>
    <xf numFmtId="0" fontId="107" fillId="0" borderId="0" xfId="0" applyFont="1" applyAlignment="1" applyProtection="1">
      <alignment horizontal="left" vertical="top" wrapText="1"/>
      <protection hidden="1"/>
    </xf>
    <xf numFmtId="0" fontId="100" fillId="52" borderId="10" xfId="0" applyFont="1" applyFill="1" applyBorder="1" applyAlignment="1" applyProtection="1">
      <alignment horizontal="left" vertical="center"/>
      <protection hidden="1"/>
    </xf>
    <xf numFmtId="0" fontId="100" fillId="53" borderId="10" xfId="0" applyFont="1" applyFill="1" applyBorder="1" applyAlignment="1" applyProtection="1">
      <alignment horizontal="left" vertical="center"/>
      <protection locked="0"/>
    </xf>
  </cellXfs>
  <cellStyles count="420">
    <cellStyle name="20% - Accent1 2" xfId="1"/>
    <cellStyle name="20% - Accent1 2 2" xfId="2"/>
    <cellStyle name="20% - Accent1 2 2 2" xfId="3"/>
    <cellStyle name="20% - Accent1 2 2 3" xfId="4"/>
    <cellStyle name="20% - Accent1 2 2 4" xfId="5"/>
    <cellStyle name="20% - Accent1 2 3" xfId="6"/>
    <cellStyle name="20% - Accent1 2 4" xfId="7"/>
    <cellStyle name="20% - Accent1 3" xfId="8"/>
    <cellStyle name="20% - Accent1 4" xfId="9"/>
    <cellStyle name="20% - Accent2 2" xfId="10"/>
    <cellStyle name="20% - Accent2 2 2" xfId="11"/>
    <cellStyle name="20% - Accent2 2 2 2" xfId="12"/>
    <cellStyle name="20% - Accent2 2 2 3" xfId="13"/>
    <cellStyle name="20% - Accent2 2 2 4" xfId="14"/>
    <cellStyle name="20% - Accent2 2 3" xfId="15"/>
    <cellStyle name="20% - Accent2 2 4" xfId="16"/>
    <cellStyle name="20% - Accent2 3" xfId="17"/>
    <cellStyle name="20% - Accent2 4" xfId="18"/>
    <cellStyle name="20% - Accent3 2" xfId="19"/>
    <cellStyle name="20% - Accent3 2 2" xfId="20"/>
    <cellStyle name="20% - Accent3 2 2 2" xfId="21"/>
    <cellStyle name="20% - Accent3 2 2 3" xfId="22"/>
    <cellStyle name="20% - Accent3 2 2 4" xfId="23"/>
    <cellStyle name="20% - Accent3 2 3" xfId="24"/>
    <cellStyle name="20% - Accent3 2 4" xfId="25"/>
    <cellStyle name="20% - Accent3 3" xfId="26"/>
    <cellStyle name="20% - Accent3 4" xfId="27"/>
    <cellStyle name="20% - Accent4 2" xfId="28"/>
    <cellStyle name="20% - Accent4 2 2" xfId="29"/>
    <cellStyle name="20% - Accent4 2 2 2" xfId="30"/>
    <cellStyle name="20% - Accent4 2 2 3" xfId="31"/>
    <cellStyle name="20% - Accent4 2 2 4" xfId="32"/>
    <cellStyle name="20% - Accent4 2 3" xfId="33"/>
    <cellStyle name="20% - Accent4 2 4" xfId="34"/>
    <cellStyle name="20% - Accent4 3" xfId="35"/>
    <cellStyle name="20% - Accent4 4" xfId="36"/>
    <cellStyle name="20% - Accent5 2" xfId="37"/>
    <cellStyle name="20% - Accent5 2 2" xfId="38"/>
    <cellStyle name="20% - Accent5 2 2 2" xfId="39"/>
    <cellStyle name="20% - Accent5 2 2 3" xfId="40"/>
    <cellStyle name="20% - Accent5 2 2 4" xfId="41"/>
    <cellStyle name="20% - Accent5 2 3" xfId="42"/>
    <cellStyle name="20% - Accent5 2 4" xfId="43"/>
    <cellStyle name="20% - Accent5 3" xfId="44"/>
    <cellStyle name="20% - Accent5 4" xfId="45"/>
    <cellStyle name="20% - Accent6 2" xfId="46"/>
    <cellStyle name="20% - Accent6 2 2" xfId="47"/>
    <cellStyle name="20% - Accent6 2 2 2" xfId="48"/>
    <cellStyle name="20% - Accent6 2 2 3" xfId="49"/>
    <cellStyle name="20% - Accent6 2 2 4" xfId="50"/>
    <cellStyle name="20% - Accent6 2 3" xfId="51"/>
    <cellStyle name="20% - Accent6 2 4" xfId="52"/>
    <cellStyle name="20% - Accent6 3" xfId="53"/>
    <cellStyle name="20% - Accent6 4" xfId="54"/>
    <cellStyle name="40% - Accent1 2" xfId="55"/>
    <cellStyle name="40% - Accent1 2 2" xfId="56"/>
    <cellStyle name="40% - Accent1 2 2 2" xfId="57"/>
    <cellStyle name="40% - Accent1 2 2 3" xfId="58"/>
    <cellStyle name="40% - Accent1 2 2 4" xfId="59"/>
    <cellStyle name="40% - Accent1 2 3" xfId="60"/>
    <cellStyle name="40% - Accent1 2 4" xfId="61"/>
    <cellStyle name="40% - Accent1 3" xfId="62"/>
    <cellStyle name="40% - Accent1 4" xfId="63"/>
    <cellStyle name="40% - Accent2 2" xfId="64"/>
    <cellStyle name="40% - Accent2 2 2" xfId="65"/>
    <cellStyle name="40% - Accent2 2 2 2" xfId="66"/>
    <cellStyle name="40% - Accent2 2 2 3" xfId="67"/>
    <cellStyle name="40% - Accent2 2 2 4" xfId="68"/>
    <cellStyle name="40% - Accent2 2 3" xfId="69"/>
    <cellStyle name="40% - Accent2 2 4" xfId="70"/>
    <cellStyle name="40% - Accent2 3" xfId="71"/>
    <cellStyle name="40% - Accent2 4" xfId="72"/>
    <cellStyle name="40% - Accent3 2" xfId="73"/>
    <cellStyle name="40% - Accent3 2 2" xfId="74"/>
    <cellStyle name="40% - Accent3 2 2 2" xfId="75"/>
    <cellStyle name="40% - Accent3 2 2 3" xfId="76"/>
    <cellStyle name="40% - Accent3 2 2 4" xfId="77"/>
    <cellStyle name="40% - Accent3 2 3" xfId="78"/>
    <cellStyle name="40% - Accent3 2 4" xfId="79"/>
    <cellStyle name="40% - Accent3 3" xfId="80"/>
    <cellStyle name="40% - Accent3 4" xfId="81"/>
    <cellStyle name="40% - Accent4 2" xfId="82"/>
    <cellStyle name="40% - Accent4 2 2" xfId="83"/>
    <cellStyle name="40% - Accent4 2 2 2" xfId="84"/>
    <cellStyle name="40% - Accent4 2 2 3" xfId="85"/>
    <cellStyle name="40% - Accent4 2 2 4" xfId="86"/>
    <cellStyle name="40% - Accent4 2 3" xfId="87"/>
    <cellStyle name="40% - Accent4 2 4" xfId="88"/>
    <cellStyle name="40% - Accent4 3" xfId="89"/>
    <cellStyle name="40% - Accent4 4" xfId="90"/>
    <cellStyle name="40% - Accent5 2" xfId="91"/>
    <cellStyle name="40% - Accent5 2 2" xfId="92"/>
    <cellStyle name="40% - Accent5 2 2 2" xfId="93"/>
    <cellStyle name="40% - Accent5 2 2 3" xfId="94"/>
    <cellStyle name="40% - Accent5 2 2 4" xfId="95"/>
    <cellStyle name="40% - Accent5 2 3" xfId="96"/>
    <cellStyle name="40% - Accent5 2 4" xfId="97"/>
    <cellStyle name="40% - Accent5 3" xfId="98"/>
    <cellStyle name="40% - Accent5 4" xfId="99"/>
    <cellStyle name="40% - Accent6 2" xfId="100"/>
    <cellStyle name="40% - Accent6 2 2" xfId="101"/>
    <cellStyle name="40% - Accent6 2 2 2" xfId="102"/>
    <cellStyle name="40% - Accent6 2 2 3" xfId="103"/>
    <cellStyle name="40% - Accent6 2 2 4" xfId="104"/>
    <cellStyle name="40% - Accent6 2 3" xfId="105"/>
    <cellStyle name="40% - Accent6 2 4" xfId="106"/>
    <cellStyle name="40% - Accent6 3" xfId="107"/>
    <cellStyle name="40% - Accent6 4" xfId="108"/>
    <cellStyle name="60% - Accent1 2" xfId="109"/>
    <cellStyle name="60% - Accent1 2 2" xfId="110"/>
    <cellStyle name="60% - Accent1 2 2 2" xfId="111"/>
    <cellStyle name="60% - Accent1 2 2 3" xfId="112"/>
    <cellStyle name="60% - Accent1 2 2 4" xfId="113"/>
    <cellStyle name="60% - Accent1 2 3" xfId="114"/>
    <cellStyle name="60% - Accent1 2 4" xfId="115"/>
    <cellStyle name="60% - Accent1 3" xfId="116"/>
    <cellStyle name="60% - Accent1 4" xfId="117"/>
    <cellStyle name="60% - Accent2 2" xfId="118"/>
    <cellStyle name="60% - Accent2 2 2" xfId="119"/>
    <cellStyle name="60% - Accent2 2 2 2" xfId="120"/>
    <cellStyle name="60% - Accent2 2 2 3" xfId="121"/>
    <cellStyle name="60% - Accent2 2 2 4" xfId="122"/>
    <cellStyle name="60% - Accent2 2 3" xfId="123"/>
    <cellStyle name="60% - Accent2 2 4" xfId="124"/>
    <cellStyle name="60% - Accent2 3" xfId="125"/>
    <cellStyle name="60% - Accent2 4" xfId="126"/>
    <cellStyle name="60% - Accent3 2" xfId="127"/>
    <cellStyle name="60% - Accent3 2 2" xfId="128"/>
    <cellStyle name="60% - Accent3 2 2 2" xfId="129"/>
    <cellStyle name="60% - Accent3 2 2 3" xfId="130"/>
    <cellStyle name="60% - Accent3 2 2 4" xfId="131"/>
    <cellStyle name="60% - Accent3 2 3" xfId="132"/>
    <cellStyle name="60% - Accent3 2 4" xfId="133"/>
    <cellStyle name="60% - Accent3 3" xfId="134"/>
    <cellStyle name="60% - Accent3 4" xfId="135"/>
    <cellStyle name="60% - Accent4 2" xfId="136"/>
    <cellStyle name="60% - Accent4 2 2" xfId="137"/>
    <cellStyle name="60% - Accent4 2 2 2" xfId="138"/>
    <cellStyle name="60% - Accent4 2 2 3" xfId="139"/>
    <cellStyle name="60% - Accent4 2 2 4" xfId="140"/>
    <cellStyle name="60% - Accent4 2 3" xfId="141"/>
    <cellStyle name="60% - Accent4 2 4" xfId="142"/>
    <cellStyle name="60% - Accent4 3" xfId="143"/>
    <cellStyle name="60% - Accent4 4" xfId="144"/>
    <cellStyle name="60% - Accent5 2" xfId="145"/>
    <cellStyle name="60% - Accent5 2 2" xfId="146"/>
    <cellStyle name="60% - Accent5 2 2 2" xfId="147"/>
    <cellStyle name="60% - Accent5 2 2 3" xfId="148"/>
    <cellStyle name="60% - Accent5 2 2 4" xfId="149"/>
    <cellStyle name="60% - Accent5 2 3" xfId="150"/>
    <cellStyle name="60% - Accent5 2 4" xfId="151"/>
    <cellStyle name="60% - Accent5 3" xfId="152"/>
    <cellStyle name="60% - Accent5 4" xfId="153"/>
    <cellStyle name="60% - Accent6 2" xfId="154"/>
    <cellStyle name="60% - Accent6 2 2" xfId="155"/>
    <cellStyle name="60% - Accent6 2 2 2" xfId="156"/>
    <cellStyle name="60% - Accent6 2 2 3" xfId="157"/>
    <cellStyle name="60% - Accent6 2 2 4" xfId="158"/>
    <cellStyle name="60% - Accent6 2 3" xfId="159"/>
    <cellStyle name="60% - Accent6 2 4" xfId="160"/>
    <cellStyle name="60% - Accent6 3" xfId="161"/>
    <cellStyle name="60% - Accent6 4" xfId="162"/>
    <cellStyle name="Accent1 2" xfId="163"/>
    <cellStyle name="Accent1 2 2" xfId="164"/>
    <cellStyle name="Accent1 2 2 2" xfId="165"/>
    <cellStyle name="Accent1 2 2 3" xfId="166"/>
    <cellStyle name="Accent1 2 2 4" xfId="167"/>
    <cellStyle name="Accent1 2 3" xfId="168"/>
    <cellStyle name="Accent1 2 4" xfId="169"/>
    <cellStyle name="Accent1 3" xfId="170"/>
    <cellStyle name="Accent1 4" xfId="171"/>
    <cellStyle name="Accent2 2" xfId="172"/>
    <cellStyle name="Accent2 2 2" xfId="173"/>
    <cellStyle name="Accent2 2 2 2" xfId="174"/>
    <cellStyle name="Accent2 2 2 3" xfId="175"/>
    <cellStyle name="Accent2 2 2 4" xfId="176"/>
    <cellStyle name="Accent2 2 3" xfId="177"/>
    <cellStyle name="Accent2 2 4" xfId="178"/>
    <cellStyle name="Accent2 3" xfId="179"/>
    <cellStyle name="Accent2 4" xfId="180"/>
    <cellStyle name="Accent3 2" xfId="181"/>
    <cellStyle name="Accent3 2 2" xfId="182"/>
    <cellStyle name="Accent3 2 2 2" xfId="183"/>
    <cellStyle name="Accent3 2 2 3" xfId="184"/>
    <cellStyle name="Accent3 2 2 4" xfId="185"/>
    <cellStyle name="Accent3 2 3" xfId="186"/>
    <cellStyle name="Accent3 2 4" xfId="187"/>
    <cellStyle name="Accent3 3" xfId="188"/>
    <cellStyle name="Accent3 4" xfId="189"/>
    <cellStyle name="Accent4 2" xfId="190"/>
    <cellStyle name="Accent4 2 2" xfId="191"/>
    <cellStyle name="Accent4 2 2 2" xfId="192"/>
    <cellStyle name="Accent4 2 2 3" xfId="193"/>
    <cellStyle name="Accent4 2 2 4" xfId="194"/>
    <cellStyle name="Accent4 2 3" xfId="195"/>
    <cellStyle name="Accent4 2 4" xfId="196"/>
    <cellStyle name="Accent4 3" xfId="197"/>
    <cellStyle name="Accent4 4" xfId="198"/>
    <cellStyle name="Accent5 2" xfId="199"/>
    <cellStyle name="Accent5 2 2" xfId="200"/>
    <cellStyle name="Accent5 2 2 2" xfId="201"/>
    <cellStyle name="Accent5 2 2 3" xfId="202"/>
    <cellStyle name="Accent5 2 2 4" xfId="203"/>
    <cellStyle name="Accent5 2 3" xfId="204"/>
    <cellStyle name="Accent5 2 4" xfId="205"/>
    <cellStyle name="Accent5 3" xfId="206"/>
    <cellStyle name="Accent5 4" xfId="207"/>
    <cellStyle name="Accent6 2" xfId="208"/>
    <cellStyle name="Accent6 2 2" xfId="209"/>
    <cellStyle name="Accent6 2 2 2" xfId="210"/>
    <cellStyle name="Accent6 2 2 3" xfId="211"/>
    <cellStyle name="Accent6 2 2 4" xfId="212"/>
    <cellStyle name="Accent6 2 3" xfId="213"/>
    <cellStyle name="Accent6 2 4" xfId="214"/>
    <cellStyle name="Accent6 3" xfId="215"/>
    <cellStyle name="Accent6 4" xfId="216"/>
    <cellStyle name="Bad 2" xfId="217"/>
    <cellStyle name="Bad 2 2" xfId="218"/>
    <cellStyle name="Bad 2 2 2" xfId="219"/>
    <cellStyle name="Bad 2 2 3" xfId="220"/>
    <cellStyle name="Bad 2 2 4" xfId="221"/>
    <cellStyle name="Bad 2 3" xfId="222"/>
    <cellStyle name="Bad 2 4" xfId="223"/>
    <cellStyle name="Bad 3" xfId="224"/>
    <cellStyle name="Bad 4" xfId="225"/>
    <cellStyle name="Calculation 2" xfId="226"/>
    <cellStyle name="Calculation 2 2" xfId="227"/>
    <cellStyle name="Calculation 2 2 2" xfId="228"/>
    <cellStyle name="Calculation 2 2 3" xfId="229"/>
    <cellStyle name="Calculation 2 2 4" xfId="230"/>
    <cellStyle name="Calculation 2 3" xfId="231"/>
    <cellStyle name="Calculation 2 4" xfId="232"/>
    <cellStyle name="Calculation 3" xfId="233"/>
    <cellStyle name="Calculation 4" xfId="234"/>
    <cellStyle name="Check Cell 2" xfId="235"/>
    <cellStyle name="Check Cell 2 2" xfId="236"/>
    <cellStyle name="Check Cell 2 2 2" xfId="237"/>
    <cellStyle name="Check Cell 2 2 3" xfId="238"/>
    <cellStyle name="Check Cell 2 2 4" xfId="239"/>
    <cellStyle name="Check Cell 2 3" xfId="240"/>
    <cellStyle name="Check Cell 2 4" xfId="241"/>
    <cellStyle name="Check Cell 3" xfId="242"/>
    <cellStyle name="Check Cell 4" xfId="243"/>
    <cellStyle name="Comma 2" xfId="244"/>
    <cellStyle name="Emphasis 1" xfId="245"/>
    <cellStyle name="Emphasis 2" xfId="246"/>
    <cellStyle name="Emphasis 3" xfId="247"/>
    <cellStyle name="Explanatory Text 2" xfId="248"/>
    <cellStyle name="Explanatory Text 2 2" xfId="249"/>
    <cellStyle name="Explanatory Text 2 2 2" xfId="250"/>
    <cellStyle name="Explanatory Text 2 2 3" xfId="251"/>
    <cellStyle name="Explanatory Text 2 2 4" xfId="252"/>
    <cellStyle name="Explanatory Text 2 3" xfId="253"/>
    <cellStyle name="Explanatory Text 2 4" xfId="254"/>
    <cellStyle name="Explanatory Text 3" xfId="255"/>
    <cellStyle name="Explanatory Text 4" xfId="256"/>
    <cellStyle name="Good 2" xfId="257"/>
    <cellStyle name="Good 2 2" xfId="258"/>
    <cellStyle name="Good 2 2 2" xfId="259"/>
    <cellStyle name="Good 2 2 3" xfId="260"/>
    <cellStyle name="Good 2 2 4" xfId="261"/>
    <cellStyle name="Good 2 3" xfId="262"/>
    <cellStyle name="Good 2 4" xfId="263"/>
    <cellStyle name="Good 3" xfId="264"/>
    <cellStyle name="Good 4" xfId="265"/>
    <cellStyle name="Heading 1 2" xfId="266"/>
    <cellStyle name="Heading 1 2 2" xfId="267"/>
    <cellStyle name="Heading 1 2 2 2" xfId="268"/>
    <cellStyle name="Heading 1 2 2 3" xfId="269"/>
    <cellStyle name="Heading 1 2 2 4" xfId="270"/>
    <cellStyle name="Heading 1 2 3" xfId="271"/>
    <cellStyle name="Heading 1 2 4" xfId="272"/>
    <cellStyle name="Heading 1 3" xfId="273"/>
    <cellStyle name="Heading 1 4" xfId="274"/>
    <cellStyle name="Heading 2 2" xfId="275"/>
    <cellStyle name="Heading 2 2 2" xfId="276"/>
    <cellStyle name="Heading 2 2 2 2" xfId="277"/>
    <cellStyle name="Heading 2 2 2 3" xfId="278"/>
    <cellStyle name="Heading 2 2 2 4" xfId="279"/>
    <cellStyle name="Heading 2 2 3" xfId="280"/>
    <cellStyle name="Heading 2 2 4" xfId="281"/>
    <cellStyle name="Heading 2 3" xfId="282"/>
    <cellStyle name="Heading 2 4" xfId="283"/>
    <cellStyle name="Heading 3 2" xfId="284"/>
    <cellStyle name="Heading 3 2 2" xfId="285"/>
    <cellStyle name="Heading 3 2 2 2" xfId="286"/>
    <cellStyle name="Heading 3 2 2 3" xfId="287"/>
    <cellStyle name="Heading 3 2 2 4" xfId="288"/>
    <cellStyle name="Heading 3 2 3" xfId="289"/>
    <cellStyle name="Heading 3 2 4" xfId="290"/>
    <cellStyle name="Heading 3 3" xfId="291"/>
    <cellStyle name="Heading 3 4" xfId="292"/>
    <cellStyle name="Heading 4 2" xfId="293"/>
    <cellStyle name="Heading 4 2 2" xfId="294"/>
    <cellStyle name="Heading 4 2 2 2" xfId="295"/>
    <cellStyle name="Heading 4 2 2 3" xfId="296"/>
    <cellStyle name="Heading 4 2 2 4" xfId="297"/>
    <cellStyle name="Heading 4 2 3" xfId="298"/>
    <cellStyle name="Heading 4 2 4" xfId="299"/>
    <cellStyle name="Heading 4 3" xfId="300"/>
    <cellStyle name="Heading 4 4" xfId="301"/>
    <cellStyle name="Hyperlink" xfId="302" builtinId="8"/>
    <cellStyle name="Input 2" xfId="303"/>
    <cellStyle name="Input 2 2" xfId="304"/>
    <cellStyle name="Input 2 2 2" xfId="305"/>
    <cellStyle name="Input 2 2 3" xfId="306"/>
    <cellStyle name="Input 2 2 4" xfId="307"/>
    <cellStyle name="Input 2 3" xfId="308"/>
    <cellStyle name="Input 2 4" xfId="309"/>
    <cellStyle name="Input 3" xfId="310"/>
    <cellStyle name="Input 4" xfId="311"/>
    <cellStyle name="Linked Cell 2" xfId="312"/>
    <cellStyle name="Linked Cell 2 2" xfId="313"/>
    <cellStyle name="Linked Cell 2 2 2" xfId="314"/>
    <cellStyle name="Linked Cell 2 2 3" xfId="315"/>
    <cellStyle name="Linked Cell 2 2 4" xfId="316"/>
    <cellStyle name="Linked Cell 2 3" xfId="317"/>
    <cellStyle name="Linked Cell 2 4" xfId="318"/>
    <cellStyle name="Linked Cell 3" xfId="319"/>
    <cellStyle name="Linked Cell 4" xfId="320"/>
    <cellStyle name="Neutral 2" xfId="321"/>
    <cellStyle name="Neutral 2 2" xfId="322"/>
    <cellStyle name="Neutral 2 2 2" xfId="323"/>
    <cellStyle name="Neutral 2 2 3" xfId="324"/>
    <cellStyle name="Neutral 2 2 4" xfId="325"/>
    <cellStyle name="Neutral 2 3" xfId="326"/>
    <cellStyle name="Neutral 2 4" xfId="327"/>
    <cellStyle name="Neutral 3" xfId="328"/>
    <cellStyle name="Neutral 4" xfId="329"/>
    <cellStyle name="Normal" xfId="0" builtinId="0"/>
    <cellStyle name="Normal 10" xfId="330"/>
    <cellStyle name="Normal 10 2" xfId="331"/>
    <cellStyle name="Normal 11" xfId="332"/>
    <cellStyle name="Normal 2" xfId="333"/>
    <cellStyle name="Normal 2 2" xfId="334"/>
    <cellStyle name="Normal 2 3" xfId="335"/>
    <cellStyle name="Normal 2 4" xfId="336"/>
    <cellStyle name="Normal 2 5" xfId="337"/>
    <cellStyle name="Normal 2 6" xfId="338"/>
    <cellStyle name="Normal 2 6 2" xfId="339"/>
    <cellStyle name="Normal 2 6 3" xfId="340"/>
    <cellStyle name="Normal 2 6 4" xfId="341"/>
    <cellStyle name="Normal 2 6 5" xfId="342"/>
    <cellStyle name="Normal 2 7" xfId="343"/>
    <cellStyle name="Normal 2 8" xfId="344"/>
    <cellStyle name="Normal 3" xfId="345"/>
    <cellStyle name="Normal 3 2" xfId="346"/>
    <cellStyle name="Normal 3 2 2" xfId="347"/>
    <cellStyle name="Normal 3 2 3" xfId="348"/>
    <cellStyle name="Normal 3 2 4" xfId="349"/>
    <cellStyle name="Normal 3 3" xfId="350"/>
    <cellStyle name="Normal 3 4" xfId="351"/>
    <cellStyle name="Normal 3 5" xfId="352"/>
    <cellStyle name="Normal 3 6" xfId="353"/>
    <cellStyle name="Normal 3_AAS II PROGRAM" xfId="354"/>
    <cellStyle name="Normal 4" xfId="355"/>
    <cellStyle name="Normal 4 2" xfId="356"/>
    <cellStyle name="Normal 4 3" xfId="357"/>
    <cellStyle name="Normal 4 4" xfId="358"/>
    <cellStyle name="Normal 5" xfId="359"/>
    <cellStyle name="Normal 5 2" xfId="360"/>
    <cellStyle name="Normal 5 2 2" xfId="361"/>
    <cellStyle name="Normal 5 2 3" xfId="362"/>
    <cellStyle name="Normal 5 2 4" xfId="363"/>
    <cellStyle name="Normal 5 3" xfId="364"/>
    <cellStyle name="Normal 5 4" xfId="365"/>
    <cellStyle name="Normal 6" xfId="366"/>
    <cellStyle name="Normal 6 2" xfId="367"/>
    <cellStyle name="Normal 6 3" xfId="368"/>
    <cellStyle name="Normal 6 4" xfId="369"/>
    <cellStyle name="Normal 7" xfId="370"/>
    <cellStyle name="Normal 7 2" xfId="371"/>
    <cellStyle name="Normal 7 3" xfId="372"/>
    <cellStyle name="Normal 7 4" xfId="373"/>
    <cellStyle name="Normal 7 5" xfId="374"/>
    <cellStyle name="Normal 8" xfId="375"/>
    <cellStyle name="Normal 9" xfId="376"/>
    <cellStyle name="Normal 9 2" xfId="377"/>
    <cellStyle name="Note 2" xfId="378"/>
    <cellStyle name="Note 2 2" xfId="379"/>
    <cellStyle name="Note 2 2 2" xfId="380"/>
    <cellStyle name="Note 2 2 3" xfId="381"/>
    <cellStyle name="Note 2 2 4" xfId="382"/>
    <cellStyle name="Note 2 3" xfId="383"/>
    <cellStyle name="Note 2 4" xfId="384"/>
    <cellStyle name="Note 3" xfId="385"/>
    <cellStyle name="Note 4" xfId="386"/>
    <cellStyle name="Output 2" xfId="387"/>
    <cellStyle name="Output 2 2" xfId="388"/>
    <cellStyle name="Output 2 2 2" xfId="389"/>
    <cellStyle name="Output 2 2 3" xfId="390"/>
    <cellStyle name="Output 2 2 4" xfId="391"/>
    <cellStyle name="Output 2 3" xfId="392"/>
    <cellStyle name="Output 2 4" xfId="393"/>
    <cellStyle name="Output 3" xfId="394"/>
    <cellStyle name="Output 4" xfId="395"/>
    <cellStyle name="Sheet Title" xfId="396"/>
    <cellStyle name="Style 1" xfId="397"/>
    <cellStyle name="Title 2" xfId="398"/>
    <cellStyle name="Title 2 2" xfId="399"/>
    <cellStyle name="Title 3" xfId="400"/>
    <cellStyle name="Title 4" xfId="401"/>
    <cellStyle name="Total 2" xfId="402"/>
    <cellStyle name="Total 2 2" xfId="403"/>
    <cellStyle name="Total 2 2 2" xfId="404"/>
    <cellStyle name="Total 2 2 3" xfId="405"/>
    <cellStyle name="Total 2 2 4" xfId="406"/>
    <cellStyle name="Total 2 3" xfId="407"/>
    <cellStyle name="Total 2 4" xfId="408"/>
    <cellStyle name="Total 3" xfId="409"/>
    <cellStyle name="Total 4" xfId="410"/>
    <cellStyle name="Warning Text 2" xfId="411"/>
    <cellStyle name="Warning Text 2 2" xfId="412"/>
    <cellStyle name="Warning Text 2 2 2" xfId="413"/>
    <cellStyle name="Warning Text 2 2 3" xfId="414"/>
    <cellStyle name="Warning Text 2 2 4" xfId="415"/>
    <cellStyle name="Warning Text 2 3" xfId="416"/>
    <cellStyle name="Warning Text 2 4" xfId="417"/>
    <cellStyle name="Warning Text 3" xfId="418"/>
    <cellStyle name="Warning Text 4" xfId="419"/>
  </cellStyles>
  <dxfs count="22">
    <dxf>
      <font>
        <color theme="0"/>
      </font>
      <fill>
        <patternFill>
          <bgColor theme="0"/>
        </patternFill>
      </fill>
      <border>
        <left/>
        <right/>
        <top/>
        <bottom/>
      </border>
    </dxf>
    <dxf>
      <font>
        <color theme="0"/>
      </font>
      <fill>
        <patternFill>
          <bgColor theme="0"/>
        </patternFill>
      </fill>
      <border>
        <left/>
        <right/>
        <top/>
        <bottom/>
      </border>
    </dxf>
    <dxf>
      <font>
        <color theme="0"/>
      </font>
      <fill>
        <patternFill>
          <bgColor theme="0"/>
        </patternFill>
      </fill>
      <border>
        <left/>
        <right/>
        <top/>
        <bottom/>
      </border>
    </dxf>
    <dxf>
      <font>
        <color theme="0"/>
      </font>
      <fill>
        <patternFill>
          <bgColor theme="0"/>
        </patternFill>
      </fill>
      <border>
        <left/>
        <right/>
        <top/>
        <bottom/>
      </border>
    </dxf>
    <dxf>
      <font>
        <color theme="0"/>
      </font>
      <fill>
        <patternFill>
          <bgColor theme="0"/>
        </patternFill>
      </fill>
      <border>
        <left/>
        <right/>
        <top/>
        <bottom/>
      </border>
    </dxf>
    <dxf>
      <font>
        <color theme="0"/>
      </font>
      <fill>
        <patternFill>
          <bgColor theme="0"/>
        </patternFill>
      </fill>
      <border>
        <left/>
        <right/>
        <top/>
        <bottom/>
      </border>
    </dxf>
    <dxf>
      <font>
        <color theme="0"/>
      </font>
      <fill>
        <patternFill>
          <bgColor theme="0"/>
        </patternFill>
      </fill>
      <border>
        <left/>
        <right/>
        <top/>
        <bottom/>
      </border>
    </dxf>
    <dxf>
      <font>
        <color theme="0"/>
      </font>
      <fill>
        <patternFill>
          <bgColor theme="0"/>
        </patternFill>
      </fill>
      <border>
        <left/>
        <right/>
        <top/>
        <bottom/>
      </border>
    </dxf>
    <dxf>
      <font>
        <color theme="0"/>
      </font>
      <fill>
        <patternFill>
          <bgColor theme="0"/>
        </patternFill>
      </fill>
      <border>
        <left/>
        <right/>
        <top/>
        <bottom/>
      </border>
    </dxf>
    <dxf>
      <font>
        <color theme="0"/>
      </font>
      <fill>
        <patternFill>
          <bgColor theme="0"/>
        </patternFill>
      </fill>
      <border>
        <left/>
        <right/>
        <top/>
        <bottom/>
      </border>
    </dxf>
    <dxf>
      <fill>
        <patternFill>
          <bgColor theme="0"/>
        </patternFill>
      </fill>
      <border>
        <left/>
        <right/>
        <top/>
        <bottom/>
      </border>
    </dxf>
    <dxf>
      <font>
        <color theme="0"/>
      </font>
      <fill>
        <patternFill>
          <bgColor theme="0"/>
        </patternFill>
      </fill>
      <border>
        <left/>
        <right/>
        <top/>
        <bottom/>
      </border>
    </dxf>
    <dxf>
      <font>
        <color theme="1"/>
      </font>
      <fill>
        <patternFill>
          <bgColor theme="1"/>
        </patternFill>
      </fill>
    </dxf>
    <dxf>
      <font>
        <color theme="1"/>
      </font>
      <fill>
        <patternFill>
          <bgColor theme="1"/>
        </patternFill>
      </fill>
    </dxf>
    <dxf>
      <font>
        <color auto="1"/>
      </font>
      <fill>
        <patternFill patternType="none">
          <bgColor indexed="65"/>
        </patternFill>
      </fill>
    </dxf>
    <dxf>
      <font>
        <color theme="1"/>
      </font>
      <fill>
        <patternFill>
          <bgColor theme="1"/>
        </patternFill>
      </fill>
      <border>
        <left/>
        <right/>
        <top/>
        <bottom/>
      </border>
    </dxf>
    <dxf>
      <font>
        <color theme="0"/>
      </font>
      <border>
        <left/>
        <right/>
        <top/>
        <bottom/>
      </border>
    </dxf>
    <dxf>
      <font>
        <color theme="0"/>
      </font>
      <fill>
        <patternFill>
          <bgColor theme="0"/>
        </patternFill>
      </fill>
      <border>
        <left/>
        <right/>
        <top/>
        <bottom/>
      </border>
    </dxf>
    <dxf>
      <font>
        <color theme="1"/>
      </font>
      <fill>
        <patternFill>
          <bgColor theme="1"/>
        </patternFill>
      </fill>
      <border>
        <left/>
        <right/>
        <top/>
        <bottom/>
      </border>
    </dxf>
    <dxf>
      <font>
        <color theme="1"/>
      </font>
      <fill>
        <patternFill>
          <bgColor theme="1"/>
        </patternFill>
      </fill>
      <border>
        <left/>
        <right/>
        <top/>
        <bottom/>
      </border>
    </dxf>
    <dxf>
      <font>
        <color theme="1"/>
      </font>
      <fill>
        <patternFill>
          <bgColor theme="1"/>
        </patternFill>
      </fill>
      <border>
        <left/>
        <right/>
        <top/>
        <bottom/>
      </border>
    </dxf>
    <dxf>
      <font>
        <color theme="1"/>
      </font>
      <fill>
        <patternFill>
          <bgColor theme="1"/>
        </patternFill>
      </fill>
      <border>
        <left/>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Drop" dropStyle="combo" dx="31" fmlaLink="$AF$12" fmlaRange="$AF$13:$AF$14" noThreeD="1" sel="2" val="0"/>
</file>

<file path=xl/ctrlProps/ctrlProp2.xml><?xml version="1.0" encoding="utf-8"?>
<formControlPr xmlns="http://schemas.microsoft.com/office/spreadsheetml/2009/9/main" objectType="Drop" dropStyle="combo" dx="31" fmlaLink="$AH$3" fmlaRange="$AI$3:$AI$4" val="0"/>
</file>

<file path=xl/ctrlProps/ctrlProp3.xml><?xml version="1.0" encoding="utf-8"?>
<formControlPr xmlns="http://schemas.microsoft.com/office/spreadsheetml/2009/9/main" objectType="Drop" dropStyle="combo" dx="31" fmlaLink="'R C'!$DX$16" fmlaRange="'R C'!$DX$17:$DX$19" noThreeD="1" val="0"/>
</file>

<file path=xl/ctrlProps/ctrlProp4.xml><?xml version="1.0" encoding="utf-8"?>
<formControlPr xmlns="http://schemas.microsoft.com/office/spreadsheetml/2009/9/main" objectType="Drop" dropStyle="combo" dx="31" fmlaLink="$AF$4" fmlaRange="$AF$5:$AF$8" noThreeD="1" sel="2" val="0"/>
</file>

<file path=xl/ctrlProps/ctrlProp5.xml><?xml version="1.0" encoding="utf-8"?>
<formControlPr xmlns="http://schemas.microsoft.com/office/spreadsheetml/2009/9/main" objectType="Drop" dropStyle="combo" dx="31" fmlaLink="$AE$4" fmlaRange="$AE$5:$AE$6" noThreeD="1" val="0"/>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50800</xdr:rowOff>
    </xdr:from>
    <xdr:to>
      <xdr:col>1</xdr:col>
      <xdr:colOff>19050</xdr:colOff>
      <xdr:row>5</xdr:row>
      <xdr:rowOff>0</xdr:rowOff>
    </xdr:to>
    <xdr:pic>
      <xdr:nvPicPr>
        <xdr:cNvPr id="2930" name="Picture 11" descr="DSC_0031.JPG">
          <a:extLst>
            <a:ext uri="{FF2B5EF4-FFF2-40B4-BE49-F238E27FC236}">
              <a16:creationId xmlns="" xmlns:a16="http://schemas.microsoft.com/office/drawing/2014/main" id="{00000000-0008-0000-0000-0000720B0000}"/>
            </a:ext>
          </a:extLst>
        </xdr:cNvPr>
        <xdr:cNvPicPr>
          <a:picLocks noChangeAspect="1"/>
        </xdr:cNvPicPr>
      </xdr:nvPicPr>
      <xdr:blipFill>
        <a:blip xmlns:r="http://schemas.openxmlformats.org/officeDocument/2006/relationships" r:embed="rId1" cstate="print"/>
        <a:srcRect/>
        <a:stretch>
          <a:fillRect/>
        </a:stretch>
      </xdr:blipFill>
      <xdr:spPr bwMode="auto">
        <a:xfrm>
          <a:off x="0" y="298450"/>
          <a:ext cx="495300" cy="78740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20</xdr:col>
          <xdr:colOff>514350</xdr:colOff>
          <xdr:row>12</xdr:row>
          <xdr:rowOff>352425</xdr:rowOff>
        </xdr:from>
        <xdr:to>
          <xdr:col>22</xdr:col>
          <xdr:colOff>0</xdr:colOff>
          <xdr:row>14</xdr:row>
          <xdr:rowOff>0</xdr:rowOff>
        </xdr:to>
        <xdr:sp macro="" textlink="">
          <xdr:nvSpPr>
            <xdr:cNvPr id="2587" name="Drop Down 539" hidden="1">
              <a:extLst>
                <a:ext uri="{63B3BB69-23CF-44E3-9099-C40C66FF867C}">
                  <a14:compatExt spid="_x0000_s25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xdr:row>
          <xdr:rowOff>0</xdr:rowOff>
        </xdr:from>
        <xdr:to>
          <xdr:col>17</xdr:col>
          <xdr:colOff>180975</xdr:colOff>
          <xdr:row>3</xdr:row>
          <xdr:rowOff>0</xdr:rowOff>
        </xdr:to>
        <xdr:sp macro="" textlink="">
          <xdr:nvSpPr>
            <xdr:cNvPr id="2604" name="Drop Down 556" hidden="1">
              <a:extLst>
                <a:ext uri="{63B3BB69-23CF-44E3-9099-C40C66FF867C}">
                  <a14:compatExt spid="_x0000_s26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304800</xdr:colOff>
          <xdr:row>4</xdr:row>
          <xdr:rowOff>0</xdr:rowOff>
        </xdr:from>
        <xdr:to>
          <xdr:col>24</xdr:col>
          <xdr:colOff>0</xdr:colOff>
          <xdr:row>5</xdr:row>
          <xdr:rowOff>0</xdr:rowOff>
        </xdr:to>
        <xdr:sp macro="" textlink="">
          <xdr:nvSpPr>
            <xdr:cNvPr id="2692" name="Drop Down 644" hidden="1">
              <a:extLst>
                <a:ext uri="{63B3BB69-23CF-44E3-9099-C40C66FF867C}">
                  <a14:compatExt spid="_x0000_s26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771525</xdr:colOff>
          <xdr:row>3</xdr:row>
          <xdr:rowOff>9525</xdr:rowOff>
        </xdr:from>
        <xdr:to>
          <xdr:col>20</xdr:col>
          <xdr:colOff>85725</xdr:colOff>
          <xdr:row>4</xdr:row>
          <xdr:rowOff>0</xdr:rowOff>
        </xdr:to>
        <xdr:sp macro="" textlink="">
          <xdr:nvSpPr>
            <xdr:cNvPr id="2822" name="Drop Down 774" hidden="1">
              <a:extLst>
                <a:ext uri="{63B3BB69-23CF-44E3-9099-C40C66FF867C}">
                  <a14:compatExt spid="_x0000_s28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581025</xdr:colOff>
          <xdr:row>3</xdr:row>
          <xdr:rowOff>28575</xdr:rowOff>
        </xdr:from>
        <xdr:to>
          <xdr:col>22</xdr:col>
          <xdr:colOff>0</xdr:colOff>
          <xdr:row>4</xdr:row>
          <xdr:rowOff>0</xdr:rowOff>
        </xdr:to>
        <xdr:sp macro="" textlink="">
          <xdr:nvSpPr>
            <xdr:cNvPr id="2823" name="Drop Down 775" hidden="1">
              <a:extLst>
                <a:ext uri="{63B3BB69-23CF-44E3-9099-C40C66FF867C}">
                  <a14:compatExt spid="_x0000_s2823"/>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149224</xdr:colOff>
      <xdr:row>246</xdr:row>
      <xdr:rowOff>41276</xdr:rowOff>
    </xdr:from>
    <xdr:to>
      <xdr:col>3</xdr:col>
      <xdr:colOff>3128</xdr:colOff>
      <xdr:row>249</xdr:row>
      <xdr:rowOff>133381</xdr:rowOff>
    </xdr:to>
    <xdr:sp macro="" textlink="">
      <xdr:nvSpPr>
        <xdr:cNvPr id="4" name="Oval 3">
          <a:extLst>
            <a:ext uri="{FF2B5EF4-FFF2-40B4-BE49-F238E27FC236}">
              <a16:creationId xmlns="" xmlns:a16="http://schemas.microsoft.com/office/drawing/2014/main" id="{00000000-0008-0000-0B00-000004000000}"/>
            </a:ext>
          </a:extLst>
        </xdr:cNvPr>
        <xdr:cNvSpPr>
          <a:spLocks noChangeArrowheads="1"/>
        </xdr:cNvSpPr>
      </xdr:nvSpPr>
      <xdr:spPr bwMode="auto">
        <a:xfrm flipH="1">
          <a:off x="142874" y="29584651"/>
          <a:ext cx="666750" cy="590550"/>
        </a:xfrm>
        <a:prstGeom prst="ellipse">
          <a:avLst/>
        </a:prstGeom>
        <a:noFill/>
        <a:ln w="9525">
          <a:solidFill>
            <a:srgbClr val="000000"/>
          </a:solidFill>
          <a:round/>
          <a:headEnd/>
          <a:tailEnd/>
        </a:ln>
      </xdr:spPr>
      <xdr:txBody>
        <a:bodyPr vertOverflow="clip" wrap="square" lIns="27432" tIns="22860" rIns="27432" bIns="0" anchor="t" upright="1"/>
        <a:lstStyle/>
        <a:p>
          <a:pPr marL="0" marR="0" lvl="0" indent="0" algn="ctr" defTabSz="914400" rtl="1" eaLnBrk="1" fontAlgn="auto" latinLnBrk="0" hangingPunct="1">
            <a:lnSpc>
              <a:spcPct val="100000"/>
            </a:lnSpc>
            <a:spcBef>
              <a:spcPts val="0"/>
            </a:spcBef>
            <a:spcAft>
              <a:spcPts val="0"/>
            </a:spcAft>
            <a:buClrTx/>
            <a:buSzTx/>
            <a:buFontTx/>
            <a:buNone/>
            <a:tabLst/>
            <a:defRPr sz="1000"/>
          </a:pPr>
          <a:r>
            <a:rPr kumimoji="0" lang="en-US" sz="1000" b="0" i="0" u="none" strike="noStrike" kern="0" cap="none" spc="0" normalizeH="0" baseline="0" noProof="0">
              <a:ln>
                <a:noFill/>
              </a:ln>
              <a:solidFill>
                <a:srgbClr val="000000"/>
              </a:solidFill>
              <a:effectLst/>
              <a:uLnTx/>
              <a:uFillTx/>
              <a:latin typeface="Arial"/>
              <a:cs typeface="Arial"/>
            </a:rPr>
            <a:t>DDO Seal</a:t>
          </a:r>
        </a:p>
      </xdr:txBody>
    </xdr:sp>
    <xdr:clientData/>
  </xdr:twoCellAnchor>
  <xdr:twoCellAnchor>
    <xdr:from>
      <xdr:col>16</xdr:col>
      <xdr:colOff>120650</xdr:colOff>
      <xdr:row>246</xdr:row>
      <xdr:rowOff>22226</xdr:rowOff>
    </xdr:from>
    <xdr:to>
      <xdr:col>20</xdr:col>
      <xdr:colOff>0</xdr:colOff>
      <xdr:row>249</xdr:row>
      <xdr:rowOff>79375</xdr:rowOff>
    </xdr:to>
    <xdr:sp macro="" textlink="">
      <xdr:nvSpPr>
        <xdr:cNvPr id="5" name="Oval 4">
          <a:extLst>
            <a:ext uri="{FF2B5EF4-FFF2-40B4-BE49-F238E27FC236}">
              <a16:creationId xmlns="" xmlns:a16="http://schemas.microsoft.com/office/drawing/2014/main" id="{00000000-0008-0000-0B00-000005000000}"/>
            </a:ext>
          </a:extLst>
        </xdr:cNvPr>
        <xdr:cNvSpPr>
          <a:spLocks noChangeArrowheads="1"/>
        </xdr:cNvSpPr>
      </xdr:nvSpPr>
      <xdr:spPr bwMode="auto">
        <a:xfrm>
          <a:off x="4953000" y="29870401"/>
          <a:ext cx="781050" cy="561974"/>
        </a:xfrm>
        <a:prstGeom prst="ellipse">
          <a:avLst/>
        </a:prstGeom>
        <a:noFill/>
        <a:ln w="9525">
          <a:solidFill>
            <a:srgbClr val="000000"/>
          </a:solidFill>
          <a:round/>
          <a:headEnd/>
          <a:tailEnd/>
        </a:ln>
      </xdr:spPr>
      <xdr:txBody>
        <a:bodyPr vertOverflow="clip" wrap="square" lIns="27432" tIns="22860" rIns="27432" bIns="0" anchor="t" upright="1"/>
        <a:lstStyle/>
        <a:p>
          <a:pPr marL="0" marR="0" lvl="0" indent="0" algn="ctr" defTabSz="914400" rtl="1" eaLnBrk="1" fontAlgn="auto" latinLnBrk="0" hangingPunct="1">
            <a:lnSpc>
              <a:spcPct val="100000"/>
            </a:lnSpc>
            <a:spcBef>
              <a:spcPts val="0"/>
            </a:spcBef>
            <a:spcAft>
              <a:spcPts val="0"/>
            </a:spcAft>
            <a:buClrTx/>
            <a:buSzTx/>
            <a:buFontTx/>
            <a:buNone/>
            <a:tabLst/>
            <a:defRPr sz="1000"/>
          </a:pPr>
          <a:r>
            <a:rPr kumimoji="0" lang="en-US" sz="800" b="0" i="0" u="none" strike="noStrike" kern="0" cap="none" spc="0" normalizeH="0" baseline="0" noProof="0">
              <a:ln>
                <a:noFill/>
              </a:ln>
              <a:solidFill>
                <a:srgbClr val="000000"/>
              </a:solidFill>
              <a:effectLst/>
              <a:uLnTx/>
              <a:uFillTx/>
              <a:latin typeface="Arial"/>
              <a:cs typeface="Arial"/>
            </a:rPr>
            <a:t>Treasury Seal</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A%20ZPHS%20KANDI%20IMP%20SOFTWARES/New%20folder/Claiming%20of%20medical%20bill(K%20.Vijaykumar)03.03.201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
      <sheetName val="form 58 front"/>
      <sheetName val="form 58 back1"/>
      <sheetName val="Paper token-101"/>
      <sheetName val="PAY R C 3"/>
      <sheetName val="Anne-I"/>
      <sheetName val="Anne-II&amp;III"/>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3.xml"/><Relationship Id="rId3" Type="http://schemas.openxmlformats.org/officeDocument/2006/relationships/printerSettings" Target="../printerSettings/printerSettings2.bin"/><Relationship Id="rId7" Type="http://schemas.openxmlformats.org/officeDocument/2006/relationships/ctrlProp" Target="../ctrlProps/ctrlProp2.xml"/><Relationship Id="rId2" Type="http://schemas.openxmlformats.org/officeDocument/2006/relationships/hyperlink" Target="http://www.medakbadi.in/" TargetMode="External"/><Relationship Id="rId1" Type="http://schemas.openxmlformats.org/officeDocument/2006/relationships/printerSettings" Target="../printerSettings/printerSettings1.bin"/><Relationship Id="rId6" Type="http://schemas.openxmlformats.org/officeDocument/2006/relationships/ctrlProp" Target="../ctrlProps/ctrlProp1.xml"/><Relationship Id="rId11" Type="http://schemas.openxmlformats.org/officeDocument/2006/relationships/comments" Target="../comments1.xml"/><Relationship Id="rId5" Type="http://schemas.openxmlformats.org/officeDocument/2006/relationships/vmlDrawing" Target="../drawings/vmlDrawing1.vml"/><Relationship Id="rId10" Type="http://schemas.openxmlformats.org/officeDocument/2006/relationships/ctrlProp" Target="../ctrlProps/ctrlProp5.xml"/><Relationship Id="rId4" Type="http://schemas.openxmlformats.org/officeDocument/2006/relationships/drawing" Target="../drawings/drawing1.xml"/><Relationship Id="rId9"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FF0000"/>
  </sheetPr>
  <dimension ref="A1:BS37"/>
  <sheetViews>
    <sheetView showGridLines="0" zoomScaleNormal="100" workbookViewId="0">
      <selection activeCell="K12" sqref="K12:M12"/>
    </sheetView>
  </sheetViews>
  <sheetFormatPr defaultColWidth="0" defaultRowHeight="15"/>
  <cols>
    <col min="1" max="1" width="6.85546875" style="1" customWidth="1"/>
    <col min="2" max="2" width="5.85546875" style="1" customWidth="1"/>
    <col min="3" max="3" width="4.42578125" style="1" customWidth="1"/>
    <col min="4" max="4" width="5" style="1" customWidth="1"/>
    <col min="5" max="5" width="7.7109375" style="1" customWidth="1"/>
    <col min="6" max="6" width="1" style="1" customWidth="1"/>
    <col min="7" max="7" width="4.140625" style="1" customWidth="1"/>
    <col min="8" max="8" width="7.7109375" style="1" customWidth="1"/>
    <col min="9" max="9" width="5.7109375" style="1" customWidth="1"/>
    <col min="10" max="10" width="6.42578125" style="1" customWidth="1"/>
    <col min="11" max="11" width="5.85546875" style="1" customWidth="1"/>
    <col min="12" max="12" width="4.140625" style="1" customWidth="1"/>
    <col min="13" max="13" width="4.42578125" style="1" customWidth="1"/>
    <col min="14" max="14" width="0.7109375" style="1" customWidth="1"/>
    <col min="15" max="15" width="4.85546875" style="1" customWidth="1"/>
    <col min="16" max="16" width="4.140625" style="1" customWidth="1"/>
    <col min="17" max="17" width="8.140625" style="1" customWidth="1"/>
    <col min="18" max="18" width="11.85546875" style="1" customWidth="1"/>
    <col min="19" max="19" width="6.5703125" style="1" customWidth="1"/>
    <col min="20" max="20" width="7" style="1" customWidth="1"/>
    <col min="21" max="21" width="8.7109375" style="1" customWidth="1"/>
    <col min="22" max="22" width="11.42578125" style="1" customWidth="1"/>
    <col min="23" max="23" width="1" style="1" customWidth="1"/>
    <col min="24" max="24" width="1.42578125" style="1" customWidth="1"/>
    <col min="25" max="25" width="5.42578125" style="1" customWidth="1"/>
    <col min="26" max="26" width="6.28515625" style="1" customWidth="1"/>
    <col min="27" max="27" width="7.140625" style="1" customWidth="1"/>
    <col min="28" max="28" width="7.42578125" style="76" customWidth="1"/>
    <col min="29" max="29" width="5.140625" style="1" customWidth="1"/>
    <col min="30" max="30" width="6.140625" style="1" customWidth="1"/>
    <col min="31" max="16384" width="6.140625" style="1" hidden="1"/>
  </cols>
  <sheetData>
    <row r="1" spans="1:71" ht="20.25" customHeight="1">
      <c r="A1" s="471" t="s">
        <v>354</v>
      </c>
      <c r="B1" s="472"/>
      <c r="C1" s="472"/>
      <c r="D1" s="472"/>
      <c r="E1" s="472"/>
      <c r="F1" s="472"/>
      <c r="G1" s="472"/>
      <c r="H1" s="472"/>
      <c r="I1" s="472"/>
      <c r="J1" s="472"/>
      <c r="K1" s="472"/>
      <c r="L1" s="472"/>
      <c r="M1" s="472"/>
      <c r="N1" s="472"/>
      <c r="O1" s="472"/>
      <c r="P1" s="472"/>
      <c r="Q1" s="472"/>
      <c r="R1" s="472"/>
      <c r="S1" s="472"/>
      <c r="T1" s="472"/>
      <c r="U1" s="472"/>
      <c r="V1" s="472"/>
      <c r="W1" s="291"/>
      <c r="X1" s="8"/>
      <c r="AA1" s="76"/>
      <c r="AC1" s="8"/>
      <c r="AD1" s="72"/>
      <c r="AE1" s="72"/>
      <c r="AF1" s="72"/>
      <c r="AG1" s="8"/>
      <c r="AH1" s="8"/>
      <c r="AI1" s="8"/>
      <c r="AJ1" s="8"/>
      <c r="AK1" s="8"/>
      <c r="AL1" s="8"/>
      <c r="AM1" s="8"/>
      <c r="AN1" s="8"/>
    </row>
    <row r="2" spans="1:71" ht="3.75" customHeight="1" thickBot="1">
      <c r="A2" s="424"/>
      <c r="B2" s="424"/>
      <c r="C2" s="424"/>
      <c r="D2" s="424"/>
      <c r="E2" s="424"/>
      <c r="F2" s="11"/>
      <c r="G2" s="13"/>
      <c r="H2" s="13"/>
      <c r="I2" s="13"/>
      <c r="J2" s="13"/>
      <c r="K2" s="13"/>
      <c r="L2" s="13"/>
      <c r="M2" s="13"/>
      <c r="N2" s="13"/>
      <c r="O2" s="13"/>
      <c r="P2" s="13"/>
      <c r="Q2" s="13"/>
      <c r="R2" s="13"/>
      <c r="S2" s="13"/>
      <c r="T2" s="13"/>
      <c r="U2" s="13"/>
      <c r="V2" s="14"/>
      <c r="W2" s="14"/>
      <c r="X2" s="8"/>
      <c r="AA2" s="77"/>
      <c r="AB2" s="77"/>
      <c r="AC2" s="8"/>
      <c r="AD2" s="8"/>
      <c r="AE2" s="8"/>
      <c r="AF2" s="8"/>
      <c r="AG2" s="8"/>
      <c r="AH2" s="8"/>
      <c r="AI2" s="8"/>
      <c r="AJ2" s="8"/>
      <c r="AK2" s="8"/>
      <c r="AL2" s="8"/>
      <c r="AM2" s="8"/>
      <c r="AN2" s="8"/>
    </row>
    <row r="3" spans="1:71" ht="22.5" customHeight="1" thickTop="1" thickBot="1">
      <c r="A3" s="86"/>
      <c r="B3" s="468" t="s">
        <v>432</v>
      </c>
      <c r="C3" s="469"/>
      <c r="D3" s="469"/>
      <c r="E3" s="469"/>
      <c r="F3" s="423"/>
      <c r="G3" s="480" t="s">
        <v>351</v>
      </c>
      <c r="H3" s="481"/>
      <c r="I3" s="481"/>
      <c r="J3" s="481"/>
      <c r="K3" s="481"/>
      <c r="L3" s="97"/>
      <c r="M3" s="97"/>
      <c r="N3" s="97"/>
      <c r="O3" s="97"/>
      <c r="P3" s="97"/>
      <c r="Q3" s="97"/>
      <c r="R3" s="496" t="s">
        <v>249</v>
      </c>
      <c r="S3" s="496"/>
      <c r="T3" s="496"/>
      <c r="U3" s="541">
        <v>8838587601</v>
      </c>
      <c r="V3" s="542"/>
      <c r="W3" s="292"/>
      <c r="X3" s="215"/>
      <c r="AA3" s="76"/>
      <c r="AC3" s="8"/>
      <c r="AD3" s="295"/>
      <c r="AE3" s="295"/>
      <c r="AG3" s="296"/>
      <c r="AH3" s="95">
        <v>1</v>
      </c>
      <c r="AI3" s="297" t="s">
        <v>259</v>
      </c>
      <c r="AJ3" s="296"/>
      <c r="AK3" s="296"/>
      <c r="AL3" s="296"/>
      <c r="AM3" s="296"/>
      <c r="AN3" s="296"/>
      <c r="AO3" s="95"/>
      <c r="AP3" s="95"/>
      <c r="AQ3" s="95"/>
      <c r="AR3" s="95"/>
      <c r="AS3" s="95"/>
      <c r="AT3" s="95"/>
      <c r="AU3" s="95"/>
      <c r="AV3" s="95"/>
      <c r="AW3" s="95"/>
      <c r="AX3" s="95"/>
      <c r="AY3" s="95"/>
      <c r="AZ3" s="95"/>
      <c r="BA3" s="95"/>
      <c r="BB3" s="95"/>
      <c r="BC3" s="95"/>
    </row>
    <row r="4" spans="1:71" ht="18.75" customHeight="1" thickTop="1" thickBot="1">
      <c r="A4" s="10"/>
      <c r="B4" s="468"/>
      <c r="C4" s="469"/>
      <c r="D4" s="469"/>
      <c r="E4" s="469"/>
      <c r="F4" s="423"/>
      <c r="G4" s="492" t="s">
        <v>44</v>
      </c>
      <c r="H4" s="492"/>
      <c r="I4" s="492"/>
      <c r="J4" s="75" t="s">
        <v>43</v>
      </c>
      <c r="K4" s="419" t="s">
        <v>516</v>
      </c>
      <c r="L4" s="419"/>
      <c r="M4" s="419"/>
      <c r="N4" s="419"/>
      <c r="O4" s="419"/>
      <c r="P4" s="419"/>
      <c r="Q4" s="543" t="s">
        <v>436</v>
      </c>
      <c r="R4" s="544"/>
      <c r="S4" s="488"/>
      <c r="T4" s="489"/>
      <c r="U4" s="490"/>
      <c r="V4" s="491"/>
      <c r="W4" s="291"/>
      <c r="X4" s="96"/>
      <c r="Y4" s="500" t="str">
        <f>IF($AH$3=1,"","Print only  Claiming forms ")</f>
        <v/>
      </c>
      <c r="Z4" s="501"/>
      <c r="AA4" s="501"/>
      <c r="AB4" s="502"/>
      <c r="AC4" s="8"/>
      <c r="AD4" s="296"/>
      <c r="AE4" s="296">
        <v>1</v>
      </c>
      <c r="AF4" s="325">
        <v>2</v>
      </c>
      <c r="AG4" s="296"/>
      <c r="AH4" s="296"/>
      <c r="AI4" s="297" t="s">
        <v>382</v>
      </c>
      <c r="AJ4" s="296"/>
      <c r="AK4" s="296"/>
      <c r="AL4" s="296"/>
      <c r="AM4" s="296"/>
      <c r="AN4" s="296"/>
      <c r="AO4" s="95"/>
      <c r="AP4" s="95"/>
      <c r="AQ4" s="95"/>
      <c r="AR4" s="95"/>
      <c r="AS4" s="95"/>
      <c r="AT4" s="95"/>
      <c r="AU4" s="95"/>
      <c r="AV4" s="95"/>
      <c r="AW4" s="95"/>
      <c r="AX4" s="95"/>
      <c r="AY4" s="95"/>
      <c r="AZ4" s="95"/>
      <c r="BA4" s="95"/>
      <c r="BB4" s="95"/>
      <c r="BC4" s="95"/>
    </row>
    <row r="5" spans="1:71" ht="21" customHeight="1" thickTop="1" thickBot="1">
      <c r="A5" s="10"/>
      <c r="B5" s="468"/>
      <c r="C5" s="469"/>
      <c r="D5" s="469"/>
      <c r="E5" s="469"/>
      <c r="F5" s="423"/>
      <c r="G5" s="467" t="s">
        <v>503</v>
      </c>
      <c r="H5" s="467"/>
      <c r="I5" s="482" t="s">
        <v>517</v>
      </c>
      <c r="J5" s="482"/>
      <c r="K5" s="482"/>
      <c r="L5" s="482"/>
      <c r="M5" s="425" t="s">
        <v>167</v>
      </c>
      <c r="N5" s="425"/>
      <c r="O5" s="425"/>
      <c r="P5" s="425"/>
      <c r="Q5" s="482" t="s">
        <v>518</v>
      </c>
      <c r="R5" s="482"/>
      <c r="S5" s="482"/>
      <c r="T5" s="482"/>
      <c r="U5" s="482"/>
      <c r="V5" s="482"/>
      <c r="W5" s="293"/>
      <c r="X5" s="96"/>
      <c r="Y5" s="503"/>
      <c r="Z5" s="504"/>
      <c r="AA5" s="504"/>
      <c r="AB5" s="505"/>
      <c r="AD5" s="95"/>
      <c r="AE5" s="295" t="s">
        <v>433</v>
      </c>
      <c r="AF5" s="298" t="s">
        <v>175</v>
      </c>
      <c r="AG5" s="95"/>
      <c r="AH5" s="307">
        <f>AF4</f>
        <v>2</v>
      </c>
      <c r="AI5" s="95"/>
      <c r="AJ5" s="95"/>
      <c r="AK5" s="95"/>
      <c r="AL5" s="95"/>
      <c r="AM5" s="95"/>
      <c r="AN5" s="95"/>
      <c r="AO5" s="95"/>
      <c r="AP5" s="95"/>
      <c r="AQ5" s="95"/>
      <c r="AR5" s="95"/>
      <c r="AS5" s="95"/>
      <c r="AT5" s="95"/>
      <c r="AU5" s="95"/>
      <c r="AV5" s="95"/>
      <c r="AW5" s="95"/>
      <c r="AX5" s="95"/>
      <c r="AY5" s="95"/>
      <c r="AZ5" s="95"/>
      <c r="BA5" s="95"/>
      <c r="BB5" s="95"/>
      <c r="BC5" s="95"/>
      <c r="BF5" s="314"/>
      <c r="BG5" s="314"/>
      <c r="BH5" s="314"/>
      <c r="BI5" s="314"/>
      <c r="BJ5" s="80"/>
      <c r="BK5" s="80"/>
      <c r="BL5" s="80"/>
      <c r="BM5" s="80"/>
      <c r="BN5" s="80"/>
      <c r="BO5" s="80"/>
      <c r="BP5" s="80"/>
      <c r="BQ5" s="80"/>
      <c r="BR5" s="80"/>
      <c r="BS5" s="313"/>
    </row>
    <row r="6" spans="1:71" ht="18.75" customHeight="1" thickTop="1" thickBot="1">
      <c r="A6" s="421" t="s">
        <v>244</v>
      </c>
      <c r="B6" s="422"/>
      <c r="C6" s="422"/>
      <c r="D6" s="422"/>
      <c r="E6" s="422"/>
      <c r="F6" s="423"/>
      <c r="G6" s="425" t="s">
        <v>172</v>
      </c>
      <c r="H6" s="425"/>
      <c r="I6" s="419" t="s">
        <v>519</v>
      </c>
      <c r="J6" s="419"/>
      <c r="K6" s="419"/>
      <c r="L6" s="419"/>
      <c r="M6" s="425" t="s">
        <v>173</v>
      </c>
      <c r="N6" s="425"/>
      <c r="O6" s="425"/>
      <c r="P6" s="419" t="s">
        <v>520</v>
      </c>
      <c r="Q6" s="419"/>
      <c r="R6" s="419"/>
      <c r="S6" s="545" t="str">
        <f>IF(OR(AH5=2,AH5=4),"Rtd Date","")</f>
        <v>Rtd Date</v>
      </c>
      <c r="T6" s="546"/>
      <c r="U6" s="507" t="s">
        <v>521</v>
      </c>
      <c r="V6" s="507"/>
      <c r="W6" s="84"/>
      <c r="X6" s="96"/>
      <c r="AA6" s="76"/>
      <c r="AD6" s="95"/>
      <c r="AE6" s="95" t="s">
        <v>434</v>
      </c>
      <c r="AF6" s="95" t="s">
        <v>46</v>
      </c>
      <c r="AG6" s="95"/>
      <c r="AH6" s="308">
        <f>IF(AU6=J10,1,200)</f>
        <v>1</v>
      </c>
      <c r="AI6" s="95"/>
      <c r="AJ6" s="95"/>
      <c r="AK6" s="95"/>
      <c r="AL6" s="95"/>
      <c r="AM6" s="95"/>
      <c r="AN6" s="95"/>
      <c r="AO6" s="299" t="s">
        <v>170</v>
      </c>
      <c r="AP6" s="95"/>
      <c r="AQ6" s="95" t="str">
        <f>IF(AO15=G12,"he/she",IF(OR(AO7=G12,AO10=G12,AO11=G12,AO13=G12),"she","he"))</f>
        <v>he/she</v>
      </c>
      <c r="AR6" s="95" t="str">
        <f>IF(AQ6="he/she","his/her",IF(AQ6="he","his","her"))</f>
        <v>his/her</v>
      </c>
      <c r="AS6" s="95"/>
      <c r="AT6" s="95"/>
      <c r="AU6" s="95" t="s">
        <v>19</v>
      </c>
      <c r="AV6" s="95"/>
      <c r="AW6" s="95"/>
      <c r="AX6" s="95"/>
      <c r="AY6" s="95"/>
      <c r="AZ6" s="95"/>
      <c r="BA6" s="95"/>
      <c r="BB6" s="95"/>
      <c r="BC6" s="95"/>
      <c r="BF6" s="315"/>
      <c r="BG6" s="315"/>
      <c r="BH6" s="315"/>
      <c r="BI6" s="315"/>
      <c r="BJ6" s="315"/>
      <c r="BK6" s="315"/>
      <c r="BL6" s="315"/>
      <c r="BM6" s="315"/>
      <c r="BN6" s="315"/>
      <c r="BO6" s="80"/>
      <c r="BP6" s="80"/>
      <c r="BQ6" s="80"/>
      <c r="BR6" s="80"/>
      <c r="BS6" s="313"/>
    </row>
    <row r="7" spans="1:71" ht="20.25" customHeight="1" thickTop="1" thickBot="1">
      <c r="A7" s="478" t="s">
        <v>45</v>
      </c>
      <c r="B7" s="479"/>
      <c r="C7" s="479"/>
      <c r="D7" s="479"/>
      <c r="E7" s="479"/>
      <c r="F7" s="424"/>
      <c r="G7" s="411" t="str">
        <f>IF(AH5=1,"SCALE&amp;PAY","Pension total Rs.")</f>
        <v>Pension total Rs.</v>
      </c>
      <c r="H7" s="412"/>
      <c r="I7" s="413" t="s">
        <v>511</v>
      </c>
      <c r="J7" s="414"/>
      <c r="K7" s="415" t="s">
        <v>512</v>
      </c>
      <c r="L7" s="412"/>
      <c r="M7" s="416">
        <v>37100</v>
      </c>
      <c r="N7" s="417"/>
      <c r="O7" s="418"/>
      <c r="P7" s="404" t="s">
        <v>514</v>
      </c>
      <c r="Q7" s="407">
        <v>0.33535999999999999</v>
      </c>
      <c r="R7" s="405" t="s">
        <v>515</v>
      </c>
      <c r="S7" s="408">
        <v>0.14499999999999999</v>
      </c>
      <c r="T7" s="406">
        <v>425</v>
      </c>
      <c r="U7" s="404" t="str">
        <f>IF(AH5=1,"Emp ID","PPO No.")</f>
        <v>PPO No.</v>
      </c>
      <c r="V7" s="405" t="s">
        <v>522</v>
      </c>
      <c r="W7" s="11"/>
      <c r="X7" s="96"/>
      <c r="Y7" s="506" t="s">
        <v>18</v>
      </c>
      <c r="Z7" s="506"/>
      <c r="AA7" s="506"/>
      <c r="AB7" s="511" t="s">
        <v>355</v>
      </c>
      <c r="AC7" s="8"/>
      <c r="AD7" s="95"/>
      <c r="AE7" s="95"/>
      <c r="AF7" s="95" t="s">
        <v>384</v>
      </c>
      <c r="AG7" s="95"/>
      <c r="AH7" s="95"/>
      <c r="AI7" s="95"/>
      <c r="AJ7" s="95"/>
      <c r="AK7" s="95"/>
      <c r="AL7" s="95"/>
      <c r="AM7" s="95"/>
      <c r="AN7" s="95"/>
      <c r="AO7" s="299" t="s">
        <v>176</v>
      </c>
      <c r="AP7" s="95"/>
      <c r="AQ7" s="95"/>
      <c r="AR7" s="95"/>
      <c r="AS7" s="95"/>
      <c r="AT7" s="95"/>
      <c r="AU7" s="95" t="s">
        <v>20</v>
      </c>
      <c r="AV7" s="95"/>
      <c r="AW7" s="95"/>
      <c r="AX7" s="95"/>
      <c r="AY7" s="298"/>
      <c r="AZ7" s="95"/>
      <c r="BA7" s="95"/>
      <c r="BB7" s="95"/>
      <c r="BC7" s="95"/>
    </row>
    <row r="8" spans="1:71" ht="5.0999999999999996" customHeight="1" thickTop="1" thickBot="1">
      <c r="A8" s="420"/>
      <c r="B8" s="420"/>
      <c r="C8" s="420"/>
      <c r="D8" s="420"/>
      <c r="E8" s="420"/>
      <c r="F8" s="420"/>
      <c r="G8" s="420"/>
      <c r="H8" s="420"/>
      <c r="I8" s="420"/>
      <c r="J8" s="420"/>
      <c r="K8" s="420"/>
      <c r="L8" s="420"/>
      <c r="M8" s="420"/>
      <c r="N8" s="11"/>
      <c r="O8" s="424"/>
      <c r="P8" s="424"/>
      <c r="Q8" s="424"/>
      <c r="R8" s="424"/>
      <c r="S8" s="424"/>
      <c r="T8" s="424"/>
      <c r="U8" s="424"/>
      <c r="V8" s="424"/>
      <c r="W8" s="11"/>
      <c r="X8" s="96"/>
      <c r="Y8" s="506"/>
      <c r="Z8" s="506"/>
      <c r="AA8" s="506"/>
      <c r="AB8" s="511"/>
      <c r="AC8" s="8"/>
      <c r="AD8" s="95"/>
      <c r="AE8" s="95"/>
      <c r="AF8" s="95" t="s">
        <v>435</v>
      </c>
      <c r="AG8" s="95"/>
      <c r="AH8" s="95"/>
      <c r="AI8" s="95"/>
      <c r="AJ8" s="95"/>
      <c r="AK8" s="95"/>
      <c r="AL8" s="95"/>
      <c r="AM8" s="95"/>
      <c r="AN8" s="95"/>
      <c r="AO8" s="299" t="s">
        <v>177</v>
      </c>
      <c r="AP8" s="95"/>
      <c r="AQ8" s="95"/>
      <c r="AR8" s="95"/>
      <c r="AS8" s="95"/>
      <c r="AT8" s="95"/>
      <c r="AU8" s="95"/>
      <c r="AV8" s="95"/>
      <c r="AW8" s="95"/>
      <c r="AX8" s="95"/>
      <c r="AY8" s="95"/>
      <c r="AZ8" s="95"/>
      <c r="BA8" s="95"/>
      <c r="BB8" s="95"/>
      <c r="BC8" s="95"/>
    </row>
    <row r="9" spans="1:71" ht="24" customHeight="1" thickTop="1">
      <c r="A9" s="473" t="s">
        <v>42</v>
      </c>
      <c r="B9" s="474"/>
      <c r="C9" s="474"/>
      <c r="D9" s="475"/>
      <c r="E9" s="476" t="s">
        <v>0</v>
      </c>
      <c r="F9" s="477"/>
      <c r="G9" s="477"/>
      <c r="H9" s="477"/>
      <c r="I9" s="477"/>
      <c r="J9" s="447" t="s">
        <v>523</v>
      </c>
      <c r="K9" s="447"/>
      <c r="L9" s="447"/>
      <c r="M9" s="447"/>
      <c r="N9" s="12"/>
      <c r="O9" s="483" t="s">
        <v>504</v>
      </c>
      <c r="P9" s="484"/>
      <c r="Q9" s="484"/>
      <c r="R9" s="484"/>
      <c r="S9" s="484"/>
      <c r="T9" s="484"/>
      <c r="U9" s="484"/>
      <c r="V9" s="485"/>
      <c r="W9" s="352"/>
      <c r="X9" s="96"/>
      <c r="Y9" s="498" t="s">
        <v>239</v>
      </c>
      <c r="Z9" s="498"/>
      <c r="AA9" s="498"/>
      <c r="AB9" s="294" t="s">
        <v>19</v>
      </c>
      <c r="AC9" s="8"/>
      <c r="AD9" s="95"/>
      <c r="AE9" s="95"/>
      <c r="AF9" s="95"/>
      <c r="AG9" s="95"/>
      <c r="AH9" s="95"/>
      <c r="AI9" s="95"/>
      <c r="AJ9" s="95"/>
      <c r="AK9" s="95">
        <v>1</v>
      </c>
      <c r="AL9" s="95">
        <f>IF(Y9="","",IF(AB9=$AU$6,AK9,""))</f>
        <v>1</v>
      </c>
      <c r="AM9" s="95">
        <f>IF(ISERROR(SMALL($AL$9:$AL$21,AX9)),"",SMALL($AL$9:$AL$21,AX9))</f>
        <v>1</v>
      </c>
      <c r="AN9" s="95"/>
      <c r="AO9" s="299" t="s">
        <v>178</v>
      </c>
      <c r="AP9" s="95"/>
      <c r="AQ9" s="95"/>
      <c r="AR9" s="95"/>
      <c r="AS9" s="95"/>
      <c r="AT9" s="95"/>
      <c r="AU9" s="95"/>
      <c r="AV9" s="95"/>
      <c r="AW9" s="95"/>
      <c r="AX9" s="95">
        <v>1</v>
      </c>
      <c r="AY9" s="95" t="str">
        <f>IF(ISERROR(INDEX($Y$9:$Y$21,MATCH(AM9,AK$9:$AK$21,FALSE),1)),"",INDEX($Y$9:$Y$21,MATCH(AM9,AK$9:$AK$21,FALSE),1))</f>
        <v>Checklist</v>
      </c>
      <c r="AZ9" s="95"/>
      <c r="BA9" s="95"/>
      <c r="BB9" s="95"/>
      <c r="BC9" s="95"/>
    </row>
    <row r="10" spans="1:71" ht="20.100000000000001" customHeight="1" thickBot="1">
      <c r="A10" s="513" t="s">
        <v>383</v>
      </c>
      <c r="B10" s="513"/>
      <c r="C10" s="513"/>
      <c r="D10" s="513"/>
      <c r="E10" s="513"/>
      <c r="F10" s="513"/>
      <c r="G10" s="513"/>
      <c r="H10" s="513"/>
      <c r="I10" s="514"/>
      <c r="J10" s="493" t="s">
        <v>19</v>
      </c>
      <c r="K10" s="494"/>
      <c r="L10" s="13"/>
      <c r="M10" s="13"/>
      <c r="N10" s="12"/>
      <c r="O10" s="517" t="s">
        <v>505</v>
      </c>
      <c r="P10" s="518"/>
      <c r="Q10" s="518"/>
      <c r="R10" s="518"/>
      <c r="S10" s="519" t="s">
        <v>524</v>
      </c>
      <c r="T10" s="519"/>
      <c r="U10" s="519"/>
      <c r="V10" s="520"/>
      <c r="W10" s="352"/>
      <c r="X10" s="96"/>
      <c r="Y10" s="499" t="s">
        <v>240</v>
      </c>
      <c r="Z10" s="499"/>
      <c r="AA10" s="499"/>
      <c r="AB10" s="294" t="s">
        <v>19</v>
      </c>
      <c r="AC10" s="8"/>
      <c r="AD10" s="95"/>
      <c r="AE10" s="95" t="s">
        <v>223</v>
      </c>
      <c r="AF10" s="95"/>
      <c r="AG10" s="95"/>
      <c r="AH10" s="95"/>
      <c r="AI10" s="95"/>
      <c r="AJ10" s="213"/>
      <c r="AK10" s="213">
        <v>2</v>
      </c>
      <c r="AL10" s="95">
        <f t="shared" ref="AL10:AL19" si="0">IF(Y10="","",IF(AB10=$AU$6,AK10,""))</f>
        <v>2</v>
      </c>
      <c r="AM10" s="95">
        <f t="shared" ref="AM10:AM21" si="1">IF(ISERROR(SMALL($AL$9:$AL$21,AX10)),"",SMALL($AL$9:$AL$21,AX10))</f>
        <v>2</v>
      </c>
      <c r="AN10" s="95"/>
      <c r="AO10" s="299" t="s">
        <v>179</v>
      </c>
      <c r="AP10" s="95"/>
      <c r="AQ10" s="95"/>
      <c r="AR10" s="95"/>
      <c r="AS10" s="95"/>
      <c r="AT10" s="95"/>
      <c r="AU10" s="95"/>
      <c r="AV10" s="95"/>
      <c r="AW10" s="95"/>
      <c r="AX10" s="95">
        <v>2</v>
      </c>
      <c r="AY10" s="95" t="str">
        <f>IF(ISERROR(INDEX($Y$9:$Y$21,MATCH(AM10,AK$9:$AK$21,FALSE),1)),"",INDEX($Y$9:$Y$21,MATCH(AM10,AK$9:$AK$21,FALSE),1))</f>
        <v>Appendix-II</v>
      </c>
      <c r="AZ10" s="95"/>
      <c r="BA10" s="95"/>
      <c r="BB10" s="95"/>
      <c r="BC10" s="95"/>
    </row>
    <row r="11" spans="1:71" ht="19.5" customHeight="1">
      <c r="A11" s="515" t="str">
        <f>IF(AND(AH5&gt;2,AH6=1),"APPLICANT NAME","NAME OF THE PATIENT")</f>
        <v>NAME OF THE PATIENT</v>
      </c>
      <c r="B11" s="515"/>
      <c r="C11" s="515"/>
      <c r="D11" s="515"/>
      <c r="E11" s="447" t="s">
        <v>247</v>
      </c>
      <c r="F11" s="447"/>
      <c r="G11" s="447" t="s">
        <v>487</v>
      </c>
      <c r="H11" s="447"/>
      <c r="I11" s="447"/>
      <c r="J11" s="495"/>
      <c r="K11" s="495"/>
      <c r="L11" s="447"/>
      <c r="M11" s="447"/>
      <c r="N11" s="12"/>
      <c r="O11" s="527" t="s">
        <v>506</v>
      </c>
      <c r="P11" s="528"/>
      <c r="Q11" s="528"/>
      <c r="R11" s="528"/>
      <c r="S11" s="486" t="s">
        <v>525</v>
      </c>
      <c r="T11" s="486"/>
      <c r="U11" s="486"/>
      <c r="V11" s="487"/>
      <c r="W11" s="352"/>
      <c r="X11" s="96"/>
      <c r="Y11" s="499" t="s">
        <v>241</v>
      </c>
      <c r="Z11" s="499"/>
      <c r="AA11" s="499"/>
      <c r="AB11" s="294" t="s">
        <v>19</v>
      </c>
      <c r="AD11" s="95"/>
      <c r="AE11" s="95" t="s">
        <v>224</v>
      </c>
      <c r="AF11" s="300" t="str">
        <f>LEFT(S20,2)</f>
        <v>8.</v>
      </c>
      <c r="AG11" s="95">
        <f>SUMPRODUCT(MID(0&amp;AF11,LARGE(INDEX(ISNUMBER(--MID(AF11,ROW($1:$25),1))* ROW($1:$25),0),ROW($1:$25))+1,1)*10^ROW($1:$25)/10)</f>
        <v>8</v>
      </c>
      <c r="AH11" s="95" t="str">
        <f>RIGHT(S20,4)</f>
        <v>2019</v>
      </c>
      <c r="AI11" s="95"/>
      <c r="AJ11" s="214"/>
      <c r="AK11" s="95">
        <v>3</v>
      </c>
      <c r="AL11" s="95">
        <f>IF(Y11="","",IF(AB11=$AU$6,AK11,""))</f>
        <v>3</v>
      </c>
      <c r="AM11" s="95">
        <f t="shared" si="1"/>
        <v>3</v>
      </c>
      <c r="AN11" s="95"/>
      <c r="AO11" s="299" t="s">
        <v>180</v>
      </c>
      <c r="AP11" s="95"/>
      <c r="AQ11" s="95"/>
      <c r="AR11" s="95"/>
      <c r="AS11" s="95"/>
      <c r="AT11" s="95"/>
      <c r="AU11" s="95"/>
      <c r="AV11" s="95"/>
      <c r="AW11" s="95"/>
      <c r="AX11" s="95">
        <v>3</v>
      </c>
      <c r="AY11" s="95" t="str">
        <f>IF(ISERROR(INDEX($Y$9:$Y$21,MATCH(AM11,AK$9:$AK$21,FALSE),1)),"",INDEX($Y$9:$Y$21,MATCH(AM11,AK$9:$AK$21,FALSE),1))</f>
        <v>Non Drawn certificate</v>
      </c>
      <c r="AZ11" s="95"/>
      <c r="BA11" s="95"/>
      <c r="BB11" s="95"/>
      <c r="BC11" s="95"/>
    </row>
    <row r="12" spans="1:71" ht="19.5" customHeight="1">
      <c r="A12" s="426" t="s">
        <v>5</v>
      </c>
      <c r="B12" s="426"/>
      <c r="C12" s="426"/>
      <c r="D12" s="426"/>
      <c r="E12" s="426"/>
      <c r="F12" s="426"/>
      <c r="G12" s="516" t="s">
        <v>171</v>
      </c>
      <c r="H12" s="516"/>
      <c r="I12" s="516"/>
      <c r="J12" s="516"/>
      <c r="K12" s="410" t="s">
        <v>178</v>
      </c>
      <c r="L12" s="410"/>
      <c r="M12" s="410"/>
      <c r="N12" s="12"/>
      <c r="O12" s="526" t="s">
        <v>507</v>
      </c>
      <c r="P12" s="426"/>
      <c r="Q12" s="486" t="s">
        <v>526</v>
      </c>
      <c r="R12" s="486"/>
      <c r="S12" s="486"/>
      <c r="T12" s="486"/>
      <c r="U12" s="486"/>
      <c r="V12" s="487"/>
      <c r="W12" s="352"/>
      <c r="X12" s="96"/>
      <c r="Y12" s="508" t="s">
        <v>243</v>
      </c>
      <c r="Z12" s="509"/>
      <c r="AA12" s="510"/>
      <c r="AB12" s="294" t="s">
        <v>19</v>
      </c>
      <c r="AD12" s="95"/>
      <c r="AE12" s="95" t="str">
        <f>D17</f>
        <v>Recognized</v>
      </c>
      <c r="AF12" s="95">
        <v>2</v>
      </c>
      <c r="AG12" s="95"/>
      <c r="AH12" s="301">
        <f>DATE(AH11,AG11,1)</f>
        <v>43678</v>
      </c>
      <c r="AI12" s="95"/>
      <c r="AJ12" s="296"/>
      <c r="AK12" s="213">
        <v>4</v>
      </c>
      <c r="AL12" s="95">
        <f t="shared" si="0"/>
        <v>4</v>
      </c>
      <c r="AM12" s="95">
        <f t="shared" si="1"/>
        <v>4</v>
      </c>
      <c r="AN12" s="95"/>
      <c r="AO12" s="299" t="s">
        <v>181</v>
      </c>
      <c r="AP12" s="95"/>
      <c r="AQ12" s="95"/>
      <c r="AR12" s="302" t="str">
        <f>LEFT(K14,FIND(".",K14)-1)</f>
        <v>28</v>
      </c>
      <c r="AS12" s="302" t="str">
        <f>TRIM(LEFT(SUBSTITUTE(MID(K14,FIND("|",SUBSTITUTE(K14,".","|",1))+1,LEN(K14)),".",REPT(" ",LEN(K14))),LEN(K14)))</f>
        <v>06</v>
      </c>
      <c r="AT12" s="302" t="str">
        <f>TRIM(LEFT(SUBSTITUTE(MID(K14,FIND("|",SUBSTITUTE(K14,".","|",2))+1,LEN(K14)),".",REPT(" ",LEN(K14))),LEN(K14)))</f>
        <v>2023</v>
      </c>
      <c r="AU12" s="301">
        <f>DATE(AT12,AS12+6,AR12)</f>
        <v>45288</v>
      </c>
      <c r="AV12" s="95" t="str">
        <f>IF(AU13&gt;=AU12,"No","Yes")</f>
        <v>Yes</v>
      </c>
      <c r="AW12" s="95"/>
      <c r="AX12" s="95">
        <v>4</v>
      </c>
      <c r="AY12" s="95" t="str">
        <f>IF(ISERROR(INDEX($Y$9:$Y$21,MATCH(AM12,AK$9:$AK$21,FALSE),1)),"",INDEX($Y$9:$Y$21,MATCH(AM12,AK$9:$AK$21,FALSE),1))</f>
        <v>Hospital Recognition G.O.</v>
      </c>
      <c r="AZ12" s="95"/>
      <c r="BA12" s="95"/>
      <c r="BB12" s="95"/>
      <c r="BC12" s="95"/>
    </row>
    <row r="13" spans="1:71" ht="19.5" customHeight="1">
      <c r="A13" s="426" t="s">
        <v>1</v>
      </c>
      <c r="B13" s="426"/>
      <c r="C13" s="426"/>
      <c r="D13" s="447" t="s">
        <v>532</v>
      </c>
      <c r="E13" s="447"/>
      <c r="F13" s="447"/>
      <c r="G13" s="447"/>
      <c r="H13" s="447"/>
      <c r="I13" s="447"/>
      <c r="J13" s="447"/>
      <c r="K13" s="447"/>
      <c r="L13" s="447"/>
      <c r="M13" s="447"/>
      <c r="N13" s="12"/>
      <c r="O13" s="526" t="s">
        <v>172</v>
      </c>
      <c r="P13" s="426"/>
      <c r="Q13" s="486" t="s">
        <v>519</v>
      </c>
      <c r="R13" s="486"/>
      <c r="S13" s="486"/>
      <c r="T13" s="486"/>
      <c r="U13" s="486"/>
      <c r="V13" s="487"/>
      <c r="W13" s="352"/>
      <c r="X13" s="96"/>
      <c r="Y13" s="499" t="s">
        <v>235</v>
      </c>
      <c r="Z13" s="499"/>
      <c r="AA13" s="499"/>
      <c r="AB13" s="294" t="s">
        <v>19</v>
      </c>
      <c r="AD13" s="95"/>
      <c r="AE13" s="95"/>
      <c r="AF13" s="298" t="s">
        <v>253</v>
      </c>
      <c r="AG13" s="95"/>
      <c r="AH13" s="303" t="str">
        <f>TEXT(AH12,"mmm-yyyy")</f>
        <v>Aug-2019</v>
      </c>
      <c r="AI13" s="95"/>
      <c r="AJ13" s="95"/>
      <c r="AK13" s="95">
        <v>8</v>
      </c>
      <c r="AL13" s="95">
        <f t="shared" si="0"/>
        <v>8</v>
      </c>
      <c r="AM13" s="95">
        <f t="shared" si="1"/>
        <v>6</v>
      </c>
      <c r="AN13" s="95"/>
      <c r="AO13" s="299" t="s">
        <v>182</v>
      </c>
      <c r="AP13" s="95"/>
      <c r="AQ13" s="95"/>
      <c r="AR13" s="302" t="str">
        <f>LEFT(F18,FIND(".",F18)-1)</f>
        <v>03</v>
      </c>
      <c r="AS13" s="302" t="str">
        <f>TRIM(LEFT(SUBSTITUTE(MID(F18,FIND("|",SUBSTITUTE(F18,".","|",1))+1,LEN(F18)),".",REPT(" ",LEN(F18))),LEN(F18)))</f>
        <v>08</v>
      </c>
      <c r="AT13" s="302" t="str">
        <f>TRIM(LEFT(SUBSTITUTE(MID(F18,FIND("|",SUBSTITUTE(F18,".","|",2))+1,LEN(F18)),".",REPT(" ",LEN(F18))),LEN(F18)))</f>
        <v>2023</v>
      </c>
      <c r="AU13" s="304">
        <f>DATE(AT13,AS13,AR13)</f>
        <v>45141</v>
      </c>
      <c r="AV13" s="95"/>
      <c r="AW13" s="95"/>
      <c r="AX13" s="95">
        <v>5</v>
      </c>
      <c r="AY13" s="95" t="str">
        <f>IF(ISERROR(INDEX($Y$9:$Y$21,MATCH(AM13,AK$9:$AK$21,FALSE),1)),"",INDEX($Y$9:$Y$21,MATCH(AM13,AK$9:$AK$21,FALSE),1))</f>
        <v xml:space="preserve">PPO.Xerox copy </v>
      </c>
      <c r="AZ13" s="95"/>
      <c r="BA13" s="95"/>
      <c r="BB13" s="95"/>
      <c r="BC13" s="95"/>
    </row>
    <row r="14" spans="1:71" ht="19.5" customHeight="1">
      <c r="A14" s="426" t="s">
        <v>47</v>
      </c>
      <c r="B14" s="426"/>
      <c r="C14" s="426"/>
      <c r="D14" s="426"/>
      <c r="E14" s="426"/>
      <c r="F14" s="426"/>
      <c r="G14" s="436" t="s">
        <v>533</v>
      </c>
      <c r="H14" s="436"/>
      <c r="I14" s="436"/>
      <c r="J14" s="306" t="s">
        <v>4</v>
      </c>
      <c r="K14" s="436" t="s">
        <v>534</v>
      </c>
      <c r="L14" s="436"/>
      <c r="M14" s="436"/>
      <c r="N14" s="12"/>
      <c r="O14" s="526" t="s">
        <v>173</v>
      </c>
      <c r="P14" s="426"/>
      <c r="Q14" s="486" t="s">
        <v>520</v>
      </c>
      <c r="R14" s="486"/>
      <c r="S14" s="486"/>
      <c r="T14" s="486"/>
      <c r="U14" s="486"/>
      <c r="V14" s="487"/>
      <c r="W14" s="352"/>
      <c r="X14" s="96"/>
      <c r="Y14" s="499" t="s">
        <v>236</v>
      </c>
      <c r="Z14" s="499"/>
      <c r="AA14" s="499"/>
      <c r="AB14" s="294" t="s">
        <v>19</v>
      </c>
      <c r="AD14" s="95"/>
      <c r="AE14" s="95"/>
      <c r="AF14" s="298" t="s">
        <v>254</v>
      </c>
      <c r="AG14" s="95"/>
      <c r="AH14" s="95"/>
      <c r="AI14" s="95"/>
      <c r="AJ14" s="95"/>
      <c r="AK14" s="213">
        <v>9</v>
      </c>
      <c r="AL14" s="95">
        <f t="shared" si="0"/>
        <v>9</v>
      </c>
      <c r="AM14" s="95">
        <f t="shared" si="1"/>
        <v>7</v>
      </c>
      <c r="AN14" s="95"/>
      <c r="AO14" s="299" t="s">
        <v>183</v>
      </c>
      <c r="AP14" s="95"/>
      <c r="AQ14" s="95"/>
      <c r="AR14" s="95"/>
      <c r="AS14" s="95"/>
      <c r="AT14" s="95"/>
      <c r="AU14" s="95"/>
      <c r="AV14" s="95"/>
      <c r="AW14" s="95"/>
      <c r="AX14" s="95">
        <v>6</v>
      </c>
      <c r="AY14" s="95" t="str">
        <f>IF(ISERROR(INDEX($Y$9:$Y$21,MATCH(AM14,AK$9:$AK$21,FALSE),1)),"",INDEX($Y$9:$Y$21,MATCH(AM14,AK$9:$AK$21,FALSE),1))</f>
        <v>Genuine Certificate</v>
      </c>
      <c r="AZ14" s="95"/>
      <c r="BA14" s="95"/>
      <c r="BB14" s="95"/>
      <c r="BC14" s="95"/>
    </row>
    <row r="15" spans="1:71" ht="19.5" customHeight="1">
      <c r="A15" s="426" t="s">
        <v>2</v>
      </c>
      <c r="B15" s="426"/>
      <c r="C15" s="426"/>
      <c r="D15" s="512" t="s">
        <v>536</v>
      </c>
      <c r="E15" s="512"/>
      <c r="F15" s="512"/>
      <c r="G15" s="512"/>
      <c r="H15" s="512"/>
      <c r="I15" s="512"/>
      <c r="J15" s="512"/>
      <c r="K15" s="512"/>
      <c r="L15" s="512"/>
      <c r="M15" s="512"/>
      <c r="N15" s="12"/>
      <c r="O15" s="521" t="str">
        <f>IF(AH3=1,"DDO Lr No. "," "&amp; S10&amp;" Pro. No. ")</f>
        <v xml:space="preserve">DDO Lr No. </v>
      </c>
      <c r="P15" s="522"/>
      <c r="Q15" s="522"/>
      <c r="R15" s="522"/>
      <c r="S15" s="523" t="s">
        <v>527</v>
      </c>
      <c r="T15" s="523"/>
      <c r="U15" s="523"/>
      <c r="V15" s="524"/>
      <c r="W15" s="352"/>
      <c r="X15" s="96"/>
      <c r="Y15" s="499" t="s">
        <v>237</v>
      </c>
      <c r="Z15" s="499"/>
      <c r="AA15" s="499"/>
      <c r="AB15" s="294" t="s">
        <v>19</v>
      </c>
      <c r="AD15" s="95"/>
      <c r="AE15" s="95"/>
      <c r="AF15" s="95"/>
      <c r="AG15" s="95"/>
      <c r="AH15" s="95"/>
      <c r="AI15" s="95"/>
      <c r="AJ15" s="95"/>
      <c r="AK15" s="95">
        <v>10</v>
      </c>
      <c r="AL15" s="95">
        <f t="shared" si="0"/>
        <v>10</v>
      </c>
      <c r="AM15" s="95">
        <f t="shared" si="1"/>
        <v>8</v>
      </c>
      <c r="AN15" s="95"/>
      <c r="AO15" s="299" t="s">
        <v>171</v>
      </c>
      <c r="AP15" s="95"/>
      <c r="AQ15" s="95"/>
      <c r="AR15" s="95"/>
      <c r="AS15" s="95"/>
      <c r="AT15" s="95"/>
      <c r="AU15" s="95"/>
      <c r="AV15" s="95"/>
      <c r="AW15" s="95"/>
      <c r="AX15" s="95">
        <v>7</v>
      </c>
      <c r="AY15" s="95" t="str">
        <f>IF(ISERROR(INDEX($Y$9:$Y$21,MATCH(AM15,AK$9:$AK$21,FALSE),1)),"",INDEX($Y$9:$Y$21,MATCH(AM15,AK$9:$AK$21,FALSE),1))</f>
        <v>Emergency certificate</v>
      </c>
      <c r="AZ15" s="95"/>
      <c r="BA15" s="95"/>
      <c r="BB15" s="95"/>
      <c r="BC15" s="95"/>
    </row>
    <row r="16" spans="1:71" ht="19.5" customHeight="1">
      <c r="A16" s="426" t="s">
        <v>3</v>
      </c>
      <c r="B16" s="426"/>
      <c r="C16" s="426"/>
      <c r="D16" s="447" t="s">
        <v>535</v>
      </c>
      <c r="E16" s="447"/>
      <c r="F16" s="447"/>
      <c r="G16" s="447"/>
      <c r="H16" s="447"/>
      <c r="I16" s="447"/>
      <c r="J16" s="447"/>
      <c r="K16" s="447"/>
      <c r="L16" s="447"/>
      <c r="M16" s="447"/>
      <c r="N16" s="12"/>
      <c r="O16" s="521" t="str">
        <f>IF(AH3=1,"DDO Lr  Date",""&amp;S10&amp;" Pro. Date")</f>
        <v>DDO Lr  Date</v>
      </c>
      <c r="P16" s="522"/>
      <c r="Q16" s="522"/>
      <c r="R16" s="522"/>
      <c r="S16" s="522"/>
      <c r="T16" s="522"/>
      <c r="U16" s="465" t="s">
        <v>528</v>
      </c>
      <c r="V16" s="552"/>
      <c r="W16" s="352"/>
      <c r="X16" s="96"/>
      <c r="Y16" s="499" t="s">
        <v>238</v>
      </c>
      <c r="Z16" s="499"/>
      <c r="AA16" s="499"/>
      <c r="AB16" s="294" t="s">
        <v>19</v>
      </c>
      <c r="AD16" s="95"/>
      <c r="AE16" s="305"/>
      <c r="AF16" s="305"/>
      <c r="AG16" s="305"/>
      <c r="AH16" s="296"/>
      <c r="AI16" s="80"/>
      <c r="AJ16" s="80"/>
      <c r="AK16" s="213">
        <v>11</v>
      </c>
      <c r="AL16" s="95">
        <f t="shared" si="0"/>
        <v>11</v>
      </c>
      <c r="AM16" s="95">
        <f t="shared" si="1"/>
        <v>9</v>
      </c>
      <c r="AN16" s="95"/>
      <c r="AO16" s="95"/>
      <c r="AP16" s="95"/>
      <c r="AQ16" s="95"/>
      <c r="AR16" s="70"/>
      <c r="AS16" s="70"/>
      <c r="AT16" s="70"/>
      <c r="AU16" s="70"/>
      <c r="AV16" s="70"/>
      <c r="AW16" s="95"/>
      <c r="AX16" s="95">
        <v>8</v>
      </c>
      <c r="AY16" s="95" t="str">
        <f>IF(ISERROR(INDEX($Y$9:$Y$21,MATCH(AM16,AK$9:$AK$21,FALSE),1)),"",INDEX($Y$9:$Y$21,MATCH(AM16,AK$9:$AK$21,FALSE),1))</f>
        <v>Essentiality certificate</v>
      </c>
      <c r="AZ16" s="95"/>
      <c r="BA16" s="95"/>
      <c r="BB16" s="95"/>
      <c r="BC16" s="95"/>
      <c r="BE16" s="431"/>
      <c r="BF16" s="431"/>
      <c r="BG16" s="431"/>
    </row>
    <row r="17" spans="1:59" ht="19.5" customHeight="1">
      <c r="A17" s="426" t="s">
        <v>245</v>
      </c>
      <c r="B17" s="426"/>
      <c r="C17" s="426"/>
      <c r="D17" s="538" t="s">
        <v>224</v>
      </c>
      <c r="E17" s="539"/>
      <c r="F17" s="539"/>
      <c r="G17" s="540"/>
      <c r="H17" s="537" t="s">
        <v>248</v>
      </c>
      <c r="I17" s="537"/>
      <c r="J17" s="536">
        <v>55000</v>
      </c>
      <c r="K17" s="536"/>
      <c r="L17" s="536"/>
      <c r="M17" s="536"/>
      <c r="N17" s="94"/>
      <c r="O17" s="437" t="s">
        <v>258</v>
      </c>
      <c r="P17" s="438"/>
      <c r="Q17" s="432">
        <v>25000</v>
      </c>
      <c r="R17" s="432"/>
      <c r="S17" s="433" t="s">
        <v>257</v>
      </c>
      <c r="T17" s="433"/>
      <c r="U17" s="433"/>
      <c r="V17" s="320" t="s">
        <v>499</v>
      </c>
      <c r="W17" s="352"/>
      <c r="X17" s="96"/>
      <c r="Y17" s="499" t="s">
        <v>242</v>
      </c>
      <c r="Z17" s="499"/>
      <c r="AA17" s="499"/>
      <c r="AB17" s="294" t="s">
        <v>19</v>
      </c>
      <c r="AD17" s="95"/>
      <c r="AE17" s="305"/>
      <c r="AF17" s="305"/>
      <c r="AG17" s="305"/>
      <c r="AH17" s="296"/>
      <c r="AI17" s="80"/>
      <c r="AJ17" s="80"/>
      <c r="AK17" s="95">
        <v>7</v>
      </c>
      <c r="AL17" s="95">
        <f t="shared" si="0"/>
        <v>7</v>
      </c>
      <c r="AM17" s="95">
        <f t="shared" si="1"/>
        <v>10</v>
      </c>
      <c r="AN17" s="95"/>
      <c r="AO17" s="95"/>
      <c r="AP17" s="95"/>
      <c r="AQ17" s="95"/>
      <c r="AR17" s="70"/>
      <c r="AS17" s="70"/>
      <c r="AT17" s="70"/>
      <c r="AU17" s="70"/>
      <c r="AV17" s="70"/>
      <c r="AW17" s="95"/>
      <c r="AX17" s="95">
        <v>9</v>
      </c>
      <c r="AY17" s="95" t="str">
        <f>IF(ISERROR(INDEX($Y$9:$Y$21,MATCH(AM17,AK$9:$AK$21,FALSE),1)),"",INDEX($Y$9:$Y$21,MATCH(AM17,AK$9:$AK$21,FALSE),1))</f>
        <v>Discharge summary</v>
      </c>
      <c r="AZ17" s="95"/>
      <c r="BA17" s="95"/>
      <c r="BB17" s="95"/>
      <c r="BC17" s="95"/>
      <c r="BE17" s="218"/>
      <c r="BF17" s="218"/>
      <c r="BG17" s="218"/>
    </row>
    <row r="18" spans="1:59" ht="19.5" customHeight="1">
      <c r="A18" s="426" t="s">
        <v>246</v>
      </c>
      <c r="B18" s="426"/>
      <c r="C18" s="426"/>
      <c r="D18" s="426"/>
      <c r="E18" s="426"/>
      <c r="F18" s="436" t="s">
        <v>528</v>
      </c>
      <c r="G18" s="436"/>
      <c r="H18" s="436"/>
      <c r="I18" s="433" t="s">
        <v>31</v>
      </c>
      <c r="J18" s="433"/>
      <c r="K18" s="436" t="s">
        <v>174</v>
      </c>
      <c r="L18" s="436"/>
      <c r="M18" s="436"/>
      <c r="N18" s="94"/>
      <c r="O18" s="439" t="str">
        <f>IF($AF$4&gt;2,"Family Pensioner A/c No:","Employee Bank A/C No.")</f>
        <v>Employee Bank A/C No.</v>
      </c>
      <c r="P18" s="440"/>
      <c r="Q18" s="440"/>
      <c r="R18" s="428" t="s">
        <v>500</v>
      </c>
      <c r="S18" s="429"/>
      <c r="T18" s="430"/>
      <c r="U18" s="382" t="s">
        <v>466</v>
      </c>
      <c r="V18" s="320" t="s">
        <v>499</v>
      </c>
      <c r="W18" s="352"/>
      <c r="X18" s="96"/>
      <c r="Y18" s="499"/>
      <c r="Z18" s="499"/>
      <c r="AA18" s="499"/>
      <c r="AB18" s="294" t="s">
        <v>19</v>
      </c>
      <c r="AD18" s="95"/>
      <c r="AE18" s="305"/>
      <c r="AF18" s="305"/>
      <c r="AG18" s="305"/>
      <c r="AH18" s="296"/>
      <c r="AI18" s="80"/>
      <c r="AJ18" s="80"/>
      <c r="AK18" s="213">
        <v>12</v>
      </c>
      <c r="AL18" s="95" t="str">
        <f t="shared" si="0"/>
        <v/>
      </c>
      <c r="AM18" s="95">
        <f t="shared" si="1"/>
        <v>11</v>
      </c>
      <c r="AN18" s="95"/>
      <c r="AO18" s="95"/>
      <c r="AP18" s="95"/>
      <c r="AQ18" s="95"/>
      <c r="AR18" s="70"/>
      <c r="AS18" s="70"/>
      <c r="AT18" s="70"/>
      <c r="AU18" s="70"/>
      <c r="AV18" s="70"/>
      <c r="AW18" s="95"/>
      <c r="AX18" s="95">
        <v>10</v>
      </c>
      <c r="AY18" s="95" t="str">
        <f>IF(ISERROR(INDEX($Y$9:$Y$21,MATCH(AM18,AK$9:$AK$21,FALSE),1)),"",INDEX($Y$9:$Y$21,MATCH(AM18,AK$9:$AK$21,FALSE),1))</f>
        <v>Original Medical Bills</v>
      </c>
      <c r="AZ18" s="95"/>
      <c r="BA18" s="95"/>
      <c r="BB18" s="95"/>
      <c r="BC18" s="95"/>
      <c r="BE18" s="218"/>
      <c r="BF18" s="218"/>
      <c r="BG18" s="218"/>
    </row>
    <row r="19" spans="1:59" ht="20.25" customHeight="1">
      <c r="A19" s="442" t="s">
        <v>347</v>
      </c>
      <c r="B19" s="442"/>
      <c r="C19" s="455" t="s">
        <v>393</v>
      </c>
      <c r="D19" s="456"/>
      <c r="E19" s="456"/>
      <c r="F19" s="456"/>
      <c r="G19" s="456"/>
      <c r="H19" s="434" t="s">
        <v>391</v>
      </c>
      <c r="I19" s="435"/>
      <c r="J19" s="457" t="s">
        <v>497</v>
      </c>
      <c r="K19" s="458"/>
      <c r="L19" s="458"/>
      <c r="M19" s="458"/>
      <c r="N19" s="94"/>
      <c r="O19" s="547" t="s">
        <v>444</v>
      </c>
      <c r="P19" s="548"/>
      <c r="Q19" s="548"/>
      <c r="R19" s="549" t="s">
        <v>465</v>
      </c>
      <c r="S19" s="549"/>
      <c r="T19" s="382" t="s">
        <v>464</v>
      </c>
      <c r="U19" s="427" t="s">
        <v>501</v>
      </c>
      <c r="V19" s="427"/>
      <c r="W19" s="352"/>
      <c r="X19" s="96"/>
      <c r="Y19" s="499"/>
      <c r="Z19" s="499"/>
      <c r="AA19" s="499"/>
      <c r="AB19" s="294" t="s">
        <v>19</v>
      </c>
      <c r="AD19" s="95"/>
      <c r="AE19" s="95"/>
      <c r="AF19" s="95"/>
      <c r="AG19" s="95"/>
      <c r="AH19" s="95"/>
      <c r="AI19" s="95"/>
      <c r="AJ19" s="95"/>
      <c r="AK19" s="95">
        <v>13</v>
      </c>
      <c r="AL19" s="95" t="str">
        <f t="shared" si="0"/>
        <v/>
      </c>
      <c r="AM19" s="95" t="str">
        <f t="shared" si="1"/>
        <v/>
      </c>
      <c r="AN19" s="95"/>
      <c r="AO19" s="95"/>
      <c r="AP19" s="95"/>
      <c r="AQ19" s="95"/>
      <c r="AR19" s="95"/>
      <c r="AS19" s="95"/>
      <c r="AT19" s="95"/>
      <c r="AU19" s="95"/>
      <c r="AV19" s="95"/>
      <c r="AW19" s="95"/>
      <c r="AX19" s="95">
        <v>11</v>
      </c>
      <c r="AY19" s="95" t="str">
        <f>IF(ISERROR(INDEX($Y$9:$Y$21,MATCH(AM19,AK$9:$AK$21,FALSE),1)),"",INDEX($Y$9:$Y$21,MATCH(AM19,AK$9:$AK$21,FALSE),1))</f>
        <v/>
      </c>
      <c r="AZ19" s="95"/>
      <c r="BA19" s="95"/>
      <c r="BB19" s="95"/>
      <c r="BC19" s="95"/>
    </row>
    <row r="20" spans="1:59" ht="19.5" customHeight="1">
      <c r="A20" s="532" t="s">
        <v>352</v>
      </c>
      <c r="B20" s="532"/>
      <c r="C20" s="532"/>
      <c r="D20" s="460" t="s">
        <v>488</v>
      </c>
      <c r="E20" s="460"/>
      <c r="F20" s="460"/>
      <c r="G20" s="460"/>
      <c r="H20" s="460"/>
      <c r="I20" s="460"/>
      <c r="J20" s="533" t="s">
        <v>353</v>
      </c>
      <c r="K20" s="533"/>
      <c r="L20" s="459"/>
      <c r="M20" s="459"/>
      <c r="N20" s="94"/>
      <c r="O20" s="550" t="s">
        <v>438</v>
      </c>
      <c r="P20" s="551"/>
      <c r="Q20" s="551"/>
      <c r="R20" s="551"/>
      <c r="S20" s="534">
        <v>8.2019000000000002</v>
      </c>
      <c r="T20" s="535"/>
      <c r="U20" s="535"/>
      <c r="V20" s="535"/>
      <c r="W20" s="352"/>
      <c r="X20" s="96"/>
      <c r="Y20" s="525" t="str">
        <f>IF(OR(AH5=2,AH5=4),"PPO.Xerox copy ","")</f>
        <v xml:space="preserve">PPO.Xerox copy </v>
      </c>
      <c r="Z20" s="525"/>
      <c r="AA20" s="525"/>
      <c r="AB20" s="219"/>
      <c r="AD20" s="95"/>
      <c r="AE20" s="95"/>
      <c r="AF20" s="95"/>
      <c r="AG20" s="95"/>
      <c r="AH20" s="95"/>
      <c r="AI20" s="95"/>
      <c r="AJ20" s="95"/>
      <c r="AK20" s="95">
        <v>6</v>
      </c>
      <c r="AL20" s="95">
        <f>IF(Y20="","",AK20)</f>
        <v>6</v>
      </c>
      <c r="AM20" s="95" t="str">
        <f t="shared" si="1"/>
        <v/>
      </c>
      <c r="AN20" s="95"/>
      <c r="AO20" s="95"/>
      <c r="AP20" s="95"/>
      <c r="AQ20" s="95"/>
      <c r="AR20" s="95"/>
      <c r="AS20" s="95"/>
      <c r="AT20" s="95"/>
      <c r="AU20" s="95"/>
      <c r="AV20" s="95"/>
      <c r="AW20" s="95"/>
      <c r="AX20" s="95">
        <v>12</v>
      </c>
      <c r="AY20" s="95" t="str">
        <f>IF(ISERROR(INDEX($Y$9:$Y$21,MATCH(AM20,AK$9:$AK$21,FALSE),1)),"",INDEX($Y$9:$Y$21,MATCH(AM20,AK$9:$AK$21,FALSE),1))</f>
        <v/>
      </c>
      <c r="AZ20" s="95"/>
      <c r="BA20" s="95"/>
      <c r="BB20" s="95"/>
      <c r="BC20" s="95"/>
    </row>
    <row r="21" spans="1:59" ht="18" customHeight="1">
      <c r="A21" s="515" t="str">
        <f>IF(Q17&lt;=50000," The Medical Superintendent Dist Hospital "&amp;Q14&amp;" Lr .No :"," Medical Reimbursement Board Lr .No ")</f>
        <v xml:space="preserve"> The Medical Superintendent Dist Hospital PARVATHIPURAM MANYAM Lr .No :</v>
      </c>
      <c r="B21" s="515"/>
      <c r="C21" s="515"/>
      <c r="D21" s="515"/>
      <c r="E21" s="515"/>
      <c r="F21" s="515"/>
      <c r="G21" s="515"/>
      <c r="H21" s="515"/>
      <c r="I21" s="515"/>
      <c r="J21" s="515"/>
      <c r="K21" s="515"/>
      <c r="L21" s="529" t="s">
        <v>469</v>
      </c>
      <c r="M21" s="530"/>
      <c r="N21" s="530"/>
      <c r="O21" s="530"/>
      <c r="P21" s="530"/>
      <c r="Q21" s="530"/>
      <c r="R21" s="530"/>
      <c r="S21" s="531"/>
      <c r="T21" s="351" t="s">
        <v>335</v>
      </c>
      <c r="U21" s="465" t="s">
        <v>470</v>
      </c>
      <c r="V21" s="466"/>
      <c r="W21" s="352"/>
      <c r="X21" s="96"/>
      <c r="Y21" s="525" t="str">
        <f>IF(OR(AH6=1,AH5&gt;2),"","Dependent certificate")</f>
        <v/>
      </c>
      <c r="Z21" s="525"/>
      <c r="AA21" s="525"/>
      <c r="AB21" s="219"/>
      <c r="AD21" s="95"/>
      <c r="AE21" s="95"/>
      <c r="AF21" s="95"/>
      <c r="AG21" s="95"/>
      <c r="AH21" s="95"/>
      <c r="AI21" s="95"/>
      <c r="AJ21" s="95"/>
      <c r="AK21" s="95">
        <v>5</v>
      </c>
      <c r="AL21" s="95" t="str">
        <f>IF(Y21="","",AK21)</f>
        <v/>
      </c>
      <c r="AM21" s="95" t="str">
        <f t="shared" si="1"/>
        <v/>
      </c>
      <c r="AN21" s="95"/>
      <c r="AO21" s="95"/>
      <c r="AP21" s="95"/>
      <c r="AQ21" s="95"/>
      <c r="AR21" s="95"/>
      <c r="AS21" s="95"/>
      <c r="AT21" s="95"/>
      <c r="AU21" s="95"/>
      <c r="AV21" s="95"/>
      <c r="AW21" s="95"/>
      <c r="AX21" s="95">
        <v>13</v>
      </c>
      <c r="AY21" s="95" t="str">
        <f>IF(ISERROR(INDEX($Y$9:$Y$21,MATCH(AM21,AK$9:$AK$21,FALSE),1)),"",INDEX($Y$9:$Y$21,MATCH(AM21,AK$9:$AK$21,FALSE),1))</f>
        <v/>
      </c>
      <c r="AZ21" s="95"/>
      <c r="BA21" s="95"/>
      <c r="BB21" s="95"/>
      <c r="BC21" s="95"/>
    </row>
    <row r="22" spans="1:59" ht="19.5" customHeight="1">
      <c r="A22" s="470" t="str">
        <f>IF(AE4=2,"The ZP Chief Executive Officer "&amp;Q14&amp;" Pro .No",""&amp;IF(Q17&lt;=50000," DEO  "&amp;Q14,"DSE ")&amp;" Pro. No. ")</f>
        <v xml:space="preserve"> DEO  PARVATHIPURAM MANYAM Pro. No. </v>
      </c>
      <c r="B22" s="470"/>
      <c r="C22" s="470"/>
      <c r="D22" s="470"/>
      <c r="E22" s="470"/>
      <c r="F22" s="470"/>
      <c r="G22" s="470"/>
      <c r="H22" s="470"/>
      <c r="I22" s="470"/>
      <c r="J22" s="464" t="s">
        <v>437</v>
      </c>
      <c r="K22" s="464"/>
      <c r="L22" s="464"/>
      <c r="M22" s="464"/>
      <c r="N22" s="464"/>
      <c r="O22" s="464"/>
      <c r="P22" s="464"/>
      <c r="Q22" s="463" t="s">
        <v>335</v>
      </c>
      <c r="R22" s="463"/>
      <c r="S22" s="465" t="s">
        <v>468</v>
      </c>
      <c r="T22" s="465"/>
      <c r="U22" s="465"/>
      <c r="V22" s="466"/>
      <c r="W22" s="352"/>
      <c r="X22" s="96"/>
      <c r="AD22" s="95"/>
      <c r="AE22" s="95"/>
      <c r="AF22" s="95"/>
      <c r="AG22" s="95"/>
      <c r="AH22" s="95"/>
      <c r="AI22" s="95"/>
      <c r="AJ22" s="95"/>
      <c r="AK22" s="95"/>
      <c r="AL22" s="95"/>
      <c r="AM22" s="95"/>
      <c r="AN22" s="95"/>
      <c r="AO22" s="95"/>
      <c r="AP22" s="95"/>
      <c r="AQ22" s="95"/>
      <c r="AR22" s="95"/>
      <c r="AS22" s="95"/>
      <c r="AT22" s="95"/>
      <c r="AU22" s="95"/>
      <c r="AV22" s="95"/>
      <c r="AW22" s="95"/>
      <c r="AX22" s="95"/>
      <c r="AY22" s="95"/>
      <c r="AZ22" s="95"/>
      <c r="BA22" s="95"/>
      <c r="BB22" s="95"/>
      <c r="BC22" s="95"/>
    </row>
    <row r="23" spans="1:59" ht="19.5" customHeight="1" thickBot="1">
      <c r="A23" s="448" t="str">
        <f>IF(AH5&gt;1,"Pensioner Address","Employee House Address")</f>
        <v>Pensioner Address</v>
      </c>
      <c r="B23" s="449"/>
      <c r="C23" s="449"/>
      <c r="D23" s="449"/>
      <c r="E23" s="450"/>
      <c r="F23" s="286"/>
      <c r="G23" s="441" t="s">
        <v>250</v>
      </c>
      <c r="H23" s="441"/>
      <c r="I23" s="441"/>
      <c r="J23" s="441"/>
      <c r="K23" s="441"/>
      <c r="L23" s="441"/>
      <c r="M23" s="441"/>
      <c r="N23" s="441"/>
      <c r="O23" s="288"/>
      <c r="P23" s="497" t="s">
        <v>251</v>
      </c>
      <c r="Q23" s="497"/>
      <c r="R23" s="497"/>
      <c r="S23" s="497"/>
      <c r="T23" s="497"/>
      <c r="U23" s="497"/>
      <c r="V23" s="497"/>
      <c r="W23" s="13"/>
      <c r="X23" s="96"/>
      <c r="Y23" s="96"/>
      <c r="Z23" s="96"/>
      <c r="AA23" s="96"/>
      <c r="AD23" s="95"/>
      <c r="AE23" s="95"/>
      <c r="AF23" s="95"/>
      <c r="AG23" s="296"/>
      <c r="AH23" s="296"/>
      <c r="AI23" s="296"/>
      <c r="AJ23" s="95"/>
      <c r="AK23" s="95"/>
      <c r="AL23" s="95"/>
      <c r="AM23" s="95"/>
      <c r="AN23" s="95"/>
      <c r="AO23" s="95"/>
      <c r="AP23" s="95"/>
      <c r="AQ23" s="95"/>
      <c r="AR23" s="95"/>
      <c r="AS23" s="95"/>
      <c r="AT23" s="95"/>
      <c r="AU23" s="95"/>
      <c r="AV23" s="95"/>
      <c r="AW23" s="95"/>
      <c r="AX23" s="95"/>
      <c r="AY23" s="95"/>
      <c r="AZ23" s="95"/>
      <c r="BA23" s="95"/>
      <c r="BB23" s="95"/>
      <c r="BC23" s="95"/>
    </row>
    <row r="24" spans="1:59" ht="19.5" customHeight="1" thickTop="1" thickBot="1">
      <c r="A24" s="452"/>
      <c r="B24" s="453"/>
      <c r="C24" s="453"/>
      <c r="D24" s="453"/>
      <c r="E24" s="454"/>
      <c r="F24" s="287"/>
      <c r="G24" s="451" t="s">
        <v>7</v>
      </c>
      <c r="H24" s="451"/>
      <c r="I24" s="451"/>
      <c r="J24" s="451"/>
      <c r="K24" s="451"/>
      <c r="L24" s="451"/>
      <c r="M24" s="451"/>
      <c r="N24" s="451"/>
      <c r="O24" s="285"/>
      <c r="P24" s="443" t="s">
        <v>529</v>
      </c>
      <c r="Q24" s="443"/>
      <c r="R24" s="443"/>
      <c r="S24" s="443"/>
      <c r="T24" s="443"/>
      <c r="U24" s="443"/>
      <c r="V24" s="443"/>
      <c r="W24" s="13"/>
      <c r="X24" s="96"/>
      <c r="Y24" s="96"/>
      <c r="Z24" s="96"/>
      <c r="AA24" s="96"/>
      <c r="AG24" s="8"/>
      <c r="AH24" s="78"/>
      <c r="AI24" s="8"/>
    </row>
    <row r="25" spans="1:59" ht="19.5" customHeight="1" thickTop="1" thickBot="1">
      <c r="A25" s="461"/>
      <c r="B25" s="443"/>
      <c r="C25" s="443"/>
      <c r="D25" s="443"/>
      <c r="E25" s="462"/>
      <c r="F25" s="287"/>
      <c r="G25" s="451" t="str">
        <f>" "&amp;P6&amp;" District"</f>
        <v xml:space="preserve"> PARVATHIPURAM MANYAM District</v>
      </c>
      <c r="H25" s="451"/>
      <c r="I25" s="451"/>
      <c r="J25" s="451"/>
      <c r="K25" s="451"/>
      <c r="L25" s="451"/>
      <c r="M25" s="451"/>
      <c r="N25" s="451"/>
      <c r="O25" s="285"/>
      <c r="P25" s="443" t="s">
        <v>530</v>
      </c>
      <c r="Q25" s="443"/>
      <c r="R25" s="443"/>
      <c r="S25" s="443"/>
      <c r="T25" s="443"/>
      <c r="U25" s="443"/>
      <c r="V25" s="443"/>
      <c r="W25" s="13"/>
      <c r="X25" s="96"/>
      <c r="Y25" s="96"/>
      <c r="Z25" s="96"/>
      <c r="AA25" s="96"/>
      <c r="AG25" s="8"/>
      <c r="AH25" s="79"/>
      <c r="AI25" s="8"/>
    </row>
    <row r="26" spans="1:59" ht="19.5" customHeight="1" thickTop="1" thickBot="1">
      <c r="A26" s="444" t="s">
        <v>502</v>
      </c>
      <c r="B26" s="445"/>
      <c r="C26" s="445"/>
      <c r="D26" s="445"/>
      <c r="E26" s="446"/>
      <c r="F26" s="287"/>
      <c r="G26" s="451"/>
      <c r="H26" s="451"/>
      <c r="I26" s="451"/>
      <c r="J26" s="451"/>
      <c r="K26" s="451"/>
      <c r="L26" s="451"/>
      <c r="M26" s="451"/>
      <c r="N26" s="451"/>
      <c r="O26" s="285"/>
      <c r="P26" s="443" t="s">
        <v>531</v>
      </c>
      <c r="Q26" s="443"/>
      <c r="R26" s="443"/>
      <c r="S26" s="443"/>
      <c r="T26" s="443"/>
      <c r="U26" s="443"/>
      <c r="V26" s="443"/>
      <c r="W26" s="13"/>
      <c r="X26" s="96"/>
      <c r="Y26" s="96"/>
      <c r="Z26" s="96"/>
      <c r="AA26" s="96"/>
      <c r="AG26" s="8"/>
      <c r="AH26" s="80"/>
      <c r="AI26" s="8"/>
    </row>
    <row r="27" spans="1:59" ht="5.25" customHeight="1" thickTop="1">
      <c r="A27" s="13"/>
      <c r="B27" s="13"/>
      <c r="C27" s="13"/>
      <c r="D27" s="85"/>
      <c r="E27" s="85"/>
      <c r="F27" s="85"/>
      <c r="G27" s="13"/>
      <c r="H27" s="13"/>
      <c r="I27" s="13"/>
      <c r="J27" s="13"/>
      <c r="K27" s="13"/>
      <c r="L27" s="13"/>
      <c r="M27" s="13"/>
      <c r="N27" s="13"/>
      <c r="O27" s="13"/>
      <c r="P27" s="13"/>
      <c r="Q27" s="13"/>
      <c r="R27" s="13"/>
      <c r="S27" s="13"/>
      <c r="T27" s="13"/>
      <c r="U27" s="13"/>
      <c r="V27" s="13"/>
      <c r="W27" s="13"/>
      <c r="Y27" s="96"/>
      <c r="Z27" s="96"/>
      <c r="AA27" s="96"/>
      <c r="AG27" s="8"/>
      <c r="AH27" s="8"/>
      <c r="AI27" s="8"/>
    </row>
    <row r="28" spans="1:59" ht="18" customHeight="1">
      <c r="AG28" s="8"/>
      <c r="AH28" s="8"/>
      <c r="AI28" s="8"/>
    </row>
    <row r="29" spans="1:59" ht="18" customHeight="1"/>
    <row r="30" spans="1:59" ht="18" customHeight="1"/>
    <row r="31" spans="1:59" ht="18" customHeight="1"/>
    <row r="32" spans="1:59" ht="18" customHeight="1"/>
    <row r="33" ht="18" customHeight="1"/>
    <row r="34" ht="18" customHeight="1"/>
    <row r="35" ht="18" customHeight="1"/>
    <row r="36" ht="18" customHeight="1"/>
    <row r="37" ht="18" customHeight="1"/>
  </sheetData>
  <sheetProtection algorithmName="SHA-512" hashValue="iqV/5QkrVsKvBIu6I72eXvW4pZBgwjBaJiJvgss8vfKK5Ltllb5mjY15C615e0yfHJ8f/9XThyUn20Q1IW27Yw==" saltValue="O2YMPA5rYIKjezm5DmzVfg==" spinCount="100000" sheet="1" objects="1" scenarios="1" formatCells="0" formatColumns="0" formatRows="0" sort="0" autoFilter="0"/>
  <dataConsolidate/>
  <customSheetViews>
    <customSheetView guid="{B625ED32-945B-469E-9979-E993C41040F6}" showGridLines="0" hiddenRows="1" hiddenColumns="1">
      <selection activeCell="S4" sqref="S4:V4"/>
      <pageMargins left="0.7" right="0.7" top="0.75" bottom="0.75" header="0.3" footer="0.3"/>
      <pageSetup paperSize="9" orientation="landscape" horizontalDpi="300" verticalDpi="300" r:id="rId1"/>
    </customSheetView>
  </customSheetViews>
  <mergeCells count="126">
    <mergeCell ref="U3:V3"/>
    <mergeCell ref="Q4:R4"/>
    <mergeCell ref="S6:T6"/>
    <mergeCell ref="O19:Q19"/>
    <mergeCell ref="R19:S19"/>
    <mergeCell ref="O20:R20"/>
    <mergeCell ref="Q12:V12"/>
    <mergeCell ref="U16:V16"/>
    <mergeCell ref="O16:T16"/>
    <mergeCell ref="Q14:V14"/>
    <mergeCell ref="A21:K21"/>
    <mergeCell ref="O10:R10"/>
    <mergeCell ref="S10:V10"/>
    <mergeCell ref="O15:R15"/>
    <mergeCell ref="S15:V15"/>
    <mergeCell ref="Y20:AA20"/>
    <mergeCell ref="Y21:AA21"/>
    <mergeCell ref="Y10:AA10"/>
    <mergeCell ref="O13:P13"/>
    <mergeCell ref="O11:R11"/>
    <mergeCell ref="O14:P14"/>
    <mergeCell ref="O12:P12"/>
    <mergeCell ref="L21:S21"/>
    <mergeCell ref="Y18:AA18"/>
    <mergeCell ref="Y15:AA15"/>
    <mergeCell ref="Y19:AA19"/>
    <mergeCell ref="Y17:AA17"/>
    <mergeCell ref="A20:C20"/>
    <mergeCell ref="J20:K20"/>
    <mergeCell ref="S20:V20"/>
    <mergeCell ref="J17:M17"/>
    <mergeCell ref="H17:I17"/>
    <mergeCell ref="A16:C16"/>
    <mergeCell ref="D17:G17"/>
    <mergeCell ref="Y9:AA9"/>
    <mergeCell ref="Y16:AA16"/>
    <mergeCell ref="Y14:AA14"/>
    <mergeCell ref="Y4:AB5"/>
    <mergeCell ref="Y7:AA8"/>
    <mergeCell ref="Y13:AA13"/>
    <mergeCell ref="U6:V6"/>
    <mergeCell ref="I6:L6"/>
    <mergeCell ref="Q13:V13"/>
    <mergeCell ref="Y11:AA11"/>
    <mergeCell ref="Y12:AA12"/>
    <mergeCell ref="Q5:V5"/>
    <mergeCell ref="AB7:AB8"/>
    <mergeCell ref="D15:M15"/>
    <mergeCell ref="K14:M14"/>
    <mergeCell ref="G14:I14"/>
    <mergeCell ref="A10:I10"/>
    <mergeCell ref="E11:F11"/>
    <mergeCell ref="A11:D11"/>
    <mergeCell ref="A12:F12"/>
    <mergeCell ref="G12:J12"/>
    <mergeCell ref="A13:C13"/>
    <mergeCell ref="A14:F14"/>
    <mergeCell ref="D13:M13"/>
    <mergeCell ref="A2:E2"/>
    <mergeCell ref="G6:H6"/>
    <mergeCell ref="M5:P5"/>
    <mergeCell ref="G5:H5"/>
    <mergeCell ref="B3:E5"/>
    <mergeCell ref="A22:I22"/>
    <mergeCell ref="G25:N25"/>
    <mergeCell ref="A1:V1"/>
    <mergeCell ref="A9:D9"/>
    <mergeCell ref="E9:I9"/>
    <mergeCell ref="A7:E7"/>
    <mergeCell ref="O8:V8"/>
    <mergeCell ref="G3:K3"/>
    <mergeCell ref="I5:L5"/>
    <mergeCell ref="O9:V9"/>
    <mergeCell ref="S11:V11"/>
    <mergeCell ref="S4:V4"/>
    <mergeCell ref="G4:I4"/>
    <mergeCell ref="K4:P4"/>
    <mergeCell ref="J10:K10"/>
    <mergeCell ref="G11:M11"/>
    <mergeCell ref="J9:M9"/>
    <mergeCell ref="R3:T3"/>
    <mergeCell ref="P23:V23"/>
    <mergeCell ref="G23:N23"/>
    <mergeCell ref="A19:B19"/>
    <mergeCell ref="P26:V26"/>
    <mergeCell ref="A26:E26"/>
    <mergeCell ref="D16:M16"/>
    <mergeCell ref="A23:E23"/>
    <mergeCell ref="K18:M18"/>
    <mergeCell ref="A17:C17"/>
    <mergeCell ref="A18:E18"/>
    <mergeCell ref="I18:J18"/>
    <mergeCell ref="G26:N26"/>
    <mergeCell ref="G24:N24"/>
    <mergeCell ref="A24:E24"/>
    <mergeCell ref="C19:G19"/>
    <mergeCell ref="J19:M19"/>
    <mergeCell ref="P25:V25"/>
    <mergeCell ref="P24:V24"/>
    <mergeCell ref="L20:M20"/>
    <mergeCell ref="D20:I20"/>
    <mergeCell ref="A25:E25"/>
    <mergeCell ref="Q22:R22"/>
    <mergeCell ref="J22:P22"/>
    <mergeCell ref="S22:V22"/>
    <mergeCell ref="U21:V21"/>
    <mergeCell ref="A15:C15"/>
    <mergeCell ref="U19:V19"/>
    <mergeCell ref="R18:T18"/>
    <mergeCell ref="BE16:BG16"/>
    <mergeCell ref="Q17:R17"/>
    <mergeCell ref="S17:U17"/>
    <mergeCell ref="H19:I19"/>
    <mergeCell ref="F18:H18"/>
    <mergeCell ref="O17:P17"/>
    <mergeCell ref="O18:Q18"/>
    <mergeCell ref="K12:M12"/>
    <mergeCell ref="G7:H7"/>
    <mergeCell ref="I7:J7"/>
    <mergeCell ref="K7:L7"/>
    <mergeCell ref="M7:O7"/>
    <mergeCell ref="P6:R6"/>
    <mergeCell ref="A8:M8"/>
    <mergeCell ref="A6:E6"/>
    <mergeCell ref="F3:F7"/>
    <mergeCell ref="M6:O6"/>
  </mergeCells>
  <conditionalFormatting sqref="Q22 O17:V17 A19:M20 A21:A22 J22 L21 O20:V20 O18:O19 R18:R19 V18 T19:U19 S22 T21:U21">
    <cfRule type="expression" dxfId="21" priority="13" stopIfTrue="1">
      <formula>$AH$3=1</formula>
    </cfRule>
  </conditionalFormatting>
  <conditionalFormatting sqref="S6:V6">
    <cfRule type="expression" dxfId="20" priority="12" stopIfTrue="1">
      <formula>OR($AH$5=1,$AH$5=3)</formula>
    </cfRule>
  </conditionalFormatting>
  <conditionalFormatting sqref="A23:V26 I7">
    <cfRule type="expression" dxfId="19" priority="10" stopIfTrue="1">
      <formula>$AH$3=2</formula>
    </cfRule>
  </conditionalFormatting>
  <conditionalFormatting sqref="A9:M9 A17:M18 G7 S6:V6">
    <cfRule type="expression" dxfId="18" priority="7" stopIfTrue="1">
      <formula>$AH$3=2</formula>
    </cfRule>
  </conditionalFormatting>
  <conditionalFormatting sqref="Y7:AB19">
    <cfRule type="expression" dxfId="17" priority="6" stopIfTrue="1">
      <formula>$AH$3=2</formula>
    </cfRule>
  </conditionalFormatting>
  <conditionalFormatting sqref="Y4:AB5">
    <cfRule type="expression" dxfId="16" priority="5" stopIfTrue="1">
      <formula>$AH$3=1</formula>
    </cfRule>
  </conditionalFormatting>
  <conditionalFormatting sqref="U18">
    <cfRule type="expression" dxfId="15" priority="4" stopIfTrue="1">
      <formula>$AH$3=1</formula>
    </cfRule>
  </conditionalFormatting>
  <conditionalFormatting sqref="K12:M12">
    <cfRule type="expression" dxfId="14" priority="3" stopIfTrue="1">
      <formula>$G$12=$AO$15</formula>
    </cfRule>
  </conditionalFormatting>
  <conditionalFormatting sqref="K7:T7">
    <cfRule type="expression" dxfId="13" priority="2">
      <formula>$AF$4&gt;1</formula>
    </cfRule>
  </conditionalFormatting>
  <conditionalFormatting sqref="A11:M12">
    <cfRule type="expression" dxfId="12" priority="1">
      <formula>$J$10="Yes"</formula>
    </cfRule>
  </conditionalFormatting>
  <dataValidations count="5">
    <dataValidation type="custom" allowBlank="1" showInputMessage="1" showErrorMessage="1" error="ENTER DATE FORMATAS _x000a_DD.MM.YYYY _x000a_Dont add space in the cell" sqref="G14 U6 F18 K14">
      <formula1>AND(LEN(F6)=10,LEN(F6)=LEN(SUBSTITUTE(F6," ","")))</formula1>
    </dataValidation>
    <dataValidation type="textLength" allowBlank="1" showInputMessage="1" showErrorMessage="1" sqref="S20:V20">
      <formula1>6</formula1>
      <formula2>7</formula2>
    </dataValidation>
    <dataValidation type="list" allowBlank="1" showInputMessage="1" showErrorMessage="1" sqref="J10:K10 AB9:AB19">
      <formula1>$AU$6:$AU$7</formula1>
    </dataValidation>
    <dataValidation type="list" allowBlank="1" showInputMessage="1" showErrorMessage="1" sqref="G12:J12">
      <formula1>$AO$7:$AO$15</formula1>
    </dataValidation>
    <dataValidation type="list" allowBlank="1" showInputMessage="1" showErrorMessage="1" sqref="D17:G17">
      <formula1>$AE$10:$AE$11</formula1>
    </dataValidation>
  </dataValidations>
  <hyperlinks>
    <hyperlink ref="A7" r:id="rId2"/>
  </hyperlinks>
  <pageMargins left="0.7" right="0.7" top="0.75" bottom="0.75" header="0.3" footer="0.3"/>
  <pageSetup paperSize="9" orientation="landscape" horizontalDpi="300" verticalDpi="300" r:id="rId3"/>
  <drawing r:id="rId4"/>
  <legacyDrawing r:id="rId5"/>
  <mc:AlternateContent xmlns:mc="http://schemas.openxmlformats.org/markup-compatibility/2006">
    <mc:Choice Requires="x14">
      <controls>
        <mc:AlternateContent xmlns:mc="http://schemas.openxmlformats.org/markup-compatibility/2006">
          <mc:Choice Requires="x14">
            <control shapeId="2587" r:id="rId6" name="Drop Down 539">
              <controlPr defaultSize="0" autoLine="0" autoPict="0">
                <anchor moveWithCells="1">
                  <from>
                    <xdr:col>20</xdr:col>
                    <xdr:colOff>514350</xdr:colOff>
                    <xdr:row>13</xdr:row>
                    <xdr:rowOff>0</xdr:rowOff>
                  </from>
                  <to>
                    <xdr:col>22</xdr:col>
                    <xdr:colOff>0</xdr:colOff>
                    <xdr:row>14</xdr:row>
                    <xdr:rowOff>0</xdr:rowOff>
                  </to>
                </anchor>
              </controlPr>
            </control>
          </mc:Choice>
        </mc:AlternateContent>
        <mc:AlternateContent xmlns:mc="http://schemas.openxmlformats.org/markup-compatibility/2006">
          <mc:Choice Requires="x14">
            <control shapeId="2604" r:id="rId7" name="Drop Down 556">
              <controlPr defaultSize="0" autoLine="0" autoPict="0">
                <anchor moveWithCells="1">
                  <from>
                    <xdr:col>9</xdr:col>
                    <xdr:colOff>190500</xdr:colOff>
                    <xdr:row>2</xdr:row>
                    <xdr:rowOff>0</xdr:rowOff>
                  </from>
                  <to>
                    <xdr:col>17</xdr:col>
                    <xdr:colOff>180975</xdr:colOff>
                    <xdr:row>3</xdr:row>
                    <xdr:rowOff>0</xdr:rowOff>
                  </to>
                </anchor>
              </controlPr>
            </control>
          </mc:Choice>
        </mc:AlternateContent>
        <mc:AlternateContent xmlns:mc="http://schemas.openxmlformats.org/markup-compatibility/2006">
          <mc:Choice Requires="x14">
            <control shapeId="2692" r:id="rId8" name="Drop Down 644">
              <controlPr defaultSize="0" autoLine="0" autoPict="0">
                <anchor moveWithCells="1">
                  <from>
                    <xdr:col>21</xdr:col>
                    <xdr:colOff>304800</xdr:colOff>
                    <xdr:row>4</xdr:row>
                    <xdr:rowOff>0</xdr:rowOff>
                  </from>
                  <to>
                    <xdr:col>24</xdr:col>
                    <xdr:colOff>0</xdr:colOff>
                    <xdr:row>5</xdr:row>
                    <xdr:rowOff>0</xdr:rowOff>
                  </to>
                </anchor>
              </controlPr>
            </control>
          </mc:Choice>
        </mc:AlternateContent>
        <mc:AlternateContent xmlns:mc="http://schemas.openxmlformats.org/markup-compatibility/2006">
          <mc:Choice Requires="x14">
            <control shapeId="2822" r:id="rId9" name="Drop Down 774">
              <controlPr defaultSize="0" autoLine="0" autoPict="0">
                <anchor moveWithCells="1">
                  <from>
                    <xdr:col>17</xdr:col>
                    <xdr:colOff>771525</xdr:colOff>
                    <xdr:row>3</xdr:row>
                    <xdr:rowOff>9525</xdr:rowOff>
                  </from>
                  <to>
                    <xdr:col>20</xdr:col>
                    <xdr:colOff>85725</xdr:colOff>
                    <xdr:row>4</xdr:row>
                    <xdr:rowOff>0</xdr:rowOff>
                  </to>
                </anchor>
              </controlPr>
            </control>
          </mc:Choice>
        </mc:AlternateContent>
        <mc:AlternateContent xmlns:mc="http://schemas.openxmlformats.org/markup-compatibility/2006">
          <mc:Choice Requires="x14">
            <control shapeId="2823" r:id="rId10" name="Drop Down 775">
              <controlPr defaultSize="0" autoLine="0" autoPict="0">
                <anchor moveWithCells="1">
                  <from>
                    <xdr:col>21</xdr:col>
                    <xdr:colOff>0</xdr:colOff>
                    <xdr:row>3</xdr:row>
                    <xdr:rowOff>28575</xdr:rowOff>
                  </from>
                  <to>
                    <xdr:col>22</xdr:col>
                    <xdr:colOff>0</xdr:colOff>
                    <xdr:row>4</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9"/>
  <sheetViews>
    <sheetView topLeftCell="DE25" workbookViewId="0">
      <selection activeCell="DI30" sqref="DI30"/>
    </sheetView>
  </sheetViews>
  <sheetFormatPr defaultColWidth="9.140625" defaultRowHeight="15"/>
  <cols>
    <col min="1" max="1" width="14.7109375" style="15" customWidth="1"/>
    <col min="2" max="2" width="72.140625" style="15" customWidth="1"/>
    <col min="3" max="3" width="19.28515625" style="15" hidden="1" customWidth="1"/>
    <col min="4" max="4" width="24.85546875" style="15" hidden="1" customWidth="1"/>
    <col min="5" max="5" width="33.28515625" style="15" hidden="1" customWidth="1"/>
    <col min="6" max="6" width="49.140625" style="15" hidden="1" customWidth="1"/>
    <col min="7" max="7" width="55.85546875" style="15" hidden="1" customWidth="1"/>
    <col min="8" max="8" width="58.140625" style="15" hidden="1" customWidth="1"/>
    <col min="9" max="9" width="43.28515625" style="15" hidden="1" customWidth="1"/>
    <col min="10" max="10" width="47.140625" style="15" hidden="1" customWidth="1"/>
    <col min="11" max="11" width="26.7109375" style="15" hidden="1" customWidth="1"/>
    <col min="12" max="12" width="20.5703125" style="15" hidden="1" customWidth="1"/>
    <col min="13" max="13" width="25.28515625" style="15" hidden="1" customWidth="1"/>
    <col min="14" max="14" width="44.7109375" style="15" hidden="1" customWidth="1"/>
    <col min="15" max="15" width="27.42578125" style="15" hidden="1" customWidth="1"/>
    <col min="16" max="16" width="29.7109375" style="15" hidden="1" customWidth="1"/>
    <col min="17" max="17" width="119.85546875" style="15" hidden="1" customWidth="1"/>
    <col min="18" max="106" width="9.140625" style="15" hidden="1" customWidth="1"/>
    <col min="107" max="107" width="9.85546875" style="15" hidden="1" customWidth="1"/>
    <col min="108" max="108" width="11.7109375" style="15" hidden="1" customWidth="1"/>
    <col min="109" max="109" width="3.85546875" style="15" customWidth="1"/>
    <col min="110" max="110" width="10.28515625" style="15" customWidth="1"/>
    <col min="111" max="111" width="12" style="15" customWidth="1"/>
    <col min="112" max="112" width="9.140625" style="15"/>
    <col min="113" max="113" width="15.42578125" style="15" customWidth="1"/>
    <col min="114" max="114" width="11.28515625" style="15" customWidth="1"/>
    <col min="115" max="115" width="9.140625" style="15"/>
    <col min="116" max="116" width="12.85546875" style="15" customWidth="1"/>
    <col min="117" max="128" width="9.140625" style="15"/>
    <col min="129" max="129" width="6.85546875" style="15" customWidth="1"/>
    <col min="130" max="16384" width="9.140625" style="15"/>
  </cols>
  <sheetData>
    <row r="1" spans="1:128" hidden="1"/>
    <row r="2" spans="1:128" s="34" customFormat="1" hidden="1">
      <c r="G2" s="34">
        <v>1</v>
      </c>
      <c r="H2" s="34">
        <v>2</v>
      </c>
      <c r="I2" s="34">
        <v>3</v>
      </c>
      <c r="J2" s="34">
        <v>4</v>
      </c>
      <c r="K2" s="34">
        <v>5</v>
      </c>
      <c r="L2" s="34">
        <v>6</v>
      </c>
      <c r="M2" s="34">
        <v>7</v>
      </c>
      <c r="Q2" s="34">
        <v>8</v>
      </c>
      <c r="R2" s="34">
        <v>9</v>
      </c>
      <c r="S2" s="34">
        <v>10</v>
      </c>
      <c r="T2" s="34">
        <v>11</v>
      </c>
      <c r="U2" s="34">
        <v>12</v>
      </c>
      <c r="V2" s="34">
        <v>13</v>
      </c>
      <c r="W2" s="34">
        <v>14</v>
      </c>
      <c r="X2" s="34">
        <v>15</v>
      </c>
      <c r="Y2" s="34">
        <v>16</v>
      </c>
      <c r="Z2" s="34">
        <v>17</v>
      </c>
      <c r="AA2" s="34">
        <v>18</v>
      </c>
      <c r="AB2" s="34">
        <v>19</v>
      </c>
      <c r="AC2" s="34">
        <v>20</v>
      </c>
      <c r="AD2" s="34">
        <v>21</v>
      </c>
      <c r="AE2" s="34">
        <v>22</v>
      </c>
      <c r="AF2" s="34">
        <v>23</v>
      </c>
      <c r="AG2" s="34">
        <v>24</v>
      </c>
      <c r="AH2" s="34">
        <v>25</v>
      </c>
      <c r="AI2" s="34">
        <v>26</v>
      </c>
      <c r="AJ2" s="34">
        <v>27</v>
      </c>
      <c r="AK2" s="34">
        <v>28</v>
      </c>
      <c r="AL2" s="34">
        <v>29</v>
      </c>
      <c r="AM2" s="34">
        <v>30</v>
      </c>
      <c r="AN2" s="34">
        <v>31</v>
      </c>
      <c r="AO2" s="34">
        <v>32</v>
      </c>
      <c r="AP2" s="34">
        <v>33</v>
      </c>
      <c r="AQ2" s="34">
        <v>34</v>
      </c>
      <c r="AR2" s="34">
        <v>35</v>
      </c>
      <c r="AS2" s="34">
        <v>36</v>
      </c>
      <c r="AT2" s="34">
        <v>37</v>
      </c>
      <c r="AU2" s="34">
        <v>38</v>
      </c>
      <c r="AV2" s="34">
        <v>39</v>
      </c>
      <c r="AW2" s="34">
        <v>40</v>
      </c>
      <c r="AX2" s="34">
        <v>41</v>
      </c>
      <c r="AY2" s="34">
        <v>42</v>
      </c>
      <c r="AZ2" s="34">
        <v>43</v>
      </c>
      <c r="BA2" s="34">
        <v>44</v>
      </c>
      <c r="BB2" s="34">
        <v>45</v>
      </c>
      <c r="BC2" s="34">
        <v>46</v>
      </c>
      <c r="BD2" s="34">
        <v>47</v>
      </c>
      <c r="BE2" s="34">
        <v>48</v>
      </c>
      <c r="BF2" s="34">
        <v>49</v>
      </c>
      <c r="BG2" s="34">
        <v>50</v>
      </c>
      <c r="BH2" s="34">
        <v>51</v>
      </c>
      <c r="BI2" s="34">
        <v>52</v>
      </c>
      <c r="BJ2" s="34">
        <v>53</v>
      </c>
      <c r="BK2" s="34">
        <v>54</v>
      </c>
      <c r="BL2" s="34">
        <v>55</v>
      </c>
      <c r="BM2" s="34">
        <v>56</v>
      </c>
      <c r="BN2" s="34">
        <v>57</v>
      </c>
      <c r="BO2" s="34">
        <v>58</v>
      </c>
      <c r="BP2" s="34">
        <v>59</v>
      </c>
      <c r="BQ2" s="34">
        <v>60</v>
      </c>
      <c r="BR2" s="34">
        <v>61</v>
      </c>
      <c r="BS2" s="34">
        <v>62</v>
      </c>
      <c r="BT2" s="34">
        <v>63</v>
      </c>
      <c r="BU2" s="34">
        <v>64</v>
      </c>
      <c r="BV2" s="34">
        <v>65</v>
      </c>
      <c r="BW2" s="34">
        <v>66</v>
      </c>
      <c r="BX2" s="34">
        <v>67</v>
      </c>
      <c r="BY2" s="34">
        <v>68</v>
      </c>
      <c r="BZ2" s="34">
        <v>69</v>
      </c>
      <c r="CA2" s="34">
        <v>70</v>
      </c>
      <c r="CB2" s="34">
        <v>71</v>
      </c>
      <c r="CC2" s="34">
        <v>72</v>
      </c>
      <c r="CD2" s="34">
        <v>73</v>
      </c>
      <c r="CE2" s="34">
        <v>74</v>
      </c>
      <c r="CF2" s="34">
        <v>75</v>
      </c>
      <c r="CG2" s="34">
        <v>76</v>
      </c>
      <c r="CH2" s="34">
        <v>77</v>
      </c>
      <c r="CI2" s="34">
        <v>78</v>
      </c>
      <c r="CJ2" s="34">
        <v>79</v>
      </c>
      <c r="CK2" s="34">
        <v>80</v>
      </c>
      <c r="CL2" s="34">
        <v>81</v>
      </c>
      <c r="CM2" s="34">
        <v>82</v>
      </c>
      <c r="CN2" s="34">
        <v>83</v>
      </c>
      <c r="CO2" s="34">
        <v>84</v>
      </c>
      <c r="CP2" s="34">
        <v>85</v>
      </c>
      <c r="CQ2" s="34">
        <v>86</v>
      </c>
      <c r="CR2" s="34">
        <v>87</v>
      </c>
      <c r="CS2" s="34">
        <v>88</v>
      </c>
      <c r="CT2" s="34">
        <v>89</v>
      </c>
      <c r="CU2" s="34">
        <v>90</v>
      </c>
      <c r="CV2" s="34">
        <v>91</v>
      </c>
      <c r="CW2" s="34">
        <v>92</v>
      </c>
      <c r="CX2" s="34">
        <v>93</v>
      </c>
      <c r="CY2" s="34">
        <v>94</v>
      </c>
      <c r="CZ2" s="34">
        <v>95</v>
      </c>
      <c r="DA2" s="34">
        <v>96</v>
      </c>
      <c r="DB2" s="34">
        <v>97</v>
      </c>
      <c r="DC2" s="34">
        <v>98</v>
      </c>
      <c r="DD2" s="34">
        <v>99</v>
      </c>
    </row>
    <row r="3" spans="1:128" s="34" customFormat="1" hidden="1">
      <c r="F3" s="34">
        <v>0</v>
      </c>
      <c r="G3" s="34" t="s">
        <v>166</v>
      </c>
      <c r="H3" s="34" t="s">
        <v>165</v>
      </c>
      <c r="I3" s="34" t="s">
        <v>164</v>
      </c>
      <c r="J3" s="34" t="s">
        <v>163</v>
      </c>
      <c r="K3" s="34" t="s">
        <v>162</v>
      </c>
      <c r="L3" s="34" t="s">
        <v>161</v>
      </c>
      <c r="M3" s="34" t="s">
        <v>160</v>
      </c>
      <c r="Q3" s="34" t="s">
        <v>159</v>
      </c>
      <c r="R3" s="34" t="s">
        <v>158</v>
      </c>
      <c r="S3" s="34" t="s">
        <v>157</v>
      </c>
      <c r="T3" s="34" t="s">
        <v>156</v>
      </c>
      <c r="U3" s="34" t="s">
        <v>155</v>
      </c>
      <c r="V3" s="34" t="s">
        <v>154</v>
      </c>
      <c r="W3" s="34" t="s">
        <v>153</v>
      </c>
      <c r="X3" s="34" t="s">
        <v>152</v>
      </c>
      <c r="Y3" s="34" t="s">
        <v>151</v>
      </c>
      <c r="Z3" s="34" t="s">
        <v>150</v>
      </c>
      <c r="AA3" s="34" t="s">
        <v>149</v>
      </c>
      <c r="AB3" s="34" t="s">
        <v>148</v>
      </c>
      <c r="AC3" s="34" t="s">
        <v>147</v>
      </c>
      <c r="AD3" s="34" t="s">
        <v>146</v>
      </c>
      <c r="AE3" s="34" t="s">
        <v>145</v>
      </c>
      <c r="AF3" s="34" t="s">
        <v>144</v>
      </c>
      <c r="AG3" s="34" t="s">
        <v>143</v>
      </c>
      <c r="AH3" s="34" t="s">
        <v>142</v>
      </c>
      <c r="AI3" s="34" t="s">
        <v>141</v>
      </c>
      <c r="AJ3" s="34" t="s">
        <v>140</v>
      </c>
      <c r="AK3" s="34" t="s">
        <v>139</v>
      </c>
      <c r="AL3" s="34" t="s">
        <v>138</v>
      </c>
      <c r="AM3" s="34" t="s">
        <v>137</v>
      </c>
      <c r="AN3" s="34" t="s">
        <v>136</v>
      </c>
      <c r="AO3" s="34" t="s">
        <v>135</v>
      </c>
      <c r="AP3" s="34" t="s">
        <v>134</v>
      </c>
      <c r="AQ3" s="34" t="s">
        <v>133</v>
      </c>
      <c r="AR3" s="34" t="s">
        <v>132</v>
      </c>
      <c r="AS3" s="34" t="s">
        <v>131</v>
      </c>
      <c r="AT3" s="34" t="s">
        <v>130</v>
      </c>
      <c r="AU3" s="34" t="s">
        <v>129</v>
      </c>
      <c r="AV3" s="34" t="s">
        <v>128</v>
      </c>
      <c r="AW3" s="34" t="s">
        <v>127</v>
      </c>
      <c r="AX3" s="34" t="s">
        <v>126</v>
      </c>
      <c r="AY3" s="34" t="s">
        <v>125</v>
      </c>
      <c r="AZ3" s="34" t="s">
        <v>124</v>
      </c>
      <c r="BA3" s="34" t="s">
        <v>123</v>
      </c>
      <c r="BB3" s="34" t="s">
        <v>122</v>
      </c>
      <c r="BC3" s="34" t="s">
        <v>121</v>
      </c>
      <c r="BD3" s="34" t="s">
        <v>120</v>
      </c>
      <c r="BE3" s="34" t="s">
        <v>119</v>
      </c>
      <c r="BF3" s="34" t="s">
        <v>118</v>
      </c>
      <c r="BG3" s="34" t="s">
        <v>117</v>
      </c>
      <c r="BH3" s="34" t="s">
        <v>116</v>
      </c>
      <c r="BI3" s="34" t="s">
        <v>115</v>
      </c>
      <c r="BJ3" s="34" t="s">
        <v>114</v>
      </c>
      <c r="BK3" s="34" t="s">
        <v>113</v>
      </c>
      <c r="BL3" s="34" t="s">
        <v>112</v>
      </c>
      <c r="BM3" s="34" t="s">
        <v>111</v>
      </c>
      <c r="BN3" s="34" t="s">
        <v>110</v>
      </c>
      <c r="BO3" s="34" t="s">
        <v>109</v>
      </c>
      <c r="BP3" s="34" t="s">
        <v>108</v>
      </c>
      <c r="BQ3" s="34" t="s">
        <v>107</v>
      </c>
      <c r="BR3" s="34" t="s">
        <v>106</v>
      </c>
      <c r="BS3" s="34" t="s">
        <v>105</v>
      </c>
      <c r="BT3" s="34" t="s">
        <v>104</v>
      </c>
      <c r="BU3" s="34" t="s">
        <v>103</v>
      </c>
      <c r="BV3" s="34" t="s">
        <v>102</v>
      </c>
      <c r="BW3" s="34" t="s">
        <v>101</v>
      </c>
      <c r="BX3" s="34" t="s">
        <v>100</v>
      </c>
      <c r="BY3" s="34" t="s">
        <v>99</v>
      </c>
      <c r="BZ3" s="34" t="s">
        <v>98</v>
      </c>
      <c r="CA3" s="34" t="s">
        <v>97</v>
      </c>
      <c r="CB3" s="34" t="s">
        <v>96</v>
      </c>
      <c r="CC3" s="34" t="s">
        <v>95</v>
      </c>
      <c r="CD3" s="34" t="s">
        <v>94</v>
      </c>
      <c r="CE3" s="34" t="s">
        <v>93</v>
      </c>
      <c r="CF3" s="34" t="s">
        <v>92</v>
      </c>
      <c r="CG3" s="34" t="s">
        <v>91</v>
      </c>
      <c r="CH3" s="34" t="s">
        <v>90</v>
      </c>
      <c r="CI3" s="34" t="s">
        <v>89</v>
      </c>
      <c r="CJ3" s="34" t="s">
        <v>88</v>
      </c>
      <c r="CK3" s="34" t="s">
        <v>87</v>
      </c>
      <c r="CL3" s="34" t="s">
        <v>86</v>
      </c>
      <c r="CM3" s="34" t="s">
        <v>85</v>
      </c>
      <c r="CN3" s="34" t="s">
        <v>84</v>
      </c>
      <c r="CO3" s="34" t="s">
        <v>83</v>
      </c>
      <c r="CP3" s="34" t="s">
        <v>82</v>
      </c>
      <c r="CQ3" s="34" t="s">
        <v>81</v>
      </c>
      <c r="CR3" s="34" t="s">
        <v>80</v>
      </c>
      <c r="CS3" s="34" t="s">
        <v>79</v>
      </c>
      <c r="CT3" s="34" t="s">
        <v>78</v>
      </c>
      <c r="CU3" s="34" t="s">
        <v>77</v>
      </c>
      <c r="CV3" s="34" t="s">
        <v>76</v>
      </c>
      <c r="CW3" s="34" t="s">
        <v>75</v>
      </c>
      <c r="CX3" s="34" t="s">
        <v>74</v>
      </c>
      <c r="CY3" s="34" t="s">
        <v>73</v>
      </c>
      <c r="CZ3" s="34" t="s">
        <v>72</v>
      </c>
      <c r="DA3" s="34" t="s">
        <v>71</v>
      </c>
      <c r="DB3" s="34" t="s">
        <v>70</v>
      </c>
      <c r="DC3" s="34" t="s">
        <v>69</v>
      </c>
      <c r="DD3" s="34" t="s">
        <v>68</v>
      </c>
    </row>
    <row r="4" spans="1:128" hidden="1"/>
    <row r="5" spans="1:128" hidden="1"/>
    <row r="6" spans="1:128" hidden="1"/>
    <row r="7" spans="1:128" hidden="1"/>
    <row r="8" spans="1:128" hidden="1"/>
    <row r="9" spans="1:128" hidden="1"/>
    <row r="10" spans="1:128" hidden="1"/>
    <row r="11" spans="1:128" hidden="1"/>
    <row r="12" spans="1:128" hidden="1"/>
    <row r="13" spans="1:128">
      <c r="A13" s="33"/>
      <c r="B13" s="33"/>
    </row>
    <row r="14" spans="1:128" s="30" customFormat="1" ht="2.25" hidden="1" customHeight="1">
      <c r="A14" s="32"/>
      <c r="B14" s="31"/>
    </row>
    <row r="15" spans="1:128" ht="38.25" customHeight="1">
      <c r="A15" s="29" t="s">
        <v>67</v>
      </c>
      <c r="B15" s="29" t="s">
        <v>66</v>
      </c>
      <c r="C15" s="28" t="s">
        <v>65</v>
      </c>
      <c r="D15" s="27" t="s">
        <v>64</v>
      </c>
      <c r="E15" s="27" t="s">
        <v>63</v>
      </c>
      <c r="F15" s="27" t="s">
        <v>62</v>
      </c>
      <c r="G15" s="27" t="s">
        <v>61</v>
      </c>
      <c r="H15" s="27" t="s">
        <v>60</v>
      </c>
      <c r="I15" s="27" t="s">
        <v>59</v>
      </c>
      <c r="J15" s="27" t="s">
        <v>58</v>
      </c>
      <c r="K15" s="27" t="s">
        <v>57</v>
      </c>
      <c r="L15" s="27" t="s">
        <v>56</v>
      </c>
      <c r="M15" s="27" t="s">
        <v>55</v>
      </c>
      <c r="N15" s="27" t="s">
        <v>54</v>
      </c>
      <c r="O15" s="27" t="s">
        <v>53</v>
      </c>
      <c r="P15" s="27" t="s">
        <v>52</v>
      </c>
      <c r="Q15" s="27" t="s">
        <v>51</v>
      </c>
      <c r="DH15" s="9" t="str">
        <f>B16</f>
        <v>(Fifty five Thousand rupees only)</v>
      </c>
    </row>
    <row r="16" spans="1:128" ht="30" customHeight="1">
      <c r="A16" s="26">
        <f>Data!J17</f>
        <v>55000</v>
      </c>
      <c r="B16" s="24" t="str">
        <f t="shared" ref="B16:B39" si="0">IF(A16="","",CONCATENATE("(",Q16," rupees only)"))</f>
        <v>(Fifty five Thousand rupees only)</v>
      </c>
      <c r="C16" s="16">
        <f t="shared" ref="C16:C39" si="1">INT(A16/100000)</f>
        <v>0</v>
      </c>
      <c r="D16" s="16">
        <f t="shared" ref="D16:D39" si="2">INT(A16/1000-C16*100)</f>
        <v>55</v>
      </c>
      <c r="E16" s="16">
        <f t="shared" ref="E16:E39" si="3">INT(A16/100-C16*1000-D16*10)</f>
        <v>0</v>
      </c>
      <c r="F16" s="16">
        <f t="shared" ref="F16:F39" si="4">INT(A16-C16*100000-D16*1000-E16*100)</f>
        <v>0</v>
      </c>
      <c r="G16" s="16" t="str">
        <f t="shared" ref="G16:G39" si="5">IF(C16=0,"",LOOKUP(C16,$G$2:$DD$2,$G$3:$DD$3))</f>
        <v/>
      </c>
      <c r="H16" s="16" t="str">
        <f t="shared" ref="H16:H39" si="6">IF(D16=0,"",LOOKUP(D16,$G$2:$DD$2,$G$3:$DD$3))</f>
        <v>Fifty five</v>
      </c>
      <c r="I16" s="16" t="str">
        <f t="shared" ref="I16:I39" si="7">IF(E16=0,"",LOOKUP(E16,$G$2:$R$2,$G$3:$R$3))</f>
        <v/>
      </c>
      <c r="J16" s="16" t="str">
        <f t="shared" ref="J16:J39" si="8">IF(F16=0,"",LOOKUP(F16,$G$2:$DD$2,$G$3:$DD$3))</f>
        <v/>
      </c>
      <c r="K16" s="16">
        <f t="shared" ref="K16:K39" si="9">IF(AND(E16=0,F16=0),1,2)</f>
        <v>1</v>
      </c>
      <c r="L16" s="16">
        <f t="shared" ref="L16:L39" si="10">IF(F16=0,3,4)</f>
        <v>3</v>
      </c>
      <c r="M16" s="16">
        <f t="shared" ref="M16:M39" si="11">IF(OR(K16=1,L16=3),5,6)</f>
        <v>5</v>
      </c>
      <c r="N16" s="16" t="str">
        <f t="shared" ref="N16:N39" si="12">IF(C16&gt;1," Lakhs ",IF(C16&gt;0," Lakh ",""))</f>
        <v/>
      </c>
      <c r="O16" s="16" t="str">
        <f t="shared" ref="O16:O39" si="13">IF(D16&gt;0," Thousand ","")</f>
        <v xml:space="preserve"> Thousand </v>
      </c>
      <c r="P16" s="16" t="str">
        <f t="shared" ref="P16:P39" si="14">IF(E16&gt;0," Hundred ","")</f>
        <v/>
      </c>
      <c r="Q16" s="50" t="str">
        <f t="shared" ref="Q16:Q39" si="15">IF(A16=0,"Zero",IF(A16&gt;0,TRIM(CONCATENATE(G16,N16,H16,O16,I16,P16,IF(AND(A16&gt;100,M16=6)," and ",""),J16)),""))</f>
        <v>Fifty five Thousand</v>
      </c>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51"/>
      <c r="CI16" s="51"/>
      <c r="CJ16" s="51"/>
      <c r="CK16" s="51"/>
      <c r="CL16" s="51"/>
      <c r="CM16" s="51"/>
      <c r="CN16" s="51"/>
      <c r="CO16" s="51"/>
      <c r="CP16" s="51"/>
      <c r="CQ16" s="51"/>
      <c r="CR16" s="51"/>
      <c r="CS16" s="51"/>
      <c r="CT16" s="51"/>
      <c r="CU16" s="51"/>
      <c r="CV16" s="51"/>
      <c r="CW16" s="51"/>
      <c r="CX16" s="51"/>
      <c r="CY16" s="51"/>
      <c r="CZ16" s="51"/>
      <c r="DA16" s="51"/>
      <c r="DB16" s="51"/>
      <c r="DC16" s="51"/>
      <c r="DD16" s="51"/>
      <c r="DE16" s="51"/>
      <c r="DF16" s="51" t="s">
        <v>50</v>
      </c>
      <c r="DG16" s="15" t="s">
        <v>169</v>
      </c>
      <c r="DH16" s="15" t="str">
        <f>""&amp;Data!J4&amp;" "&amp;Data!K4</f>
        <v>Sri G MURALIMOHANA RAO</v>
      </c>
      <c r="DL16" s="15" t="str">
        <f>Data!K4</f>
        <v>G MURALIMOHANA RAO</v>
      </c>
      <c r="DO16" s="91" t="s">
        <v>252</v>
      </c>
      <c r="DX16" s="15">
        <v>1</v>
      </c>
    </row>
    <row r="17" spans="1:136" ht="23.25">
      <c r="A17" s="26">
        <f>Data!Q17</f>
        <v>25000</v>
      </c>
      <c r="B17" s="24" t="str">
        <f t="shared" si="0"/>
        <v>(Twenty five Thousand rupees only)</v>
      </c>
      <c r="C17" s="16">
        <f t="shared" si="1"/>
        <v>0</v>
      </c>
      <c r="D17" s="16">
        <f t="shared" si="2"/>
        <v>25</v>
      </c>
      <c r="E17" s="16">
        <f t="shared" si="3"/>
        <v>0</v>
      </c>
      <c r="F17" s="16">
        <f t="shared" si="4"/>
        <v>0</v>
      </c>
      <c r="G17" s="16" t="str">
        <f t="shared" si="5"/>
        <v/>
      </c>
      <c r="H17" s="16" t="str">
        <f t="shared" si="6"/>
        <v>Twenty five</v>
      </c>
      <c r="I17" s="16" t="str">
        <f t="shared" si="7"/>
        <v/>
      </c>
      <c r="J17" s="16" t="str">
        <f t="shared" si="8"/>
        <v/>
      </c>
      <c r="K17" s="16">
        <f t="shared" si="9"/>
        <v>1</v>
      </c>
      <c r="L17" s="16">
        <f t="shared" si="10"/>
        <v>3</v>
      </c>
      <c r="M17" s="16">
        <f t="shared" si="11"/>
        <v>5</v>
      </c>
      <c r="N17" s="16" t="str">
        <f t="shared" si="12"/>
        <v/>
      </c>
      <c r="O17" s="16" t="str">
        <f t="shared" si="13"/>
        <v xml:space="preserve"> Thousand </v>
      </c>
      <c r="P17" s="16" t="str">
        <f t="shared" si="14"/>
        <v/>
      </c>
      <c r="Q17" s="50" t="str">
        <f t="shared" si="15"/>
        <v>Twenty five Thousand</v>
      </c>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t="s">
        <v>49</v>
      </c>
      <c r="DG17" s="15" t="s">
        <v>168</v>
      </c>
      <c r="DH17" s="15" t="str">
        <f>""&amp;Data!E11&amp;" "&amp;Data!G11</f>
        <v>Smt G.BHARATAMMA</v>
      </c>
      <c r="DL17" s="15" t="str">
        <f>Data!G11</f>
        <v>G.BHARATAMMA</v>
      </c>
      <c r="DO17" s="92" t="str">
        <f>IF(Data!V7="",DO16,Data!V7)</f>
        <v>24-009256/SP</v>
      </c>
      <c r="DX17" s="15" t="s">
        <v>357</v>
      </c>
    </row>
    <row r="18" spans="1:136" ht="23.25">
      <c r="A18" s="26">
        <f>A17+1</f>
        <v>25001</v>
      </c>
      <c r="B18" s="24" t="str">
        <f t="shared" si="0"/>
        <v>(Twenty five Thousand and One rupees only)</v>
      </c>
      <c r="C18" s="16">
        <f t="shared" si="1"/>
        <v>0</v>
      </c>
      <c r="D18" s="16">
        <f t="shared" si="2"/>
        <v>25</v>
      </c>
      <c r="E18" s="16">
        <f t="shared" si="3"/>
        <v>0</v>
      </c>
      <c r="F18" s="16">
        <f t="shared" si="4"/>
        <v>1</v>
      </c>
      <c r="G18" s="16" t="str">
        <f t="shared" si="5"/>
        <v/>
      </c>
      <c r="H18" s="16" t="str">
        <f t="shared" si="6"/>
        <v>Twenty five</v>
      </c>
      <c r="I18" s="16" t="str">
        <f t="shared" si="7"/>
        <v/>
      </c>
      <c r="J18" s="16" t="str">
        <f t="shared" si="8"/>
        <v>One</v>
      </c>
      <c r="K18" s="16">
        <f t="shared" si="9"/>
        <v>2</v>
      </c>
      <c r="L18" s="16">
        <f t="shared" si="10"/>
        <v>4</v>
      </c>
      <c r="M18" s="16">
        <f t="shared" si="11"/>
        <v>6</v>
      </c>
      <c r="N18" s="16" t="str">
        <f t="shared" si="12"/>
        <v/>
      </c>
      <c r="O18" s="16" t="str">
        <f t="shared" si="13"/>
        <v xml:space="preserve"> Thousand </v>
      </c>
      <c r="P18" s="16" t="str">
        <f t="shared" si="14"/>
        <v/>
      </c>
      <c r="Q18" s="50" t="str">
        <f t="shared" si="15"/>
        <v>Twenty five Thousand and One</v>
      </c>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t="s">
        <v>48</v>
      </c>
      <c r="DX18" s="15" t="s">
        <v>356</v>
      </c>
    </row>
    <row r="19" spans="1:136" ht="23.25">
      <c r="A19" s="26"/>
      <c r="B19" s="24" t="str">
        <f t="shared" si="0"/>
        <v/>
      </c>
      <c r="C19" s="16">
        <f t="shared" si="1"/>
        <v>0</v>
      </c>
      <c r="D19" s="16">
        <f t="shared" si="2"/>
        <v>0</v>
      </c>
      <c r="E19" s="16">
        <f t="shared" si="3"/>
        <v>0</v>
      </c>
      <c r="F19" s="16">
        <f t="shared" si="4"/>
        <v>0</v>
      </c>
      <c r="G19" s="16" t="str">
        <f t="shared" si="5"/>
        <v/>
      </c>
      <c r="H19" s="16" t="str">
        <f t="shared" si="6"/>
        <v/>
      </c>
      <c r="I19" s="16" t="str">
        <f t="shared" si="7"/>
        <v/>
      </c>
      <c r="J19" s="16" t="str">
        <f t="shared" si="8"/>
        <v/>
      </c>
      <c r="K19" s="16">
        <f t="shared" si="9"/>
        <v>1</v>
      </c>
      <c r="L19" s="16">
        <f t="shared" si="10"/>
        <v>3</v>
      </c>
      <c r="M19" s="16">
        <f t="shared" si="11"/>
        <v>5</v>
      </c>
      <c r="N19" s="16" t="str">
        <f t="shared" si="12"/>
        <v/>
      </c>
      <c r="O19" s="16" t="str">
        <f t="shared" si="13"/>
        <v/>
      </c>
      <c r="P19" s="16" t="str">
        <f t="shared" si="14"/>
        <v/>
      </c>
      <c r="Q19" s="50" t="str">
        <f t="shared" si="15"/>
        <v>Zero</v>
      </c>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c r="DC19" s="51"/>
      <c r="DD19" s="51"/>
      <c r="DE19" s="51"/>
      <c r="DF19" s="51"/>
      <c r="DX19" s="15" t="s">
        <v>358</v>
      </c>
    </row>
    <row r="20" spans="1:136" ht="23.25">
      <c r="A20" s="26"/>
      <c r="B20" s="24" t="str">
        <f t="shared" si="0"/>
        <v/>
      </c>
      <c r="C20" s="16">
        <f t="shared" si="1"/>
        <v>0</v>
      </c>
      <c r="D20" s="16">
        <f t="shared" si="2"/>
        <v>0</v>
      </c>
      <c r="E20" s="16">
        <f t="shared" si="3"/>
        <v>0</v>
      </c>
      <c r="F20" s="16">
        <f t="shared" si="4"/>
        <v>0</v>
      </c>
      <c r="G20" s="16" t="str">
        <f t="shared" si="5"/>
        <v/>
      </c>
      <c r="H20" s="16" t="str">
        <f t="shared" si="6"/>
        <v/>
      </c>
      <c r="I20" s="16" t="str">
        <f t="shared" si="7"/>
        <v/>
      </c>
      <c r="J20" s="16" t="str">
        <f t="shared" si="8"/>
        <v/>
      </c>
      <c r="K20" s="16">
        <f t="shared" si="9"/>
        <v>1</v>
      </c>
      <c r="L20" s="16">
        <f t="shared" si="10"/>
        <v>3</v>
      </c>
      <c r="M20" s="16">
        <f t="shared" si="11"/>
        <v>5</v>
      </c>
      <c r="N20" s="16" t="str">
        <f t="shared" si="12"/>
        <v/>
      </c>
      <c r="O20" s="16" t="str">
        <f t="shared" si="13"/>
        <v/>
      </c>
      <c r="P20" s="16" t="str">
        <f t="shared" si="14"/>
        <v/>
      </c>
      <c r="Q20" s="50" t="str">
        <f t="shared" si="15"/>
        <v>Zero</v>
      </c>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51"/>
      <c r="CI20" s="51"/>
      <c r="CJ20" s="51"/>
      <c r="CK20" s="51"/>
      <c r="CL20" s="51"/>
      <c r="CM20" s="51"/>
      <c r="CN20" s="51"/>
      <c r="CO20" s="51"/>
      <c r="CP20" s="51"/>
      <c r="CQ20" s="51"/>
      <c r="CR20" s="51"/>
      <c r="CS20" s="51"/>
      <c r="CT20" s="51"/>
      <c r="CU20" s="51"/>
      <c r="CV20" s="51"/>
      <c r="CW20" s="51"/>
      <c r="CX20" s="51"/>
      <c r="CY20" s="51"/>
      <c r="CZ20" s="51"/>
      <c r="DA20" s="51"/>
      <c r="DB20" s="51"/>
      <c r="DC20" s="51"/>
      <c r="DD20" s="51"/>
      <c r="DE20" s="51"/>
      <c r="DF20" s="51"/>
      <c r="DS20" s="15" t="s">
        <v>366</v>
      </c>
      <c r="DT20" s="15" t="s">
        <v>367</v>
      </c>
      <c r="DU20" s="15" t="s">
        <v>368</v>
      </c>
      <c r="DZ20" s="34">
        <v>1</v>
      </c>
      <c r="EA20" s="34">
        <v>2</v>
      </c>
      <c r="EB20" s="34">
        <v>3</v>
      </c>
      <c r="EC20" s="34">
        <v>4</v>
      </c>
    </row>
    <row r="21" spans="1:136" ht="23.25">
      <c r="A21" s="26"/>
      <c r="B21" s="24" t="str">
        <f t="shared" si="0"/>
        <v/>
      </c>
      <c r="C21" s="16">
        <f t="shared" si="1"/>
        <v>0</v>
      </c>
      <c r="D21" s="16">
        <f t="shared" si="2"/>
        <v>0</v>
      </c>
      <c r="E21" s="16">
        <f t="shared" si="3"/>
        <v>0</v>
      </c>
      <c r="F21" s="16">
        <f t="shared" si="4"/>
        <v>0</v>
      </c>
      <c r="G21" s="16" t="str">
        <f t="shared" si="5"/>
        <v/>
      </c>
      <c r="H21" s="16" t="str">
        <f t="shared" si="6"/>
        <v/>
      </c>
      <c r="I21" s="16" t="str">
        <f t="shared" si="7"/>
        <v/>
      </c>
      <c r="J21" s="16" t="str">
        <f t="shared" si="8"/>
        <v/>
      </c>
      <c r="K21" s="16">
        <f t="shared" si="9"/>
        <v>1</v>
      </c>
      <c r="L21" s="16">
        <f t="shared" si="10"/>
        <v>3</v>
      </c>
      <c r="M21" s="16">
        <f t="shared" si="11"/>
        <v>5</v>
      </c>
      <c r="N21" s="16" t="str">
        <f t="shared" si="12"/>
        <v/>
      </c>
      <c r="O21" s="16" t="str">
        <f t="shared" si="13"/>
        <v/>
      </c>
      <c r="P21" s="16" t="str">
        <f t="shared" si="14"/>
        <v/>
      </c>
      <c r="Q21" s="50" t="str">
        <f t="shared" si="15"/>
        <v>Zero</v>
      </c>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51"/>
      <c r="CJ21" s="51"/>
      <c r="CK21" s="51"/>
      <c r="CL21" s="51"/>
      <c r="CM21" s="51"/>
      <c r="CN21" s="51"/>
      <c r="CO21" s="51"/>
      <c r="CP21" s="51"/>
      <c r="CQ21" s="51"/>
      <c r="CR21" s="51"/>
      <c r="CS21" s="51"/>
      <c r="CT21" s="51"/>
      <c r="CU21" s="51"/>
      <c r="CV21" s="51"/>
      <c r="CW21" s="51"/>
      <c r="CX21" s="51"/>
      <c r="CY21" s="51"/>
      <c r="CZ21" s="51"/>
      <c r="DA21" s="51"/>
      <c r="DB21" s="51"/>
      <c r="DC21" s="51"/>
      <c r="DD21" s="51"/>
      <c r="DE21" s="51"/>
      <c r="DF21" s="51"/>
      <c r="DS21" s="222">
        <v>2202</v>
      </c>
      <c r="DT21" s="222">
        <v>2202</v>
      </c>
      <c r="DU21" s="222" t="s">
        <v>380</v>
      </c>
      <c r="DV21" s="15" t="s">
        <v>359</v>
      </c>
      <c r="DW21" s="15" t="s">
        <v>359</v>
      </c>
      <c r="DX21" s="223" t="str">
        <f>IF(Data!$AH$5=2,'R C'!DU21,IF('R C'!$DX$16=1,'R C'!DS21,IF('R C'!$DX$16=2,'R C'!DT21,"")))</f>
        <v>2071</v>
      </c>
      <c r="DY21" s="222" t="str">
        <f>IF(DX21=0,"",DX21)</f>
        <v>2071</v>
      </c>
      <c r="DZ21" s="34" t="str">
        <f>MID(DY21,$DZ$20,1)</f>
        <v>2</v>
      </c>
      <c r="EA21" s="34" t="str">
        <f>MID(DY21,$EA$20,1)</f>
        <v>0</v>
      </c>
      <c r="EB21" s="34" t="str">
        <f>MID(DY21,$EB$20,1)</f>
        <v>7</v>
      </c>
      <c r="EC21" s="34" t="str">
        <f>MID(DY21,$EC$20,1)</f>
        <v>1</v>
      </c>
      <c r="EE21" s="15" t="str">
        <f>""&amp;DV21&amp;" -"&amp;DZ21&amp;EA21&amp;EB21&amp;EC21</f>
        <v>MH -2071</v>
      </c>
      <c r="EF21" s="15" t="str">
        <f>EE21&amp;","&amp;EE22&amp;","&amp;EE23&amp;","&amp;EE24&amp;","&amp;EE25&amp;","&amp;EE26&amp;","&amp;EE27</f>
        <v>MH -2071,SH -01,MH -800,GH -00,SH -06,DH -040,SDH -043</v>
      </c>
    </row>
    <row r="22" spans="1:136" ht="23.25">
      <c r="A22" s="26"/>
      <c r="B22" s="24" t="str">
        <f t="shared" si="0"/>
        <v/>
      </c>
      <c r="C22" s="16">
        <f t="shared" si="1"/>
        <v>0</v>
      </c>
      <c r="D22" s="16">
        <f t="shared" si="2"/>
        <v>0</v>
      </c>
      <c r="E22" s="16">
        <f t="shared" si="3"/>
        <v>0</v>
      </c>
      <c r="F22" s="16">
        <f t="shared" si="4"/>
        <v>0</v>
      </c>
      <c r="G22" s="16" t="str">
        <f t="shared" si="5"/>
        <v/>
      </c>
      <c r="H22" s="16" t="str">
        <f t="shared" si="6"/>
        <v/>
      </c>
      <c r="I22" s="16" t="str">
        <f t="shared" si="7"/>
        <v/>
      </c>
      <c r="J22" s="16" t="str">
        <f t="shared" si="8"/>
        <v/>
      </c>
      <c r="K22" s="16">
        <f t="shared" si="9"/>
        <v>1</v>
      </c>
      <c r="L22" s="16">
        <f t="shared" si="10"/>
        <v>3</v>
      </c>
      <c r="M22" s="16">
        <f t="shared" si="11"/>
        <v>5</v>
      </c>
      <c r="N22" s="16" t="str">
        <f t="shared" si="12"/>
        <v/>
      </c>
      <c r="O22" s="16" t="str">
        <f t="shared" si="13"/>
        <v/>
      </c>
      <c r="P22" s="16" t="str">
        <f t="shared" si="14"/>
        <v/>
      </c>
      <c r="Q22" s="50" t="str">
        <f t="shared" si="15"/>
        <v>Zero</v>
      </c>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51"/>
      <c r="DC22" s="51"/>
      <c r="DD22" s="51"/>
      <c r="DE22" s="51"/>
      <c r="DF22" s="51"/>
      <c r="DS22" s="222" t="s">
        <v>369</v>
      </c>
      <c r="DT22" s="222" t="s">
        <v>370</v>
      </c>
      <c r="DU22" s="222" t="s">
        <v>369</v>
      </c>
      <c r="DV22" s="15" t="s">
        <v>489</v>
      </c>
      <c r="DW22" s="15" t="s">
        <v>360</v>
      </c>
      <c r="DX22" s="15" t="str">
        <f>IF(Data!$AH$5=2,'R C'!DU22,IF('R C'!$DX$16=1,'R C'!DS22,IF('R C'!$DX$16=2,'R C'!DT22,"")))</f>
        <v>01</v>
      </c>
      <c r="DY22" s="222" t="str">
        <f t="shared" ref="DY22:DY27" si="16">IF(DX22=0,"",DX22)</f>
        <v>01</v>
      </c>
      <c r="DZ22" s="34" t="str">
        <f t="shared" ref="DZ22:DZ27" si="17">MID(DY22,$DZ$20,1)</f>
        <v>0</v>
      </c>
      <c r="EA22" s="34" t="str">
        <f t="shared" ref="EA22:EA27" si="18">MID(DY22,$EA$20,1)</f>
        <v>1</v>
      </c>
      <c r="EB22" s="34" t="str">
        <f t="shared" ref="EB22:EB27" si="19">MID(DY22,$EB$20,1)</f>
        <v/>
      </c>
      <c r="EC22" s="34" t="str">
        <f t="shared" ref="EC22:EC27" si="20">MID(DY22,$EC$20,1)</f>
        <v/>
      </c>
      <c r="EE22" s="15" t="str">
        <f t="shared" ref="EE22:EE27" si="21">""&amp;DV22&amp;" -"&amp;DZ22&amp;EA22&amp;EB22&amp;EC22</f>
        <v>SH -01</v>
      </c>
    </row>
    <row r="23" spans="1:136" ht="23.25">
      <c r="A23" s="26"/>
      <c r="B23" s="24" t="str">
        <f t="shared" si="0"/>
        <v/>
      </c>
      <c r="C23" s="16">
        <f t="shared" si="1"/>
        <v>0</v>
      </c>
      <c r="D23" s="16">
        <f t="shared" si="2"/>
        <v>0</v>
      </c>
      <c r="E23" s="16">
        <f t="shared" si="3"/>
        <v>0</v>
      </c>
      <c r="F23" s="16">
        <f t="shared" si="4"/>
        <v>0</v>
      </c>
      <c r="G23" s="16" t="str">
        <f t="shared" si="5"/>
        <v/>
      </c>
      <c r="H23" s="16" t="str">
        <f t="shared" si="6"/>
        <v/>
      </c>
      <c r="I23" s="16" t="str">
        <f t="shared" si="7"/>
        <v/>
      </c>
      <c r="J23" s="16" t="str">
        <f t="shared" si="8"/>
        <v/>
      </c>
      <c r="K23" s="16">
        <f t="shared" si="9"/>
        <v>1</v>
      </c>
      <c r="L23" s="16">
        <f t="shared" si="10"/>
        <v>3</v>
      </c>
      <c r="M23" s="16">
        <f t="shared" si="11"/>
        <v>5</v>
      </c>
      <c r="N23" s="16" t="str">
        <f t="shared" si="12"/>
        <v/>
      </c>
      <c r="O23" s="16" t="str">
        <f t="shared" si="13"/>
        <v/>
      </c>
      <c r="P23" s="16" t="str">
        <f t="shared" si="14"/>
        <v/>
      </c>
      <c r="Q23" s="50" t="str">
        <f t="shared" si="15"/>
        <v>Zero</v>
      </c>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S23" s="222" t="s">
        <v>371</v>
      </c>
      <c r="DT23" s="222" t="s">
        <v>372</v>
      </c>
      <c r="DU23" s="222" t="s">
        <v>373</v>
      </c>
      <c r="DV23" s="15" t="s">
        <v>359</v>
      </c>
      <c r="DW23" s="15" t="s">
        <v>361</v>
      </c>
      <c r="DX23" s="15" t="str">
        <f>IF(Data!$AH$5=2,'R C'!DU23,IF('R C'!$DX$16=1,'R C'!DS23,IF('R C'!$DX$16=2,'R C'!DT23,"")))</f>
        <v>800</v>
      </c>
      <c r="DY23" s="222" t="str">
        <f t="shared" si="16"/>
        <v>800</v>
      </c>
      <c r="DZ23" s="34" t="str">
        <f t="shared" si="17"/>
        <v>8</v>
      </c>
      <c r="EA23" s="34" t="str">
        <f t="shared" si="18"/>
        <v>0</v>
      </c>
      <c r="EB23" s="34" t="str">
        <f t="shared" si="19"/>
        <v>0</v>
      </c>
      <c r="EC23" s="34" t="str">
        <f t="shared" si="20"/>
        <v/>
      </c>
      <c r="EE23" s="15" t="str">
        <f t="shared" si="21"/>
        <v>MH -800</v>
      </c>
    </row>
    <row r="24" spans="1:136" ht="23.25">
      <c r="A24" s="26"/>
      <c r="B24" s="24" t="str">
        <f t="shared" si="0"/>
        <v/>
      </c>
      <c r="C24" s="16">
        <f t="shared" si="1"/>
        <v>0</v>
      </c>
      <c r="D24" s="16">
        <f t="shared" si="2"/>
        <v>0</v>
      </c>
      <c r="E24" s="16">
        <f t="shared" si="3"/>
        <v>0</v>
      </c>
      <c r="F24" s="16">
        <f t="shared" si="4"/>
        <v>0</v>
      </c>
      <c r="G24" s="16" t="str">
        <f t="shared" si="5"/>
        <v/>
      </c>
      <c r="H24" s="16" t="str">
        <f t="shared" si="6"/>
        <v/>
      </c>
      <c r="I24" s="16" t="str">
        <f t="shared" si="7"/>
        <v/>
      </c>
      <c r="J24" s="16" t="str">
        <f t="shared" si="8"/>
        <v/>
      </c>
      <c r="K24" s="16">
        <f t="shared" si="9"/>
        <v>1</v>
      </c>
      <c r="L24" s="16">
        <f t="shared" si="10"/>
        <v>3</v>
      </c>
      <c r="M24" s="16">
        <f t="shared" si="11"/>
        <v>5</v>
      </c>
      <c r="N24" s="16" t="str">
        <f t="shared" si="12"/>
        <v/>
      </c>
      <c r="O24" s="16" t="str">
        <f t="shared" si="13"/>
        <v/>
      </c>
      <c r="P24" s="16" t="str">
        <f t="shared" si="14"/>
        <v/>
      </c>
      <c r="Q24" s="50" t="str">
        <f t="shared" si="15"/>
        <v>Zero</v>
      </c>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S24" s="222"/>
      <c r="DT24" s="222"/>
      <c r="DU24" s="222" t="s">
        <v>392</v>
      </c>
      <c r="DV24" s="15" t="s">
        <v>362</v>
      </c>
      <c r="DW24" s="15" t="s">
        <v>362</v>
      </c>
      <c r="DX24" s="15" t="str">
        <f>IF(Data!$AH$5=2,'R C'!DU24,IF('R C'!$DX$16=1,'R C'!DS24,IF('R C'!$DX$16=2,'R C'!DT24,"")))</f>
        <v>00</v>
      </c>
      <c r="DY24" s="222" t="str">
        <f t="shared" si="16"/>
        <v>00</v>
      </c>
      <c r="DZ24" s="34" t="str">
        <f t="shared" si="17"/>
        <v>0</v>
      </c>
      <c r="EA24" s="34" t="str">
        <f t="shared" si="18"/>
        <v>0</v>
      </c>
      <c r="EB24" s="34" t="str">
        <f t="shared" si="19"/>
        <v/>
      </c>
      <c r="EC24" s="34" t="str">
        <f t="shared" si="20"/>
        <v/>
      </c>
      <c r="EE24" s="15" t="str">
        <f t="shared" si="21"/>
        <v>GH -00</v>
      </c>
    </row>
    <row r="25" spans="1:136" ht="23.25">
      <c r="A25" s="26"/>
      <c r="B25" s="24" t="str">
        <f t="shared" si="0"/>
        <v/>
      </c>
      <c r="C25" s="16">
        <f t="shared" si="1"/>
        <v>0</v>
      </c>
      <c r="D25" s="16">
        <f t="shared" si="2"/>
        <v>0</v>
      </c>
      <c r="E25" s="16">
        <f t="shared" si="3"/>
        <v>0</v>
      </c>
      <c r="F25" s="16">
        <f t="shared" si="4"/>
        <v>0</v>
      </c>
      <c r="G25" s="16" t="str">
        <f t="shared" si="5"/>
        <v/>
      </c>
      <c r="H25" s="16" t="str">
        <f t="shared" si="6"/>
        <v/>
      </c>
      <c r="I25" s="16" t="str">
        <f t="shared" si="7"/>
        <v/>
      </c>
      <c r="J25" s="16" t="str">
        <f t="shared" si="8"/>
        <v/>
      </c>
      <c r="K25" s="16">
        <f t="shared" si="9"/>
        <v>1</v>
      </c>
      <c r="L25" s="16">
        <f t="shared" si="10"/>
        <v>3</v>
      </c>
      <c r="M25" s="16">
        <f t="shared" si="11"/>
        <v>5</v>
      </c>
      <c r="N25" s="16" t="str">
        <f t="shared" si="12"/>
        <v/>
      </c>
      <c r="O25" s="16" t="str">
        <f t="shared" si="13"/>
        <v/>
      </c>
      <c r="P25" s="16" t="str">
        <f t="shared" si="14"/>
        <v/>
      </c>
      <c r="Q25" s="50" t="str">
        <f t="shared" si="15"/>
        <v>Zero</v>
      </c>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S25" s="222" t="s">
        <v>374</v>
      </c>
      <c r="DT25" s="222" t="s">
        <v>374</v>
      </c>
      <c r="DU25" s="222" t="s">
        <v>375</v>
      </c>
      <c r="DV25" s="15" t="s">
        <v>489</v>
      </c>
      <c r="DW25" s="15" t="s">
        <v>363</v>
      </c>
      <c r="DX25" s="15" t="str">
        <f>IF(Data!$AH$5=2,'R C'!DU25,IF('R C'!$DX$16=1,'R C'!DS25,IF('R C'!$DX$16=2,'R C'!DT25,"")))</f>
        <v>06</v>
      </c>
      <c r="DY25" s="222" t="str">
        <f t="shared" si="16"/>
        <v>06</v>
      </c>
      <c r="DZ25" s="34" t="str">
        <f t="shared" si="17"/>
        <v>0</v>
      </c>
      <c r="EA25" s="34" t="str">
        <f t="shared" si="18"/>
        <v>6</v>
      </c>
      <c r="EB25" s="34" t="str">
        <f t="shared" si="19"/>
        <v/>
      </c>
      <c r="EC25" s="34" t="str">
        <f t="shared" si="20"/>
        <v/>
      </c>
      <c r="EE25" s="15" t="str">
        <f t="shared" si="21"/>
        <v>SH -06</v>
      </c>
    </row>
    <row r="26" spans="1:136" ht="23.25">
      <c r="A26" s="25"/>
      <c r="B26" s="24" t="str">
        <f t="shared" si="0"/>
        <v/>
      </c>
      <c r="C26" s="16">
        <f t="shared" si="1"/>
        <v>0</v>
      </c>
      <c r="D26" s="16">
        <f t="shared" si="2"/>
        <v>0</v>
      </c>
      <c r="E26" s="16">
        <f t="shared" si="3"/>
        <v>0</v>
      </c>
      <c r="F26" s="16">
        <f t="shared" si="4"/>
        <v>0</v>
      </c>
      <c r="G26" s="16" t="str">
        <f t="shared" si="5"/>
        <v/>
      </c>
      <c r="H26" s="16" t="str">
        <f t="shared" si="6"/>
        <v/>
      </c>
      <c r="I26" s="16" t="str">
        <f t="shared" si="7"/>
        <v/>
      </c>
      <c r="J26" s="16" t="str">
        <f t="shared" si="8"/>
        <v/>
      </c>
      <c r="K26" s="16">
        <f t="shared" si="9"/>
        <v>1</v>
      </c>
      <c r="L26" s="16">
        <f t="shared" si="10"/>
        <v>3</v>
      </c>
      <c r="M26" s="16">
        <f t="shared" si="11"/>
        <v>5</v>
      </c>
      <c r="N26" s="16" t="str">
        <f t="shared" si="12"/>
        <v/>
      </c>
      <c r="O26" s="16" t="str">
        <f t="shared" si="13"/>
        <v/>
      </c>
      <c r="P26" s="16" t="str">
        <f t="shared" si="14"/>
        <v/>
      </c>
      <c r="Q26" s="50" t="str">
        <f t="shared" si="15"/>
        <v>Zero</v>
      </c>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I26" s="15" t="str">
        <f>IF(Data!G12=Data!AO15,Data!K12,Data!G12)</f>
        <v>son</v>
      </c>
      <c r="DS26" s="222" t="s">
        <v>376</v>
      </c>
      <c r="DT26" s="222" t="s">
        <v>376</v>
      </c>
      <c r="DU26" s="222" t="s">
        <v>377</v>
      </c>
      <c r="DV26" s="15" t="s">
        <v>490</v>
      </c>
      <c r="DW26" s="15" t="s">
        <v>364</v>
      </c>
      <c r="DX26" s="15" t="str">
        <f>IF(Data!$AH$5=2,'R C'!DU26,IF('R C'!$DX$16=1,'R C'!DS26,IF('R C'!$DX$16=2,'R C'!DT26,"")))</f>
        <v>040</v>
      </c>
      <c r="DY26" s="222" t="str">
        <f t="shared" si="16"/>
        <v>040</v>
      </c>
      <c r="DZ26" s="34" t="str">
        <f t="shared" si="17"/>
        <v>0</v>
      </c>
      <c r="EA26" s="34" t="str">
        <f t="shared" si="18"/>
        <v>4</v>
      </c>
      <c r="EB26" s="34" t="str">
        <f t="shared" si="19"/>
        <v>0</v>
      </c>
      <c r="EC26" s="34" t="str">
        <f t="shared" si="20"/>
        <v/>
      </c>
      <c r="EE26" s="15" t="str">
        <f t="shared" si="21"/>
        <v>DH -040</v>
      </c>
    </row>
    <row r="27" spans="1:136" ht="23.25">
      <c r="A27" s="23"/>
      <c r="B27" s="18" t="str">
        <f t="shared" si="0"/>
        <v/>
      </c>
      <c r="C27" s="22">
        <f t="shared" si="1"/>
        <v>0</v>
      </c>
      <c r="D27" s="21">
        <f t="shared" si="2"/>
        <v>0</v>
      </c>
      <c r="E27" s="21">
        <f t="shared" si="3"/>
        <v>0</v>
      </c>
      <c r="F27" s="21">
        <f t="shared" si="4"/>
        <v>0</v>
      </c>
      <c r="G27" s="21" t="str">
        <f t="shared" si="5"/>
        <v/>
      </c>
      <c r="H27" s="21" t="str">
        <f t="shared" si="6"/>
        <v/>
      </c>
      <c r="I27" s="21" t="str">
        <f t="shared" si="7"/>
        <v/>
      </c>
      <c r="J27" s="21" t="str">
        <f t="shared" si="8"/>
        <v/>
      </c>
      <c r="K27" s="21">
        <f t="shared" si="9"/>
        <v>1</v>
      </c>
      <c r="L27" s="21">
        <f t="shared" si="10"/>
        <v>3</v>
      </c>
      <c r="M27" s="21">
        <f t="shared" si="11"/>
        <v>5</v>
      </c>
      <c r="N27" s="21" t="str">
        <f t="shared" si="12"/>
        <v/>
      </c>
      <c r="O27" s="21" t="str">
        <f t="shared" si="13"/>
        <v/>
      </c>
      <c r="P27" s="21" t="str">
        <f t="shared" si="14"/>
        <v/>
      </c>
      <c r="Q27" s="21" t="str">
        <f t="shared" si="15"/>
        <v>Zero</v>
      </c>
      <c r="DG27" s="15" t="s">
        <v>387</v>
      </c>
      <c r="DI27" s="15" t="str">
        <f>IF(Data!AH5=2,""&amp;'R C'!DH16&amp;", Rtd ,"&amp;Data!I5,IF(Data!AH5&gt;2," Late."&amp;'R C'!DH16&amp;IF(Data!AH5=4,", Rtd ","  ")&amp;Data!I5,IF(Data!AH5=1,""&amp;'R C'!DH16&amp;" "&amp;Data!I5,)))</f>
        <v>Sri G MURALIMOHANA RAO, Rtd ,S.G.T</v>
      </c>
      <c r="DL27" s="15" t="str">
        <f>""&amp;Data!Q5&amp;","&amp;Data!G6&amp;":"&amp;Data!I6&amp;", Dist:"&amp;Data!P6&amp;""</f>
        <v>G P SCHOOL LAKKAGUDA,Mandal:G L PURAM, Dist:PARVATHIPURAM MANYAM</v>
      </c>
      <c r="DS27" s="222" t="s">
        <v>378</v>
      </c>
      <c r="DT27" s="222" t="s">
        <v>378</v>
      </c>
      <c r="DU27" s="222" t="s">
        <v>379</v>
      </c>
      <c r="DV27" s="15" t="s">
        <v>491</v>
      </c>
      <c r="DW27" s="15" t="s">
        <v>365</v>
      </c>
      <c r="DX27" s="15" t="str">
        <f>IF(Data!$AH$5=2,'R C'!DU27,IF('R C'!$DX$16=1,'R C'!DS27,IF('R C'!$DX$16=2,'R C'!DT27,"")))</f>
        <v>043</v>
      </c>
      <c r="DY27" s="222" t="str">
        <f t="shared" si="16"/>
        <v>043</v>
      </c>
      <c r="DZ27" s="34" t="str">
        <f t="shared" si="17"/>
        <v>0</v>
      </c>
      <c r="EA27" s="34" t="str">
        <f t="shared" si="18"/>
        <v>4</v>
      </c>
      <c r="EB27" s="34" t="str">
        <f t="shared" si="19"/>
        <v>3</v>
      </c>
      <c r="EC27" s="34" t="str">
        <f t="shared" si="20"/>
        <v/>
      </c>
      <c r="EE27" s="15" t="str">
        <f t="shared" si="21"/>
        <v>SDH -043</v>
      </c>
    </row>
    <row r="28" spans="1:136" ht="23.25">
      <c r="A28" s="19"/>
      <c r="B28" s="18" t="str">
        <f t="shared" si="0"/>
        <v/>
      </c>
      <c r="C28" s="17">
        <f t="shared" si="1"/>
        <v>0</v>
      </c>
      <c r="D28" s="16">
        <f t="shared" si="2"/>
        <v>0</v>
      </c>
      <c r="E28" s="16">
        <f t="shared" si="3"/>
        <v>0</v>
      </c>
      <c r="F28" s="16">
        <f t="shared" si="4"/>
        <v>0</v>
      </c>
      <c r="G28" s="16" t="str">
        <f t="shared" si="5"/>
        <v/>
      </c>
      <c r="H28" s="16" t="str">
        <f t="shared" si="6"/>
        <v/>
      </c>
      <c r="I28" s="16" t="str">
        <f t="shared" si="7"/>
        <v/>
      </c>
      <c r="J28" s="16" t="str">
        <f t="shared" si="8"/>
        <v/>
      </c>
      <c r="K28" s="16">
        <f t="shared" si="9"/>
        <v>1</v>
      </c>
      <c r="L28" s="16">
        <f t="shared" si="10"/>
        <v>3</v>
      </c>
      <c r="M28" s="16">
        <f t="shared" si="11"/>
        <v>5</v>
      </c>
      <c r="N28" s="16" t="str">
        <f t="shared" si="12"/>
        <v/>
      </c>
      <c r="O28" s="16" t="str">
        <f t="shared" si="13"/>
        <v/>
      </c>
      <c r="P28" s="16" t="str">
        <f t="shared" si="14"/>
        <v/>
      </c>
      <c r="Q28" s="16" t="str">
        <f t="shared" si="15"/>
        <v>Zero</v>
      </c>
      <c r="DG28" s="15" t="s">
        <v>385</v>
      </c>
      <c r="DI28" s="15" t="str">
        <f>IF(AND(Data!AH6=1,Data!AH5=2),""&amp;'R C'!DH16&amp;", Rtd "&amp;Data!I5,IF(AND(Data!AH6=1,Data!AH5&gt;2)," Late."&amp;'R C'!DH16&amp;IF(Data!AH5=4,",  Rtd ","  ")&amp;Data!I5,IF(AND(Data!AH6=1,Data!AH5=1),""&amp;'R C'!DH16&amp;" "&amp;Data!I5,IF(Data!AH6=200,""&amp;'R C'!DH17&amp;IF(Data!AH5&gt;2,"(F.pensioner)"," ")&amp;DI26&amp;" of "&amp;'R C'!DI27,))))</f>
        <v>Sri G MURALIMOHANA RAO, Rtd S.G.T</v>
      </c>
      <c r="DO28" s="312" t="str">
        <f>""&amp;DI28&amp;" ,"&amp;DL27</f>
        <v>Sri G MURALIMOHANA RAO, Rtd S.G.T ,G P SCHOOL LAKKAGUDA,Mandal:G L PURAM, Dist:PARVATHIPURAM MANYAM</v>
      </c>
    </row>
    <row r="29" spans="1:136" ht="23.25">
      <c r="A29" s="19"/>
      <c r="B29" s="18" t="str">
        <f t="shared" si="0"/>
        <v/>
      </c>
      <c r="C29" s="17">
        <f t="shared" si="1"/>
        <v>0</v>
      </c>
      <c r="D29" s="16">
        <f t="shared" si="2"/>
        <v>0</v>
      </c>
      <c r="E29" s="16">
        <f t="shared" si="3"/>
        <v>0</v>
      </c>
      <c r="F29" s="16">
        <f t="shared" si="4"/>
        <v>0</v>
      </c>
      <c r="G29" s="16" t="str">
        <f t="shared" si="5"/>
        <v/>
      </c>
      <c r="H29" s="16" t="str">
        <f t="shared" si="6"/>
        <v/>
      </c>
      <c r="I29" s="16" t="str">
        <f t="shared" si="7"/>
        <v/>
      </c>
      <c r="J29" s="16" t="str">
        <f t="shared" si="8"/>
        <v/>
      </c>
      <c r="K29" s="16">
        <f t="shared" si="9"/>
        <v>1</v>
      </c>
      <c r="L29" s="16">
        <f t="shared" si="10"/>
        <v>3</v>
      </c>
      <c r="M29" s="16">
        <f t="shared" si="11"/>
        <v>5</v>
      </c>
      <c r="N29" s="16" t="str">
        <f t="shared" si="12"/>
        <v/>
      </c>
      <c r="O29" s="16" t="str">
        <f t="shared" si="13"/>
        <v/>
      </c>
      <c r="P29" s="16" t="str">
        <f t="shared" si="14"/>
        <v/>
      </c>
      <c r="Q29" s="16" t="str">
        <f t="shared" si="15"/>
        <v>Zero</v>
      </c>
      <c r="DG29" s="15" t="s">
        <v>386</v>
      </c>
      <c r="DI29" s="309" t="str">
        <f>""&amp;'R C'!DH17&amp;" "&amp;DI26&amp;" of "&amp;DI27</f>
        <v>Smt G.BHARATAMMA son of Sri G MURALIMOHANA RAO, Rtd ,S.G.T</v>
      </c>
    </row>
    <row r="30" spans="1:136" ht="23.25">
      <c r="A30" s="19"/>
      <c r="B30" s="18" t="str">
        <f t="shared" si="0"/>
        <v/>
      </c>
      <c r="C30" s="17">
        <f t="shared" si="1"/>
        <v>0</v>
      </c>
      <c r="D30" s="16">
        <f t="shared" si="2"/>
        <v>0</v>
      </c>
      <c r="E30" s="16">
        <f t="shared" si="3"/>
        <v>0</v>
      </c>
      <c r="F30" s="16">
        <f t="shared" si="4"/>
        <v>0</v>
      </c>
      <c r="G30" s="16" t="str">
        <f t="shared" si="5"/>
        <v/>
      </c>
      <c r="H30" s="16" t="str">
        <f t="shared" si="6"/>
        <v/>
      </c>
      <c r="I30" s="16" t="str">
        <f t="shared" si="7"/>
        <v/>
      </c>
      <c r="J30" s="16" t="str">
        <f t="shared" si="8"/>
        <v/>
      </c>
      <c r="K30" s="16">
        <f t="shared" si="9"/>
        <v>1</v>
      </c>
      <c r="L30" s="16">
        <f t="shared" si="10"/>
        <v>3</v>
      </c>
      <c r="M30" s="16">
        <f t="shared" si="11"/>
        <v>5</v>
      </c>
      <c r="N30" s="16" t="str">
        <f t="shared" si="12"/>
        <v/>
      </c>
      <c r="O30" s="16" t="str">
        <f t="shared" si="13"/>
        <v/>
      </c>
      <c r="P30" s="16" t="str">
        <f t="shared" si="14"/>
        <v/>
      </c>
      <c r="Q30" s="16" t="str">
        <f t="shared" si="15"/>
        <v>Zero</v>
      </c>
    </row>
    <row r="31" spans="1:136" ht="23.25">
      <c r="A31" s="20"/>
      <c r="B31" s="18" t="str">
        <f t="shared" si="0"/>
        <v/>
      </c>
      <c r="C31" s="17">
        <f t="shared" si="1"/>
        <v>0</v>
      </c>
      <c r="D31" s="16">
        <f t="shared" si="2"/>
        <v>0</v>
      </c>
      <c r="E31" s="16">
        <f t="shared" si="3"/>
        <v>0</v>
      </c>
      <c r="F31" s="16">
        <f t="shared" si="4"/>
        <v>0</v>
      </c>
      <c r="G31" s="16" t="str">
        <f t="shared" si="5"/>
        <v/>
      </c>
      <c r="H31" s="16" t="str">
        <f t="shared" si="6"/>
        <v/>
      </c>
      <c r="I31" s="16" t="str">
        <f t="shared" si="7"/>
        <v/>
      </c>
      <c r="J31" s="16" t="str">
        <f t="shared" si="8"/>
        <v/>
      </c>
      <c r="K31" s="16">
        <f t="shared" si="9"/>
        <v>1</v>
      </c>
      <c r="L31" s="16">
        <f t="shared" si="10"/>
        <v>3</v>
      </c>
      <c r="M31" s="16">
        <f t="shared" si="11"/>
        <v>5</v>
      </c>
      <c r="N31" s="16" t="str">
        <f t="shared" si="12"/>
        <v/>
      </c>
      <c r="O31" s="16" t="str">
        <f t="shared" si="13"/>
        <v/>
      </c>
      <c r="P31" s="16" t="str">
        <f t="shared" si="14"/>
        <v/>
      </c>
      <c r="Q31" s="16" t="str">
        <f t="shared" si="15"/>
        <v>Zero</v>
      </c>
      <c r="DG31" s="15" t="s">
        <v>388</v>
      </c>
      <c r="DI31" s="15" t="str">
        <f>IF(Data!AH5=2," Rtd ,"&amp;Data!I5,IF(Data!AH5&gt;2,IF(Data!AH5=4," Rtd, ","  ")&amp;Data!I5,IF(Data!AH5=1,Data!I5)))</f>
        <v xml:space="preserve"> Rtd ,S.G.T</v>
      </c>
    </row>
    <row r="32" spans="1:136" ht="23.25">
      <c r="A32" s="19"/>
      <c r="B32" s="18" t="str">
        <f t="shared" si="0"/>
        <v/>
      </c>
      <c r="C32" s="17">
        <f t="shared" si="1"/>
        <v>0</v>
      </c>
      <c r="D32" s="16">
        <f t="shared" si="2"/>
        <v>0</v>
      </c>
      <c r="E32" s="16">
        <f t="shared" si="3"/>
        <v>0</v>
      </c>
      <c r="F32" s="16">
        <f t="shared" si="4"/>
        <v>0</v>
      </c>
      <c r="G32" s="16" t="str">
        <f t="shared" si="5"/>
        <v/>
      </c>
      <c r="H32" s="16" t="str">
        <f t="shared" si="6"/>
        <v/>
      </c>
      <c r="I32" s="16" t="str">
        <f t="shared" si="7"/>
        <v/>
      </c>
      <c r="J32" s="16" t="str">
        <f t="shared" si="8"/>
        <v/>
      </c>
      <c r="K32" s="16">
        <f t="shared" si="9"/>
        <v>1</v>
      </c>
      <c r="L32" s="16">
        <f t="shared" si="10"/>
        <v>3</v>
      </c>
      <c r="M32" s="16">
        <f t="shared" si="11"/>
        <v>5</v>
      </c>
      <c r="N32" s="16" t="str">
        <f t="shared" si="12"/>
        <v/>
      </c>
      <c r="O32" s="16" t="str">
        <f t="shared" si="13"/>
        <v/>
      </c>
      <c r="P32" s="16" t="str">
        <f t="shared" si="14"/>
        <v/>
      </c>
      <c r="Q32" s="16" t="str">
        <f t="shared" si="15"/>
        <v>Zero</v>
      </c>
      <c r="DG32" s="15" t="s">
        <v>389</v>
      </c>
      <c r="DI32" s="15" t="str">
        <f>IF(Data!AH5=2,'R C'!DH16,IF(Data!AH5&gt;2,"Late."&amp;'R C'!DH16,IF(Data!AH5=1,'R C'!DH16)))</f>
        <v>Sri G MURALIMOHANA RAO</v>
      </c>
    </row>
    <row r="33" spans="1:126" ht="23.25">
      <c r="A33" s="19"/>
      <c r="B33" s="18" t="str">
        <f t="shared" si="0"/>
        <v/>
      </c>
      <c r="C33" s="17">
        <f t="shared" si="1"/>
        <v>0</v>
      </c>
      <c r="D33" s="16">
        <f t="shared" si="2"/>
        <v>0</v>
      </c>
      <c r="E33" s="16">
        <f t="shared" si="3"/>
        <v>0</v>
      </c>
      <c r="F33" s="16">
        <f t="shared" si="4"/>
        <v>0</v>
      </c>
      <c r="G33" s="16" t="str">
        <f t="shared" si="5"/>
        <v/>
      </c>
      <c r="H33" s="16" t="str">
        <f t="shared" si="6"/>
        <v/>
      </c>
      <c r="I33" s="16" t="str">
        <f t="shared" si="7"/>
        <v/>
      </c>
      <c r="J33" s="16" t="str">
        <f t="shared" si="8"/>
        <v/>
      </c>
      <c r="K33" s="16">
        <f t="shared" si="9"/>
        <v>1</v>
      </c>
      <c r="L33" s="16">
        <f t="shared" si="10"/>
        <v>3</v>
      </c>
      <c r="M33" s="16">
        <f t="shared" si="11"/>
        <v>5</v>
      </c>
      <c r="N33" s="16" t="str">
        <f t="shared" si="12"/>
        <v/>
      </c>
      <c r="O33" s="16" t="str">
        <f t="shared" si="13"/>
        <v/>
      </c>
      <c r="P33" s="16" t="str">
        <f t="shared" si="14"/>
        <v/>
      </c>
      <c r="Q33" s="16" t="str">
        <f t="shared" si="15"/>
        <v>Zero</v>
      </c>
    </row>
    <row r="34" spans="1:126" ht="51" customHeight="1">
      <c r="A34" s="19"/>
      <c r="B34" s="18" t="str">
        <f t="shared" si="0"/>
        <v/>
      </c>
      <c r="C34" s="17">
        <f t="shared" si="1"/>
        <v>0</v>
      </c>
      <c r="D34" s="16">
        <f t="shared" si="2"/>
        <v>0</v>
      </c>
      <c r="E34" s="16">
        <f t="shared" si="3"/>
        <v>0</v>
      </c>
      <c r="F34" s="16">
        <f t="shared" si="4"/>
        <v>0</v>
      </c>
      <c r="G34" s="16" t="str">
        <f t="shared" si="5"/>
        <v/>
      </c>
      <c r="H34" s="16" t="str">
        <f t="shared" si="6"/>
        <v/>
      </c>
      <c r="I34" s="16" t="str">
        <f t="shared" si="7"/>
        <v/>
      </c>
      <c r="J34" s="16" t="str">
        <f t="shared" si="8"/>
        <v/>
      </c>
      <c r="K34" s="16">
        <f t="shared" si="9"/>
        <v>1</v>
      </c>
      <c r="L34" s="16">
        <f t="shared" si="10"/>
        <v>3</v>
      </c>
      <c r="M34" s="16">
        <f t="shared" si="11"/>
        <v>5</v>
      </c>
      <c r="N34" s="16" t="str">
        <f t="shared" si="12"/>
        <v/>
      </c>
      <c r="O34" s="16" t="str">
        <f t="shared" si="13"/>
        <v/>
      </c>
      <c r="P34" s="16" t="str">
        <f t="shared" si="14"/>
        <v/>
      </c>
      <c r="Q34" s="16" t="str">
        <f t="shared" si="15"/>
        <v>Zero</v>
      </c>
      <c r="DI34" s="311"/>
      <c r="DJ34" s="311"/>
      <c r="DK34" s="311"/>
      <c r="DL34" s="311"/>
      <c r="DM34" s="311"/>
      <c r="DN34" s="311"/>
      <c r="DO34" s="311"/>
      <c r="DP34" s="311"/>
      <c r="DQ34" s="311"/>
      <c r="DR34" s="311"/>
      <c r="DS34" s="311"/>
      <c r="DT34" s="311"/>
      <c r="DU34" s="311"/>
      <c r="DV34" s="311"/>
    </row>
    <row r="35" spans="1:126" ht="14.25" customHeight="1">
      <c r="A35" s="19"/>
      <c r="B35" s="18" t="str">
        <f t="shared" si="0"/>
        <v/>
      </c>
      <c r="C35" s="17">
        <f t="shared" si="1"/>
        <v>0</v>
      </c>
      <c r="D35" s="16">
        <f t="shared" si="2"/>
        <v>0</v>
      </c>
      <c r="E35" s="16">
        <f t="shared" si="3"/>
        <v>0</v>
      </c>
      <c r="F35" s="16">
        <f t="shared" si="4"/>
        <v>0</v>
      </c>
      <c r="G35" s="16" t="str">
        <f t="shared" si="5"/>
        <v/>
      </c>
      <c r="H35" s="16" t="str">
        <f t="shared" si="6"/>
        <v/>
      </c>
      <c r="I35" s="16" t="str">
        <f t="shared" si="7"/>
        <v/>
      </c>
      <c r="J35" s="16" t="str">
        <f t="shared" si="8"/>
        <v/>
      </c>
      <c r="K35" s="16">
        <f t="shared" si="9"/>
        <v>1</v>
      </c>
      <c r="L35" s="16">
        <f t="shared" si="10"/>
        <v>3</v>
      </c>
      <c r="M35" s="16">
        <f t="shared" si="11"/>
        <v>5</v>
      </c>
      <c r="N35" s="16" t="str">
        <f t="shared" si="12"/>
        <v/>
      </c>
      <c r="O35" s="16" t="str">
        <f t="shared" si="13"/>
        <v/>
      </c>
      <c r="P35" s="16" t="str">
        <f t="shared" si="14"/>
        <v/>
      </c>
      <c r="Q35" s="16" t="str">
        <f t="shared" si="15"/>
        <v>Zero</v>
      </c>
      <c r="DI35" s="311"/>
      <c r="DJ35" s="311"/>
      <c r="DK35" s="311"/>
      <c r="DL35" s="311"/>
      <c r="DM35" s="311"/>
      <c r="DN35" s="311"/>
      <c r="DO35" s="311"/>
      <c r="DP35" s="311"/>
      <c r="DQ35" s="311"/>
      <c r="DR35" s="311"/>
      <c r="DS35" s="311"/>
      <c r="DT35" s="311"/>
      <c r="DU35" s="311"/>
      <c r="DV35" s="311"/>
    </row>
    <row r="36" spans="1:126" ht="30" customHeight="1">
      <c r="A36" s="19"/>
      <c r="B36" s="18" t="str">
        <f t="shared" si="0"/>
        <v/>
      </c>
      <c r="C36" s="17">
        <f t="shared" si="1"/>
        <v>0</v>
      </c>
      <c r="D36" s="16">
        <f t="shared" si="2"/>
        <v>0</v>
      </c>
      <c r="E36" s="16">
        <f t="shared" si="3"/>
        <v>0</v>
      </c>
      <c r="F36" s="16">
        <f t="shared" si="4"/>
        <v>0</v>
      </c>
      <c r="G36" s="16" t="str">
        <f t="shared" si="5"/>
        <v/>
      </c>
      <c r="H36" s="16" t="str">
        <f t="shared" si="6"/>
        <v/>
      </c>
      <c r="I36" s="16" t="str">
        <f t="shared" si="7"/>
        <v/>
      </c>
      <c r="J36" s="16" t="str">
        <f t="shared" si="8"/>
        <v/>
      </c>
      <c r="K36" s="16">
        <f t="shared" si="9"/>
        <v>1</v>
      </c>
      <c r="L36" s="16">
        <f t="shared" si="10"/>
        <v>3</v>
      </c>
      <c r="M36" s="16">
        <f t="shared" si="11"/>
        <v>5</v>
      </c>
      <c r="N36" s="16" t="str">
        <f t="shared" si="12"/>
        <v/>
      </c>
      <c r="O36" s="16" t="str">
        <f t="shared" si="13"/>
        <v/>
      </c>
      <c r="P36" s="16" t="str">
        <f t="shared" si="14"/>
        <v/>
      </c>
      <c r="Q36" s="16" t="str">
        <f t="shared" si="15"/>
        <v>Zero</v>
      </c>
      <c r="DI36" s="311"/>
      <c r="DJ36" s="311"/>
      <c r="DK36" s="311"/>
      <c r="DL36" s="311"/>
      <c r="DM36" s="311"/>
      <c r="DN36" s="311"/>
      <c r="DO36" s="311"/>
      <c r="DP36" s="311"/>
      <c r="DQ36" s="311"/>
      <c r="DR36" s="311"/>
      <c r="DS36" s="311"/>
      <c r="DT36" s="311"/>
      <c r="DU36" s="311"/>
      <c r="DV36" s="311"/>
    </row>
    <row r="37" spans="1:126" ht="23.25">
      <c r="A37" s="19"/>
      <c r="B37" s="18" t="str">
        <f t="shared" si="0"/>
        <v/>
      </c>
      <c r="C37" s="17">
        <f t="shared" si="1"/>
        <v>0</v>
      </c>
      <c r="D37" s="16">
        <f t="shared" si="2"/>
        <v>0</v>
      </c>
      <c r="E37" s="16">
        <f t="shared" si="3"/>
        <v>0</v>
      </c>
      <c r="F37" s="16">
        <f t="shared" si="4"/>
        <v>0</v>
      </c>
      <c r="G37" s="16" t="str">
        <f t="shared" si="5"/>
        <v/>
      </c>
      <c r="H37" s="16" t="str">
        <f t="shared" si="6"/>
        <v/>
      </c>
      <c r="I37" s="16" t="str">
        <f t="shared" si="7"/>
        <v/>
      </c>
      <c r="J37" s="16" t="str">
        <f t="shared" si="8"/>
        <v/>
      </c>
      <c r="K37" s="16">
        <f t="shared" si="9"/>
        <v>1</v>
      </c>
      <c r="L37" s="16">
        <f t="shared" si="10"/>
        <v>3</v>
      </c>
      <c r="M37" s="16">
        <f t="shared" si="11"/>
        <v>5</v>
      </c>
      <c r="N37" s="16" t="str">
        <f t="shared" si="12"/>
        <v/>
      </c>
      <c r="O37" s="16" t="str">
        <f t="shared" si="13"/>
        <v/>
      </c>
      <c r="P37" s="16" t="str">
        <f t="shared" si="14"/>
        <v/>
      </c>
      <c r="Q37" s="16" t="str">
        <f t="shared" si="15"/>
        <v>Zero</v>
      </c>
    </row>
    <row r="38" spans="1:126" ht="23.25">
      <c r="A38" s="19"/>
      <c r="B38" s="18" t="str">
        <f t="shared" si="0"/>
        <v/>
      </c>
      <c r="C38" s="17">
        <f t="shared" si="1"/>
        <v>0</v>
      </c>
      <c r="D38" s="16">
        <f t="shared" si="2"/>
        <v>0</v>
      </c>
      <c r="E38" s="16">
        <f t="shared" si="3"/>
        <v>0</v>
      </c>
      <c r="F38" s="16">
        <f t="shared" si="4"/>
        <v>0</v>
      </c>
      <c r="G38" s="16" t="str">
        <f t="shared" si="5"/>
        <v/>
      </c>
      <c r="H38" s="16" t="str">
        <f t="shared" si="6"/>
        <v/>
      </c>
      <c r="I38" s="16" t="str">
        <f t="shared" si="7"/>
        <v/>
      </c>
      <c r="J38" s="16" t="str">
        <f t="shared" si="8"/>
        <v/>
      </c>
      <c r="K38" s="16">
        <f t="shared" si="9"/>
        <v>1</v>
      </c>
      <c r="L38" s="16">
        <f t="shared" si="10"/>
        <v>3</v>
      </c>
      <c r="M38" s="16">
        <f t="shared" si="11"/>
        <v>5</v>
      </c>
      <c r="N38" s="16" t="str">
        <f t="shared" si="12"/>
        <v/>
      </c>
      <c r="O38" s="16" t="str">
        <f t="shared" si="13"/>
        <v/>
      </c>
      <c r="P38" s="16" t="str">
        <f t="shared" si="14"/>
        <v/>
      </c>
      <c r="Q38" s="16" t="str">
        <f t="shared" si="15"/>
        <v>Zero</v>
      </c>
    </row>
    <row r="39" spans="1:126" ht="23.25">
      <c r="A39" s="19"/>
      <c r="B39" s="18" t="str">
        <f t="shared" si="0"/>
        <v/>
      </c>
      <c r="C39" s="17">
        <f t="shared" si="1"/>
        <v>0</v>
      </c>
      <c r="D39" s="16">
        <f t="shared" si="2"/>
        <v>0</v>
      </c>
      <c r="E39" s="16">
        <f t="shared" si="3"/>
        <v>0</v>
      </c>
      <c r="F39" s="16">
        <f t="shared" si="4"/>
        <v>0</v>
      </c>
      <c r="G39" s="16" t="str">
        <f t="shared" si="5"/>
        <v/>
      </c>
      <c r="H39" s="16" t="str">
        <f t="shared" si="6"/>
        <v/>
      </c>
      <c r="I39" s="16" t="str">
        <f t="shared" si="7"/>
        <v/>
      </c>
      <c r="J39" s="16" t="str">
        <f t="shared" si="8"/>
        <v/>
      </c>
      <c r="K39" s="16">
        <f t="shared" si="9"/>
        <v>1</v>
      </c>
      <c r="L39" s="16">
        <f t="shared" si="10"/>
        <v>3</v>
      </c>
      <c r="M39" s="16">
        <f t="shared" si="11"/>
        <v>5</v>
      </c>
      <c r="N39" s="16" t="str">
        <f t="shared" si="12"/>
        <v/>
      </c>
      <c r="O39" s="16" t="str">
        <f t="shared" si="13"/>
        <v/>
      </c>
      <c r="P39" s="16" t="str">
        <f t="shared" si="14"/>
        <v/>
      </c>
      <c r="Q39" s="16" t="str">
        <f t="shared" si="15"/>
        <v>Zero</v>
      </c>
    </row>
  </sheetData>
  <protectedRanges>
    <protectedRange password="CE28" sqref="A16:A39" name="Range1" securityDescriptor="O:WDG:WDD:(A;;CC;;;S-1-5-21-2952518159-813034524-2132993376-500)(A;;CC;;;BA)(A;;CC;;;WD)(A;;CC;;;S-1-5-21-2952518159-813034524-2132993376-501)(A;;CC;;;BG)"/>
  </protectedRanges>
  <customSheetViews>
    <customSheetView guid="{B625ED32-945B-469E-9979-E993C41040F6}" hiddenRows="1" hiddenColumns="1" state="hidden" topLeftCell="DF23">
      <selection activeCell="DI29" sqref="DI29"/>
      <pageMargins left="0.7" right="0.7" top="0.75" bottom="0.75" header="0.3" footer="0.3"/>
      <pageSetup orientation="portrait" r:id="rId1"/>
      <headerFooter alignWithMargins="0"/>
    </customSheetView>
  </customSheetViews>
  <pageMargins left="0.7" right="0.7" top="0.75" bottom="0.75" header="0.3" footer="0.3"/>
  <pageSetup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B050"/>
  </sheetPr>
  <dimension ref="A1:S51"/>
  <sheetViews>
    <sheetView showGridLines="0" view="pageBreakPreview" topLeftCell="A14" zoomScaleNormal="100" zoomScaleSheetLayoutView="100" workbookViewId="0">
      <selection activeCell="A11" sqref="A11:I11"/>
    </sheetView>
  </sheetViews>
  <sheetFormatPr defaultColWidth="0" defaultRowHeight="16.5" zeroHeight="1"/>
  <cols>
    <col min="1" max="1" width="9.7109375" style="2" customWidth="1"/>
    <col min="2" max="2" width="7" style="2" customWidth="1"/>
    <col min="3" max="3" width="9.7109375" style="2" customWidth="1"/>
    <col min="4" max="4" width="9.5703125" style="2" customWidth="1"/>
    <col min="5" max="5" width="7.7109375" style="2" customWidth="1"/>
    <col min="6" max="6" width="9.7109375" style="2" customWidth="1"/>
    <col min="7" max="7" width="11.42578125" style="2" customWidth="1"/>
    <col min="8" max="8" width="9.7109375" style="2" customWidth="1"/>
    <col min="9" max="9" width="8.5703125" style="2" customWidth="1"/>
    <col min="10" max="10" width="5.140625" style="2" customWidth="1"/>
    <col min="11" max="11" width="7" style="2" hidden="1" customWidth="1"/>
    <col min="12" max="12" width="8.5703125" style="2" hidden="1" customWidth="1"/>
    <col min="13" max="13" width="17.140625" style="2" hidden="1" customWidth="1"/>
    <col min="14" max="14" width="12.42578125" style="2" hidden="1" customWidth="1"/>
    <col min="15" max="15" width="13.140625" style="2" hidden="1" customWidth="1"/>
    <col min="16" max="16" width="11.5703125" style="2" hidden="1" customWidth="1"/>
    <col min="17" max="17" width="7.7109375" style="2" hidden="1" customWidth="1"/>
    <col min="18" max="18" width="5.28515625" style="2" hidden="1" customWidth="1"/>
    <col min="19" max="19" width="9.28515625" style="2" hidden="1" customWidth="1"/>
    <col min="20" max="16384" width="17.140625" style="2" hidden="1"/>
  </cols>
  <sheetData>
    <row r="1" spans="1:15">
      <c r="A1" s="556" t="str">
        <f>UPPER("Office of the "&amp;Data!S10&amp;", "&amp;Data!Q12)</f>
        <v>OFFICE OF THE MEO, MP,G.L.PURAM</v>
      </c>
      <c r="B1" s="556"/>
      <c r="C1" s="556"/>
      <c r="D1" s="556"/>
      <c r="E1" s="556"/>
      <c r="F1" s="556"/>
      <c r="G1" s="556"/>
      <c r="H1" s="556"/>
      <c r="I1" s="556"/>
    </row>
    <row r="2" spans="1:15">
      <c r="A2" s="556" t="str">
        <f>UPPER("District: "&amp;Data!Q14)</f>
        <v>DISTRICT: PARVATHIPURAM MANYAM</v>
      </c>
      <c r="B2" s="556"/>
      <c r="C2" s="556"/>
      <c r="D2" s="556"/>
      <c r="E2" s="556"/>
      <c r="F2" s="556"/>
      <c r="G2" s="556"/>
      <c r="H2" s="556"/>
      <c r="I2" s="556"/>
      <c r="O2" s="2">
        <f>Data!AH3</f>
        <v>1</v>
      </c>
    </row>
    <row r="3" spans="1:15" ht="6" customHeight="1">
      <c r="A3" s="47"/>
      <c r="B3" s="47"/>
      <c r="C3" s="47"/>
      <c r="D3" s="47"/>
      <c r="E3" s="47"/>
      <c r="F3" s="47"/>
      <c r="G3" s="47"/>
      <c r="H3" s="47"/>
      <c r="I3" s="47"/>
    </row>
    <row r="4" spans="1:15">
      <c r="A4" s="2" t="s">
        <v>8</v>
      </c>
      <c r="F4" s="2" t="s">
        <v>6</v>
      </c>
    </row>
    <row r="5" spans="1:15">
      <c r="A5" s="2" t="str">
        <f>"The "&amp;Data!S10</f>
        <v>The MEO</v>
      </c>
      <c r="F5" s="554" t="str">
        <f>IF(Data!J17&lt;50001,Data!G24,Data!P24)</f>
        <v>The District Educational offcier,</v>
      </c>
      <c r="G5" s="554"/>
      <c r="H5" s="554"/>
      <c r="I5" s="554"/>
      <c r="J5" s="289"/>
    </row>
    <row r="6" spans="1:15">
      <c r="A6" s="2" t="str">
        <f>Data!Q12</f>
        <v>MP,G.L.PURAM</v>
      </c>
      <c r="F6" s="554" t="str">
        <f>IF(Data!J17&lt;50001,Data!G25,Data!P25)</f>
        <v>PARVATHIPURAM MANYAM DISTRICT</v>
      </c>
      <c r="G6" s="554"/>
      <c r="H6" s="554"/>
      <c r="I6" s="554"/>
      <c r="J6" s="290"/>
    </row>
    <row r="7" spans="1:15">
      <c r="A7" s="2" t="str">
        <f>""&amp;Data!O13&amp;": "&amp;Data!Q13</f>
        <v>Mandal: G L PURAM</v>
      </c>
      <c r="F7" s="554" t="str">
        <f>IF(AND(Data!G26="",Data!P26=""),"",IF(Data!J17&lt;50001,Data!G26,Data!P26))</f>
        <v>PARVATHIPURAM-535501</v>
      </c>
      <c r="G7" s="554"/>
      <c r="H7" s="554"/>
      <c r="I7" s="554"/>
      <c r="J7" s="290"/>
    </row>
    <row r="8" spans="1:15">
      <c r="A8" s="2" t="str">
        <f>""&amp;Data!O14&amp;": "&amp;Data!Q14</f>
        <v>District: PARVATHIPURAM MANYAM</v>
      </c>
      <c r="F8" s="89"/>
      <c r="G8" s="89"/>
      <c r="H8" s="89"/>
      <c r="I8" s="89"/>
    </row>
    <row r="9" spans="1:15" ht="3" customHeight="1">
      <c r="F9" s="89"/>
      <c r="G9" s="89"/>
      <c r="H9" s="89"/>
      <c r="I9" s="89"/>
    </row>
    <row r="10" spans="1:15" ht="4.5" hidden="1" customHeight="1">
      <c r="F10" s="89"/>
      <c r="G10" s="89"/>
      <c r="H10" s="89"/>
      <c r="I10" s="89"/>
    </row>
    <row r="11" spans="1:15">
      <c r="A11" s="557" t="str">
        <f>""&amp;IF(Data!S15="","Lr.No………………………………  ","Lr.No."&amp;Data!S15)&amp;"                      "&amp;IF(Data!S15="","Dated:………………………………..","Dated: "&amp;Data!U16)</f>
        <v>Lr.No.15/MEDICAL REIMBURSEMENT/2023                      Dated: 03.08.2023</v>
      </c>
      <c r="B11" s="557"/>
      <c r="C11" s="557"/>
      <c r="D11" s="557"/>
      <c r="E11" s="557"/>
      <c r="F11" s="557"/>
      <c r="G11" s="557"/>
      <c r="H11" s="557"/>
      <c r="I11" s="557"/>
    </row>
    <row r="12" spans="1:15" ht="15" customHeight="1">
      <c r="A12" s="2" t="s">
        <v>394</v>
      </c>
    </row>
    <row r="13" spans="1:15" ht="5.25" customHeight="1"/>
    <row r="14" spans="1:15" ht="12" customHeight="1">
      <c r="A14" s="49" t="s">
        <v>10</v>
      </c>
      <c r="B14" s="558" t="str">
        <f>"Medical Attendance - Medical Reimbursement  Proposal - in respect of "&amp;'R C'!DO28&amp;" "&amp;" - Submission for Sanction - regarding."</f>
        <v>Medical Attendance - Medical Reimbursement  Proposal - in respect of Sri G MURALIMOHANA RAO, Rtd S.G.T ,G P SCHOOL LAKKAGUDA,Mandal:G L PURAM, Dist:PARVATHIPURAM MANYAM  - Submission for Sanction - regarding.</v>
      </c>
      <c r="C14" s="558"/>
      <c r="D14" s="558"/>
      <c r="E14" s="558"/>
      <c r="F14" s="558"/>
      <c r="G14" s="558"/>
      <c r="H14" s="558"/>
      <c r="I14" s="558"/>
    </row>
    <row r="15" spans="1:15">
      <c r="B15" s="558"/>
      <c r="C15" s="558"/>
      <c r="D15" s="558"/>
      <c r="E15" s="558"/>
      <c r="F15" s="558"/>
      <c r="G15" s="558"/>
      <c r="H15" s="558"/>
      <c r="I15" s="558"/>
    </row>
    <row r="16" spans="1:15" ht="38.25" customHeight="1">
      <c r="B16" s="558"/>
      <c r="C16" s="558"/>
      <c r="D16" s="558"/>
      <c r="E16" s="558"/>
      <c r="F16" s="558"/>
      <c r="G16" s="558"/>
      <c r="H16" s="558"/>
      <c r="I16" s="558"/>
    </row>
    <row r="17" spans="1:19" ht="14.25" customHeight="1">
      <c r="A17" s="49" t="s">
        <v>11</v>
      </c>
      <c r="B17" s="90" t="s">
        <v>12</v>
      </c>
      <c r="C17" s="90"/>
      <c r="D17" s="90"/>
      <c r="E17" s="90"/>
      <c r="F17" s="90"/>
      <c r="G17" s="90"/>
    </row>
    <row r="18" spans="1:19" ht="15" customHeight="1">
      <c r="B18" s="90" t="s">
        <v>40</v>
      </c>
      <c r="C18" s="90"/>
      <c r="D18" s="90"/>
      <c r="E18" s="90"/>
      <c r="F18" s="90"/>
      <c r="G18" s="90"/>
    </row>
    <row r="19" spans="1:19" ht="14.25" customHeight="1">
      <c r="B19" s="90" t="s">
        <v>41</v>
      </c>
      <c r="C19" s="90"/>
      <c r="D19" s="90"/>
      <c r="E19" s="90"/>
      <c r="F19" s="90"/>
      <c r="G19" s="90"/>
    </row>
    <row r="20" spans="1:19" ht="13.5" customHeight="1">
      <c r="B20" s="90" t="s">
        <v>255</v>
      </c>
      <c r="C20" s="90"/>
      <c r="D20" s="90"/>
      <c r="E20" s="90"/>
      <c r="F20" s="90"/>
      <c r="G20" s="90"/>
    </row>
    <row r="21" spans="1:19">
      <c r="B21" s="93" t="str">
        <f>IF(Data!S4=Data!AF7,"5) PPO NO ."&amp;'R C'!DO17,"")</f>
        <v/>
      </c>
      <c r="C21" s="90"/>
      <c r="D21" s="90"/>
      <c r="E21" s="90"/>
      <c r="F21" s="90"/>
      <c r="G21" s="90"/>
    </row>
    <row r="22" spans="1:19" ht="11.25" customHeight="1">
      <c r="B22" s="93"/>
      <c r="C22" s="90"/>
      <c r="D22" s="90"/>
      <c r="E22" s="90"/>
      <c r="F22" s="90"/>
      <c r="G22" s="90"/>
    </row>
    <row r="23" spans="1:19" ht="4.5" customHeight="1">
      <c r="B23" s="93"/>
      <c r="C23" s="90"/>
      <c r="D23" s="90"/>
      <c r="E23" s="90"/>
      <c r="F23" s="90"/>
      <c r="G23" s="90"/>
    </row>
    <row r="24" spans="1:19" ht="10.5" customHeight="1">
      <c r="E24" s="3" t="s">
        <v>13</v>
      </c>
    </row>
    <row r="25" spans="1:19" ht="9.75" customHeight="1">
      <c r="A25" s="555" t="str">
        <f>"                With reference to the subject cited above I submit here with the "&amp;Data!J9&amp;" Medical Reimbursement proposals of "&amp;'R C'!DO28&amp;" for under gone treatment of "&amp;Data!D13&amp;" at "&amp;Data!D15&amp;", "&amp;Data!D16&amp;", from "&amp;Data!G14&amp;" to "&amp;Data!K14&amp;" with incurred an amount of Rs."&amp;Data!J17&amp;"/-"&amp;'R C'!B16</f>
        <v xml:space="preserve">                With reference to the subject cited above I submit here with the Out Patient Medical Reimbursement proposals of Sri G MURALIMOHANA RAO, Rtd S.G.T ,G P SCHOOL LAKKAGUDA,Mandal:G L PURAM, Dist:PARVATHIPURAM MANYAM for under gone treatment of HTN T2-DM AF PAH-SEVERE PIP AF C FVR OS ADS WITH LEFT TO RIGHT SHUNTI NORMAL LV FUNCTION at M/S INDUS HOSPITAL, KGH DOWN ROAD, VISAKHAPATNAM, from 26.06.2023 to 28.06.2023 with incurred an amount of Rs.55000/-(Fifty five Thousand rupees only)</v>
      </c>
      <c r="B25" s="555"/>
      <c r="C25" s="555"/>
      <c r="D25" s="555"/>
      <c r="E25" s="555"/>
      <c r="F25" s="555"/>
      <c r="G25" s="555"/>
      <c r="H25" s="555"/>
      <c r="I25" s="555"/>
      <c r="K25" s="553"/>
      <c r="L25" s="553"/>
      <c r="M25" s="553"/>
      <c r="N25" s="553"/>
      <c r="O25" s="553"/>
      <c r="P25" s="553"/>
      <c r="Q25" s="553"/>
      <c r="R25" s="553"/>
      <c r="S25" s="553"/>
    </row>
    <row r="26" spans="1:19">
      <c r="A26" s="555"/>
      <c r="B26" s="555"/>
      <c r="C26" s="555"/>
      <c r="D26" s="555"/>
      <c r="E26" s="555"/>
      <c r="F26" s="555"/>
      <c r="G26" s="555"/>
      <c r="H26" s="555"/>
      <c r="I26" s="555"/>
      <c r="K26" s="553"/>
      <c r="L26" s="553"/>
      <c r="M26" s="553"/>
      <c r="N26" s="553"/>
      <c r="O26" s="553"/>
      <c r="P26" s="553"/>
      <c r="Q26" s="553"/>
      <c r="R26" s="553"/>
      <c r="S26" s="553"/>
    </row>
    <row r="27" spans="1:19">
      <c r="A27" s="555"/>
      <c r="B27" s="555"/>
      <c r="C27" s="555"/>
      <c r="D27" s="555"/>
      <c r="E27" s="555"/>
      <c r="F27" s="555"/>
      <c r="G27" s="555"/>
      <c r="H27" s="555"/>
      <c r="I27" s="555"/>
      <c r="K27" s="553"/>
      <c r="L27" s="553"/>
      <c r="M27" s="553"/>
      <c r="N27" s="553"/>
      <c r="O27" s="553"/>
      <c r="P27" s="553"/>
      <c r="Q27" s="553"/>
      <c r="R27" s="553"/>
      <c r="S27" s="553"/>
    </row>
    <row r="28" spans="1:19" ht="108.75" customHeight="1">
      <c r="A28" s="555"/>
      <c r="B28" s="555"/>
      <c r="C28" s="555"/>
      <c r="D28" s="555"/>
      <c r="E28" s="555"/>
      <c r="F28" s="555"/>
      <c r="G28" s="555"/>
      <c r="H28" s="555"/>
      <c r="I28" s="555"/>
      <c r="K28" s="553"/>
      <c r="L28" s="553"/>
      <c r="M28" s="553"/>
      <c r="N28" s="553"/>
      <c r="O28" s="553"/>
      <c r="P28" s="553"/>
      <c r="Q28" s="553"/>
      <c r="R28" s="553"/>
      <c r="S28" s="553"/>
    </row>
    <row r="29" spans="1:19" ht="9.75" customHeight="1">
      <c r="A29" s="555" t="s">
        <v>14</v>
      </c>
      <c r="B29" s="555"/>
      <c r="C29" s="555"/>
      <c r="D29" s="555"/>
      <c r="E29" s="555"/>
      <c r="F29" s="555"/>
      <c r="G29" s="555"/>
      <c r="H29" s="555"/>
      <c r="I29" s="555"/>
    </row>
    <row r="30" spans="1:19" ht="12.75" customHeight="1">
      <c r="A30" s="555"/>
      <c r="B30" s="555"/>
      <c r="C30" s="555"/>
      <c r="D30" s="555"/>
      <c r="E30" s="555"/>
      <c r="F30" s="555"/>
      <c r="G30" s="555"/>
      <c r="H30" s="555"/>
      <c r="I30" s="555"/>
    </row>
    <row r="31" spans="1:19" ht="27" customHeight="1">
      <c r="A31" s="555"/>
      <c r="B31" s="555"/>
      <c r="C31" s="555"/>
      <c r="D31" s="555"/>
      <c r="E31" s="555"/>
      <c r="F31" s="555"/>
      <c r="G31" s="555"/>
      <c r="H31" s="555"/>
      <c r="I31" s="555"/>
    </row>
    <row r="32" spans="1:19" ht="20.25" customHeight="1">
      <c r="A32" s="555" t="s">
        <v>15</v>
      </c>
      <c r="B32" s="555"/>
      <c r="C32" s="555"/>
      <c r="D32" s="555"/>
      <c r="E32" s="555"/>
      <c r="F32" s="555"/>
      <c r="G32" s="555"/>
      <c r="H32" s="555"/>
      <c r="I32" s="555"/>
    </row>
    <row r="33" spans="1:7" ht="15.75" customHeight="1">
      <c r="G33" s="6" t="s">
        <v>16</v>
      </c>
    </row>
    <row r="34" spans="1:7" ht="21.75" customHeight="1">
      <c r="A34" s="2" t="s">
        <v>17</v>
      </c>
      <c r="G34" s="6"/>
    </row>
    <row r="35" spans="1:7" ht="14.25" customHeight="1">
      <c r="A35" s="2" t="str">
        <f>Data!AY9</f>
        <v>Checklist</v>
      </c>
      <c r="G35" s="6"/>
    </row>
    <row r="36" spans="1:7" ht="14.25" customHeight="1">
      <c r="A36" s="2" t="str">
        <f>Data!AY10</f>
        <v>Appendix-II</v>
      </c>
      <c r="G36" s="6" t="str">
        <f>Data!S10</f>
        <v>MEO</v>
      </c>
    </row>
    <row r="37" spans="1:7" ht="14.25" customHeight="1">
      <c r="A37" s="2" t="str">
        <f>Data!AY11</f>
        <v>Non Drawn certificate</v>
      </c>
      <c r="G37" s="6" t="str">
        <f>Data!Q12</f>
        <v>MP,G.L.PURAM</v>
      </c>
    </row>
    <row r="38" spans="1:7" ht="14.25" customHeight="1">
      <c r="A38" s="2" t="str">
        <f>Data!AY12</f>
        <v>Hospital Recognition G.O.</v>
      </c>
      <c r="G38" s="6"/>
    </row>
    <row r="39" spans="1:7" ht="14.25" customHeight="1">
      <c r="A39" s="2" t="str">
        <f>Data!AY13</f>
        <v xml:space="preserve">PPO.Xerox copy </v>
      </c>
    </row>
    <row r="40" spans="1:7" ht="14.25" customHeight="1">
      <c r="A40" s="2" t="str">
        <f>Data!AY14</f>
        <v>Genuine Certificate</v>
      </c>
    </row>
    <row r="41" spans="1:7" ht="14.25" customHeight="1">
      <c r="A41" s="2" t="str">
        <f>Data!AY15</f>
        <v>Emergency certificate</v>
      </c>
    </row>
    <row r="42" spans="1:7" ht="14.25" customHeight="1">
      <c r="A42" s="2" t="str">
        <f>Data!AY16</f>
        <v>Essentiality certificate</v>
      </c>
    </row>
    <row r="43" spans="1:7" ht="14.25" customHeight="1">
      <c r="A43" s="2" t="str">
        <f>Data!AY17</f>
        <v>Discharge summary</v>
      </c>
    </row>
    <row r="44" spans="1:7" ht="14.25" customHeight="1">
      <c r="A44" s="2" t="str">
        <f>Data!AY18</f>
        <v>Original Medical Bills</v>
      </c>
    </row>
    <row r="45" spans="1:7" ht="14.25" customHeight="1">
      <c r="A45" s="2" t="str">
        <f>Data!AY19</f>
        <v/>
      </c>
    </row>
    <row r="46" spans="1:7" ht="14.25" customHeight="1">
      <c r="A46" s="221" t="str">
        <f>Data!AY20</f>
        <v/>
      </c>
    </row>
    <row r="47" spans="1:7" ht="14.25" customHeight="1">
      <c r="A47" s="221" t="str">
        <f>Data!AY21</f>
        <v/>
      </c>
    </row>
    <row r="48" spans="1:7" ht="9" customHeight="1">
      <c r="A48" s="90"/>
    </row>
    <row r="49" spans="1:1" hidden="1">
      <c r="A49" s="90"/>
    </row>
    <row r="50" spans="1:1" hidden="1">
      <c r="A50" s="90"/>
    </row>
    <row r="51" spans="1:1" hidden="1">
      <c r="A51" s="90"/>
    </row>
  </sheetData>
  <sheetProtection password="C67B" sheet="1" objects="1" scenarios="1" formatCells="0" formatColumns="0" formatRows="0" sort="0" autoFilter="0"/>
  <customSheetViews>
    <customSheetView guid="{B625ED32-945B-469E-9979-E993C41040F6}" showGridLines="0" hiddenRows="1" hiddenColumns="1">
      <selection activeCell="A2" sqref="A2:I2"/>
      <pageMargins left="0.64" right="0.53" top="0.4" bottom="0.28000000000000003" header="0.3" footer="0.3"/>
      <printOptions horizontalCentered="1"/>
      <pageSetup paperSize="9" orientation="portrait" horizontalDpi="300" verticalDpi="300" r:id="rId1"/>
    </customSheetView>
  </customSheetViews>
  <mergeCells count="11">
    <mergeCell ref="K25:S28"/>
    <mergeCell ref="F5:I5"/>
    <mergeCell ref="A32:I32"/>
    <mergeCell ref="A1:I1"/>
    <mergeCell ref="A2:I2"/>
    <mergeCell ref="A11:I11"/>
    <mergeCell ref="A25:I28"/>
    <mergeCell ref="A29:I31"/>
    <mergeCell ref="B14:I16"/>
    <mergeCell ref="F6:I6"/>
    <mergeCell ref="F7:I7"/>
  </mergeCells>
  <conditionalFormatting sqref="A1:I47">
    <cfRule type="expression" dxfId="11" priority="1" stopIfTrue="1">
      <formula>$O$2=2</formula>
    </cfRule>
  </conditionalFormatting>
  <printOptions horizontalCentered="1"/>
  <pageMargins left="0.64" right="0.53" top="0.4" bottom="0.28000000000000003"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50"/>
  </sheetPr>
  <dimension ref="A1:IU48"/>
  <sheetViews>
    <sheetView showGridLines="0" zoomScaleNormal="100" zoomScaleSheetLayoutView="100" workbookViewId="0">
      <selection activeCell="A24" sqref="A24:I26"/>
    </sheetView>
  </sheetViews>
  <sheetFormatPr defaultColWidth="0" defaultRowHeight="16.5" zeroHeight="1"/>
  <cols>
    <col min="1" max="1" width="9.7109375" style="2" customWidth="1"/>
    <col min="2" max="2" width="6.28515625" style="2" customWidth="1"/>
    <col min="3" max="7" width="9.7109375" style="2" customWidth="1"/>
    <col min="8" max="8" width="12.28515625" style="2" customWidth="1"/>
    <col min="9" max="9" width="9.7109375" style="2" customWidth="1"/>
    <col min="10" max="10" width="4.140625" style="2" customWidth="1"/>
    <col min="11" max="255" width="4.140625" style="2" hidden="1" customWidth="1"/>
    <col min="256" max="16384" width="3.42578125" style="2" hidden="1"/>
  </cols>
  <sheetData>
    <row r="1" spans="1:16" ht="15.75" customHeight="1">
      <c r="G1" s="2" t="str">
        <f>Nondrawn!A5</f>
        <v>Dated: 03.08.2023</v>
      </c>
    </row>
    <row r="2" spans="1:16" ht="12" customHeight="1">
      <c r="O2" s="2">
        <f>Data!AH3</f>
        <v>1</v>
      </c>
    </row>
    <row r="3" spans="1:16">
      <c r="A3" s="6" t="s">
        <v>6</v>
      </c>
    </row>
    <row r="4" spans="1:16">
      <c r="A4" s="2" t="str">
        <f>'Covering Lr'!A5</f>
        <v>The MEO</v>
      </c>
    </row>
    <row r="5" spans="1:16">
      <c r="A5" s="2" t="str">
        <f>'Covering Lr'!A6</f>
        <v>MP,G.L.PURAM</v>
      </c>
      <c r="P5" s="66"/>
    </row>
    <row r="6" spans="1:16">
      <c r="A6" s="2" t="str">
        <f>'Covering Lr'!A7</f>
        <v>Mandal: G L PURAM</v>
      </c>
    </row>
    <row r="7" spans="1:16">
      <c r="A7" s="2" t="str">
        <f>'Covering Lr'!A8</f>
        <v>District: PARVATHIPURAM MANYAM</v>
      </c>
    </row>
    <row r="8" spans="1:16" ht="4.5" customHeight="1"/>
    <row r="9" spans="1:16">
      <c r="A9" s="2" t="str">
        <f>'Covering Lr'!A12</f>
        <v>Sir/Madam,</v>
      </c>
    </row>
    <row r="10" spans="1:16">
      <c r="A10" s="49" t="s">
        <v>10</v>
      </c>
      <c r="B10" s="558" t="str">
        <f>"Medical Attendance - "&amp;Data!J9&amp;" Medical Reimbursement proposal of "&amp;'R C'!DO28&amp;" - Submission for Sanction - regarding."</f>
        <v>Medical Attendance - Out Patient Medical Reimbursement proposal of Sri G MURALIMOHANA RAO, Rtd S.G.T ,G P SCHOOL LAKKAGUDA,Mandal:G L PURAM, Dist:PARVATHIPURAM MANYAM - Submission for Sanction - regarding.</v>
      </c>
      <c r="C10" s="558"/>
      <c r="D10" s="558"/>
      <c r="E10" s="558"/>
      <c r="F10" s="558"/>
      <c r="G10" s="558"/>
      <c r="H10" s="558"/>
      <c r="I10" s="558"/>
    </row>
    <row r="11" spans="1:16">
      <c r="A11" s="49"/>
      <c r="B11" s="558"/>
      <c r="C11" s="558"/>
      <c r="D11" s="558"/>
      <c r="E11" s="558"/>
      <c r="F11" s="558"/>
      <c r="G11" s="558"/>
      <c r="H11" s="558"/>
      <c r="I11" s="558"/>
    </row>
    <row r="12" spans="1:16" ht="13.5" customHeight="1">
      <c r="A12" s="49"/>
      <c r="B12" s="558"/>
      <c r="C12" s="558"/>
      <c r="D12" s="558"/>
      <c r="E12" s="558"/>
      <c r="F12" s="558"/>
      <c r="G12" s="558"/>
      <c r="H12" s="558"/>
      <c r="I12" s="558"/>
    </row>
    <row r="13" spans="1:16" ht="25.5" customHeight="1">
      <c r="A13" s="49"/>
      <c r="B13" s="558"/>
      <c r="C13" s="558"/>
      <c r="D13" s="558"/>
      <c r="E13" s="558"/>
      <c r="F13" s="558"/>
      <c r="G13" s="558"/>
      <c r="H13" s="558"/>
      <c r="I13" s="558"/>
    </row>
    <row r="14" spans="1:16">
      <c r="A14" s="49" t="s">
        <v>11</v>
      </c>
      <c r="B14" s="90" t="s">
        <v>12</v>
      </c>
      <c r="C14" s="90"/>
      <c r="D14" s="90"/>
      <c r="E14" s="90"/>
      <c r="F14" s="90"/>
      <c r="G14" s="90"/>
      <c r="H14" s="90"/>
      <c r="I14" s="90"/>
    </row>
    <row r="15" spans="1:16">
      <c r="B15" s="90" t="s">
        <v>40</v>
      </c>
      <c r="C15" s="90"/>
      <c r="D15" s="90"/>
      <c r="E15" s="90"/>
      <c r="F15" s="90"/>
      <c r="G15" s="90"/>
      <c r="H15" s="90"/>
      <c r="I15" s="90"/>
    </row>
    <row r="16" spans="1:16">
      <c r="B16" s="90" t="s">
        <v>41</v>
      </c>
      <c r="C16" s="90"/>
      <c r="D16" s="90"/>
      <c r="E16" s="90"/>
      <c r="F16" s="90"/>
      <c r="G16" s="90"/>
      <c r="H16" s="90"/>
      <c r="I16" s="90"/>
    </row>
    <row r="17" spans="1:9">
      <c r="B17" s="90"/>
      <c r="C17" s="90"/>
      <c r="D17" s="90"/>
      <c r="E17" s="90"/>
      <c r="F17" s="90"/>
      <c r="G17" s="90"/>
      <c r="H17" s="90"/>
      <c r="I17" s="90"/>
    </row>
    <row r="18" spans="1:9" ht="10.5" customHeight="1">
      <c r="B18" s="90"/>
      <c r="C18" s="90"/>
      <c r="D18" s="90"/>
      <c r="E18" s="90"/>
      <c r="F18" s="90"/>
      <c r="G18" s="90"/>
      <c r="H18" s="90"/>
      <c r="I18" s="90"/>
    </row>
    <row r="19" spans="1:9" ht="12.75" customHeight="1">
      <c r="E19" s="3" t="s">
        <v>13</v>
      </c>
    </row>
    <row r="20" spans="1:9" ht="4.5" customHeight="1"/>
    <row r="21" spans="1:9" ht="35.25" customHeight="1">
      <c r="A21" s="560" t="str">
        <f>"                With reference to the subject cited above I submit here with the "&amp;Data!J9&amp;" Medical Reimbursement proposals of  "&amp;'R C'!DO28&amp;" for undergone treatment of "&amp;Data!D13&amp;" at "&amp;Data!D15&amp;", "&amp;Data!D16&amp;", from  "&amp;Data!G14&amp;" to "&amp;Data!K14&amp;" with incurred an amount of Rs."&amp;Data!J17&amp;"/-"&amp;'R C'!B16</f>
        <v xml:space="preserve">                With reference to the subject cited above I submit here with the Out Patient Medical Reimbursement proposals of  Sri G MURALIMOHANA RAO, Rtd S.G.T ,G P SCHOOL LAKKAGUDA,Mandal:G L PURAM, Dist:PARVATHIPURAM MANYAM for undergone treatment of HTN T2-DM AF PAH-SEVERE PIP AF C FVR OS ADS WITH LEFT TO RIGHT SHUNTI NORMAL LV FUNCTION at M/S INDUS HOSPITAL, KGH DOWN ROAD, VISAKHAPATNAM, from  26.06.2023 to 28.06.2023 with incurred an amount of Rs.55000/-(Fifty five Thousand rupees only)</v>
      </c>
      <c r="B21" s="560"/>
      <c r="C21" s="560"/>
      <c r="D21" s="560"/>
      <c r="E21" s="560"/>
      <c r="F21" s="560"/>
      <c r="G21" s="560"/>
      <c r="H21" s="560"/>
      <c r="I21" s="560"/>
    </row>
    <row r="22" spans="1:9" ht="108" customHeight="1">
      <c r="A22" s="560"/>
      <c r="B22" s="560"/>
      <c r="C22" s="560"/>
      <c r="D22" s="560"/>
      <c r="E22" s="560"/>
      <c r="F22" s="560"/>
      <c r="G22" s="560"/>
      <c r="H22" s="560"/>
      <c r="I22" s="560"/>
    </row>
    <row r="23" spans="1:9" ht="5.25" customHeight="1"/>
    <row r="24" spans="1:9">
      <c r="A24" s="559" t="str">
        <f>"             I submit herewith the original bills, necessary documents for reimbursement of medical expenses of above treatment. Kindly forward the bills to "&amp;'Covering Lr'!F5&amp;" "&amp;'Covering Lr'!F6&amp;" for sanction."</f>
        <v xml:space="preserve">             I submit herewith the original bills, necessary documents for reimbursement of medical expenses of above treatment. Kindly forward the bills to The District Educational offcier, PARVATHIPURAM MANYAM DISTRICT for sanction.</v>
      </c>
      <c r="B24" s="559"/>
      <c r="C24" s="559"/>
      <c r="D24" s="559"/>
      <c r="E24" s="559"/>
      <c r="F24" s="559"/>
      <c r="G24" s="559"/>
      <c r="H24" s="559"/>
      <c r="I24" s="559"/>
    </row>
    <row r="25" spans="1:9">
      <c r="A25" s="559"/>
      <c r="B25" s="559"/>
      <c r="C25" s="559"/>
      <c r="D25" s="559"/>
      <c r="E25" s="559"/>
      <c r="F25" s="559"/>
      <c r="G25" s="559"/>
      <c r="H25" s="559"/>
      <c r="I25" s="559"/>
    </row>
    <row r="26" spans="1:9" ht="36.75" customHeight="1">
      <c r="A26" s="559"/>
      <c r="B26" s="559"/>
      <c r="C26" s="559"/>
      <c r="D26" s="559"/>
      <c r="E26" s="559"/>
      <c r="F26" s="559"/>
      <c r="G26" s="559"/>
      <c r="H26" s="559"/>
      <c r="I26" s="559"/>
    </row>
    <row r="27" spans="1:9">
      <c r="A27" s="555" t="s">
        <v>15</v>
      </c>
      <c r="B27" s="555"/>
      <c r="C27" s="555"/>
      <c r="D27" s="555"/>
      <c r="E27" s="555"/>
      <c r="F27" s="555"/>
      <c r="G27" s="555"/>
      <c r="H27" s="555"/>
      <c r="I27" s="555"/>
    </row>
    <row r="28" spans="1:9" ht="19.5" customHeight="1">
      <c r="G28" s="4" t="s">
        <v>16</v>
      </c>
    </row>
    <row r="29" spans="1:9">
      <c r="A29" s="2" t="s">
        <v>17</v>
      </c>
      <c r="G29" s="4"/>
    </row>
    <row r="30" spans="1:9">
      <c r="A30" s="2" t="str">
        <f>'Covering Lr'!A35</f>
        <v>Checklist</v>
      </c>
      <c r="G30" s="4"/>
    </row>
    <row r="31" spans="1:9">
      <c r="A31" s="2" t="str">
        <f>'Covering Lr'!A36</f>
        <v>Appendix-II</v>
      </c>
      <c r="F31" s="561" t="str">
        <f>IF(Data!AH5&gt;2,'R C'!DI29,Data!K4)</f>
        <v>G MURALIMOHANA RAO</v>
      </c>
      <c r="G31" s="561"/>
      <c r="H31" s="561"/>
      <c r="I31" s="561"/>
    </row>
    <row r="32" spans="1:9">
      <c r="A32" s="2" t="str">
        <f>'Covering Lr'!A37</f>
        <v>Non Drawn certificate</v>
      </c>
      <c r="F32" s="561"/>
      <c r="G32" s="561"/>
      <c r="H32" s="561"/>
      <c r="I32" s="561"/>
    </row>
    <row r="33" spans="1:8">
      <c r="A33" s="2" t="str">
        <f>'Covering Lr'!A38</f>
        <v>Hospital Recognition G.O.</v>
      </c>
      <c r="G33" s="82"/>
      <c r="H33" s="83" t="str">
        <f>IF(Data!AH5&gt;2,"Family pensioner",""&amp;IF(Data!AH5=2,"Rtd","")&amp;"  "&amp;Data!I5)</f>
        <v>Rtd  S.G.T</v>
      </c>
    </row>
    <row r="34" spans="1:8">
      <c r="A34" s="2" t="str">
        <f>'Covering Lr'!A39</f>
        <v xml:space="preserve">PPO.Xerox copy </v>
      </c>
      <c r="G34" s="81" t="str">
        <f>IF(Data!AH5&gt;2,"",Data!Q5)</f>
        <v>G P SCHOOL LAKKAGUDA</v>
      </c>
      <c r="H34" s="82"/>
    </row>
    <row r="35" spans="1:8">
      <c r="A35" s="2" t="str">
        <f>'Covering Lr'!A40</f>
        <v>Genuine Certificate</v>
      </c>
      <c r="B35" s="89"/>
      <c r="G35" s="81" t="str">
        <f>IF(Data!AH5&gt;2,"","Mandal:"&amp;Data!I6)</f>
        <v>Mandal:G L PURAM</v>
      </c>
      <c r="H35" s="82"/>
    </row>
    <row r="36" spans="1:8">
      <c r="A36" s="2" t="str">
        <f>'Covering Lr'!A41</f>
        <v>Emergency certificate</v>
      </c>
      <c r="B36" s="89"/>
      <c r="G36" s="82"/>
      <c r="H36" s="82"/>
    </row>
    <row r="37" spans="1:8">
      <c r="A37" s="2" t="str">
        <f>'Covering Lr'!A42</f>
        <v>Essentiality certificate</v>
      </c>
      <c r="B37" s="89"/>
    </row>
    <row r="38" spans="1:8">
      <c r="A38" s="2" t="str">
        <f>'Covering Lr'!A43</f>
        <v>Discharge summary</v>
      </c>
      <c r="B38" s="89"/>
    </row>
    <row r="39" spans="1:8">
      <c r="A39" s="2" t="str">
        <f>'Covering Lr'!A44</f>
        <v>Original Medical Bills</v>
      </c>
      <c r="B39" s="89"/>
    </row>
    <row r="40" spans="1:8">
      <c r="A40" s="2" t="str">
        <f>'Covering Lr'!A45</f>
        <v/>
      </c>
      <c r="B40" s="89"/>
    </row>
    <row r="41" spans="1:8">
      <c r="A41" s="2" t="str">
        <f>'Covering Lr'!A46</f>
        <v/>
      </c>
      <c r="B41" s="89"/>
    </row>
    <row r="42" spans="1:8" ht="19.5" customHeight="1">
      <c r="A42" s="2" t="str">
        <f>'Covering Lr'!A47</f>
        <v/>
      </c>
      <c r="B42" s="89"/>
    </row>
    <row r="43" spans="1:8" ht="3" hidden="1" customHeight="1">
      <c r="A43" s="89"/>
      <c r="B43" s="89"/>
    </row>
    <row r="44" spans="1:8" ht="12" customHeight="1">
      <c r="B44" s="89"/>
    </row>
    <row r="45" spans="1:8" hidden="1">
      <c r="B45" s="89"/>
    </row>
    <row r="46" spans="1:8" hidden="1">
      <c r="B46" s="89"/>
    </row>
    <row r="47" spans="1:8" hidden="1">
      <c r="B47" s="89"/>
    </row>
    <row r="48" spans="1:8" hidden="1">
      <c r="A48" s="89"/>
      <c r="B48" s="89"/>
      <c r="C48" s="89"/>
    </row>
  </sheetData>
  <sheetProtection password="C67B" sheet="1" formatCells="0" formatColumns="0" formatRows="0" sort="0" autoFilter="0"/>
  <customSheetViews>
    <customSheetView guid="{B625ED32-945B-469E-9979-E993C41040F6}" showGridLines="0" hiddenRows="1" hiddenColumns="1">
      <selection activeCell="C4" sqref="C4"/>
      <pageMargins left="0.7" right="0.64" top="0.75" bottom="0.37" header="0.3" footer="0.3"/>
      <printOptions horizontalCentered="1"/>
      <pageSetup paperSize="9" orientation="portrait" r:id="rId1"/>
    </customSheetView>
  </customSheetViews>
  <mergeCells count="5">
    <mergeCell ref="A24:I26"/>
    <mergeCell ref="A27:I27"/>
    <mergeCell ref="A21:I22"/>
    <mergeCell ref="B10:I13"/>
    <mergeCell ref="F31:I32"/>
  </mergeCells>
  <conditionalFormatting sqref="A1:I39">
    <cfRule type="expression" dxfId="10" priority="2" stopIfTrue="1">
      <formula>$AH$3=2</formula>
    </cfRule>
  </conditionalFormatting>
  <conditionalFormatting sqref="A1:I42">
    <cfRule type="expression" dxfId="9" priority="1" stopIfTrue="1">
      <formula>$O$2=2</formula>
    </cfRule>
  </conditionalFormatting>
  <printOptions horizontalCentered="1"/>
  <pageMargins left="0.7" right="0.64" top="0.75" bottom="0.37"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B050"/>
  </sheetPr>
  <dimension ref="A1:IU64"/>
  <sheetViews>
    <sheetView showGridLines="0" tabSelected="1" zoomScaleNormal="100" zoomScaleSheetLayoutView="100" workbookViewId="0">
      <selection activeCell="K26" sqref="K26:P26"/>
    </sheetView>
  </sheetViews>
  <sheetFormatPr defaultColWidth="0" defaultRowHeight="16.5" zeroHeight="1"/>
  <cols>
    <col min="1" max="1" width="3.42578125" style="2" customWidth="1"/>
    <col min="2" max="3" width="3" style="2" customWidth="1"/>
    <col min="4" max="4" width="6.85546875" style="2" customWidth="1"/>
    <col min="5" max="5" width="6.7109375" style="2" customWidth="1"/>
    <col min="6" max="6" width="8.28515625" style="2" customWidth="1"/>
    <col min="7" max="7" width="6.7109375" style="2" customWidth="1"/>
    <col min="8" max="8" width="10" style="2" customWidth="1"/>
    <col min="9" max="9" width="6.28515625" style="2" customWidth="1"/>
    <col min="10" max="10" width="1.85546875" style="2" customWidth="1"/>
    <col min="11" max="11" width="10.85546875" style="2" customWidth="1"/>
    <col min="12" max="12" width="8.85546875" style="2" customWidth="1"/>
    <col min="13" max="13" width="7.5703125" style="2" customWidth="1"/>
    <col min="14" max="14" width="8.42578125" style="2" customWidth="1"/>
    <col min="15" max="15" width="6.28515625" style="2" customWidth="1"/>
    <col min="16" max="16" width="2.7109375" style="2" customWidth="1"/>
    <col min="17" max="17" width="2.28515625" style="2" customWidth="1"/>
    <col min="18" max="255" width="6.7109375" style="2" hidden="1" customWidth="1"/>
    <col min="256" max="16384" width="5.5703125" style="2" hidden="1"/>
  </cols>
  <sheetData>
    <row r="1" spans="1:26" ht="19.5" customHeight="1">
      <c r="A1" s="606" t="s">
        <v>184</v>
      </c>
      <c r="B1" s="606"/>
      <c r="C1" s="606"/>
      <c r="D1" s="606"/>
      <c r="E1" s="606"/>
      <c r="F1" s="606"/>
      <c r="G1" s="606"/>
      <c r="H1" s="606"/>
      <c r="I1" s="606"/>
      <c r="J1" s="606"/>
      <c r="K1" s="606"/>
      <c r="L1" s="606"/>
      <c r="M1" s="606"/>
      <c r="N1" s="606"/>
      <c r="O1" s="606"/>
      <c r="P1" s="606"/>
    </row>
    <row r="2" spans="1:26" ht="12.75" customHeight="1">
      <c r="A2" s="607" t="s">
        <v>185</v>
      </c>
      <c r="B2" s="607"/>
      <c r="C2" s="607"/>
      <c r="D2" s="607"/>
      <c r="E2" s="607"/>
      <c r="F2" s="607"/>
      <c r="G2" s="607"/>
      <c r="H2" s="607"/>
      <c r="I2" s="607"/>
      <c r="J2" s="607"/>
      <c r="K2" s="607"/>
      <c r="L2" s="607"/>
      <c r="M2" s="607"/>
      <c r="N2" s="607"/>
      <c r="O2" s="607"/>
      <c r="P2" s="607"/>
      <c r="T2" s="2">
        <f>Data!AH3</f>
        <v>1</v>
      </c>
    </row>
    <row r="3" spans="1:26" ht="24.75" customHeight="1">
      <c r="A3" s="615">
        <v>1</v>
      </c>
      <c r="B3" s="618" t="s">
        <v>186</v>
      </c>
      <c r="C3" s="619"/>
      <c r="D3" s="619"/>
      <c r="E3" s="619"/>
      <c r="F3" s="619"/>
      <c r="G3" s="619"/>
      <c r="H3" s="619"/>
      <c r="I3" s="620"/>
      <c r="J3" s="566" t="s">
        <v>198</v>
      </c>
      <c r="K3" s="636" t="str">
        <f>""&amp;'R C'!DI27&amp;" "&amp;'R C'!DL27&amp;" "&amp;IF(OR(Data!AH5=1,Data!AH5=3),"    Emp.Code-"&amp;Data!V7,"")</f>
        <v xml:space="preserve">Sri G MURALIMOHANA RAO, Rtd ,S.G.T G P SCHOOL LAKKAGUDA,Mandal:G L PURAM, Dist:PARVATHIPURAM MANYAM </v>
      </c>
      <c r="L3" s="637"/>
      <c r="M3" s="637"/>
      <c r="N3" s="637"/>
      <c r="O3" s="637"/>
      <c r="P3" s="638"/>
      <c r="S3" s="56"/>
      <c r="T3" s="65"/>
      <c r="U3" s="65"/>
      <c r="V3" s="65"/>
      <c r="W3" s="38"/>
      <c r="X3" s="38"/>
      <c r="Y3" s="38"/>
      <c r="Z3" s="38"/>
    </row>
    <row r="4" spans="1:26" ht="18" customHeight="1">
      <c r="A4" s="617"/>
      <c r="B4" s="621" t="s">
        <v>187</v>
      </c>
      <c r="C4" s="622"/>
      <c r="D4" s="622"/>
      <c r="E4" s="622"/>
      <c r="F4" s="622"/>
      <c r="G4" s="622"/>
      <c r="H4" s="622"/>
      <c r="I4" s="623"/>
      <c r="J4" s="567"/>
      <c r="K4" s="639"/>
      <c r="L4" s="640"/>
      <c r="M4" s="640"/>
      <c r="N4" s="640"/>
      <c r="O4" s="640"/>
      <c r="P4" s="641"/>
      <c r="S4" s="55"/>
      <c r="T4" s="55"/>
      <c r="U4" s="55"/>
      <c r="V4" s="55"/>
      <c r="W4" s="53"/>
      <c r="X4" s="53"/>
      <c r="Y4" s="53"/>
      <c r="Z4" s="53"/>
    </row>
    <row r="5" spans="1:26" ht="13.5" customHeight="1">
      <c r="A5" s="615">
        <v>2</v>
      </c>
      <c r="B5" s="603" t="s">
        <v>188</v>
      </c>
      <c r="C5" s="604"/>
      <c r="D5" s="604"/>
      <c r="E5" s="604"/>
      <c r="F5" s="604"/>
      <c r="G5" s="604"/>
      <c r="H5" s="604"/>
      <c r="I5" s="605"/>
      <c r="J5" s="60" t="s">
        <v>198</v>
      </c>
      <c r="K5" s="602"/>
      <c r="L5" s="602"/>
      <c r="M5" s="602"/>
      <c r="N5" s="602"/>
      <c r="O5" s="602"/>
      <c r="P5" s="602"/>
    </row>
    <row r="6" spans="1:26" ht="15" customHeight="1">
      <c r="A6" s="616"/>
      <c r="B6" s="71" t="s">
        <v>189</v>
      </c>
      <c r="C6" s="603" t="s">
        <v>192</v>
      </c>
      <c r="D6" s="604"/>
      <c r="E6" s="604"/>
      <c r="F6" s="604"/>
      <c r="G6" s="604"/>
      <c r="H6" s="604"/>
      <c r="I6" s="605"/>
      <c r="J6" s="60" t="s">
        <v>198</v>
      </c>
      <c r="K6" s="603" t="str">
        <f>IF(OR(Data!AH5=1,Data!AH5=3),"",Data!U6)</f>
        <v>30.06.2009</v>
      </c>
      <c r="L6" s="604"/>
      <c r="M6" s="604"/>
      <c r="N6" s="604"/>
      <c r="O6" s="604"/>
      <c r="P6" s="605"/>
      <c r="Q6" s="38"/>
      <c r="R6" s="38"/>
      <c r="S6" s="38"/>
      <c r="T6" s="38"/>
      <c r="U6" s="38"/>
      <c r="V6" s="38"/>
      <c r="W6" s="38"/>
    </row>
    <row r="7" spans="1:26" ht="16.5" customHeight="1">
      <c r="A7" s="616"/>
      <c r="B7" s="71" t="s">
        <v>190</v>
      </c>
      <c r="C7" s="603" t="s">
        <v>193</v>
      </c>
      <c r="D7" s="604"/>
      <c r="E7" s="604"/>
      <c r="F7" s="604"/>
      <c r="G7" s="604"/>
      <c r="H7" s="604"/>
      <c r="I7" s="605"/>
      <c r="J7" s="60" t="s">
        <v>198</v>
      </c>
      <c r="K7" s="603" t="str">
        <f>IF(OR(Data!AH5=1,Data!AH5=3),"",Data!I5)</f>
        <v>S.G.T</v>
      </c>
      <c r="L7" s="604"/>
      <c r="M7" s="604"/>
      <c r="N7" s="604"/>
      <c r="O7" s="604"/>
      <c r="P7" s="605"/>
      <c r="Q7" s="73"/>
      <c r="R7" s="52"/>
      <c r="S7" s="53"/>
      <c r="T7" s="53"/>
      <c r="U7" s="53"/>
      <c r="V7" s="53"/>
      <c r="W7" s="38"/>
    </row>
    <row r="8" spans="1:26" ht="15.75" customHeight="1">
      <c r="A8" s="617"/>
      <c r="B8" s="71" t="s">
        <v>191</v>
      </c>
      <c r="C8" s="603" t="s">
        <v>194</v>
      </c>
      <c r="D8" s="604"/>
      <c r="E8" s="604"/>
      <c r="F8" s="604"/>
      <c r="G8" s="604"/>
      <c r="H8" s="604"/>
      <c r="I8" s="605"/>
      <c r="J8" s="60" t="s">
        <v>198</v>
      </c>
      <c r="K8" s="585" t="str">
        <f>IF(OR(Data!AH5=1,Data!AH5=3),"",'R C'!DO17)</f>
        <v>24-009256/SP</v>
      </c>
      <c r="L8" s="586"/>
      <c r="M8" s="586"/>
      <c r="N8" s="586"/>
      <c r="O8" s="586"/>
      <c r="P8" s="587"/>
      <c r="Q8" s="73"/>
      <c r="R8" s="52"/>
      <c r="S8" s="53"/>
      <c r="T8" s="53"/>
      <c r="U8" s="53"/>
      <c r="V8" s="53"/>
      <c r="W8" s="38"/>
    </row>
    <row r="9" spans="1:26" ht="13.5" customHeight="1">
      <c r="A9" s="563">
        <v>3</v>
      </c>
      <c r="B9" s="565" t="s">
        <v>199</v>
      </c>
      <c r="C9" s="565"/>
      <c r="D9" s="565"/>
      <c r="E9" s="565"/>
      <c r="F9" s="565"/>
      <c r="G9" s="565"/>
      <c r="H9" s="565"/>
      <c r="I9" s="565"/>
      <c r="J9" s="566" t="s">
        <v>198</v>
      </c>
      <c r="K9" s="588">
        <f>Data!A24</f>
        <v>0</v>
      </c>
      <c r="L9" s="588"/>
      <c r="M9" s="588"/>
      <c r="N9" s="588"/>
      <c r="O9" s="588"/>
      <c r="P9" s="588"/>
      <c r="Q9" s="73"/>
      <c r="R9" s="52"/>
      <c r="S9" s="53"/>
      <c r="T9" s="53"/>
      <c r="U9" s="53"/>
      <c r="V9" s="53"/>
      <c r="W9" s="38"/>
    </row>
    <row r="10" spans="1:26" ht="12.75" customHeight="1">
      <c r="A10" s="563"/>
      <c r="B10" s="565"/>
      <c r="C10" s="565"/>
      <c r="D10" s="565"/>
      <c r="E10" s="565"/>
      <c r="F10" s="565"/>
      <c r="G10" s="565"/>
      <c r="H10" s="565"/>
      <c r="I10" s="565"/>
      <c r="J10" s="571"/>
      <c r="K10" s="589">
        <f>Data!A25</f>
        <v>0</v>
      </c>
      <c r="L10" s="589"/>
      <c r="M10" s="589"/>
      <c r="N10" s="589"/>
      <c r="O10" s="589"/>
      <c r="P10" s="589"/>
      <c r="Q10" s="52"/>
      <c r="R10" s="52"/>
      <c r="S10" s="53"/>
      <c r="T10" s="53"/>
      <c r="U10" s="53"/>
      <c r="V10" s="53"/>
      <c r="W10" s="38"/>
    </row>
    <row r="11" spans="1:26" ht="14.45" customHeight="1">
      <c r="A11" s="563"/>
      <c r="B11" s="565"/>
      <c r="C11" s="565"/>
      <c r="D11" s="565"/>
      <c r="E11" s="565"/>
      <c r="F11" s="565"/>
      <c r="G11" s="565"/>
      <c r="H11" s="565"/>
      <c r="I11" s="565"/>
      <c r="J11" s="571"/>
      <c r="K11" s="589" t="str">
        <f>Data!A26</f>
        <v>Sangareddy -TS</v>
      </c>
      <c r="L11" s="589"/>
      <c r="M11" s="589"/>
      <c r="N11" s="589"/>
      <c r="O11" s="589"/>
      <c r="P11" s="589"/>
      <c r="Q11" s="52"/>
      <c r="R11" s="52"/>
      <c r="S11" s="53"/>
      <c r="T11" s="53"/>
      <c r="U11" s="53"/>
      <c r="V11" s="53"/>
      <c r="W11" s="38"/>
    </row>
    <row r="12" spans="1:26" ht="12.75" customHeight="1">
      <c r="A12" s="563"/>
      <c r="B12" s="565"/>
      <c r="C12" s="565"/>
      <c r="D12" s="565"/>
      <c r="E12" s="565"/>
      <c r="F12" s="565"/>
      <c r="G12" s="565"/>
      <c r="H12" s="565"/>
      <c r="I12" s="565"/>
      <c r="J12" s="567"/>
      <c r="K12" s="608" t="str">
        <f>"CELL NO."&amp;Data!U3</f>
        <v>CELL NO.8838587601</v>
      </c>
      <c r="L12" s="608"/>
      <c r="M12" s="608"/>
      <c r="N12" s="608"/>
      <c r="O12" s="608"/>
      <c r="P12" s="608"/>
      <c r="Q12" s="52"/>
      <c r="R12" s="52"/>
      <c r="S12" s="53"/>
      <c r="T12" s="53"/>
      <c r="U12" s="53"/>
      <c r="V12" s="53"/>
      <c r="W12" s="38"/>
    </row>
    <row r="13" spans="1:26" ht="42" customHeight="1">
      <c r="A13" s="568">
        <v>4</v>
      </c>
      <c r="B13" s="612" t="s">
        <v>195</v>
      </c>
      <c r="C13" s="613"/>
      <c r="D13" s="613"/>
      <c r="E13" s="613"/>
      <c r="F13" s="613"/>
      <c r="G13" s="613"/>
      <c r="H13" s="613"/>
      <c r="I13" s="614"/>
      <c r="J13" s="60" t="s">
        <v>198</v>
      </c>
      <c r="K13" s="609" t="str">
        <f>""&amp;Data!D15&amp;","&amp;Data!D16</f>
        <v>M/S INDUS HOSPITAL,KGH DOWN ROAD, VISAKHAPATNAM</v>
      </c>
      <c r="L13" s="610"/>
      <c r="M13" s="610"/>
      <c r="N13" s="610"/>
      <c r="O13" s="610"/>
      <c r="P13" s="611"/>
      <c r="Q13" s="52"/>
      <c r="R13" s="52"/>
      <c r="S13" s="53"/>
      <c r="T13" s="53"/>
      <c r="U13" s="53"/>
      <c r="V13" s="53"/>
      <c r="W13" s="38"/>
    </row>
    <row r="14" spans="1:26" ht="18.75" customHeight="1">
      <c r="A14" s="569"/>
      <c r="B14" s="568" t="s">
        <v>189</v>
      </c>
      <c r="C14" s="572" t="s">
        <v>216</v>
      </c>
      <c r="D14" s="573"/>
      <c r="E14" s="573"/>
      <c r="F14" s="573"/>
      <c r="G14" s="573"/>
      <c r="H14" s="573"/>
      <c r="I14" s="574"/>
      <c r="J14" s="566" t="s">
        <v>198</v>
      </c>
      <c r="K14" s="578" t="str">
        <f>""&amp;Data!AE12&amp;" Hospital"</f>
        <v>Recognized Hospital</v>
      </c>
      <c r="L14" s="579"/>
      <c r="M14" s="579"/>
      <c r="N14" s="579"/>
      <c r="O14" s="579"/>
      <c r="P14" s="580"/>
      <c r="Q14" s="52"/>
      <c r="R14" s="52"/>
      <c r="S14" s="53"/>
      <c r="T14" s="53"/>
      <c r="U14" s="53"/>
      <c r="V14" s="53"/>
      <c r="W14" s="38"/>
    </row>
    <row r="15" spans="1:26" ht="13.5" customHeight="1">
      <c r="A15" s="569"/>
      <c r="B15" s="570"/>
      <c r="C15" s="575"/>
      <c r="D15" s="576"/>
      <c r="E15" s="576"/>
      <c r="F15" s="576"/>
      <c r="G15" s="576"/>
      <c r="H15" s="576"/>
      <c r="I15" s="577"/>
      <c r="J15" s="567"/>
      <c r="K15" s="590"/>
      <c r="L15" s="591"/>
      <c r="M15" s="591"/>
      <c r="N15" s="591"/>
      <c r="O15" s="591"/>
      <c r="P15" s="592"/>
      <c r="Q15" s="52"/>
      <c r="R15" s="52"/>
      <c r="S15" s="53"/>
      <c r="T15" s="53"/>
      <c r="U15" s="53"/>
      <c r="V15" s="53"/>
      <c r="W15" s="38"/>
    </row>
    <row r="16" spans="1:26" ht="17.25" customHeight="1">
      <c r="A16" s="569"/>
      <c r="B16" s="61" t="s">
        <v>190</v>
      </c>
      <c r="C16" s="578" t="s">
        <v>197</v>
      </c>
      <c r="D16" s="579"/>
      <c r="E16" s="579"/>
      <c r="F16" s="579"/>
      <c r="G16" s="579"/>
      <c r="H16" s="579"/>
      <c r="I16" s="580"/>
      <c r="J16" s="566" t="s">
        <v>198</v>
      </c>
      <c r="K16" s="578" t="s">
        <v>19</v>
      </c>
      <c r="L16" s="579"/>
      <c r="M16" s="579"/>
      <c r="N16" s="579"/>
      <c r="O16" s="579"/>
      <c r="P16" s="580"/>
      <c r="Q16" s="52"/>
      <c r="R16" s="52"/>
      <c r="S16" s="53"/>
      <c r="T16" s="53"/>
      <c r="U16" s="53"/>
      <c r="V16" s="53"/>
      <c r="W16" s="38"/>
    </row>
    <row r="17" spans="1:23" ht="10.5" customHeight="1">
      <c r="A17" s="569"/>
      <c r="B17" s="62"/>
      <c r="C17" s="581" t="s">
        <v>217</v>
      </c>
      <c r="D17" s="582"/>
      <c r="E17" s="582"/>
      <c r="F17" s="582"/>
      <c r="G17" s="582"/>
      <c r="H17" s="582"/>
      <c r="I17" s="583"/>
      <c r="J17" s="571"/>
      <c r="K17" s="642"/>
      <c r="L17" s="643"/>
      <c r="M17" s="643"/>
      <c r="N17" s="643"/>
      <c r="O17" s="643"/>
      <c r="P17" s="644"/>
      <c r="Q17" s="52"/>
      <c r="R17" s="52"/>
      <c r="S17" s="53"/>
      <c r="T17" s="53"/>
      <c r="U17" s="53"/>
      <c r="V17" s="53"/>
      <c r="W17" s="38"/>
    </row>
    <row r="18" spans="1:23" ht="21" customHeight="1">
      <c r="A18" s="570"/>
      <c r="B18" s="63"/>
      <c r="C18" s="575"/>
      <c r="D18" s="576"/>
      <c r="E18" s="576"/>
      <c r="F18" s="576"/>
      <c r="G18" s="576"/>
      <c r="H18" s="576"/>
      <c r="I18" s="577"/>
      <c r="J18" s="567"/>
      <c r="K18" s="590"/>
      <c r="L18" s="591"/>
      <c r="M18" s="591"/>
      <c r="N18" s="591"/>
      <c r="O18" s="591"/>
      <c r="P18" s="592"/>
      <c r="Q18" s="52"/>
      <c r="R18" s="52"/>
      <c r="S18" s="53"/>
      <c r="T18" s="53"/>
      <c r="U18" s="53"/>
      <c r="V18" s="53"/>
      <c r="W18" s="38"/>
    </row>
    <row r="19" spans="1:23" ht="18" customHeight="1">
      <c r="A19" s="568">
        <v>5</v>
      </c>
      <c r="B19" s="630" t="s">
        <v>218</v>
      </c>
      <c r="C19" s="631"/>
      <c r="D19" s="631"/>
      <c r="E19" s="631"/>
      <c r="F19" s="631"/>
      <c r="G19" s="631"/>
      <c r="H19" s="631"/>
      <c r="I19" s="632"/>
      <c r="J19" s="566" t="s">
        <v>198</v>
      </c>
      <c r="K19" s="578" t="str">
        <f>IF(Data!F18="","Yes/No",Data!AV12)</f>
        <v>Yes</v>
      </c>
      <c r="L19" s="579"/>
      <c r="M19" s="579"/>
      <c r="N19" s="579"/>
      <c r="O19" s="579"/>
      <c r="P19" s="580"/>
      <c r="Q19" s="52"/>
      <c r="R19" s="52"/>
      <c r="S19" s="53"/>
      <c r="T19" s="53"/>
      <c r="U19" s="53"/>
      <c r="V19" s="53"/>
      <c r="W19" s="38"/>
    </row>
    <row r="20" spans="1:23" ht="26.25" customHeight="1">
      <c r="A20" s="570"/>
      <c r="B20" s="633"/>
      <c r="C20" s="634"/>
      <c r="D20" s="634"/>
      <c r="E20" s="634"/>
      <c r="F20" s="634"/>
      <c r="G20" s="634"/>
      <c r="H20" s="634"/>
      <c r="I20" s="635"/>
      <c r="J20" s="567"/>
      <c r="K20" s="590"/>
      <c r="L20" s="591"/>
      <c r="M20" s="591"/>
      <c r="N20" s="591"/>
      <c r="O20" s="591"/>
      <c r="P20" s="592"/>
      <c r="Q20" s="52"/>
      <c r="R20" s="52"/>
      <c r="S20" s="53"/>
      <c r="T20" s="53"/>
      <c r="U20" s="53"/>
      <c r="V20" s="53"/>
      <c r="W20" s="38"/>
    </row>
    <row r="21" spans="1:23" ht="18" customHeight="1">
      <c r="A21" s="568">
        <v>6</v>
      </c>
      <c r="B21" s="603" t="s">
        <v>196</v>
      </c>
      <c r="C21" s="604"/>
      <c r="D21" s="604"/>
      <c r="E21" s="604"/>
      <c r="F21" s="604"/>
      <c r="G21" s="604"/>
      <c r="H21" s="604"/>
      <c r="I21" s="604"/>
      <c r="J21" s="605"/>
      <c r="K21" s="584"/>
      <c r="L21" s="584"/>
      <c r="M21" s="584"/>
      <c r="N21" s="584"/>
      <c r="O21" s="584"/>
      <c r="P21" s="584"/>
      <c r="Q21" s="52"/>
      <c r="R21" s="52"/>
      <c r="S21" s="53"/>
      <c r="T21" s="53"/>
      <c r="U21" s="53"/>
      <c r="V21" s="53"/>
      <c r="W21" s="38"/>
    </row>
    <row r="22" spans="1:23" ht="13.5" customHeight="1">
      <c r="A22" s="569"/>
      <c r="B22" s="566" t="s">
        <v>189</v>
      </c>
      <c r="C22" s="624" t="s">
        <v>508</v>
      </c>
      <c r="D22" s="625"/>
      <c r="E22" s="625"/>
      <c r="F22" s="625"/>
      <c r="G22" s="625"/>
      <c r="H22" s="625"/>
      <c r="I22" s="626"/>
      <c r="J22" s="566" t="s">
        <v>198</v>
      </c>
      <c r="K22" s="578" t="s">
        <v>19</v>
      </c>
      <c r="L22" s="579"/>
      <c r="M22" s="579"/>
      <c r="N22" s="579"/>
      <c r="O22" s="579"/>
      <c r="P22" s="580"/>
      <c r="Q22" s="52"/>
      <c r="R22" s="52"/>
      <c r="S22" s="53"/>
      <c r="T22" s="53"/>
      <c r="U22" s="53"/>
      <c r="V22" s="53"/>
      <c r="W22" s="38"/>
    </row>
    <row r="23" spans="1:23" ht="8.1" customHeight="1">
      <c r="A23" s="569"/>
      <c r="B23" s="567"/>
      <c r="C23" s="627"/>
      <c r="D23" s="628"/>
      <c r="E23" s="628"/>
      <c r="F23" s="628"/>
      <c r="G23" s="628"/>
      <c r="H23" s="628"/>
      <c r="I23" s="629"/>
      <c r="J23" s="567"/>
      <c r="K23" s="590"/>
      <c r="L23" s="591"/>
      <c r="M23" s="591"/>
      <c r="N23" s="591"/>
      <c r="O23" s="591"/>
      <c r="P23" s="592"/>
      <c r="Q23" s="52"/>
      <c r="R23" s="52"/>
      <c r="S23" s="53"/>
      <c r="T23" s="53"/>
      <c r="U23" s="53"/>
      <c r="V23" s="53"/>
      <c r="W23" s="38"/>
    </row>
    <row r="24" spans="1:23" ht="18" customHeight="1">
      <c r="A24" s="569"/>
      <c r="B24" s="60" t="s">
        <v>190</v>
      </c>
      <c r="C24" s="603" t="s">
        <v>200</v>
      </c>
      <c r="D24" s="604"/>
      <c r="E24" s="604"/>
      <c r="F24" s="604"/>
      <c r="G24" s="604"/>
      <c r="H24" s="604"/>
      <c r="I24" s="605"/>
      <c r="J24" s="60" t="s">
        <v>198</v>
      </c>
      <c r="K24" s="584" t="str">
        <f>Data!AB13</f>
        <v>Yes</v>
      </c>
      <c r="L24" s="584"/>
      <c r="M24" s="584"/>
      <c r="N24" s="584"/>
      <c r="O24" s="584"/>
      <c r="P24" s="584"/>
      <c r="Q24" s="52"/>
      <c r="R24" s="52"/>
      <c r="S24" s="53"/>
      <c r="T24" s="53"/>
      <c r="U24" s="53"/>
      <c r="V24" s="53"/>
      <c r="W24" s="38"/>
    </row>
    <row r="25" spans="1:23" ht="18" customHeight="1">
      <c r="A25" s="569"/>
      <c r="B25" s="60" t="s">
        <v>191</v>
      </c>
      <c r="C25" s="603" t="s">
        <v>201</v>
      </c>
      <c r="D25" s="604"/>
      <c r="E25" s="604"/>
      <c r="F25" s="604"/>
      <c r="G25" s="604"/>
      <c r="H25" s="604"/>
      <c r="I25" s="605"/>
      <c r="J25" s="60" t="s">
        <v>198</v>
      </c>
      <c r="K25" s="584" t="str">
        <f>Data!AB15</f>
        <v>Yes</v>
      </c>
      <c r="L25" s="584"/>
      <c r="M25" s="584"/>
      <c r="N25" s="584"/>
      <c r="O25" s="584"/>
      <c r="P25" s="584"/>
      <c r="Q25" s="52"/>
      <c r="R25" s="52"/>
      <c r="S25" s="53"/>
      <c r="T25" s="53"/>
      <c r="U25" s="53"/>
      <c r="V25" s="53"/>
      <c r="W25" s="38"/>
    </row>
    <row r="26" spans="1:23" ht="18" customHeight="1">
      <c r="A26" s="569"/>
      <c r="B26" s="60" t="s">
        <v>211</v>
      </c>
      <c r="C26" s="603" t="s">
        <v>202</v>
      </c>
      <c r="D26" s="604"/>
      <c r="E26" s="604"/>
      <c r="F26" s="604"/>
      <c r="G26" s="604"/>
      <c r="H26" s="604"/>
      <c r="I26" s="605"/>
      <c r="J26" s="60" t="s">
        <v>198</v>
      </c>
      <c r="K26" s="584" t="str">
        <f>Data!AB11</f>
        <v>Yes</v>
      </c>
      <c r="L26" s="584"/>
      <c r="M26" s="584"/>
      <c r="N26" s="584"/>
      <c r="O26" s="584"/>
      <c r="P26" s="584"/>
      <c r="Q26" s="52"/>
      <c r="R26" s="52"/>
      <c r="S26" s="53"/>
      <c r="T26" s="53"/>
      <c r="U26" s="53"/>
      <c r="V26" s="53"/>
      <c r="W26" s="38"/>
    </row>
    <row r="27" spans="1:23" ht="14.25" customHeight="1">
      <c r="A27" s="569"/>
      <c r="B27" s="566" t="s">
        <v>212</v>
      </c>
      <c r="C27" s="564" t="s">
        <v>204</v>
      </c>
      <c r="D27" s="564"/>
      <c r="E27" s="564"/>
      <c r="F27" s="564"/>
      <c r="G27" s="564"/>
      <c r="H27" s="564"/>
      <c r="I27" s="564"/>
      <c r="J27" s="61" t="s">
        <v>198</v>
      </c>
      <c r="K27" s="578" t="s">
        <v>19</v>
      </c>
      <c r="L27" s="579"/>
      <c r="M27" s="579"/>
      <c r="N27" s="579"/>
      <c r="O27" s="579"/>
      <c r="P27" s="580"/>
      <c r="Q27" s="52"/>
      <c r="R27" s="52"/>
      <c r="S27" s="53"/>
      <c r="T27" s="53"/>
      <c r="U27" s="53"/>
      <c r="V27" s="53"/>
      <c r="W27" s="38"/>
    </row>
    <row r="28" spans="1:23" ht="17.25" customHeight="1">
      <c r="A28" s="569"/>
      <c r="B28" s="567"/>
      <c r="C28" s="564"/>
      <c r="D28" s="564"/>
      <c r="E28" s="564"/>
      <c r="F28" s="564"/>
      <c r="G28" s="564"/>
      <c r="H28" s="564"/>
      <c r="I28" s="564"/>
      <c r="J28" s="63" t="s">
        <v>198</v>
      </c>
      <c r="K28" s="590"/>
      <c r="L28" s="591"/>
      <c r="M28" s="591"/>
      <c r="N28" s="591"/>
      <c r="O28" s="591"/>
      <c r="P28" s="592"/>
      <c r="Q28" s="52"/>
      <c r="R28" s="52"/>
      <c r="S28" s="53"/>
      <c r="T28" s="53"/>
      <c r="U28" s="53"/>
      <c r="V28" s="53"/>
      <c r="W28" s="38"/>
    </row>
    <row r="29" spans="1:23" ht="18" customHeight="1">
      <c r="A29" s="569"/>
      <c r="B29" s="566" t="s">
        <v>213</v>
      </c>
      <c r="C29" s="564" t="s">
        <v>203</v>
      </c>
      <c r="D29" s="564"/>
      <c r="E29" s="564"/>
      <c r="F29" s="564"/>
      <c r="G29" s="564"/>
      <c r="H29" s="564"/>
      <c r="I29" s="564"/>
      <c r="J29" s="566" t="s">
        <v>198</v>
      </c>
      <c r="K29" s="578" t="str">
        <f>IF(OR(Data!AO6=Data!G12,Data!S4=Data!AF7),"-","Yes")</f>
        <v>Yes</v>
      </c>
      <c r="L29" s="579"/>
      <c r="M29" s="579"/>
      <c r="N29" s="579"/>
      <c r="O29" s="579"/>
      <c r="P29" s="580"/>
      <c r="Q29" s="52"/>
      <c r="R29" s="52"/>
      <c r="S29" s="53"/>
      <c r="T29" s="53"/>
      <c r="U29" s="53"/>
      <c r="V29" s="53"/>
      <c r="W29" s="38"/>
    </row>
    <row r="30" spans="1:23" ht="18" customHeight="1">
      <c r="A30" s="569"/>
      <c r="B30" s="571"/>
      <c r="C30" s="564"/>
      <c r="D30" s="564"/>
      <c r="E30" s="564"/>
      <c r="F30" s="564"/>
      <c r="G30" s="564"/>
      <c r="H30" s="564"/>
      <c r="I30" s="564"/>
      <c r="J30" s="571"/>
      <c r="K30" s="642"/>
      <c r="L30" s="643"/>
      <c r="M30" s="643"/>
      <c r="N30" s="643"/>
      <c r="O30" s="643"/>
      <c r="P30" s="644"/>
      <c r="Q30" s="52"/>
      <c r="R30" s="52"/>
      <c r="S30" s="53"/>
      <c r="T30" s="53"/>
      <c r="U30" s="53"/>
      <c r="V30" s="53"/>
      <c r="W30" s="38"/>
    </row>
    <row r="31" spans="1:23" ht="27.75" customHeight="1">
      <c r="A31" s="569"/>
      <c r="B31" s="567"/>
      <c r="C31" s="564"/>
      <c r="D31" s="564"/>
      <c r="E31" s="564"/>
      <c r="F31" s="564"/>
      <c r="G31" s="564"/>
      <c r="H31" s="564"/>
      <c r="I31" s="564"/>
      <c r="J31" s="567"/>
      <c r="K31" s="590"/>
      <c r="L31" s="591"/>
      <c r="M31" s="591"/>
      <c r="N31" s="591"/>
      <c r="O31" s="591"/>
      <c r="P31" s="592"/>
      <c r="Q31" s="52"/>
      <c r="R31" s="52"/>
      <c r="S31" s="53"/>
      <c r="T31" s="53"/>
      <c r="U31" s="53"/>
      <c r="V31" s="53"/>
      <c r="W31" s="38"/>
    </row>
    <row r="32" spans="1:23" ht="18" customHeight="1">
      <c r="A32" s="569"/>
      <c r="B32" s="566" t="s">
        <v>214</v>
      </c>
      <c r="C32" s="564" t="s">
        <v>205</v>
      </c>
      <c r="D32" s="564"/>
      <c r="E32" s="564"/>
      <c r="F32" s="564"/>
      <c r="G32" s="564"/>
      <c r="H32" s="564"/>
      <c r="I32" s="564"/>
      <c r="J32" s="566" t="s">
        <v>198</v>
      </c>
      <c r="K32" s="578" t="str">
        <f>IF(Data!S4=Data!AF7,"Yes"," Not Applicable")</f>
        <v xml:space="preserve"> Not Applicable</v>
      </c>
      <c r="L32" s="579"/>
      <c r="M32" s="579"/>
      <c r="N32" s="579"/>
      <c r="O32" s="579"/>
      <c r="P32" s="580"/>
      <c r="Q32" s="52"/>
      <c r="R32" s="52"/>
      <c r="S32" s="53"/>
      <c r="T32" s="53"/>
      <c r="U32" s="53"/>
      <c r="V32" s="53"/>
      <c r="W32" s="38"/>
    </row>
    <row r="33" spans="1:23" ht="28.5" customHeight="1">
      <c r="A33" s="569"/>
      <c r="B33" s="567"/>
      <c r="C33" s="564"/>
      <c r="D33" s="564"/>
      <c r="E33" s="564"/>
      <c r="F33" s="564"/>
      <c r="G33" s="564"/>
      <c r="H33" s="564"/>
      <c r="I33" s="564"/>
      <c r="J33" s="567"/>
      <c r="K33" s="590"/>
      <c r="L33" s="591"/>
      <c r="M33" s="591"/>
      <c r="N33" s="591"/>
      <c r="O33" s="591"/>
      <c r="P33" s="592"/>
      <c r="Q33" s="52"/>
      <c r="R33" s="52"/>
      <c r="S33" s="53"/>
      <c r="T33" s="53"/>
      <c r="U33" s="53"/>
      <c r="V33" s="53"/>
      <c r="W33" s="38"/>
    </row>
    <row r="34" spans="1:23" ht="18" customHeight="1">
      <c r="A34" s="569"/>
      <c r="B34" s="566" t="s">
        <v>215</v>
      </c>
      <c r="C34" s="562" t="s">
        <v>206</v>
      </c>
      <c r="D34" s="562"/>
      <c r="E34" s="562"/>
      <c r="F34" s="562"/>
      <c r="G34" s="562"/>
      <c r="H34" s="562"/>
      <c r="I34" s="562"/>
      <c r="J34" s="566" t="s">
        <v>198</v>
      </c>
      <c r="K34" s="593" t="s">
        <v>19</v>
      </c>
      <c r="L34" s="594"/>
      <c r="M34" s="594"/>
      <c r="N34" s="594"/>
      <c r="O34" s="594"/>
      <c r="P34" s="595"/>
      <c r="Q34" s="52"/>
      <c r="R34" s="52"/>
      <c r="S34" s="53"/>
      <c r="T34" s="53"/>
      <c r="U34" s="53"/>
      <c r="V34" s="53"/>
      <c r="W34" s="38"/>
    </row>
    <row r="35" spans="1:23" ht="33.75" customHeight="1">
      <c r="A35" s="569"/>
      <c r="B35" s="571"/>
      <c r="C35" s="562"/>
      <c r="D35" s="562"/>
      <c r="E35" s="562"/>
      <c r="F35" s="562"/>
      <c r="G35" s="562"/>
      <c r="H35" s="562"/>
      <c r="I35" s="562"/>
      <c r="J35" s="571"/>
      <c r="K35" s="596"/>
      <c r="L35" s="597"/>
      <c r="M35" s="597"/>
      <c r="N35" s="597"/>
      <c r="O35" s="597"/>
      <c r="P35" s="598"/>
      <c r="Q35" s="52"/>
      <c r="R35" s="52"/>
      <c r="S35" s="53"/>
      <c r="T35" s="53"/>
      <c r="U35" s="53"/>
      <c r="V35" s="53"/>
      <c r="W35" s="38"/>
    </row>
    <row r="36" spans="1:23" ht="18" customHeight="1">
      <c r="A36" s="569"/>
      <c r="B36" s="571"/>
      <c r="C36" s="562"/>
      <c r="D36" s="562"/>
      <c r="E36" s="562"/>
      <c r="F36" s="562"/>
      <c r="G36" s="562"/>
      <c r="H36" s="562"/>
      <c r="I36" s="562"/>
      <c r="J36" s="571"/>
      <c r="K36" s="596"/>
      <c r="L36" s="597"/>
      <c r="M36" s="597"/>
      <c r="N36" s="597"/>
      <c r="O36" s="597"/>
      <c r="P36" s="598"/>
      <c r="Q36" s="52"/>
      <c r="R36" s="52"/>
      <c r="S36" s="53"/>
      <c r="T36" s="53"/>
      <c r="U36" s="53"/>
      <c r="V36" s="53"/>
      <c r="W36" s="38"/>
    </row>
    <row r="37" spans="1:23" ht="18" customHeight="1">
      <c r="A37" s="570"/>
      <c r="B37" s="567"/>
      <c r="C37" s="562"/>
      <c r="D37" s="562"/>
      <c r="E37" s="562"/>
      <c r="F37" s="562"/>
      <c r="G37" s="562"/>
      <c r="H37" s="562"/>
      <c r="I37" s="562"/>
      <c r="J37" s="567"/>
      <c r="K37" s="599"/>
      <c r="L37" s="600"/>
      <c r="M37" s="600"/>
      <c r="N37" s="600"/>
      <c r="O37" s="600"/>
      <c r="P37" s="601"/>
      <c r="Q37" s="52"/>
      <c r="R37" s="52"/>
      <c r="S37" s="53"/>
      <c r="T37" s="53"/>
      <c r="U37" s="53"/>
      <c r="V37" s="53"/>
      <c r="W37" s="38"/>
    </row>
    <row r="38" spans="1:23" ht="18" customHeight="1">
      <c r="A38" s="568">
        <v>7</v>
      </c>
      <c r="B38" s="565" t="s">
        <v>207</v>
      </c>
      <c r="C38" s="565"/>
      <c r="D38" s="565"/>
      <c r="E38" s="565"/>
      <c r="F38" s="565"/>
      <c r="G38" s="565"/>
      <c r="H38" s="565"/>
      <c r="I38" s="565"/>
      <c r="J38" s="566" t="s">
        <v>198</v>
      </c>
      <c r="K38" s="593" t="s">
        <v>19</v>
      </c>
      <c r="L38" s="594"/>
      <c r="M38" s="594"/>
      <c r="N38" s="594"/>
      <c r="O38" s="594"/>
      <c r="P38" s="595"/>
      <c r="Q38" s="52"/>
      <c r="R38" s="52"/>
      <c r="S38" s="53"/>
      <c r="T38" s="53"/>
      <c r="U38" s="53"/>
      <c r="V38" s="53"/>
      <c r="W38" s="38"/>
    </row>
    <row r="39" spans="1:23" ht="12.75" customHeight="1">
      <c r="A39" s="569"/>
      <c r="B39" s="565"/>
      <c r="C39" s="565"/>
      <c r="D39" s="565"/>
      <c r="E39" s="565"/>
      <c r="F39" s="565"/>
      <c r="G39" s="565"/>
      <c r="H39" s="565"/>
      <c r="I39" s="565"/>
      <c r="J39" s="571"/>
      <c r="K39" s="596"/>
      <c r="L39" s="597"/>
      <c r="M39" s="597"/>
      <c r="N39" s="597"/>
      <c r="O39" s="597"/>
      <c r="P39" s="598"/>
      <c r="Q39" s="52"/>
      <c r="R39" s="52"/>
      <c r="S39" s="53"/>
      <c r="T39" s="53"/>
      <c r="U39" s="53"/>
      <c r="V39" s="53"/>
      <c r="W39" s="38"/>
    </row>
    <row r="40" spans="1:23" ht="18.75" customHeight="1">
      <c r="A40" s="570"/>
      <c r="B40" s="565"/>
      <c r="C40" s="565"/>
      <c r="D40" s="565"/>
      <c r="E40" s="565"/>
      <c r="F40" s="565"/>
      <c r="G40" s="565"/>
      <c r="H40" s="565"/>
      <c r="I40" s="565"/>
      <c r="J40" s="567"/>
      <c r="K40" s="599"/>
      <c r="L40" s="600"/>
      <c r="M40" s="600"/>
      <c r="N40" s="600"/>
      <c r="O40" s="600"/>
      <c r="P40" s="601"/>
      <c r="Q40" s="52"/>
      <c r="R40" s="52"/>
      <c r="S40" s="53"/>
      <c r="T40" s="53"/>
      <c r="U40" s="53"/>
      <c r="V40" s="53"/>
      <c r="W40" s="38"/>
    </row>
    <row r="41" spans="1:23" ht="18" customHeight="1">
      <c r="A41" s="568">
        <v>8</v>
      </c>
      <c r="B41" s="565" t="s">
        <v>208</v>
      </c>
      <c r="C41" s="565"/>
      <c r="D41" s="565"/>
      <c r="E41" s="565"/>
      <c r="F41" s="565"/>
      <c r="G41" s="565"/>
      <c r="H41" s="565"/>
      <c r="I41" s="565"/>
      <c r="J41" s="566" t="s">
        <v>198</v>
      </c>
      <c r="K41" s="593" t="s">
        <v>19</v>
      </c>
      <c r="L41" s="594"/>
      <c r="M41" s="594"/>
      <c r="N41" s="594"/>
      <c r="O41" s="594"/>
      <c r="P41" s="595"/>
      <c r="Q41" s="52"/>
      <c r="R41" s="52"/>
      <c r="S41" s="53"/>
      <c r="T41" s="53"/>
      <c r="U41" s="53"/>
      <c r="V41" s="53"/>
      <c r="W41" s="38"/>
    </row>
    <row r="42" spans="1:23" ht="14.25" customHeight="1">
      <c r="A42" s="570"/>
      <c r="B42" s="565"/>
      <c r="C42" s="565"/>
      <c r="D42" s="565"/>
      <c r="E42" s="565"/>
      <c r="F42" s="565"/>
      <c r="G42" s="565"/>
      <c r="H42" s="565"/>
      <c r="I42" s="565"/>
      <c r="J42" s="567"/>
      <c r="K42" s="599"/>
      <c r="L42" s="600"/>
      <c r="M42" s="600"/>
      <c r="N42" s="600"/>
      <c r="O42" s="600"/>
      <c r="P42" s="601"/>
      <c r="Q42" s="52"/>
      <c r="R42" s="52"/>
      <c r="S42" s="53"/>
      <c r="T42" s="53"/>
      <c r="U42" s="53"/>
      <c r="V42" s="53"/>
      <c r="W42" s="38"/>
    </row>
    <row r="43" spans="1:23" ht="16.5" customHeight="1">
      <c r="A43" s="568">
        <v>9</v>
      </c>
      <c r="B43" s="565" t="s">
        <v>209</v>
      </c>
      <c r="C43" s="565"/>
      <c r="D43" s="565"/>
      <c r="E43" s="565"/>
      <c r="F43" s="565"/>
      <c r="G43" s="565"/>
      <c r="H43" s="565"/>
      <c r="I43" s="565"/>
      <c r="J43" s="566" t="s">
        <v>198</v>
      </c>
      <c r="K43" s="593" t="s">
        <v>20</v>
      </c>
      <c r="L43" s="594"/>
      <c r="M43" s="594"/>
      <c r="N43" s="594"/>
      <c r="O43" s="594"/>
      <c r="P43" s="595"/>
      <c r="Q43" s="52"/>
      <c r="R43" s="52"/>
      <c r="S43" s="53"/>
      <c r="T43" s="53"/>
      <c r="U43" s="53"/>
      <c r="V43" s="53"/>
      <c r="W43" s="38"/>
    </row>
    <row r="44" spans="1:23" ht="20.25" customHeight="1">
      <c r="A44" s="570"/>
      <c r="B44" s="565"/>
      <c r="C44" s="565"/>
      <c r="D44" s="565"/>
      <c r="E44" s="565"/>
      <c r="F44" s="565"/>
      <c r="G44" s="565"/>
      <c r="H44" s="565"/>
      <c r="I44" s="565"/>
      <c r="J44" s="567"/>
      <c r="K44" s="599"/>
      <c r="L44" s="600"/>
      <c r="M44" s="600"/>
      <c r="N44" s="600"/>
      <c r="O44" s="600"/>
      <c r="P44" s="601"/>
      <c r="Q44" s="52"/>
      <c r="R44" s="52"/>
      <c r="S44" s="53"/>
      <c r="T44" s="53"/>
      <c r="U44" s="53"/>
      <c r="V44" s="53"/>
      <c r="W44" s="38"/>
    </row>
    <row r="45" spans="1:23" ht="37.5" customHeight="1">
      <c r="A45" s="57"/>
      <c r="B45" s="57"/>
      <c r="C45" s="57"/>
      <c r="D45" s="57"/>
      <c r="E45" s="57"/>
      <c r="F45" s="57"/>
      <c r="G45" s="57"/>
      <c r="H45" s="57"/>
      <c r="I45" s="57"/>
      <c r="J45" s="56"/>
      <c r="K45" s="57"/>
      <c r="L45" s="57"/>
      <c r="M45" s="57"/>
      <c r="O45" s="52"/>
      <c r="P45" s="52"/>
      <c r="Q45" s="52"/>
      <c r="R45" s="52"/>
      <c r="S45" s="53"/>
      <c r="T45" s="53"/>
      <c r="U45" s="53"/>
      <c r="V45" s="53"/>
      <c r="W45" s="38"/>
    </row>
    <row r="46" spans="1:23" ht="15.75" customHeight="1">
      <c r="A46" s="57"/>
      <c r="B46" s="57"/>
      <c r="C46" s="57"/>
      <c r="D46" s="57"/>
      <c r="E46" s="57"/>
      <c r="F46" s="57"/>
      <c r="G46" s="57"/>
      <c r="H46" s="57"/>
      <c r="I46" s="57"/>
      <c r="J46" s="56"/>
      <c r="K46" s="87" t="s">
        <v>210</v>
      </c>
      <c r="L46" s="57"/>
      <c r="M46" s="57"/>
      <c r="O46" s="52"/>
      <c r="P46" s="52"/>
      <c r="Q46" s="52"/>
      <c r="R46" s="52"/>
      <c r="S46" s="53"/>
      <c r="T46" s="53"/>
      <c r="U46" s="53"/>
      <c r="V46" s="53"/>
      <c r="W46" s="38"/>
    </row>
    <row r="47" spans="1:23" ht="27.75" customHeight="1">
      <c r="A47" s="57"/>
      <c r="B47" s="57"/>
      <c r="C47" s="57"/>
      <c r="D47" s="57"/>
      <c r="E47" s="57"/>
      <c r="F47" s="57"/>
      <c r="G47" s="57"/>
      <c r="H47" s="57"/>
      <c r="I47" s="57"/>
      <c r="J47" s="56"/>
      <c r="K47" s="57"/>
      <c r="L47" s="57"/>
      <c r="M47" s="57"/>
      <c r="O47" s="52"/>
      <c r="P47" s="52"/>
      <c r="Q47" s="52"/>
      <c r="R47" s="52"/>
      <c r="S47" s="53"/>
      <c r="T47" s="53"/>
      <c r="U47" s="53"/>
      <c r="V47" s="53"/>
      <c r="W47" s="38"/>
    </row>
    <row r="48" spans="1:23" ht="18" hidden="1" customHeight="1">
      <c r="A48" s="57"/>
      <c r="B48" s="57"/>
      <c r="C48" s="57"/>
      <c r="D48" s="57"/>
      <c r="E48" s="57"/>
      <c r="F48" s="57"/>
      <c r="G48" s="57"/>
      <c r="H48" s="57"/>
      <c r="I48" s="57"/>
      <c r="J48" s="56"/>
      <c r="K48" s="57"/>
      <c r="L48" s="57"/>
      <c r="M48" s="57"/>
      <c r="O48" s="73"/>
      <c r="P48" s="73"/>
      <c r="Q48" s="73"/>
      <c r="R48" s="73"/>
      <c r="S48" s="53"/>
      <c r="T48" s="53"/>
      <c r="U48" s="53"/>
      <c r="V48" s="53"/>
      <c r="W48" s="38"/>
    </row>
    <row r="49" spans="1:23" ht="63.75" hidden="1" customHeight="1">
      <c r="A49" s="57"/>
      <c r="B49" s="56"/>
      <c r="C49" s="58"/>
      <c r="D49" s="74"/>
      <c r="E49" s="74"/>
      <c r="F49" s="74"/>
      <c r="G49" s="74"/>
      <c r="H49" s="74"/>
      <c r="I49" s="74"/>
      <c r="J49" s="74"/>
      <c r="K49" s="74"/>
      <c r="L49" s="56"/>
      <c r="M49" s="57"/>
      <c r="O49" s="54"/>
      <c r="P49" s="55"/>
      <c r="Q49" s="55"/>
      <c r="R49" s="55"/>
      <c r="S49" s="55"/>
      <c r="T49" s="74"/>
      <c r="U49" s="65"/>
      <c r="V49" s="65"/>
      <c r="W49" s="65"/>
    </row>
    <row r="50" spans="1:23" ht="63" hidden="1" customHeight="1">
      <c r="A50" s="57"/>
      <c r="B50" s="56"/>
      <c r="C50" s="58"/>
      <c r="D50" s="74"/>
      <c r="E50" s="74"/>
      <c r="F50" s="74"/>
      <c r="G50" s="74"/>
      <c r="H50" s="74"/>
      <c r="I50" s="74"/>
      <c r="J50" s="74"/>
      <c r="K50" s="74"/>
      <c r="L50" s="56"/>
      <c r="M50" s="57"/>
      <c r="O50" s="38"/>
      <c r="P50" s="38"/>
      <c r="Q50" s="38"/>
      <c r="R50" s="38"/>
      <c r="S50" s="38"/>
      <c r="T50" s="38"/>
      <c r="U50" s="38"/>
      <c r="V50" s="38"/>
      <c r="W50" s="38"/>
    </row>
    <row r="51" spans="1:23" ht="47.25" hidden="1" customHeight="1">
      <c r="A51" s="57"/>
      <c r="B51" s="56"/>
      <c r="C51" s="58"/>
      <c r="D51" s="74"/>
      <c r="E51" s="74"/>
      <c r="F51" s="74"/>
      <c r="G51" s="74"/>
      <c r="H51" s="74"/>
      <c r="I51" s="74"/>
      <c r="J51" s="74"/>
      <c r="K51" s="74"/>
      <c r="L51" s="56"/>
      <c r="M51" s="57"/>
    </row>
    <row r="52" spans="1:23" ht="48.75" hidden="1" customHeight="1">
      <c r="A52" s="57"/>
      <c r="B52" s="56"/>
      <c r="C52" s="58"/>
      <c r="D52" s="74"/>
      <c r="E52" s="74"/>
      <c r="F52" s="74"/>
      <c r="G52" s="74"/>
      <c r="H52" s="74"/>
      <c r="I52" s="74"/>
      <c r="J52" s="74"/>
      <c r="K52" s="74"/>
      <c r="L52" s="56"/>
      <c r="M52" s="57"/>
    </row>
    <row r="53" spans="1:23" ht="79.5" hidden="1" customHeight="1">
      <c r="A53" s="57"/>
      <c r="B53" s="56"/>
      <c r="C53" s="58"/>
      <c r="D53" s="74"/>
      <c r="E53" s="74"/>
      <c r="F53" s="74"/>
      <c r="G53" s="74"/>
      <c r="H53" s="74"/>
      <c r="I53" s="74"/>
      <c r="J53" s="74"/>
      <c r="K53" s="74"/>
      <c r="L53" s="56"/>
      <c r="M53" s="57"/>
    </row>
    <row r="54" spans="1:23" ht="45.75" hidden="1" customHeight="1">
      <c r="A54" s="57"/>
      <c r="B54" s="56"/>
      <c r="C54" s="58"/>
      <c r="D54" s="74"/>
      <c r="E54" s="74"/>
      <c r="F54" s="74"/>
      <c r="G54" s="74"/>
      <c r="H54" s="74"/>
      <c r="I54" s="74"/>
      <c r="J54" s="74"/>
      <c r="K54" s="74"/>
      <c r="L54" s="56"/>
      <c r="M54" s="57"/>
    </row>
    <row r="55" spans="1:23" ht="64.5" hidden="1" customHeight="1">
      <c r="A55" s="57"/>
      <c r="B55" s="56"/>
      <c r="C55" s="58"/>
      <c r="D55" s="74"/>
      <c r="E55" s="74"/>
      <c r="F55" s="74"/>
      <c r="G55" s="74"/>
      <c r="H55" s="74"/>
      <c r="I55" s="65"/>
      <c r="J55" s="65"/>
      <c r="K55" s="65"/>
      <c r="L55" s="56"/>
      <c r="M55" s="57"/>
    </row>
    <row r="56" spans="1:23" ht="30.75" hidden="1" customHeight="1">
      <c r="A56" s="57"/>
      <c r="B56" s="56"/>
      <c r="C56" s="58"/>
      <c r="D56" s="74"/>
      <c r="E56" s="74"/>
      <c r="F56" s="74"/>
      <c r="G56" s="74"/>
      <c r="H56" s="74"/>
      <c r="I56" s="65"/>
      <c r="J56" s="65"/>
      <c r="K56" s="65"/>
      <c r="L56" s="56"/>
      <c r="M56" s="57"/>
    </row>
    <row r="57" spans="1:23" ht="31.5" hidden="1" customHeight="1">
      <c r="A57" s="57"/>
      <c r="B57" s="56"/>
      <c r="C57" s="58"/>
      <c r="D57" s="74"/>
      <c r="E57" s="74"/>
      <c r="F57" s="74"/>
      <c r="G57" s="74"/>
      <c r="H57" s="74"/>
      <c r="I57" s="65"/>
      <c r="J57" s="65"/>
      <c r="K57" s="65"/>
      <c r="L57" s="56"/>
      <c r="M57" s="57"/>
    </row>
    <row r="58" spans="1:23" ht="15.75" hidden="1" customHeight="1">
      <c r="A58" s="57"/>
      <c r="B58" s="56"/>
      <c r="C58" s="58"/>
      <c r="D58" s="74"/>
      <c r="E58" s="74"/>
      <c r="F58" s="74"/>
      <c r="G58" s="74"/>
      <c r="H58" s="74"/>
      <c r="I58" s="74"/>
      <c r="J58" s="74"/>
      <c r="K58" s="74"/>
      <c r="L58" s="56"/>
      <c r="M58" s="57"/>
    </row>
    <row r="59" spans="1:23" hidden="1">
      <c r="A59" s="57"/>
      <c r="B59" s="56"/>
      <c r="C59" s="56"/>
      <c r="D59" s="56"/>
      <c r="E59" s="56"/>
      <c r="F59" s="56"/>
      <c r="G59" s="56"/>
      <c r="H59" s="56"/>
      <c r="I59" s="56"/>
      <c r="J59" s="56"/>
      <c r="K59" s="56"/>
      <c r="L59" s="56"/>
      <c r="M59" s="57"/>
    </row>
    <row r="60" spans="1:23" hidden="1">
      <c r="A60" s="57"/>
      <c r="B60" s="56"/>
      <c r="C60" s="59"/>
      <c r="D60" s="56"/>
      <c r="E60" s="56"/>
      <c r="F60" s="56"/>
      <c r="G60" s="56"/>
      <c r="H60" s="56"/>
      <c r="I60" s="56"/>
      <c r="J60" s="56"/>
      <c r="K60" s="56"/>
      <c r="L60" s="56"/>
      <c r="M60" s="57"/>
    </row>
    <row r="61" spans="1:23" hidden="1">
      <c r="A61" s="57"/>
      <c r="B61" s="56"/>
      <c r="C61" s="56"/>
      <c r="D61" s="56"/>
      <c r="E61" s="56"/>
      <c r="F61" s="56"/>
      <c r="G61" s="56"/>
      <c r="H61" s="56"/>
      <c r="I61" s="59"/>
      <c r="J61" s="56"/>
      <c r="K61" s="56"/>
      <c r="L61" s="56"/>
      <c r="M61" s="57"/>
    </row>
    <row r="62" spans="1:23" hidden="1">
      <c r="A62" s="57"/>
      <c r="B62" s="56"/>
      <c r="C62" s="56"/>
      <c r="D62" s="56"/>
      <c r="E62" s="56"/>
      <c r="F62" s="56"/>
      <c r="G62" s="56"/>
      <c r="H62" s="56"/>
      <c r="I62" s="59"/>
      <c r="J62" s="56"/>
      <c r="K62" s="56"/>
      <c r="L62" s="56"/>
      <c r="M62" s="57"/>
    </row>
    <row r="63" spans="1:23" hidden="1">
      <c r="A63" s="57"/>
      <c r="B63" s="57"/>
      <c r="C63" s="57"/>
      <c r="D63" s="57"/>
      <c r="E63" s="57"/>
      <c r="F63" s="57"/>
      <c r="G63" s="57"/>
      <c r="H63" s="57"/>
      <c r="I63" s="57"/>
      <c r="J63" s="57"/>
      <c r="K63" s="57"/>
      <c r="L63" s="57"/>
      <c r="M63" s="57"/>
    </row>
    <row r="64" spans="1:23" hidden="1">
      <c r="A64" s="57"/>
      <c r="B64" s="57"/>
      <c r="C64" s="57"/>
      <c r="D64" s="57"/>
      <c r="E64" s="57"/>
      <c r="F64" s="57"/>
      <c r="G64" s="57"/>
      <c r="H64" s="57"/>
      <c r="I64" s="57"/>
      <c r="J64" s="57"/>
      <c r="K64" s="57"/>
      <c r="L64" s="57"/>
      <c r="M64" s="57"/>
    </row>
  </sheetData>
  <sheetProtection password="C67B" sheet="1" formatColumns="0" formatRows="0"/>
  <customSheetViews>
    <customSheetView guid="{B625ED32-945B-469E-9979-E993C41040F6}" showGridLines="0" hiddenRows="1" hiddenColumns="1" topLeftCell="D1">
      <selection activeCell="R1" sqref="R1:IV65536"/>
      <pageMargins left="0.25" right="0.25" top="0.42" bottom="0.26" header="0.3" footer="0.3"/>
      <printOptions horizontalCentered="1"/>
      <pageSetup paperSize="9" scale="90" orientation="portrait" horizontalDpi="300" verticalDpi="300" r:id="rId1"/>
    </customSheetView>
  </customSheetViews>
  <mergeCells count="78">
    <mergeCell ref="A43:A44"/>
    <mergeCell ref="K43:P44"/>
    <mergeCell ref="J43:J44"/>
    <mergeCell ref="B21:J21"/>
    <mergeCell ref="K3:P4"/>
    <mergeCell ref="J14:J15"/>
    <mergeCell ref="K14:P15"/>
    <mergeCell ref="J16:J18"/>
    <mergeCell ref="K16:P18"/>
    <mergeCell ref="K27:P28"/>
    <mergeCell ref="K38:P40"/>
    <mergeCell ref="J38:J40"/>
    <mergeCell ref="J41:J42"/>
    <mergeCell ref="K41:P42"/>
    <mergeCell ref="A41:A42"/>
    <mergeCell ref="K29:P31"/>
    <mergeCell ref="J29:J31"/>
    <mergeCell ref="J32:J33"/>
    <mergeCell ref="K32:P33"/>
    <mergeCell ref="C26:I26"/>
    <mergeCell ref="C32:I33"/>
    <mergeCell ref="J19:J20"/>
    <mergeCell ref="B27:B28"/>
    <mergeCell ref="C24:I24"/>
    <mergeCell ref="C22:I23"/>
    <mergeCell ref="B19:I20"/>
    <mergeCell ref="C25:I25"/>
    <mergeCell ref="A1:P1"/>
    <mergeCell ref="A2:P2"/>
    <mergeCell ref="K11:P11"/>
    <mergeCell ref="K12:P12"/>
    <mergeCell ref="K13:P13"/>
    <mergeCell ref="B9:I12"/>
    <mergeCell ref="B13:I13"/>
    <mergeCell ref="A13:A18"/>
    <mergeCell ref="B14:B15"/>
    <mergeCell ref="A5:A8"/>
    <mergeCell ref="A3:A4"/>
    <mergeCell ref="C6:I6"/>
    <mergeCell ref="C7:I7"/>
    <mergeCell ref="C8:I8"/>
    <mergeCell ref="B3:I3"/>
    <mergeCell ref="B4:I4"/>
    <mergeCell ref="K5:P5"/>
    <mergeCell ref="K6:P6"/>
    <mergeCell ref="K7:P7"/>
    <mergeCell ref="B5:I5"/>
    <mergeCell ref="J3:J4"/>
    <mergeCell ref="B43:I44"/>
    <mergeCell ref="K24:P24"/>
    <mergeCell ref="K8:P8"/>
    <mergeCell ref="K9:P9"/>
    <mergeCell ref="K10:P10"/>
    <mergeCell ref="J9:J12"/>
    <mergeCell ref="B38:I40"/>
    <mergeCell ref="K22:P23"/>
    <mergeCell ref="K19:P20"/>
    <mergeCell ref="K34:P37"/>
    <mergeCell ref="K25:P25"/>
    <mergeCell ref="K26:P26"/>
    <mergeCell ref="K21:P21"/>
    <mergeCell ref="J22:J23"/>
    <mergeCell ref="J34:J37"/>
    <mergeCell ref="B34:B37"/>
    <mergeCell ref="C34:I37"/>
    <mergeCell ref="A9:A12"/>
    <mergeCell ref="C29:I31"/>
    <mergeCell ref="C27:I28"/>
    <mergeCell ref="B41:I42"/>
    <mergeCell ref="B22:B23"/>
    <mergeCell ref="A21:A37"/>
    <mergeCell ref="B29:B31"/>
    <mergeCell ref="B32:B33"/>
    <mergeCell ref="A19:A20"/>
    <mergeCell ref="C14:I15"/>
    <mergeCell ref="C16:I16"/>
    <mergeCell ref="C17:I18"/>
    <mergeCell ref="A38:A40"/>
  </mergeCells>
  <conditionalFormatting sqref="A1:P46">
    <cfRule type="expression" dxfId="8" priority="1" stopIfTrue="1">
      <formula>$T$2=2</formula>
    </cfRule>
  </conditionalFormatting>
  <printOptions horizontalCentered="1"/>
  <pageMargins left="0.25" right="0.25" top="0.42" bottom="0.26" header="0.3" footer="0.3"/>
  <pageSetup paperSize="9" scale="90"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B050"/>
  </sheetPr>
  <dimension ref="A1:O31"/>
  <sheetViews>
    <sheetView showGridLines="0" zoomScaleNormal="100" zoomScaleSheetLayoutView="115" workbookViewId="0">
      <selection activeCell="F13" sqref="F13:I13"/>
    </sheetView>
  </sheetViews>
  <sheetFormatPr defaultColWidth="0" defaultRowHeight="16.5"/>
  <cols>
    <col min="1" max="1" width="6.28515625" style="2" customWidth="1"/>
    <col min="2" max="4" width="9.7109375" style="2" customWidth="1"/>
    <col min="5" max="5" width="13.5703125" style="2" customWidth="1"/>
    <col min="6" max="9" width="9.7109375" style="2" customWidth="1"/>
    <col min="10" max="10" width="3.85546875" style="2" customWidth="1"/>
    <col min="11" max="16384" width="3.85546875" style="2" hidden="1"/>
  </cols>
  <sheetData>
    <row r="1" spans="1:15" ht="18" customHeight="1">
      <c r="A1" s="687" t="s">
        <v>21</v>
      </c>
      <c r="B1" s="687"/>
      <c r="C1" s="687"/>
      <c r="D1" s="687"/>
      <c r="E1" s="687"/>
      <c r="F1" s="687"/>
      <c r="G1" s="687"/>
      <c r="H1" s="687"/>
      <c r="I1" s="687"/>
    </row>
    <row r="2" spans="1:15" ht="18" customHeight="1">
      <c r="A2" s="688" t="s">
        <v>22</v>
      </c>
      <c r="B2" s="688"/>
      <c r="C2" s="688"/>
      <c r="D2" s="688"/>
      <c r="E2" s="688"/>
      <c r="F2" s="688"/>
      <c r="G2" s="688"/>
      <c r="H2" s="688"/>
      <c r="I2" s="688"/>
      <c r="O2" s="2">
        <f>Data!AH3</f>
        <v>1</v>
      </c>
    </row>
    <row r="3" spans="1:15" ht="12" customHeight="1">
      <c r="A3" s="689" t="s">
        <v>23</v>
      </c>
      <c r="B3" s="689"/>
      <c r="C3" s="689"/>
      <c r="D3" s="689"/>
      <c r="E3" s="689"/>
      <c r="F3" s="689"/>
      <c r="G3" s="689"/>
      <c r="H3" s="689"/>
      <c r="I3" s="689"/>
    </row>
    <row r="4" spans="1:15" ht="3" customHeight="1">
      <c r="A4" s="681"/>
      <c r="B4" s="682"/>
      <c r="C4" s="682"/>
      <c r="D4" s="682"/>
      <c r="E4" s="682"/>
      <c r="F4" s="682"/>
      <c r="G4" s="682"/>
      <c r="H4" s="682"/>
      <c r="I4" s="683"/>
    </row>
    <row r="5" spans="1:15" ht="44.25" customHeight="1">
      <c r="A5" s="35">
        <v>1</v>
      </c>
      <c r="B5" s="684" t="s">
        <v>219</v>
      </c>
      <c r="C5" s="685"/>
      <c r="D5" s="685"/>
      <c r="E5" s="686"/>
      <c r="F5" s="684" t="str">
        <f>UPPER('R C'!DI32&amp;" ,"&amp;'R C'!DI31)</f>
        <v>SRI G MURALIMOHANA RAO , RTD ,S.G.T</v>
      </c>
      <c r="G5" s="685"/>
      <c r="H5" s="685"/>
      <c r="I5" s="686"/>
    </row>
    <row r="6" spans="1:15" ht="33.75" customHeight="1">
      <c r="A6" s="36">
        <v>2</v>
      </c>
      <c r="B6" s="667" t="s">
        <v>220</v>
      </c>
      <c r="C6" s="668"/>
      <c r="D6" s="668"/>
      <c r="E6" s="669"/>
      <c r="F6" s="680" t="str">
        <f>" "&amp;Data!Q12&amp;", "&amp;Data!O13&amp;": "&amp;Data!Q13&amp;", "&amp;Data!O14&amp;":"&amp;Data!Q14</f>
        <v xml:space="preserve"> MP,G.L.PURAM, Mandal: G L PURAM, District:PARVATHIPURAM MANYAM</v>
      </c>
      <c r="G6" s="680"/>
      <c r="H6" s="680"/>
      <c r="I6" s="680"/>
    </row>
    <row r="7" spans="1:15" ht="22.5" customHeight="1">
      <c r="A7" s="655">
        <v>3</v>
      </c>
      <c r="B7" s="670" t="s">
        <v>221</v>
      </c>
      <c r="C7" s="670"/>
      <c r="D7" s="670"/>
      <c r="E7" s="670"/>
      <c r="F7" s="649" t="str">
        <f>""&amp;Data!I7&amp;" "</f>
        <v xml:space="preserve">28940-78910 </v>
      </c>
      <c r="G7" s="650"/>
      <c r="H7" s="650"/>
      <c r="I7" s="651"/>
    </row>
    <row r="8" spans="1:15" ht="27" customHeight="1">
      <c r="A8" s="657"/>
      <c r="B8" s="670"/>
      <c r="C8" s="670"/>
      <c r="D8" s="670"/>
      <c r="E8" s="670"/>
      <c r="F8" s="652"/>
      <c r="G8" s="653"/>
      <c r="H8" s="653"/>
      <c r="I8" s="654"/>
    </row>
    <row r="9" spans="1:15" ht="34.5" customHeight="1">
      <c r="A9" s="36">
        <v>4</v>
      </c>
      <c r="B9" s="667" t="s">
        <v>24</v>
      </c>
      <c r="C9" s="668"/>
      <c r="D9" s="668"/>
      <c r="E9" s="669"/>
      <c r="F9" s="680" t="str">
        <f>IF(Data!AH5=1,""&amp;Data!Q5&amp;", "&amp;Data!G6&amp;": "&amp;Data!I6&amp;", "&amp;Data!M6&amp;":"&amp;Data!P6&amp;"",IF(Data!AH5=2,"Service Pensioner,Resident at home",IF(AND(Data!AH5&gt;2,Data!AH6=1),"-","Family  Pensioner,Resident at home")))</f>
        <v>Service Pensioner,Resident at home</v>
      </c>
      <c r="G9" s="680"/>
      <c r="H9" s="680"/>
      <c r="I9" s="680"/>
    </row>
    <row r="10" spans="1:15" ht="18.75" customHeight="1">
      <c r="A10" s="655">
        <v>5</v>
      </c>
      <c r="B10" s="670" t="s">
        <v>32</v>
      </c>
      <c r="C10" s="670"/>
      <c r="D10" s="670"/>
      <c r="E10" s="670"/>
      <c r="F10" s="680" t="str">
        <f>""&amp;Data!A24</f>
        <v/>
      </c>
      <c r="G10" s="680"/>
      <c r="H10" s="680"/>
      <c r="I10" s="680"/>
    </row>
    <row r="11" spans="1:15" ht="20.25" customHeight="1">
      <c r="A11" s="656"/>
      <c r="B11" s="670"/>
      <c r="C11" s="670"/>
      <c r="D11" s="670"/>
      <c r="E11" s="670"/>
      <c r="F11" s="680" t="str">
        <f>""&amp;Data!A25</f>
        <v/>
      </c>
      <c r="G11" s="680"/>
      <c r="H11" s="680"/>
      <c r="I11" s="680"/>
    </row>
    <row r="12" spans="1:15" ht="17.25" customHeight="1">
      <c r="A12" s="657"/>
      <c r="B12" s="670"/>
      <c r="C12" s="670"/>
      <c r="D12" s="670"/>
      <c r="E12" s="670"/>
      <c r="F12" s="680" t="str">
        <f>""&amp;Data!A26</f>
        <v>Sangareddy -TS</v>
      </c>
      <c r="G12" s="680"/>
      <c r="H12" s="680"/>
      <c r="I12" s="680"/>
    </row>
    <row r="13" spans="1:15" ht="51.75" customHeight="1">
      <c r="A13" s="36">
        <v>6</v>
      </c>
      <c r="B13" s="670" t="s">
        <v>225</v>
      </c>
      <c r="C13" s="670"/>
      <c r="D13" s="670"/>
      <c r="E13" s="670"/>
      <c r="F13" s="680" t="str">
        <f>IF(Data!AH6=1,"Self",""&amp;Data!G11&amp;"            "&amp;Data!G12)</f>
        <v>Self</v>
      </c>
      <c r="G13" s="680"/>
      <c r="H13" s="680"/>
      <c r="I13" s="680"/>
    </row>
    <row r="14" spans="1:15" ht="26.25" customHeight="1">
      <c r="A14" s="36">
        <v>7</v>
      </c>
      <c r="B14" s="64" t="s">
        <v>25</v>
      </c>
      <c r="C14" s="64"/>
      <c r="D14" s="64"/>
      <c r="E14" s="64"/>
      <c r="F14" s="696" t="s">
        <v>39</v>
      </c>
      <c r="G14" s="697"/>
      <c r="H14" s="697"/>
      <c r="I14" s="698"/>
    </row>
    <row r="15" spans="1:15" ht="18" customHeight="1">
      <c r="A15" s="655">
        <v>8</v>
      </c>
      <c r="B15" s="658" t="s">
        <v>26</v>
      </c>
      <c r="C15" s="659"/>
      <c r="D15" s="659"/>
      <c r="E15" s="660"/>
      <c r="F15" s="671" t="str">
        <f>Data!D13</f>
        <v>HTN T2-DM AF PAH-SEVERE PIP AF C FVR OS ADS WITH LEFT TO RIGHT SHUNTI NORMAL LV FUNCTION</v>
      </c>
      <c r="G15" s="672"/>
      <c r="H15" s="672"/>
      <c r="I15" s="673"/>
    </row>
    <row r="16" spans="1:15" ht="17.25" customHeight="1">
      <c r="A16" s="656"/>
      <c r="B16" s="661"/>
      <c r="C16" s="662"/>
      <c r="D16" s="662"/>
      <c r="E16" s="663"/>
      <c r="F16" s="674"/>
      <c r="G16" s="675"/>
      <c r="H16" s="675"/>
      <c r="I16" s="676"/>
    </row>
    <row r="17" spans="1:9">
      <c r="A17" s="656"/>
      <c r="B17" s="661"/>
      <c r="C17" s="662"/>
      <c r="D17" s="662"/>
      <c r="E17" s="663"/>
      <c r="F17" s="677"/>
      <c r="G17" s="678"/>
      <c r="H17" s="678"/>
      <c r="I17" s="679"/>
    </row>
    <row r="18" spans="1:9" ht="24" customHeight="1">
      <c r="A18" s="657"/>
      <c r="B18" s="664"/>
      <c r="C18" s="665"/>
      <c r="D18" s="665"/>
      <c r="E18" s="666"/>
      <c r="F18" s="680" t="str">
        <f>"from:"&amp;Data!G14&amp;" to "&amp;Data!K14</f>
        <v>from:26.06.2023 to 28.06.2023</v>
      </c>
      <c r="G18" s="680"/>
      <c r="H18" s="680"/>
      <c r="I18" s="680"/>
    </row>
    <row r="19" spans="1:9" ht="75.75" customHeight="1">
      <c r="A19" s="36">
        <v>9</v>
      </c>
      <c r="B19" s="565" t="s">
        <v>33</v>
      </c>
      <c r="C19" s="565"/>
      <c r="D19" s="565"/>
      <c r="E19" s="565"/>
      <c r="F19" s="680" t="s">
        <v>34</v>
      </c>
      <c r="G19" s="680"/>
      <c r="H19" s="680"/>
      <c r="I19" s="680"/>
    </row>
    <row r="20" spans="1:9" ht="26.25" customHeight="1">
      <c r="A20" s="36">
        <v>10</v>
      </c>
      <c r="B20" s="667" t="s">
        <v>27</v>
      </c>
      <c r="C20" s="668"/>
      <c r="D20" s="668"/>
      <c r="E20" s="669"/>
      <c r="F20" s="680" t="str">
        <f>"Rs."&amp;Data!J17&amp;"/-"</f>
        <v>Rs.55000/-</v>
      </c>
      <c r="G20" s="680"/>
      <c r="H20" s="680"/>
      <c r="I20" s="680"/>
    </row>
    <row r="21" spans="1:9" ht="21.75" customHeight="1">
      <c r="A21" s="36">
        <v>11</v>
      </c>
      <c r="B21" s="667" t="s">
        <v>28</v>
      </c>
      <c r="C21" s="668"/>
      <c r="D21" s="668"/>
      <c r="E21" s="669"/>
      <c r="F21" s="680" t="s">
        <v>35</v>
      </c>
      <c r="G21" s="680"/>
      <c r="H21" s="680"/>
      <c r="I21" s="680"/>
    </row>
    <row r="22" spans="1:9" ht="9" customHeight="1">
      <c r="A22" s="37"/>
      <c r="B22" s="38"/>
      <c r="C22" s="38"/>
      <c r="D22" s="38"/>
      <c r="E22" s="38"/>
      <c r="F22" s="39"/>
      <c r="G22" s="39"/>
      <c r="H22" s="39"/>
      <c r="I22" s="40"/>
    </row>
    <row r="23" spans="1:9" ht="18">
      <c r="A23" s="693" t="str">
        <f>"Declaration to be signed by the "&amp;IF(Data!AH5=1," Government Servant","Pensioner")</f>
        <v>Declaration to be signed by the Pensioner</v>
      </c>
      <c r="B23" s="694"/>
      <c r="C23" s="694"/>
      <c r="D23" s="694"/>
      <c r="E23" s="694"/>
      <c r="F23" s="694"/>
      <c r="G23" s="694"/>
      <c r="H23" s="694"/>
      <c r="I23" s="695"/>
    </row>
    <row r="24" spans="1:9" ht="83.25" customHeight="1">
      <c r="A24" s="690" t="s">
        <v>222</v>
      </c>
      <c r="B24" s="691"/>
      <c r="C24" s="691"/>
      <c r="D24" s="691"/>
      <c r="E24" s="691"/>
      <c r="F24" s="691"/>
      <c r="G24" s="691"/>
      <c r="H24" s="691"/>
      <c r="I24" s="692"/>
    </row>
    <row r="25" spans="1:9">
      <c r="A25" s="41"/>
      <c r="B25" s="38"/>
      <c r="C25" s="38"/>
      <c r="D25" s="38"/>
      <c r="E25" s="38"/>
      <c r="F25" s="38"/>
      <c r="G25" s="38"/>
      <c r="H25" s="38"/>
      <c r="I25" s="42"/>
    </row>
    <row r="26" spans="1:9" ht="16.5" customHeight="1">
      <c r="A26" s="41"/>
      <c r="B26" s="38"/>
      <c r="C26" s="38"/>
      <c r="D26" s="38"/>
      <c r="E26" s="38"/>
      <c r="F26" s="645" t="str">
        <f>'Lr to DDO'!F31</f>
        <v>G MURALIMOHANA RAO</v>
      </c>
      <c r="G26" s="645"/>
      <c r="H26" s="645"/>
      <c r="I26" s="646"/>
    </row>
    <row r="27" spans="1:9" ht="12.75" customHeight="1">
      <c r="A27" s="41"/>
      <c r="B27" s="38"/>
      <c r="C27" s="38"/>
      <c r="D27" s="38"/>
      <c r="E27" s="38"/>
      <c r="F27" s="645"/>
      <c r="G27" s="645"/>
      <c r="H27" s="645"/>
      <c r="I27" s="646"/>
    </row>
    <row r="28" spans="1:9" ht="17.25" customHeight="1">
      <c r="A28" s="41"/>
      <c r="B28" s="38"/>
      <c r="C28" s="38"/>
      <c r="D28" s="38"/>
      <c r="E28" s="38"/>
      <c r="F28" s="647" t="str">
        <f>'Lr to DDO'!H33</f>
        <v>Rtd  S.G.T</v>
      </c>
      <c r="G28" s="647"/>
      <c r="H28" s="647"/>
      <c r="I28" s="648"/>
    </row>
    <row r="29" spans="1:9" ht="11.25" customHeight="1">
      <c r="A29" s="37"/>
      <c r="B29" s="38"/>
      <c r="C29" s="38"/>
      <c r="D29" s="38"/>
      <c r="E29" s="38"/>
      <c r="F29" s="38"/>
      <c r="G29" s="38"/>
      <c r="H29" s="38"/>
      <c r="I29" s="42"/>
    </row>
    <row r="30" spans="1:9">
      <c r="A30" s="41"/>
      <c r="B30" s="38"/>
      <c r="C30" s="43" t="str">
        <f>Data!S10</f>
        <v>MEO</v>
      </c>
      <c r="D30" s="38"/>
      <c r="E30" s="38"/>
      <c r="F30" s="38"/>
      <c r="G30" s="38"/>
      <c r="H30" s="38"/>
      <c r="I30" s="42"/>
    </row>
    <row r="31" spans="1:9" ht="23.25" customHeight="1">
      <c r="A31" s="44"/>
      <c r="B31" s="45"/>
      <c r="C31" s="316" t="str">
        <f>Data!Q12</f>
        <v>MP,G.L.PURAM</v>
      </c>
      <c r="D31" s="45"/>
      <c r="E31" s="45"/>
      <c r="F31" s="45"/>
      <c r="G31" s="45"/>
      <c r="H31" s="45"/>
      <c r="I31" s="46"/>
    </row>
  </sheetData>
  <sheetProtection password="C67B" sheet="1" formatCells="0" formatColumns="0" formatRows="0"/>
  <customSheetViews>
    <customSheetView guid="{B625ED32-945B-469E-9979-E993C41040F6}" showGridLines="0" hiddenColumns="1">
      <selection sqref="A1:I1"/>
      <pageMargins left="0.59" right="0.47" top="0.55000000000000004" bottom="0.43" header="0.3" footer="0.3"/>
      <printOptions horizontalCentered="1"/>
      <pageSetup paperSize="9" scale="99" orientation="portrait" horizontalDpi="300" verticalDpi="300" r:id="rId1"/>
    </customSheetView>
  </customSheetViews>
  <mergeCells count="35">
    <mergeCell ref="F9:I9"/>
    <mergeCell ref="B10:E12"/>
    <mergeCell ref="F21:I21"/>
    <mergeCell ref="A24:I24"/>
    <mergeCell ref="A23:I23"/>
    <mergeCell ref="F14:I14"/>
    <mergeCell ref="F18:I18"/>
    <mergeCell ref="B19:E19"/>
    <mergeCell ref="F19:I19"/>
    <mergeCell ref="F20:I20"/>
    <mergeCell ref="B21:E21"/>
    <mergeCell ref="A4:I4"/>
    <mergeCell ref="B5:E5"/>
    <mergeCell ref="B6:E6"/>
    <mergeCell ref="A1:I1"/>
    <mergeCell ref="A2:I2"/>
    <mergeCell ref="A3:I3"/>
    <mergeCell ref="F5:I5"/>
    <mergeCell ref="F6:I6"/>
    <mergeCell ref="F26:I27"/>
    <mergeCell ref="F28:I28"/>
    <mergeCell ref="F7:I8"/>
    <mergeCell ref="A10:A12"/>
    <mergeCell ref="A7:A8"/>
    <mergeCell ref="A15:A18"/>
    <mergeCell ref="B15:E18"/>
    <mergeCell ref="B20:E20"/>
    <mergeCell ref="B7:E8"/>
    <mergeCell ref="F15:I17"/>
    <mergeCell ref="F10:I10"/>
    <mergeCell ref="F11:I11"/>
    <mergeCell ref="F12:I12"/>
    <mergeCell ref="B13:E13"/>
    <mergeCell ref="F13:I13"/>
    <mergeCell ref="B9:E9"/>
  </mergeCells>
  <conditionalFormatting sqref="A1:I31">
    <cfRule type="expression" dxfId="7" priority="1" stopIfTrue="1">
      <formula>$O$2=2</formula>
    </cfRule>
  </conditionalFormatting>
  <printOptions horizontalCentered="1"/>
  <pageMargins left="0.59" right="0.47" top="0.55000000000000004" bottom="0.43" header="0.3" footer="0.3"/>
  <pageSetup paperSize="9" scale="9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00B050"/>
  </sheetPr>
  <dimension ref="A1:O18"/>
  <sheetViews>
    <sheetView showGridLines="0" zoomScaleNormal="100" zoomScaleSheetLayoutView="100" workbookViewId="0">
      <selection activeCell="J25" sqref="J25:M25"/>
    </sheetView>
  </sheetViews>
  <sheetFormatPr defaultColWidth="0" defaultRowHeight="16.5"/>
  <cols>
    <col min="1" max="1" width="7.42578125" style="2" customWidth="1"/>
    <col min="2" max="2" width="10.42578125" style="2" customWidth="1"/>
    <col min="3" max="3" width="9.7109375" style="2" customWidth="1"/>
    <col min="4" max="4" width="7" style="2" customWidth="1"/>
    <col min="5" max="5" width="14.28515625" style="2" customWidth="1"/>
    <col min="6" max="6" width="8.42578125" style="2" customWidth="1"/>
    <col min="7" max="7" width="9.7109375" style="2" customWidth="1"/>
    <col min="8" max="8" width="6.5703125" style="2" customWidth="1"/>
    <col min="9" max="9" width="9.7109375" style="2" customWidth="1"/>
    <col min="10" max="10" width="6.5703125" style="2" customWidth="1"/>
    <col min="11" max="16384" width="6.5703125" style="2" hidden="1"/>
  </cols>
  <sheetData>
    <row r="1" spans="1:15" ht="22.5">
      <c r="A1" s="699" t="s">
        <v>29</v>
      </c>
      <c r="B1" s="699"/>
      <c r="C1" s="699"/>
      <c r="D1" s="699"/>
      <c r="E1" s="699"/>
      <c r="F1" s="699"/>
      <c r="G1" s="699"/>
      <c r="H1" s="699"/>
      <c r="I1" s="699"/>
    </row>
    <row r="2" spans="1:15" ht="155.25" customHeight="1">
      <c r="A2" s="560" t="str">
        <f>"                 This is to certify that the amount claimed towards Medical Reimbursement for the treatment of "&amp;Data!D13&amp;"  at "&amp;Data!D15&amp;", "&amp;Data!D16&amp;" from "&amp;Data!G14&amp;" to "&amp;Data!K14&amp;" in respect of  "&amp;'R C'!DO28&amp;" for Rs."&amp;Data!J17&amp;"/-"&amp;'R C'!DH15&amp;"  is the first time and not claimed previously."</f>
        <v xml:space="preserve">                 This is to certify that the amount claimed towards Medical Reimbursement for the treatment of HTN T2-DM AF PAH-SEVERE PIP AF C FVR OS ADS WITH LEFT TO RIGHT SHUNTI NORMAL LV FUNCTION  at M/S INDUS HOSPITAL, KGH DOWN ROAD, VISAKHAPATNAM from 26.06.2023 to 28.06.2023 in respect of  Sri G MURALIMOHANA RAO, Rtd S.G.T ,G P SCHOOL LAKKAGUDA,Mandal:G L PURAM, Dist:PARVATHIPURAM MANYAM for Rs.55000/-(Fifty five Thousand rupees only)  is the first time and not claimed previously.</v>
      </c>
      <c r="B2" s="560"/>
      <c r="C2" s="560"/>
      <c r="D2" s="560"/>
      <c r="E2" s="560"/>
      <c r="F2" s="560"/>
      <c r="G2" s="560"/>
      <c r="H2" s="560"/>
      <c r="I2" s="560"/>
      <c r="O2" s="2">
        <f>Data!AH3</f>
        <v>1</v>
      </c>
    </row>
    <row r="3" spans="1:15" ht="23.25" customHeight="1"/>
    <row r="4" spans="1:15" ht="24" customHeight="1">
      <c r="A4" s="2" t="str">
        <f>IF(Data!Q12="","Place:……………...…………","Place: "&amp;Data!Q12)</f>
        <v>Place: MP,G.L.PURAM</v>
      </c>
      <c r="G4" s="5" t="str">
        <f>Data!S10</f>
        <v>MEO</v>
      </c>
    </row>
    <row r="5" spans="1:15" ht="20.25" customHeight="1">
      <c r="A5" s="2" t="str">
        <f>IF(Data!F18="","Dated:……………………….","Dated: "&amp;Data!F18)</f>
        <v>Dated: 03.08.2023</v>
      </c>
      <c r="B5" s="7"/>
      <c r="G5" s="5" t="str">
        <f>Data!Q12</f>
        <v>MP,G.L.PURAM</v>
      </c>
    </row>
    <row r="7" spans="1:15" ht="33" customHeight="1">
      <c r="A7" s="4"/>
    </row>
    <row r="8" spans="1:15" ht="22.5" customHeight="1">
      <c r="A8" s="4"/>
      <c r="C8" s="700" t="str">
        <f>'Lr to DDO'!F31</f>
        <v>G MURALIMOHANA RAO</v>
      </c>
      <c r="D8" s="700"/>
      <c r="E8" s="700"/>
      <c r="F8" s="700"/>
    </row>
    <row r="9" spans="1:15" ht="15" customHeight="1">
      <c r="B9" s="4"/>
      <c r="C9" s="700"/>
      <c r="D9" s="700"/>
      <c r="E9" s="700"/>
      <c r="F9" s="700"/>
      <c r="G9" s="4"/>
    </row>
    <row r="10" spans="1:15" ht="15" customHeight="1">
      <c r="A10" s="4"/>
      <c r="D10" s="310" t="str">
        <f>'Lr to DDO'!H33</f>
        <v>Rtd  S.G.T</v>
      </c>
      <c r="G10" s="4"/>
    </row>
    <row r="11" spans="1:15">
      <c r="C11" s="6" t="str">
        <f>'Lr to DDO'!G34</f>
        <v>G P SCHOOL LAKKAGUDA</v>
      </c>
      <c r="G11" s="4"/>
    </row>
    <row r="12" spans="1:15">
      <c r="B12" s="4"/>
      <c r="C12" s="6" t="str">
        <f>'Lr to DDO'!G35</f>
        <v>Mandal:G L PURAM</v>
      </c>
      <c r="G12" s="4"/>
    </row>
    <row r="13" spans="1:15">
      <c r="B13" s="4"/>
    </row>
    <row r="15" spans="1:15">
      <c r="A15" s="4"/>
    </row>
    <row r="16" spans="1:15">
      <c r="A16" s="4"/>
    </row>
    <row r="17" spans="1:1">
      <c r="A17" s="4"/>
    </row>
    <row r="18" spans="1:1">
      <c r="A18" s="4"/>
    </row>
  </sheetData>
  <sheetProtection password="C67B" sheet="1"/>
  <customSheetViews>
    <customSheetView guid="{B625ED32-945B-469E-9979-E993C41040F6}" showGridLines="0" hiddenColumns="1">
      <selection activeCell="A2" sqref="A2:I2"/>
      <pageMargins left="0.54" right="0.56999999999999995" top="0.75" bottom="0.75" header="0.3" footer="0.3"/>
      <printOptions horizontalCentered="1"/>
      <pageSetup paperSize="9" orientation="portrait" horizontalDpi="300" verticalDpi="300" r:id="rId1"/>
    </customSheetView>
  </customSheetViews>
  <mergeCells count="3">
    <mergeCell ref="A1:I1"/>
    <mergeCell ref="A2:I2"/>
    <mergeCell ref="C8:F9"/>
  </mergeCells>
  <conditionalFormatting sqref="A1:I12">
    <cfRule type="expression" dxfId="6" priority="1" stopIfTrue="1">
      <formula>$O$2=2</formula>
    </cfRule>
  </conditionalFormatting>
  <printOptions horizontalCentered="1"/>
  <pageMargins left="0.54" right="0.56999999999999995"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B050"/>
  </sheetPr>
  <dimension ref="A1:O19"/>
  <sheetViews>
    <sheetView showGridLines="0" topLeftCell="A5" zoomScaleNormal="100" zoomScaleSheetLayoutView="130" workbookViewId="0">
      <selection activeCell="J25" sqref="J25:M25"/>
    </sheetView>
  </sheetViews>
  <sheetFormatPr defaultColWidth="0" defaultRowHeight="16.5"/>
  <cols>
    <col min="1" max="5" width="9.7109375" style="2" customWidth="1"/>
    <col min="6" max="7" width="7.42578125" style="2" customWidth="1"/>
    <col min="8" max="8" width="5.85546875" style="2" customWidth="1"/>
    <col min="9" max="9" width="8.28515625" style="2" customWidth="1"/>
    <col min="10" max="10" width="4.85546875" style="2" customWidth="1"/>
    <col min="11" max="16384" width="4.85546875" style="2" hidden="1"/>
  </cols>
  <sheetData>
    <row r="1" spans="1:15" ht="4.5" hidden="1" customHeight="1"/>
    <row r="2" spans="1:15" ht="4.5" hidden="1" customHeight="1"/>
    <row r="3" spans="1:15" ht="4.5" hidden="1" customHeight="1"/>
    <row r="4" spans="1:15" ht="8.25" hidden="1" customHeight="1"/>
    <row r="5" spans="1:15" ht="18">
      <c r="A5" s="701" t="s">
        <v>38</v>
      </c>
      <c r="B5" s="701"/>
      <c r="C5" s="701"/>
      <c r="D5" s="701"/>
      <c r="E5" s="701"/>
      <c r="F5" s="701"/>
      <c r="G5" s="701"/>
      <c r="H5" s="701"/>
      <c r="I5" s="701"/>
      <c r="O5" s="2">
        <f>'Lr to DDO'!O2</f>
        <v>1</v>
      </c>
    </row>
    <row r="6" spans="1:15" ht="8.25" customHeight="1"/>
    <row r="7" spans="1:15" ht="124.5" customHeight="1">
      <c r="A7" s="560" t="str">
        <f>"                        Medical Reimbursement of  "&amp; 'R C'!DO28&amp;" is '"&amp;Data!K18&amp;"' spell of claim  for under gone treatment of "&amp;Data!D13&amp;"  at "&amp;Data!D15&amp;", "&amp;Data!D16&amp;" from  "&amp;Data!G14&amp;" to "&amp;Data!K14&amp;"."</f>
        <v xml:space="preserve">                        Medical Reimbursement of  Sri G MURALIMOHANA RAO, Rtd S.G.T ,G P SCHOOL LAKKAGUDA,Mandal:G L PURAM, Dist:PARVATHIPURAM MANYAM is 'First' spell of claim  for under gone treatment of HTN T2-DM AF PAH-SEVERE PIP AF C FVR OS ADS WITH LEFT TO RIGHT SHUNTI NORMAL LV FUNCTION  at M/S INDUS HOSPITAL, KGH DOWN ROAD, VISAKHAPATNAM from  26.06.2023 to 28.06.2023.</v>
      </c>
      <c r="B7" s="560"/>
      <c r="C7" s="560"/>
      <c r="D7" s="560"/>
      <c r="E7" s="560"/>
      <c r="F7" s="560"/>
      <c r="G7" s="560"/>
      <c r="H7" s="560"/>
      <c r="I7" s="560"/>
    </row>
    <row r="8" spans="1:15" ht="18.75" customHeight="1">
      <c r="A8" s="67"/>
      <c r="B8" s="67"/>
      <c r="C8" s="67"/>
      <c r="D8" s="67"/>
      <c r="E8" s="67"/>
      <c r="F8" s="67"/>
      <c r="G8" s="67"/>
      <c r="H8" s="67"/>
      <c r="I8" s="67"/>
    </row>
    <row r="9" spans="1:15" ht="18" customHeight="1">
      <c r="A9" s="67"/>
      <c r="B9" s="67"/>
      <c r="C9" s="67"/>
      <c r="D9" s="67"/>
      <c r="E9" s="67"/>
      <c r="F9" s="67"/>
      <c r="G9" s="67"/>
      <c r="H9" s="67"/>
      <c r="I9" s="67"/>
    </row>
    <row r="10" spans="1:15">
      <c r="A10" s="2" t="str">
        <f>Nondrawn!A4</f>
        <v>Place: MP,G.L.PURAM</v>
      </c>
      <c r="G10" s="5" t="str">
        <f>Data!S10</f>
        <v>MEO</v>
      </c>
    </row>
    <row r="11" spans="1:15">
      <c r="A11" s="2" t="str">
        <f>Nondrawn!A5</f>
        <v>Dated: 03.08.2023</v>
      </c>
      <c r="G11" s="5" t="str">
        <f>Data!Q12</f>
        <v>MP,G.L.PURAM</v>
      </c>
    </row>
    <row r="13" spans="1:15">
      <c r="A13" s="4"/>
    </row>
    <row r="14" spans="1:15">
      <c r="A14" s="4"/>
    </row>
    <row r="15" spans="1:15">
      <c r="B15" s="4"/>
      <c r="C15" s="4"/>
      <c r="G15" s="4"/>
    </row>
    <row r="16" spans="1:15">
      <c r="A16" s="4"/>
      <c r="G16" s="4"/>
    </row>
    <row r="17" spans="2:7">
      <c r="C17" s="4"/>
      <c r="G17" s="4"/>
    </row>
    <row r="18" spans="2:7">
      <c r="B18" s="4"/>
      <c r="C18" s="4"/>
      <c r="G18" s="4"/>
    </row>
    <row r="19" spans="2:7">
      <c r="B19" s="4"/>
    </row>
  </sheetData>
  <sheetProtection password="C67B" sheet="1"/>
  <customSheetViews>
    <customSheetView guid="{B625ED32-945B-469E-9979-E993C41040F6}" showGridLines="0" hiddenRows="1" hiddenColumns="1" topLeftCell="A5">
      <selection activeCell="A7" sqref="A7:I7"/>
      <pageMargins left="0.7" right="0.7" top="0.75" bottom="0.75" header="0.3" footer="0.3"/>
      <printOptions horizontalCentered="1"/>
      <pageSetup paperSize="9" orientation="portrait" horizontalDpi="300" verticalDpi="300" r:id="rId1"/>
    </customSheetView>
  </customSheetViews>
  <mergeCells count="2">
    <mergeCell ref="A5:I5"/>
    <mergeCell ref="A7:I7"/>
  </mergeCells>
  <conditionalFormatting sqref="A5:I16">
    <cfRule type="expression" dxfId="5" priority="1" stopIfTrue="1">
      <formula>$O$5=2</formula>
    </cfRule>
  </conditionalFormatting>
  <printOptions horizontalCentered="1"/>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B050"/>
  </sheetPr>
  <dimension ref="A1:P14"/>
  <sheetViews>
    <sheetView showGridLines="0" zoomScaleNormal="100" zoomScaleSheetLayoutView="115" workbookViewId="0">
      <selection activeCell="D10" sqref="D10"/>
    </sheetView>
  </sheetViews>
  <sheetFormatPr defaultColWidth="0" defaultRowHeight="16.5"/>
  <cols>
    <col min="1" max="1" width="9.7109375" style="2" customWidth="1"/>
    <col min="2" max="2" width="14.7109375" style="2" bestFit="1" customWidth="1"/>
    <col min="3" max="4" width="9.7109375" style="2" customWidth="1"/>
    <col min="5" max="5" width="8.42578125" style="2" customWidth="1"/>
    <col min="6" max="6" width="9.7109375" style="2" customWidth="1"/>
    <col min="7" max="7" width="5.7109375" style="2" customWidth="1"/>
    <col min="8" max="8" width="5" style="2" customWidth="1"/>
    <col min="9" max="9" width="7.5703125" style="2" customWidth="1"/>
    <col min="10" max="10" width="4" style="2" customWidth="1"/>
    <col min="11" max="16384" width="4" style="2" hidden="1"/>
  </cols>
  <sheetData>
    <row r="1" spans="1:16" ht="6.75" customHeight="1"/>
    <row r="2" spans="1:16" ht="22.5">
      <c r="A2" s="699" t="s">
        <v>30</v>
      </c>
      <c r="B2" s="699"/>
      <c r="C2" s="699"/>
      <c r="D2" s="699"/>
      <c r="E2" s="699"/>
      <c r="F2" s="699"/>
      <c r="G2" s="699"/>
      <c r="H2" s="699"/>
      <c r="I2" s="699"/>
      <c r="O2" s="2">
        <f>Data!AH3</f>
        <v>1</v>
      </c>
      <c r="P2" s="2">
        <f>IF(OR(Data!AH6=1,Data!AH5&gt;2),1,2)</f>
        <v>1</v>
      </c>
    </row>
    <row r="3" spans="1:16" ht="107.25" customHeight="1">
      <c r="A3" s="560" t="str">
        <f>IF(OR(Data!AH6=1,Data!AH5&gt;2),"","      I ,"&amp;IF(AND(Data!AH6=200,Data!AH5&lt;3)," "&amp;'R C'!DI27&amp;","&amp;'R C'!DL27,"")&amp;",here by declare that my "&amp;Data!G12&amp;" "&amp;'R C'!DH17&amp;" has no property or income of  "&amp;Data!AR6&amp;" own and that "&amp;Data!AQ6&amp;" is wholly dependent upon me.and I incurred medical expenses for Rs."&amp;Data!J17&amp;"/-"&amp;'R C'!DH15&amp;" towards treatment. ")</f>
        <v/>
      </c>
      <c r="B3" s="560"/>
      <c r="C3" s="560"/>
      <c r="D3" s="560"/>
      <c r="E3" s="560"/>
      <c r="F3" s="560"/>
      <c r="G3" s="560"/>
      <c r="H3" s="560"/>
      <c r="I3" s="560"/>
    </row>
    <row r="4" spans="1:16" ht="44.25" customHeight="1"/>
    <row r="5" spans="1:16" ht="24.75" customHeight="1">
      <c r="A5" s="2" t="str">
        <f>Nondrawn!A4</f>
        <v>Place: MP,G.L.PURAM</v>
      </c>
      <c r="E5" s="700" t="str">
        <f>'Lr to DDO'!F31</f>
        <v>G MURALIMOHANA RAO</v>
      </c>
      <c r="F5" s="700"/>
      <c r="G5" s="700"/>
      <c r="H5" s="700"/>
      <c r="I5" s="700"/>
    </row>
    <row r="6" spans="1:16" ht="25.5" customHeight="1">
      <c r="A6" s="2" t="str">
        <f>Nondrawn!A5</f>
        <v>Dated: 03.08.2023</v>
      </c>
      <c r="B6" s="7"/>
      <c r="E6" s="700"/>
      <c r="F6" s="700"/>
      <c r="G6" s="700"/>
      <c r="H6" s="700"/>
      <c r="I6" s="700"/>
    </row>
    <row r="7" spans="1:16" ht="20.25" customHeight="1">
      <c r="F7" s="2" t="str">
        <f>'Lr to DDO'!H33</f>
        <v>Rtd  S.G.T</v>
      </c>
    </row>
    <row r="8" spans="1:16">
      <c r="A8" s="4"/>
      <c r="G8" s="4" t="str">
        <f>'Lr to DDO'!G34</f>
        <v>G P SCHOOL LAKKAGUDA</v>
      </c>
    </row>
    <row r="9" spans="1:16" ht="15.75" customHeight="1">
      <c r="A9" s="4"/>
      <c r="G9" s="4" t="str">
        <f>'Lr to DDO'!G35</f>
        <v>Mandal:G L PURAM</v>
      </c>
    </row>
    <row r="10" spans="1:16" ht="30.75" customHeight="1">
      <c r="B10" s="88" t="s">
        <v>36</v>
      </c>
      <c r="G10" s="4"/>
    </row>
    <row r="11" spans="1:16">
      <c r="A11" s="4"/>
      <c r="G11" s="4"/>
    </row>
    <row r="12" spans="1:16" ht="31.5" customHeight="1">
      <c r="G12" s="4"/>
    </row>
    <row r="13" spans="1:16">
      <c r="B13" s="4" t="str">
        <f>Data!S10</f>
        <v>MEO</v>
      </c>
      <c r="G13" s="4"/>
    </row>
    <row r="14" spans="1:16">
      <c r="B14" s="4" t="str">
        <f>Data!Q12</f>
        <v>MP,G.L.PURAM</v>
      </c>
    </row>
  </sheetData>
  <sheetProtection password="C67B" sheet="1" formatColumns="0" formatRows="0"/>
  <customSheetViews>
    <customSheetView guid="{B625ED32-945B-469E-9979-E993C41040F6}" showGridLines="0" hiddenColumns="1">
      <selection activeCell="A3" sqref="A3:I3"/>
      <pageMargins left="0.7" right="0.7" top="0.75" bottom="0.75" header="0.3" footer="0.3"/>
      <printOptions horizontalCentered="1"/>
      <pageSetup paperSize="9" orientation="portrait" horizontalDpi="300" verticalDpi="300" r:id="rId1"/>
    </customSheetView>
  </customSheetViews>
  <mergeCells count="3">
    <mergeCell ref="A2:I2"/>
    <mergeCell ref="A3:I3"/>
    <mergeCell ref="E5:I6"/>
  </mergeCells>
  <conditionalFormatting sqref="A2:I17">
    <cfRule type="expression" dxfId="4" priority="2" stopIfTrue="1">
      <formula>$O$2=2</formula>
    </cfRule>
  </conditionalFormatting>
  <conditionalFormatting sqref="A2:I16">
    <cfRule type="expression" dxfId="3" priority="1" stopIfTrue="1">
      <formula>$P$2=1</formula>
    </cfRule>
  </conditionalFormatting>
  <printOptions horizontalCentered="1"/>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K43"/>
  <sheetViews>
    <sheetView showGridLines="0" zoomScaleNormal="100" workbookViewId="0">
      <selection activeCell="J21" sqref="J21"/>
    </sheetView>
  </sheetViews>
  <sheetFormatPr defaultRowHeight="15"/>
  <cols>
    <col min="1" max="1" width="3.85546875" customWidth="1"/>
    <col min="2" max="2" width="44.42578125" customWidth="1"/>
    <col min="3" max="3" width="2.28515625" customWidth="1"/>
    <col min="4" max="4" width="36.7109375" customWidth="1"/>
    <col min="5" max="5" width="13.42578125" customWidth="1"/>
    <col min="6" max="6" width="2.140625" customWidth="1"/>
    <col min="11" max="11" width="0" hidden="1" customWidth="1"/>
  </cols>
  <sheetData>
    <row r="1" spans="1:11" ht="18">
      <c r="A1" s="717" t="s">
        <v>406</v>
      </c>
      <c r="B1" s="717"/>
      <c r="C1" s="717"/>
      <c r="D1" s="717"/>
      <c r="E1" s="717"/>
    </row>
    <row r="2" spans="1:11" ht="16.5" customHeight="1">
      <c r="A2" s="718" t="s">
        <v>407</v>
      </c>
      <c r="B2" s="718"/>
      <c r="C2" s="718"/>
      <c r="D2" s="718"/>
      <c r="E2" s="718"/>
    </row>
    <row r="3" spans="1:11" ht="17.100000000000001" customHeight="1">
      <c r="A3" s="719" t="s">
        <v>408</v>
      </c>
      <c r="B3" s="719"/>
      <c r="C3" s="719"/>
      <c r="D3" s="719"/>
      <c r="E3" s="719"/>
    </row>
    <row r="4" spans="1:11" ht="16.5" customHeight="1">
      <c r="A4" s="388">
        <v>1</v>
      </c>
      <c r="B4" s="389" t="s">
        <v>409</v>
      </c>
      <c r="C4" s="390" t="s">
        <v>198</v>
      </c>
      <c r="D4" s="720" t="str">
        <f>'Appendix-II'!F5</f>
        <v>SRI G MURALIMOHANA RAO , RTD ,S.G.T</v>
      </c>
      <c r="E4" s="391"/>
    </row>
    <row r="5" spans="1:11" ht="19.5" customHeight="1">
      <c r="A5" s="388"/>
      <c r="B5" s="389" t="s">
        <v>410</v>
      </c>
      <c r="C5" s="390"/>
      <c r="D5" s="720"/>
      <c r="E5" s="391"/>
    </row>
    <row r="6" spans="1:11" ht="40.5" customHeight="1">
      <c r="A6" s="388">
        <v>2</v>
      </c>
      <c r="B6" s="392" t="s">
        <v>411</v>
      </c>
      <c r="C6" s="390" t="s">
        <v>198</v>
      </c>
      <c r="D6" s="715" t="str">
        <f>'Appendix-II'!F6</f>
        <v xml:space="preserve"> MP,G.L.PURAM, Mandal: G L PURAM, District:PARVATHIPURAM MANYAM</v>
      </c>
      <c r="E6" s="715"/>
    </row>
    <row r="7" spans="1:11">
      <c r="A7" s="390">
        <v>3</v>
      </c>
      <c r="B7" s="704" t="s">
        <v>412</v>
      </c>
      <c r="C7" s="390" t="s">
        <v>198</v>
      </c>
      <c r="D7" s="393" t="str">
        <f>"Scale of Pay Rs:"&amp;Data!I7</f>
        <v>Scale of Pay Rs:28940-78910</v>
      </c>
      <c r="E7" s="394"/>
      <c r="K7">
        <f>Data!M7</f>
        <v>37100</v>
      </c>
    </row>
    <row r="8" spans="1:11">
      <c r="A8" s="390"/>
      <c r="B8" s="704"/>
      <c r="C8" s="390"/>
      <c r="D8" s="395" t="str">
        <f>"Basic Pay Rs: "&amp;Data!M7&amp;""</f>
        <v>Basic Pay Rs: 37100</v>
      </c>
      <c r="E8" s="394"/>
      <c r="K8">
        <f>ROUND(Data!M7*Data!Q7,0)</f>
        <v>12442</v>
      </c>
    </row>
    <row r="9" spans="1:11">
      <c r="A9" s="390"/>
      <c r="B9" s="704"/>
      <c r="C9" s="390"/>
      <c r="D9" s="395" t="str">
        <f>"DA ("&amp;Data!Q7*100&amp;"% ) RS: "&amp;ROUND(Data!M7*Data!Q7,0)</f>
        <v>DA (33.536% ) RS: 12442</v>
      </c>
      <c r="E9" s="396"/>
      <c r="K9">
        <f>ROUND(Data!M7*Data!S7,0)</f>
        <v>5380</v>
      </c>
    </row>
    <row r="10" spans="1:11">
      <c r="A10" s="390"/>
      <c r="B10" s="704"/>
      <c r="C10" s="390"/>
      <c r="D10" s="395" t="str">
        <f>"HRA ("&amp;Data!M7*100&amp;"% ) RS: "&amp;ROUND(Data!M7*Data!S7,0)</f>
        <v>HRA (3710000% ) RS: 5380</v>
      </c>
      <c r="E10" s="396"/>
      <c r="K10">
        <f>Data!T7</f>
        <v>425</v>
      </c>
    </row>
    <row r="11" spans="1:11">
      <c r="A11" s="390"/>
      <c r="B11" s="704"/>
      <c r="C11" s="390"/>
      <c r="D11" s="395" t="str">
        <f>"Others"&amp;Data!T7</f>
        <v>Others425</v>
      </c>
      <c r="E11" s="396"/>
      <c r="K11">
        <f>SUM(K7:K10)</f>
        <v>55347</v>
      </c>
    </row>
    <row r="12" spans="1:11" ht="17.100000000000001" customHeight="1">
      <c r="A12" s="390"/>
      <c r="B12" s="704"/>
      <c r="C12" s="390"/>
      <c r="D12" s="395" t="str">
        <f>"Gross RS: "&amp;K11</f>
        <v>Gross RS: 55347</v>
      </c>
      <c r="E12" s="396"/>
    </row>
    <row r="13" spans="1:11" ht="40.5" customHeight="1">
      <c r="A13" s="388">
        <v>4</v>
      </c>
      <c r="B13" s="392" t="s">
        <v>24</v>
      </c>
      <c r="C13" s="390" t="s">
        <v>198</v>
      </c>
      <c r="D13" s="715" t="str">
        <f>'Appendix-II'!F9</f>
        <v>Service Pensioner,Resident at home</v>
      </c>
      <c r="E13" s="715"/>
    </row>
    <row r="14" spans="1:11" ht="17.100000000000001" customHeight="1">
      <c r="A14" s="388">
        <v>5</v>
      </c>
      <c r="B14" s="704" t="s">
        <v>413</v>
      </c>
      <c r="C14" s="390" t="s">
        <v>198</v>
      </c>
      <c r="D14" s="715" t="str">
        <f>'Appendix-II'!F10</f>
        <v/>
      </c>
      <c r="E14" s="715"/>
    </row>
    <row r="15" spans="1:11" ht="17.100000000000001" customHeight="1">
      <c r="A15" s="388"/>
      <c r="B15" s="704"/>
      <c r="C15" s="390"/>
      <c r="D15" s="715" t="str">
        <f>'Appendix-II'!F11</f>
        <v/>
      </c>
      <c r="E15" s="715"/>
    </row>
    <row r="16" spans="1:11" ht="17.100000000000001" customHeight="1">
      <c r="A16" s="388"/>
      <c r="B16" s="704"/>
      <c r="C16" s="390"/>
      <c r="D16" s="715" t="str">
        <f>'Appendix-II'!F12</f>
        <v>Sangareddy -TS</v>
      </c>
      <c r="E16" s="715"/>
    </row>
    <row r="17" spans="1:5" ht="43.5" customHeight="1">
      <c r="A17" s="388">
        <v>6</v>
      </c>
      <c r="B17" s="392" t="s">
        <v>414</v>
      </c>
      <c r="C17" s="390" t="s">
        <v>198</v>
      </c>
      <c r="D17" s="715" t="str">
        <f>'Appendix-II'!F13</f>
        <v>Self</v>
      </c>
      <c r="E17" s="715"/>
    </row>
    <row r="18" spans="1:5" ht="22.5" customHeight="1">
      <c r="A18" s="713">
        <v>7</v>
      </c>
      <c r="B18" s="710" t="s">
        <v>25</v>
      </c>
      <c r="C18" s="714" t="s">
        <v>198</v>
      </c>
      <c r="D18" s="702" t="str">
        <f>'Appendix-II'!F14</f>
        <v>At Home</v>
      </c>
      <c r="E18" s="702"/>
    </row>
    <row r="19" spans="1:5" ht="6.6" customHeight="1">
      <c r="A19" s="713"/>
      <c r="B19" s="710"/>
      <c r="C19" s="714"/>
      <c r="D19" s="391"/>
      <c r="E19" s="391"/>
    </row>
    <row r="20" spans="1:5" ht="57.95" customHeight="1">
      <c r="A20" s="388">
        <v>8</v>
      </c>
      <c r="B20" s="392" t="s">
        <v>26</v>
      </c>
      <c r="C20" s="390" t="s">
        <v>198</v>
      </c>
      <c r="D20" s="716" t="str">
        <f>'Appendix-II'!F15</f>
        <v>HTN T2-DM AF PAH-SEVERE PIP AF C FVR OS ADS WITH LEFT TO RIGHT SHUNTI NORMAL LV FUNCTION</v>
      </c>
      <c r="E20" s="716"/>
    </row>
    <row r="21" spans="1:5" ht="21.95" customHeight="1">
      <c r="A21" s="388"/>
      <c r="B21" s="392"/>
      <c r="C21" s="390"/>
      <c r="D21" s="703" t="str">
        <f>'Appendix-II'!F18</f>
        <v>from:26.06.2023 to 28.06.2023</v>
      </c>
      <c r="E21" s="703"/>
    </row>
    <row r="22" spans="1:5" ht="60.95" customHeight="1">
      <c r="A22" s="388">
        <v>9</v>
      </c>
      <c r="B22" s="397" t="s">
        <v>415</v>
      </c>
      <c r="C22" s="390" t="s">
        <v>198</v>
      </c>
      <c r="D22" s="702" t="s">
        <v>416</v>
      </c>
      <c r="E22" s="702"/>
    </row>
    <row r="23" spans="1:5" ht="27" customHeight="1">
      <c r="A23" s="388">
        <v>10</v>
      </c>
      <c r="B23" s="392" t="s">
        <v>417</v>
      </c>
      <c r="C23" s="390" t="s">
        <v>198</v>
      </c>
      <c r="D23" s="703" t="str">
        <f>"Rs."&amp;'R C'!A16&amp;"/- In words: "&amp;'R C'!B16</f>
        <v>Rs.55000/- In words: (Fifty five Thousand rupees only)</v>
      </c>
      <c r="E23" s="703"/>
    </row>
    <row r="24" spans="1:5" ht="13.5" customHeight="1">
      <c r="A24" s="713">
        <v>11</v>
      </c>
      <c r="B24" s="398" t="s">
        <v>418</v>
      </c>
      <c r="C24" s="714"/>
      <c r="D24" s="399"/>
      <c r="E24" s="390"/>
    </row>
    <row r="25" spans="1:5" ht="27.6" customHeight="1">
      <c r="A25" s="713"/>
      <c r="B25" s="390" t="s">
        <v>419</v>
      </c>
      <c r="C25" s="714"/>
      <c r="D25" s="704" t="s">
        <v>424</v>
      </c>
      <c r="E25" s="704"/>
    </row>
    <row r="26" spans="1:5" ht="40.5" customHeight="1">
      <c r="A26" s="713"/>
      <c r="B26" s="390" t="s">
        <v>420</v>
      </c>
      <c r="C26" s="714"/>
      <c r="D26" s="704" t="s">
        <v>425</v>
      </c>
      <c r="E26" s="704"/>
    </row>
    <row r="27" spans="1:5" ht="14.45" customHeight="1">
      <c r="A27" s="713"/>
      <c r="B27" s="390" t="s">
        <v>421</v>
      </c>
      <c r="C27" s="714"/>
      <c r="D27" s="704" t="s">
        <v>426</v>
      </c>
      <c r="E27" s="704"/>
    </row>
    <row r="28" spans="1:5" ht="27" customHeight="1">
      <c r="A28" s="388"/>
      <c r="B28" s="390" t="s">
        <v>422</v>
      </c>
      <c r="C28" s="390"/>
      <c r="D28" s="704"/>
      <c r="E28" s="704"/>
    </row>
    <row r="29" spans="1:5" ht="30.6" customHeight="1">
      <c r="A29" s="388"/>
      <c r="B29" s="390" t="s">
        <v>423</v>
      </c>
      <c r="C29" s="390"/>
      <c r="D29" s="707" t="s">
        <v>427</v>
      </c>
      <c r="E29" s="707"/>
    </row>
    <row r="30" spans="1:5" ht="15.75">
      <c r="A30" s="708" t="s">
        <v>428</v>
      </c>
      <c r="B30" s="708"/>
      <c r="C30" s="708"/>
      <c r="D30" s="708"/>
      <c r="E30" s="708"/>
    </row>
    <row r="31" spans="1:5" ht="5.0999999999999996" customHeight="1">
      <c r="A31" s="709"/>
      <c r="B31" s="709"/>
      <c r="C31" s="709"/>
      <c r="D31" s="709"/>
      <c r="E31" s="709"/>
    </row>
    <row r="32" spans="1:5">
      <c r="A32" s="710" t="s">
        <v>429</v>
      </c>
      <c r="B32" s="710"/>
      <c r="C32" s="710"/>
      <c r="D32" s="710"/>
      <c r="E32" s="710"/>
    </row>
    <row r="33" spans="1:5" ht="23.1" customHeight="1">
      <c r="A33" s="400"/>
      <c r="B33" s="399"/>
      <c r="C33" s="399"/>
    </row>
    <row r="34" spans="1:5" ht="2.1" customHeight="1">
      <c r="A34" s="400"/>
      <c r="B34" s="399"/>
      <c r="C34" s="399"/>
      <c r="D34" s="401"/>
      <c r="E34" s="401"/>
    </row>
    <row r="35" spans="1:5">
      <c r="A35" s="400"/>
      <c r="B35" s="409" t="str">
        <f>Data!Q12</f>
        <v>MP,G.L.PURAM</v>
      </c>
      <c r="C35" s="399"/>
      <c r="D35" s="711" t="s">
        <v>430</v>
      </c>
      <c r="E35" s="711"/>
    </row>
    <row r="36" spans="1:5">
      <c r="A36" s="400"/>
      <c r="B36" s="711" t="s">
        <v>431</v>
      </c>
      <c r="C36" s="711"/>
      <c r="D36" s="712"/>
      <c r="E36" s="712"/>
    </row>
    <row r="37" spans="1:5">
      <c r="A37" s="400"/>
      <c r="B37" s="705"/>
      <c r="C37" s="705"/>
      <c r="D37" s="402"/>
      <c r="E37" s="402"/>
    </row>
    <row r="38" spans="1:5">
      <c r="A38" s="400"/>
      <c r="B38" s="399"/>
      <c r="C38" s="399"/>
      <c r="D38" s="399"/>
      <c r="E38" s="399"/>
    </row>
    <row r="39" spans="1:5">
      <c r="A39" s="400"/>
      <c r="B39" s="399"/>
      <c r="C39" s="399"/>
      <c r="D39" s="399"/>
      <c r="E39" s="399"/>
    </row>
    <row r="40" spans="1:5" ht="9.75" customHeight="1">
      <c r="A40" s="399"/>
      <c r="B40" s="399"/>
      <c r="C40" s="399"/>
      <c r="D40" s="706"/>
      <c r="E40" s="706"/>
    </row>
    <row r="41" spans="1:5" ht="9.6" customHeight="1">
      <c r="A41" s="399"/>
      <c r="B41" s="399"/>
      <c r="C41" s="399"/>
      <c r="D41" s="706"/>
      <c r="E41" s="706"/>
    </row>
    <row r="42" spans="1:5">
      <c r="A42" s="399"/>
      <c r="B42" s="399"/>
      <c r="C42" s="399"/>
      <c r="D42" s="399"/>
      <c r="E42" s="399"/>
    </row>
    <row r="43" spans="1:5">
      <c r="A43" s="399"/>
      <c r="B43" s="399"/>
      <c r="C43" s="399"/>
      <c r="D43" s="399"/>
      <c r="E43" s="399"/>
    </row>
  </sheetData>
  <sheetProtection password="C67B" sheet="1" objects="1" scenarios="1" formatCells="0" formatColumns="0" formatRows="0"/>
  <mergeCells count="35">
    <mergeCell ref="A1:E1"/>
    <mergeCell ref="A2:E2"/>
    <mergeCell ref="A3:E3"/>
    <mergeCell ref="D6:E6"/>
    <mergeCell ref="D4:D5"/>
    <mergeCell ref="A24:A27"/>
    <mergeCell ref="C24:C27"/>
    <mergeCell ref="D25:E25"/>
    <mergeCell ref="D26:E26"/>
    <mergeCell ref="B7:B12"/>
    <mergeCell ref="D13:E13"/>
    <mergeCell ref="D14:E14"/>
    <mergeCell ref="D17:E17"/>
    <mergeCell ref="A18:A19"/>
    <mergeCell ref="B18:B19"/>
    <mergeCell ref="C18:C19"/>
    <mergeCell ref="B14:B16"/>
    <mergeCell ref="D15:E15"/>
    <mergeCell ref="D16:E16"/>
    <mergeCell ref="D18:E18"/>
    <mergeCell ref="D20:E20"/>
    <mergeCell ref="D40:E40"/>
    <mergeCell ref="D29:E29"/>
    <mergeCell ref="A30:E30"/>
    <mergeCell ref="D41:E41"/>
    <mergeCell ref="A31:E31"/>
    <mergeCell ref="A32:E32"/>
    <mergeCell ref="D35:E35"/>
    <mergeCell ref="D36:E36"/>
    <mergeCell ref="B36:C36"/>
    <mergeCell ref="D22:E22"/>
    <mergeCell ref="D23:E23"/>
    <mergeCell ref="D21:E21"/>
    <mergeCell ref="D27:E28"/>
    <mergeCell ref="B37:C37"/>
  </mergeCells>
  <printOptions horizontalCentered="1"/>
  <pageMargins left="0.23622047244094491" right="0.23622047244094491" top="0.42" bottom="0.39" header="0.31496062992125984" footer="0.31496062992125984"/>
  <pageSetup paperSize="9" scale="98" orientation="portrait" r:id="rId1"/>
  <rowBreaks count="1" manualBreakCount="1">
    <brk id="23" max="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J3"/>
  <sheetViews>
    <sheetView showGridLines="0" workbookViewId="0">
      <selection activeCell="I21" sqref="I21"/>
    </sheetView>
  </sheetViews>
  <sheetFormatPr defaultRowHeight="15"/>
  <cols>
    <col min="1" max="1" width="3.7109375" customWidth="1"/>
    <col min="2" max="2" width="23.140625" customWidth="1"/>
    <col min="3" max="3" width="24.42578125" customWidth="1"/>
    <col min="4" max="4" width="19.5703125" customWidth="1"/>
    <col min="5" max="5" width="13.5703125" customWidth="1"/>
    <col min="6" max="6" width="10.28515625" customWidth="1"/>
    <col min="7" max="7" width="7.42578125" customWidth="1"/>
    <col min="8" max="8" width="9.42578125" customWidth="1"/>
    <col min="9" max="9" width="9.5703125" customWidth="1"/>
    <col min="10" max="10" width="14.5703125" customWidth="1"/>
  </cols>
  <sheetData>
    <row r="1" spans="1:10">
      <c r="A1" s="721" t="s">
        <v>395</v>
      </c>
      <c r="B1" s="721"/>
      <c r="C1" s="721"/>
      <c r="D1" s="721"/>
      <c r="E1" s="721"/>
      <c r="F1" s="721"/>
      <c r="G1" s="721"/>
      <c r="H1" s="721"/>
      <c r="I1" s="721"/>
      <c r="J1" s="721"/>
    </row>
    <row r="2" spans="1:10" ht="99.6" customHeight="1">
      <c r="A2" s="317" t="s">
        <v>396</v>
      </c>
      <c r="B2" s="317" t="s">
        <v>397</v>
      </c>
      <c r="C2" s="317" t="s">
        <v>398</v>
      </c>
      <c r="D2" s="317" t="s">
        <v>399</v>
      </c>
      <c r="E2" s="317" t="s">
        <v>400</v>
      </c>
      <c r="F2" s="317" t="s">
        <v>401</v>
      </c>
      <c r="G2" s="317" t="s">
        <v>402</v>
      </c>
      <c r="H2" s="317" t="s">
        <v>403</v>
      </c>
      <c r="I2" s="317" t="s">
        <v>404</v>
      </c>
      <c r="J2" s="317" t="s">
        <v>405</v>
      </c>
    </row>
    <row r="3" spans="1:10" ht="99" customHeight="1">
      <c r="A3" s="317">
        <v>1</v>
      </c>
      <c r="B3" s="318" t="str">
        <f>'Appendix-II'!F5</f>
        <v>SRI G MURALIMOHANA RAO , RTD ,S.G.T</v>
      </c>
      <c r="C3" s="318" t="str">
        <f>'Appendix-II'!F6</f>
        <v xml:space="preserve"> MP,G.L.PURAM, Mandal: G L PURAM, District:PARVATHIPURAM MANYAM</v>
      </c>
      <c r="D3" s="319" t="str">
        <f>'Appendix-II'!F15</f>
        <v>HTN T2-DM AF PAH-SEVERE PIP AF C FVR OS ADS WITH LEFT TO RIGHT SHUNTI NORMAL LV FUNCTION</v>
      </c>
      <c r="E3" s="317" t="str">
        <f>Data!G14&amp;" -  "&amp;Data!K14</f>
        <v>26.06.2023 -  28.06.2023</v>
      </c>
      <c r="F3" s="403">
        <f>Data!J17</f>
        <v>55000</v>
      </c>
      <c r="G3" s="317" t="str">
        <f>Data!K18</f>
        <v>First</v>
      </c>
      <c r="H3" s="317" t="s">
        <v>510</v>
      </c>
      <c r="I3" s="317" t="s">
        <v>510</v>
      </c>
      <c r="J3" s="317"/>
    </row>
  </sheetData>
  <sheetProtection password="C67B" sheet="1" formatCells="0" formatColumns="0" formatRows="0"/>
  <mergeCells count="1">
    <mergeCell ref="A1:J1"/>
  </mergeCells>
  <printOptions horizontalCentered="1"/>
  <pageMargins left="0.23622047244094491" right="0.23622047244094491" top="0.81" bottom="0.74803149606299213" header="0.31496062992125984" footer="0.31496062992125984"/>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C253"/>
  <sheetViews>
    <sheetView showGridLines="0" zoomScaleNormal="100" workbookViewId="0">
      <selection activeCell="B121" sqref="B121"/>
    </sheetView>
  </sheetViews>
  <sheetFormatPr defaultColWidth="0" defaultRowHeight="15" zeroHeight="1"/>
  <cols>
    <col min="1" max="1" width="4.42578125" customWidth="1"/>
    <col min="2" max="2" width="6.140625" customWidth="1"/>
    <col min="3" max="3" width="4.7109375" customWidth="1"/>
    <col min="4" max="4" width="3.5703125" customWidth="1"/>
    <col min="5" max="5" width="3.85546875" customWidth="1"/>
    <col min="6" max="6" width="1.140625" customWidth="1"/>
    <col min="7" max="7" width="4.7109375" customWidth="1"/>
    <col min="8" max="8" width="4.85546875" customWidth="1"/>
    <col min="9" max="9" width="1.5703125" customWidth="1"/>
    <col min="10" max="10" width="6.7109375" customWidth="1"/>
    <col min="11" max="11" width="4.5703125" customWidth="1"/>
    <col min="12" max="12" width="3.28515625" customWidth="1"/>
    <col min="13" max="13" width="3.5703125" customWidth="1"/>
    <col min="14" max="14" width="4.28515625" customWidth="1"/>
    <col min="15" max="15" width="4.140625" customWidth="1"/>
    <col min="16" max="16" width="4.42578125" customWidth="1"/>
    <col min="17" max="17" width="4" customWidth="1"/>
    <col min="18" max="18" width="5.7109375" customWidth="1"/>
    <col min="19" max="19" width="4.28515625" customWidth="1"/>
    <col min="20" max="20" width="4.42578125" customWidth="1"/>
    <col min="21" max="21" width="4.7109375" customWidth="1"/>
    <col min="22" max="22" width="7" customWidth="1"/>
    <col min="23" max="24" width="2.140625" customWidth="1"/>
    <col min="25" max="16384" width="5.42578125" hidden="1"/>
  </cols>
  <sheetData>
    <row r="1" spans="1:29" ht="25.5" customHeight="1" thickBot="1">
      <c r="A1" s="722" t="str">
        <f>IF(AC7=1,"DON'T TAKE PRINT THIS SHEET &gt;&gt;&gt;&gt;  GO NEXT SHEET"," ONLY PRINT THIS SHEET NOT OTHER SHEETS ")</f>
        <v>DON'T TAKE PRINT THIS SHEET &gt;&gt;&gt;&gt;  GO NEXT SHEET</v>
      </c>
      <c r="B1" s="723"/>
      <c r="C1" s="723"/>
      <c r="D1" s="723"/>
      <c r="E1" s="723"/>
      <c r="F1" s="723"/>
      <c r="G1" s="723"/>
      <c r="H1" s="723"/>
      <c r="I1" s="723"/>
      <c r="J1" s="723"/>
      <c r="K1" s="723"/>
      <c r="L1" s="723"/>
      <c r="M1" s="723"/>
      <c r="N1" s="723"/>
      <c r="O1" s="723"/>
      <c r="P1" s="723"/>
      <c r="Q1" s="723"/>
      <c r="R1" s="723"/>
      <c r="S1" s="723"/>
      <c r="T1" s="723"/>
      <c r="U1" s="723"/>
      <c r="V1" s="724"/>
    </row>
    <row r="2" spans="1:29" ht="39.75" customHeight="1">
      <c r="A2" s="732" t="s">
        <v>498</v>
      </c>
      <c r="B2" s="732"/>
      <c r="C2" s="732"/>
      <c r="D2" s="732"/>
      <c r="E2" s="732"/>
      <c r="F2" s="732"/>
      <c r="G2" s="732"/>
      <c r="H2" s="732"/>
      <c r="I2" s="732"/>
      <c r="J2" s="732"/>
      <c r="K2" s="732"/>
      <c r="L2" s="732"/>
      <c r="M2" s="732"/>
      <c r="N2" s="732"/>
      <c r="O2" s="732"/>
      <c r="P2" s="732"/>
      <c r="Q2" s="732"/>
      <c r="R2" s="732"/>
      <c r="S2" s="732"/>
      <c r="T2" s="732"/>
      <c r="U2" s="732"/>
      <c r="V2" s="732"/>
    </row>
    <row r="3" spans="1:29" ht="7.5" customHeight="1">
      <c r="A3" s="356"/>
      <c r="B3" s="108"/>
      <c r="C3" s="108"/>
      <c r="D3" s="108"/>
      <c r="E3" s="108"/>
      <c r="F3" s="108"/>
      <c r="G3" s="108"/>
      <c r="H3" s="108"/>
      <c r="I3" s="108"/>
      <c r="J3" s="108"/>
      <c r="K3" s="108"/>
      <c r="L3" s="108"/>
      <c r="M3" s="108"/>
      <c r="N3" s="108"/>
      <c r="O3" s="108"/>
      <c r="P3" s="108"/>
      <c r="Q3" s="108"/>
      <c r="R3" s="108"/>
      <c r="S3" s="108"/>
      <c r="T3" s="108"/>
      <c r="U3" s="108"/>
      <c r="V3" s="109"/>
    </row>
    <row r="4" spans="1:29" ht="15" customHeight="1">
      <c r="A4" s="736" t="str">
        <f>UPPER("PROCEEDINGS OF "&amp;Data!S10&amp;","&amp;Data!Q12&amp;",MDL:"&amp;Data!Q13)</f>
        <v>PROCEEDINGS OF MEO,MP,G.L.PURAM,MDL:G L PURAM</v>
      </c>
      <c r="B4" s="737"/>
      <c r="C4" s="737"/>
      <c r="D4" s="737"/>
      <c r="E4" s="737"/>
      <c r="F4" s="737"/>
      <c r="G4" s="737"/>
      <c r="H4" s="737"/>
      <c r="I4" s="737"/>
      <c r="J4" s="737"/>
      <c r="K4" s="737"/>
      <c r="L4" s="737"/>
      <c r="M4" s="737"/>
      <c r="N4" s="737"/>
      <c r="O4" s="737"/>
      <c r="P4" s="737"/>
      <c r="Q4" s="737"/>
      <c r="R4" s="737"/>
      <c r="S4" s="737"/>
      <c r="T4" s="737"/>
      <c r="U4" s="737"/>
      <c r="V4" s="738"/>
    </row>
    <row r="5" spans="1:29" ht="21.6" customHeight="1">
      <c r="A5" s="952" t="str">
        <f>"Present : "&amp;Data!S11</f>
        <v>Present : B CHANDRA SEKHAR, B.Sc,B.Ed</v>
      </c>
      <c r="B5" s="953"/>
      <c r="C5" s="953"/>
      <c r="D5" s="953"/>
      <c r="E5" s="953"/>
      <c r="F5" s="953"/>
      <c r="G5" s="953"/>
      <c r="H5" s="953"/>
      <c r="I5" s="953"/>
      <c r="J5" s="953"/>
      <c r="K5" s="953"/>
      <c r="L5" s="953"/>
      <c r="M5" s="953"/>
      <c r="N5" s="953"/>
      <c r="O5" s="953"/>
      <c r="P5" s="953"/>
      <c r="Q5" s="953"/>
      <c r="R5" s="953"/>
      <c r="S5" s="953"/>
      <c r="T5" s="953"/>
      <c r="U5" s="953"/>
      <c r="V5" s="954"/>
    </row>
    <row r="6" spans="1:29" ht="46.5" customHeight="1">
      <c r="A6" s="952" t="str">
        <f>"Pro.No: "&amp;Data!S15&amp;"                                             Date: "&amp;Data!U16</f>
        <v>Pro.No: 15/MEDICAL REIMBURSEMENT/2023                                             Date: 03.08.2023</v>
      </c>
      <c r="B6" s="953"/>
      <c r="C6" s="953"/>
      <c r="D6" s="953"/>
      <c r="E6" s="953"/>
      <c r="F6" s="953"/>
      <c r="G6" s="953"/>
      <c r="H6" s="953"/>
      <c r="I6" s="953"/>
      <c r="J6" s="953"/>
      <c r="K6" s="953"/>
      <c r="L6" s="953"/>
      <c r="M6" s="953"/>
      <c r="N6" s="953"/>
      <c r="O6" s="953"/>
      <c r="P6" s="953"/>
      <c r="Q6" s="953"/>
      <c r="R6" s="953"/>
      <c r="S6" s="953"/>
      <c r="T6" s="953"/>
      <c r="U6" s="953"/>
      <c r="V6" s="954"/>
    </row>
    <row r="7" spans="1:29" ht="21.75" customHeight="1">
      <c r="A7" s="910" t="s">
        <v>471</v>
      </c>
      <c r="B7" s="911"/>
      <c r="C7" s="733" t="str">
        <f>"Medical Attendance-Claim of Medical Reimbursement  Amount in respect of "&amp;'R C'!DO28&amp;" – Sanction orders –Issued."</f>
        <v>Medical Attendance-Claim of Medical Reimbursement  Amount in respect of Sri G MURALIMOHANA RAO, Rtd S.G.T ,G P SCHOOL LAKKAGUDA,Mandal:G L PURAM, Dist:PARVATHIPURAM MANYAM – Sanction orders –Issued.</v>
      </c>
      <c r="D7" s="733"/>
      <c r="E7" s="733"/>
      <c r="F7" s="733"/>
      <c r="G7" s="733"/>
      <c r="H7" s="733"/>
      <c r="I7" s="733"/>
      <c r="J7" s="733"/>
      <c r="K7" s="733"/>
      <c r="L7" s="733"/>
      <c r="M7" s="733"/>
      <c r="N7" s="733"/>
      <c r="O7" s="733"/>
      <c r="P7" s="733"/>
      <c r="Q7" s="733"/>
      <c r="R7" s="733"/>
      <c r="S7" s="733"/>
      <c r="T7" s="733"/>
      <c r="U7" s="733"/>
      <c r="V7" s="734"/>
      <c r="AC7">
        <f>Data!AH3</f>
        <v>1</v>
      </c>
    </row>
    <row r="8" spans="1:29" ht="26.1" customHeight="1">
      <c r="A8" s="367"/>
      <c r="B8" s="368"/>
      <c r="C8" s="733"/>
      <c r="D8" s="733"/>
      <c r="E8" s="733"/>
      <c r="F8" s="733"/>
      <c r="G8" s="733"/>
      <c r="H8" s="733"/>
      <c r="I8" s="733"/>
      <c r="J8" s="733"/>
      <c r="K8" s="733"/>
      <c r="L8" s="733"/>
      <c r="M8" s="733"/>
      <c r="N8" s="733"/>
      <c r="O8" s="733"/>
      <c r="P8" s="733"/>
      <c r="Q8" s="733"/>
      <c r="R8" s="733"/>
      <c r="S8" s="733"/>
      <c r="T8" s="733"/>
      <c r="U8" s="733"/>
      <c r="V8" s="734"/>
    </row>
    <row r="9" spans="1:29" ht="7.5" customHeight="1">
      <c r="A9" s="367"/>
      <c r="B9" s="368"/>
      <c r="C9" s="369"/>
      <c r="D9" s="369"/>
      <c r="E9" s="369"/>
      <c r="F9" s="369"/>
      <c r="G9" s="369"/>
      <c r="H9" s="369"/>
      <c r="I9" s="369"/>
      <c r="J9" s="369"/>
      <c r="K9" s="369"/>
      <c r="L9" s="369"/>
      <c r="M9" s="369"/>
      <c r="N9" s="369"/>
      <c r="O9" s="369"/>
      <c r="P9" s="369"/>
      <c r="Q9" s="369"/>
      <c r="R9" s="369"/>
      <c r="S9" s="369"/>
      <c r="T9" s="369"/>
      <c r="U9" s="369"/>
      <c r="V9" s="370"/>
    </row>
    <row r="10" spans="1:29" ht="17.45" customHeight="1">
      <c r="A10" s="912" t="s">
        <v>472</v>
      </c>
      <c r="B10" s="913"/>
      <c r="C10" s="369" t="s">
        <v>473</v>
      </c>
      <c r="D10" s="369"/>
      <c r="E10" s="369"/>
      <c r="F10" s="369"/>
      <c r="G10" s="369"/>
      <c r="H10" s="369"/>
      <c r="I10" s="369"/>
      <c r="J10" s="369"/>
      <c r="K10" s="369"/>
      <c r="L10" s="369"/>
      <c r="M10" s="369"/>
      <c r="N10" s="369"/>
      <c r="O10" s="369"/>
      <c r="P10" s="369"/>
      <c r="Q10" s="369"/>
      <c r="R10" s="369"/>
      <c r="S10" s="369"/>
      <c r="T10" s="369"/>
      <c r="U10" s="369"/>
      <c r="V10" s="370"/>
    </row>
    <row r="11" spans="1:29" ht="17.45" customHeight="1">
      <c r="A11" s="367"/>
      <c r="B11" s="369"/>
      <c r="C11" s="369" t="s">
        <v>474</v>
      </c>
      <c r="D11" s="369"/>
      <c r="E11" s="369"/>
      <c r="F11" s="369"/>
      <c r="G11" s="369"/>
      <c r="H11" s="369"/>
      <c r="I11" s="369"/>
      <c r="J11" s="369"/>
      <c r="K11" s="369"/>
      <c r="L11" s="369"/>
      <c r="M11" s="369"/>
      <c r="N11" s="369"/>
      <c r="O11" s="369"/>
      <c r="P11" s="369"/>
      <c r="Q11" s="369"/>
      <c r="R11" s="369"/>
      <c r="S11" s="369"/>
      <c r="T11" s="369"/>
      <c r="U11" s="369"/>
      <c r="V11" s="370"/>
    </row>
    <row r="12" spans="1:29" ht="17.45" customHeight="1">
      <c r="A12" s="367"/>
      <c r="B12" s="369"/>
      <c r="C12" s="730" t="str">
        <f>"3)"&amp;Data!A21&amp;" "&amp;Data!L21&amp;"  ,Dated:"&amp;Data!U21</f>
        <v>3) The Medical Superintendent Dist Hospital PARVATHIPURAM MANYAM Lr .No : 1166/MR/SUPDT/SRD/2019  ,Dated:05.08.2019</v>
      </c>
      <c r="D12" s="730"/>
      <c r="E12" s="730"/>
      <c r="F12" s="730"/>
      <c r="G12" s="730"/>
      <c r="H12" s="730"/>
      <c r="I12" s="730"/>
      <c r="J12" s="730"/>
      <c r="K12" s="730"/>
      <c r="L12" s="730"/>
      <c r="M12" s="730"/>
      <c r="N12" s="730"/>
      <c r="O12" s="730"/>
      <c r="P12" s="730"/>
      <c r="Q12" s="730"/>
      <c r="R12" s="730"/>
      <c r="S12" s="730"/>
      <c r="T12" s="730"/>
      <c r="U12" s="730"/>
      <c r="V12" s="731"/>
    </row>
    <row r="13" spans="1:29" ht="17.45" customHeight="1">
      <c r="A13" s="367"/>
      <c r="B13" s="369"/>
      <c r="C13" s="730"/>
      <c r="D13" s="730"/>
      <c r="E13" s="730"/>
      <c r="F13" s="730"/>
      <c r="G13" s="730"/>
      <c r="H13" s="730"/>
      <c r="I13" s="730"/>
      <c r="J13" s="730"/>
      <c r="K13" s="730"/>
      <c r="L13" s="730"/>
      <c r="M13" s="730"/>
      <c r="N13" s="730"/>
      <c r="O13" s="730"/>
      <c r="P13" s="730"/>
      <c r="Q13" s="730"/>
      <c r="R13" s="730"/>
      <c r="S13" s="730"/>
      <c r="T13" s="730"/>
      <c r="U13" s="730"/>
      <c r="V13" s="731"/>
    </row>
    <row r="14" spans="1:29" ht="17.45" customHeight="1">
      <c r="A14" s="367"/>
      <c r="B14" s="369"/>
      <c r="C14" s="730" t="str">
        <f>"4)"&amp;Data!A22&amp;" "&amp;Data!J22&amp;"  ,Dated:"&amp;Data!S22</f>
        <v>4) DEO  PARVATHIPURAM MANYAM Pro. No.  C2/560/2019  ,Dated:09.08.2019</v>
      </c>
      <c r="D14" s="730"/>
      <c r="E14" s="730"/>
      <c r="F14" s="730"/>
      <c r="G14" s="730"/>
      <c r="H14" s="730"/>
      <c r="I14" s="730"/>
      <c r="J14" s="730"/>
      <c r="K14" s="730"/>
      <c r="L14" s="730"/>
      <c r="M14" s="730"/>
      <c r="N14" s="730"/>
      <c r="O14" s="730"/>
      <c r="P14" s="730"/>
      <c r="Q14" s="730"/>
      <c r="R14" s="730"/>
      <c r="S14" s="730"/>
      <c r="T14" s="730"/>
      <c r="U14" s="730"/>
      <c r="V14" s="731"/>
    </row>
    <row r="15" spans="1:29" ht="8.1" customHeight="1">
      <c r="A15" s="367"/>
      <c r="B15" s="369"/>
      <c r="C15" s="730"/>
      <c r="D15" s="730"/>
      <c r="E15" s="730"/>
      <c r="F15" s="730"/>
      <c r="G15" s="730"/>
      <c r="H15" s="730"/>
      <c r="I15" s="730"/>
      <c r="J15" s="730"/>
      <c r="K15" s="730"/>
      <c r="L15" s="730"/>
      <c r="M15" s="730"/>
      <c r="N15" s="730"/>
      <c r="O15" s="730"/>
      <c r="P15" s="730"/>
      <c r="Q15" s="730"/>
      <c r="R15" s="730"/>
      <c r="S15" s="730"/>
      <c r="T15" s="730"/>
      <c r="U15" s="730"/>
      <c r="V15" s="731"/>
    </row>
    <row r="16" spans="1:29" ht="20.100000000000001" customHeight="1">
      <c r="A16" s="367"/>
      <c r="B16" s="386" t="s">
        <v>475</v>
      </c>
      <c r="C16" s="369"/>
      <c r="D16" s="369"/>
      <c r="E16" s="369"/>
      <c r="F16" s="369"/>
      <c r="G16" s="369"/>
      <c r="H16" s="369"/>
      <c r="I16" s="369"/>
      <c r="J16" s="369"/>
      <c r="K16" s="369"/>
      <c r="L16" s="369"/>
      <c r="M16" s="369"/>
      <c r="N16" s="369"/>
      <c r="O16" s="369"/>
      <c r="P16" s="369"/>
      <c r="Q16" s="369"/>
      <c r="R16" s="369"/>
      <c r="S16" s="369"/>
      <c r="T16" s="369"/>
      <c r="U16" s="369"/>
      <c r="V16" s="370"/>
    </row>
    <row r="17" spans="1:22" ht="2.4500000000000002" customHeight="1">
      <c r="A17" s="367"/>
      <c r="B17" s="369"/>
      <c r="C17" s="369"/>
      <c r="D17" s="369"/>
      <c r="E17" s="369"/>
      <c r="F17" s="369"/>
      <c r="G17" s="369"/>
      <c r="H17" s="369"/>
      <c r="I17" s="369"/>
      <c r="J17" s="369"/>
      <c r="K17" s="369"/>
      <c r="L17" s="369"/>
      <c r="M17" s="369"/>
      <c r="N17" s="369"/>
      <c r="O17" s="369"/>
      <c r="P17" s="369"/>
      <c r="Q17" s="369"/>
      <c r="R17" s="369"/>
      <c r="S17" s="369"/>
      <c r="T17" s="369"/>
      <c r="U17" s="369"/>
      <c r="V17" s="370"/>
    </row>
    <row r="18" spans="1:22" ht="15" customHeight="1">
      <c r="A18" s="955" t="str">
        <f>"      As per the proviosions contained in the reference (3 rd &amp; 4 th cited above ,the "&amp;Data!S10&amp;","&amp;Data!Q12&amp;" is pleased to sanction to claim medical reimbusement bill amount "&amp;IF(Data!$AF$4&gt;2,"on behalf of the incumbent to Applicant  "&amp;'Lr to DDO'!F31&amp;" as details given below"," to the incumbent  as noted  in the annexure -1")</f>
        <v xml:space="preserve">      As per the proviosions contained in the reference (3 rd &amp; 4 th cited above ,the MEO,MP,G.L.PURAM is pleased to sanction to claim medical reimbusement bill amount  to the incumbent  as noted  in the annexure -1</v>
      </c>
      <c r="B18" s="956"/>
      <c r="C18" s="956"/>
      <c r="D18" s="956"/>
      <c r="E18" s="956"/>
      <c r="F18" s="956"/>
      <c r="G18" s="956"/>
      <c r="H18" s="956"/>
      <c r="I18" s="956"/>
      <c r="J18" s="956"/>
      <c r="K18" s="956"/>
      <c r="L18" s="956"/>
      <c r="M18" s="956"/>
      <c r="N18" s="956"/>
      <c r="O18" s="956"/>
      <c r="P18" s="956"/>
      <c r="Q18" s="956"/>
      <c r="R18" s="956"/>
      <c r="S18" s="956"/>
      <c r="T18" s="956"/>
      <c r="U18" s="956"/>
      <c r="V18" s="957"/>
    </row>
    <row r="19" spans="1:22" ht="28.5" customHeight="1">
      <c r="A19" s="955"/>
      <c r="B19" s="956"/>
      <c r="C19" s="956"/>
      <c r="D19" s="956"/>
      <c r="E19" s="956"/>
      <c r="F19" s="956"/>
      <c r="G19" s="956"/>
      <c r="H19" s="956"/>
      <c r="I19" s="956"/>
      <c r="J19" s="956"/>
      <c r="K19" s="956"/>
      <c r="L19" s="956"/>
      <c r="M19" s="956"/>
      <c r="N19" s="956"/>
      <c r="O19" s="956"/>
      <c r="P19" s="956"/>
      <c r="Q19" s="956"/>
      <c r="R19" s="956"/>
      <c r="S19" s="956"/>
      <c r="T19" s="956"/>
      <c r="U19" s="956"/>
      <c r="V19" s="957"/>
    </row>
    <row r="20" spans="1:22" ht="24.6" customHeight="1">
      <c r="A20" s="955"/>
      <c r="B20" s="956"/>
      <c r="C20" s="956"/>
      <c r="D20" s="956"/>
      <c r="E20" s="956"/>
      <c r="F20" s="956"/>
      <c r="G20" s="956"/>
      <c r="H20" s="956"/>
      <c r="I20" s="956"/>
      <c r="J20" s="956"/>
      <c r="K20" s="956"/>
      <c r="L20" s="956"/>
      <c r="M20" s="956"/>
      <c r="N20" s="956"/>
      <c r="O20" s="956"/>
      <c r="P20" s="956"/>
      <c r="Q20" s="956"/>
      <c r="R20" s="956"/>
      <c r="S20" s="956"/>
      <c r="T20" s="956"/>
      <c r="U20" s="956"/>
      <c r="V20" s="957"/>
    </row>
    <row r="21" spans="1:22" ht="5.0999999999999996" customHeight="1">
      <c r="A21" s="367"/>
      <c r="B21" s="369"/>
      <c r="C21" s="369"/>
      <c r="D21" s="369"/>
      <c r="E21" s="369"/>
      <c r="F21" s="369"/>
      <c r="G21" s="369"/>
      <c r="H21" s="369"/>
      <c r="I21" s="369"/>
      <c r="J21" s="369"/>
      <c r="K21" s="369"/>
      <c r="L21" s="369"/>
      <c r="M21" s="369"/>
      <c r="N21" s="369"/>
      <c r="O21" s="369"/>
      <c r="P21" s="369"/>
      <c r="Q21" s="369"/>
      <c r="R21" s="369"/>
      <c r="S21" s="369"/>
      <c r="T21" s="369"/>
      <c r="U21" s="369"/>
      <c r="V21" s="370"/>
    </row>
    <row r="22" spans="1:22" ht="25.5" customHeight="1">
      <c r="A22" s="914" t="s">
        <v>483</v>
      </c>
      <c r="B22" s="914"/>
      <c r="C22" s="914"/>
      <c r="D22" s="914"/>
      <c r="E22" s="914"/>
      <c r="F22" s="914"/>
      <c r="G22" s="914"/>
      <c r="H22" s="914"/>
      <c r="I22" s="914"/>
      <c r="J22" s="914"/>
      <c r="K22" s="914"/>
      <c r="L22" s="914"/>
      <c r="M22" s="914"/>
      <c r="N22" s="914"/>
      <c r="O22" s="914"/>
      <c r="P22" s="914"/>
      <c r="Q22" s="914"/>
      <c r="R22" s="914"/>
      <c r="S22" s="914"/>
      <c r="T22" s="914"/>
      <c r="U22" s="914"/>
      <c r="V22" s="914"/>
    </row>
    <row r="23" spans="1:22" ht="83.25">
      <c r="A23" s="355" t="s">
        <v>325</v>
      </c>
      <c r="B23" s="371" t="s">
        <v>477</v>
      </c>
      <c r="C23" s="967" t="s">
        <v>476</v>
      </c>
      <c r="D23" s="967"/>
      <c r="E23" s="967"/>
      <c r="F23" s="967"/>
      <c r="G23" s="967" t="s">
        <v>326</v>
      </c>
      <c r="H23" s="967"/>
      <c r="I23" s="749" t="s">
        <v>478</v>
      </c>
      <c r="J23" s="749"/>
      <c r="K23" s="749" t="s">
        <v>479</v>
      </c>
      <c r="L23" s="749"/>
      <c r="M23" s="749" t="s">
        <v>480</v>
      </c>
      <c r="N23" s="749"/>
      <c r="O23" s="749" t="s">
        <v>481</v>
      </c>
      <c r="P23" s="749"/>
      <c r="Q23" s="735" t="s">
        <v>248</v>
      </c>
      <c r="R23" s="735"/>
      <c r="S23" s="373" t="s">
        <v>493</v>
      </c>
      <c r="T23" s="373" t="s">
        <v>495</v>
      </c>
      <c r="U23" s="373" t="s">
        <v>494</v>
      </c>
      <c r="V23" s="385" t="s">
        <v>482</v>
      </c>
    </row>
    <row r="24" spans="1:22" ht="215.45" customHeight="1">
      <c r="A24" s="359">
        <v>1</v>
      </c>
      <c r="B24" s="372">
        <f>A24</f>
        <v>1</v>
      </c>
      <c r="C24" s="924" t="str">
        <f>'R C'!DI32</f>
        <v>Sri G MURALIMOHANA RAO</v>
      </c>
      <c r="D24" s="924"/>
      <c r="E24" s="924"/>
      <c r="F24" s="924"/>
      <c r="G24" s="924" t="str">
        <f>'R C'!DI31</f>
        <v xml:space="preserve"> Rtd ,S.G.T</v>
      </c>
      <c r="H24" s="924"/>
      <c r="I24" s="750" t="str">
        <f>'R C'!DI28</f>
        <v>Sri G MURALIMOHANA RAO, Rtd S.G.T</v>
      </c>
      <c r="J24" s="750"/>
      <c r="K24" s="750" t="str">
        <f>Data!D13</f>
        <v>HTN T2-DM AF PAH-SEVERE PIP AF C FVR OS ADS WITH LEFT TO RIGHT SHUNTI NORMAL LV FUNCTION</v>
      </c>
      <c r="L24" s="750"/>
      <c r="M24" s="750" t="str">
        <f>Data!D15</f>
        <v>M/S INDUS HOSPITAL</v>
      </c>
      <c r="N24" s="750"/>
      <c r="O24" s="750" t="str">
        <f>" "&amp;Data!G14&amp;" to "&amp;Data!K14&amp;" "</f>
        <v xml:space="preserve"> 26.06.2023 to 28.06.2023 </v>
      </c>
      <c r="P24" s="750"/>
      <c r="Q24" s="753" t="str">
        <f>'R C'!A17&amp;"/-"&amp;'R C'!B17</f>
        <v>25000/-(Twenty five Thousand rupees only)</v>
      </c>
      <c r="R24" s="753"/>
      <c r="S24" s="374" t="str">
        <f>Data!R18</f>
        <v>XXXXX</v>
      </c>
      <c r="T24" s="375" t="str">
        <f>""&amp;Data!R19&amp;" ,"&amp;Data!U19</f>
        <v>SBI ,XXXX</v>
      </c>
      <c r="U24" s="375" t="str">
        <f>Data!V18</f>
        <v>XXX</v>
      </c>
      <c r="V24" s="378" t="str">
        <f>'R C'!EF21</f>
        <v>MH -2071,SH -01,MH -800,GH -00,SH -06,DH -040,SDH -043</v>
      </c>
    </row>
    <row r="25" spans="1:22" ht="6" customHeight="1">
      <c r="A25" s="367"/>
      <c r="B25" s="369"/>
      <c r="C25" s="369"/>
      <c r="D25" s="369"/>
      <c r="E25" s="369"/>
      <c r="F25" s="369"/>
      <c r="G25" s="369"/>
      <c r="H25" s="369"/>
      <c r="I25" s="369"/>
      <c r="J25" s="369"/>
      <c r="K25" s="369"/>
      <c r="L25" s="369"/>
      <c r="M25" s="369"/>
      <c r="N25" s="369"/>
      <c r="O25" s="369"/>
      <c r="P25" s="369"/>
      <c r="Q25" s="369"/>
      <c r="R25" s="369"/>
      <c r="S25" s="369"/>
      <c r="T25" s="369"/>
      <c r="U25" s="369"/>
      <c r="V25" s="370"/>
    </row>
    <row r="26" spans="1:22" ht="48.6" customHeight="1">
      <c r="A26" s="969" t="s">
        <v>492</v>
      </c>
      <c r="B26" s="970"/>
      <c r="C26" s="970"/>
      <c r="D26" s="970"/>
      <c r="E26" s="970"/>
      <c r="F26" s="970"/>
      <c r="G26" s="970"/>
      <c r="H26" s="970"/>
      <c r="I26" s="970"/>
      <c r="J26" s="970"/>
      <c r="K26" s="970"/>
      <c r="L26" s="970"/>
      <c r="M26" s="970"/>
      <c r="N26" s="970"/>
      <c r="O26" s="970"/>
      <c r="P26" s="970"/>
      <c r="Q26" s="970"/>
      <c r="R26" s="970"/>
      <c r="S26" s="970"/>
      <c r="T26" s="970"/>
      <c r="U26" s="970"/>
      <c r="V26" s="971"/>
    </row>
    <row r="27" spans="1:22" ht="18.75" customHeight="1">
      <c r="A27" s="969"/>
      <c r="B27" s="970"/>
      <c r="C27" s="970"/>
      <c r="D27" s="970"/>
      <c r="E27" s="970"/>
      <c r="F27" s="970"/>
      <c r="G27" s="970"/>
      <c r="H27" s="970"/>
      <c r="I27" s="970"/>
      <c r="J27" s="970"/>
      <c r="K27" s="970"/>
      <c r="L27" s="970"/>
      <c r="M27" s="970"/>
      <c r="N27" s="970"/>
      <c r="O27" s="970"/>
      <c r="P27" s="970"/>
      <c r="Q27" s="970"/>
      <c r="R27" s="970"/>
      <c r="S27" s="970"/>
      <c r="T27" s="970"/>
      <c r="U27" s="970"/>
      <c r="V27" s="971"/>
    </row>
    <row r="28" spans="1:22" ht="7.5" customHeight="1">
      <c r="A28" s="367"/>
      <c r="B28" s="369"/>
      <c r="C28" s="369"/>
      <c r="D28" s="369"/>
      <c r="E28" s="369"/>
      <c r="F28" s="369"/>
      <c r="G28" s="369"/>
      <c r="H28" s="369"/>
      <c r="I28" s="369"/>
      <c r="J28" s="369"/>
      <c r="K28" s="369"/>
      <c r="L28" s="369"/>
      <c r="M28" s="369"/>
      <c r="N28" s="369"/>
      <c r="O28" s="369"/>
      <c r="P28" s="369"/>
      <c r="Q28" s="369"/>
      <c r="R28" s="369"/>
      <c r="S28" s="369"/>
      <c r="T28" s="369"/>
      <c r="U28" s="369"/>
      <c r="V28" s="370"/>
    </row>
    <row r="29" spans="1:22" ht="15.95" customHeight="1">
      <c r="A29" s="379" t="s">
        <v>6</v>
      </c>
      <c r="B29" s="369"/>
      <c r="C29" s="369"/>
      <c r="D29" s="369"/>
      <c r="E29" s="369"/>
      <c r="F29" s="369"/>
      <c r="G29" s="369"/>
      <c r="H29" s="369"/>
      <c r="I29" s="369"/>
      <c r="J29" s="369"/>
      <c r="K29" s="369"/>
      <c r="L29" s="369"/>
      <c r="M29" s="369"/>
      <c r="N29" s="369"/>
      <c r="O29" s="369"/>
      <c r="P29" s="369"/>
      <c r="Q29" s="369"/>
      <c r="R29" s="369"/>
      <c r="S29" s="369"/>
      <c r="T29" s="369"/>
      <c r="U29" s="369"/>
      <c r="V29" s="370"/>
    </row>
    <row r="30" spans="1:22" ht="16.5" customHeight="1">
      <c r="A30" s="380" t="s">
        <v>486</v>
      </c>
      <c r="B30" s="381"/>
      <c r="C30" s="381"/>
      <c r="D30" s="381"/>
      <c r="E30" s="381"/>
      <c r="F30" s="369"/>
      <c r="G30" s="369"/>
      <c r="H30" s="369"/>
      <c r="I30" s="369"/>
      <c r="J30" s="369"/>
      <c r="K30" s="369"/>
      <c r="L30" s="369"/>
      <c r="M30" s="369"/>
      <c r="N30" s="369"/>
      <c r="O30" s="369"/>
      <c r="P30" s="369"/>
      <c r="Q30" s="369"/>
      <c r="R30" s="369"/>
      <c r="S30" s="369"/>
      <c r="T30" s="369"/>
      <c r="U30" s="369"/>
      <c r="V30" s="370"/>
    </row>
    <row r="31" spans="1:22" ht="16.5" customHeight="1">
      <c r="A31" s="380" t="s">
        <v>485</v>
      </c>
      <c r="B31" s="381"/>
      <c r="C31" s="381"/>
      <c r="D31" s="381"/>
      <c r="E31" s="381"/>
      <c r="F31" s="369"/>
      <c r="G31" s="369"/>
      <c r="H31" s="369"/>
      <c r="I31" s="369"/>
      <c r="J31" s="369"/>
      <c r="K31" s="369"/>
      <c r="L31" s="369"/>
      <c r="M31" s="369"/>
      <c r="N31" s="369"/>
      <c r="O31" s="369"/>
      <c r="P31" s="958" t="str">
        <f>Data!S10</f>
        <v>MEO</v>
      </c>
      <c r="Q31" s="958"/>
      <c r="R31" s="958"/>
      <c r="S31" s="958"/>
      <c r="T31" s="958"/>
      <c r="U31" s="958"/>
      <c r="V31" s="959"/>
    </row>
    <row r="32" spans="1:22" ht="16.5" customHeight="1">
      <c r="A32" s="380" t="s">
        <v>484</v>
      </c>
      <c r="B32" s="381"/>
      <c r="C32" s="381"/>
      <c r="D32" s="381"/>
      <c r="E32" s="381"/>
      <c r="F32" s="369"/>
      <c r="G32" s="369"/>
      <c r="H32" s="369"/>
      <c r="I32" s="369"/>
      <c r="J32" s="369"/>
      <c r="K32" s="369"/>
      <c r="L32" s="369"/>
      <c r="M32" s="369"/>
      <c r="N32" s="369"/>
      <c r="O32" s="369"/>
      <c r="P32" s="958"/>
      <c r="Q32" s="958"/>
      <c r="R32" s="958"/>
      <c r="S32" s="958"/>
      <c r="T32" s="958"/>
      <c r="U32" s="958"/>
      <c r="V32" s="959"/>
    </row>
    <row r="33" spans="1:22" ht="41.45" customHeight="1">
      <c r="A33" s="241"/>
      <c r="B33" s="115"/>
      <c r="C33" s="115"/>
      <c r="D33" s="115"/>
      <c r="E33" s="115"/>
      <c r="F33" s="115"/>
      <c r="G33" s="115"/>
      <c r="H33" s="115"/>
      <c r="I33" s="115"/>
      <c r="J33" s="115"/>
      <c r="K33" s="115"/>
      <c r="L33" s="115"/>
      <c r="M33" s="115"/>
      <c r="N33" s="115"/>
      <c r="O33" s="115"/>
      <c r="P33" s="115"/>
      <c r="Q33" s="115"/>
      <c r="R33" s="115"/>
      <c r="S33" s="115"/>
      <c r="T33" s="115"/>
      <c r="U33" s="115"/>
      <c r="V33" s="116"/>
    </row>
    <row r="34" spans="1:22" ht="11.45" customHeight="1"/>
    <row r="35" spans="1:22" ht="15" customHeight="1"/>
    <row r="36" spans="1:22" ht="26.45" customHeight="1">
      <c r="A36" s="925" t="str">
        <f>IF(Data!AF12=1,"TSTC FORM - 58","APTC FORM - 58")</f>
        <v>APTC FORM - 58</v>
      </c>
      <c r="B36" s="926"/>
      <c r="C36" s="926"/>
      <c r="D36" s="926"/>
      <c r="E36" s="926"/>
      <c r="F36" s="926"/>
      <c r="G36" s="926"/>
      <c r="H36" s="926"/>
      <c r="I36" s="926"/>
      <c r="J36" s="926"/>
      <c r="K36" s="926"/>
      <c r="L36" s="926"/>
      <c r="M36" s="926"/>
      <c r="N36" s="926"/>
      <c r="O36" s="926"/>
      <c r="P36" s="926"/>
      <c r="Q36" s="926"/>
      <c r="R36" s="926"/>
      <c r="S36" s="926"/>
      <c r="T36" s="926"/>
      <c r="U36" s="926"/>
      <c r="V36" s="927"/>
    </row>
    <row r="37" spans="1:22" ht="10.5" customHeight="1">
      <c r="A37" s="928" t="s">
        <v>463</v>
      </c>
      <c r="B37" s="929"/>
      <c r="C37" s="929"/>
      <c r="D37" s="929"/>
      <c r="E37" s="929"/>
      <c r="F37" s="929"/>
      <c r="G37" s="929"/>
      <c r="H37" s="929"/>
      <c r="I37" s="929"/>
      <c r="J37" s="929"/>
      <c r="K37" s="929"/>
      <c r="L37" s="929"/>
      <c r="M37" s="929"/>
      <c r="N37" s="929"/>
      <c r="O37" s="929"/>
      <c r="P37" s="929"/>
      <c r="Q37" s="929"/>
      <c r="R37" s="929"/>
      <c r="S37" s="929"/>
      <c r="T37" s="929"/>
      <c r="U37" s="929"/>
      <c r="V37" s="930"/>
    </row>
    <row r="38" spans="1:22" ht="5.0999999999999996" customHeight="1">
      <c r="A38" s="211"/>
      <c r="B38" s="333"/>
      <c r="C38" s="98"/>
      <c r="D38" s="98"/>
      <c r="E38" s="98"/>
      <c r="F38" s="98"/>
      <c r="G38" s="98"/>
      <c r="H38" s="98"/>
      <c r="I38" s="98"/>
      <c r="J38" s="98"/>
      <c r="K38" s="98"/>
      <c r="L38" s="98"/>
      <c r="M38" s="98"/>
      <c r="N38" s="98"/>
      <c r="O38" s="98"/>
      <c r="P38" s="98"/>
      <c r="Q38" s="98"/>
      <c r="R38" s="98"/>
      <c r="S38" s="98"/>
      <c r="T38" s="98"/>
      <c r="U38" s="98"/>
      <c r="V38" s="99"/>
    </row>
    <row r="39" spans="1:22" ht="18.95" customHeight="1">
      <c r="A39" s="921" t="str">
        <f>"For the Month &amp; Year   - "&amp;Data!AH13</f>
        <v>For the Month &amp; Year   - Aug-2019</v>
      </c>
      <c r="B39" s="922"/>
      <c r="C39" s="922"/>
      <c r="D39" s="922"/>
      <c r="E39" s="922"/>
      <c r="F39" s="922"/>
      <c r="G39" s="922"/>
      <c r="H39" s="922"/>
      <c r="I39" s="922"/>
      <c r="J39" s="922"/>
      <c r="K39" s="922"/>
      <c r="L39" s="922"/>
      <c r="M39" s="922"/>
      <c r="N39" s="922"/>
      <c r="O39" s="922"/>
      <c r="P39" s="922"/>
      <c r="Q39" s="922"/>
      <c r="R39" s="922"/>
      <c r="S39" s="922"/>
      <c r="T39" s="922"/>
      <c r="U39" s="922"/>
      <c r="V39" s="923"/>
    </row>
    <row r="40" spans="1:22" ht="24" customHeight="1">
      <c r="A40" s="890" t="str">
        <f>UPPER(IF(AND(Data!AH3=2,Data!AH5&gt;2),'R C'!DI29,'R C'!DI28))</f>
        <v>SRI G MURALIMOHANA RAO, RTD S.G.T</v>
      </c>
      <c r="B40" s="891"/>
      <c r="C40" s="891"/>
      <c r="D40" s="891"/>
      <c r="E40" s="891"/>
      <c r="F40" s="891"/>
      <c r="G40" s="891"/>
      <c r="H40" s="891"/>
      <c r="I40" s="891"/>
      <c r="J40" s="891"/>
      <c r="K40" s="891"/>
      <c r="L40" s="891"/>
      <c r="M40" s="891"/>
      <c r="N40" s="891"/>
      <c r="O40" s="891"/>
      <c r="P40" s="891"/>
      <c r="Q40" s="891"/>
      <c r="R40" s="891"/>
      <c r="S40" s="891"/>
      <c r="T40" s="891"/>
      <c r="U40" s="891"/>
      <c r="V40" s="892"/>
    </row>
    <row r="41" spans="1:22" ht="21.75" customHeight="1">
      <c r="A41" s="210"/>
      <c r="B41" s="225"/>
      <c r="C41" s="725"/>
      <c r="D41" s="725"/>
      <c r="E41" s="725"/>
      <c r="F41" s="725"/>
      <c r="G41" s="725"/>
      <c r="H41" s="725"/>
      <c r="I41" s="100"/>
      <c r="J41" s="726" t="s">
        <v>260</v>
      </c>
      <c r="K41" s="727"/>
      <c r="L41" s="727"/>
      <c r="M41" s="727"/>
      <c r="N41" s="727"/>
      <c r="O41" s="727"/>
      <c r="P41" s="727"/>
      <c r="Q41" s="727"/>
      <c r="R41" s="727"/>
      <c r="S41" s="727"/>
      <c r="T41" s="727"/>
      <c r="U41" s="728"/>
      <c r="V41" s="101"/>
    </row>
    <row r="42" spans="1:22" ht="21.75" customHeight="1">
      <c r="A42" s="110" t="str">
        <f>CONCATENATE(" District     :      ",Data!P6)</f>
        <v xml:space="preserve"> District     :      PARVATHIPURAM MANYAM</v>
      </c>
      <c r="B42" s="225"/>
      <c r="C42" s="225"/>
      <c r="D42" s="102"/>
      <c r="E42" s="102"/>
      <c r="F42" s="103"/>
      <c r="G42" s="104"/>
      <c r="H42" s="104"/>
      <c r="I42" s="103"/>
      <c r="J42" s="220" t="s">
        <v>261</v>
      </c>
      <c r="K42" s="105"/>
      <c r="L42" s="106"/>
      <c r="M42" s="107"/>
      <c r="N42" s="107"/>
      <c r="O42" s="107"/>
      <c r="P42" s="107"/>
      <c r="Q42" s="107"/>
      <c r="R42" s="107"/>
      <c r="S42" s="108"/>
      <c r="T42" s="108"/>
      <c r="U42" s="109"/>
      <c r="V42" s="101"/>
    </row>
    <row r="43" spans="1:22" ht="36" customHeight="1">
      <c r="A43" s="209" t="s">
        <v>496</v>
      </c>
      <c r="B43" s="225"/>
      <c r="C43" s="225"/>
      <c r="D43" s="111"/>
      <c r="E43" s="111"/>
      <c r="F43" s="111"/>
      <c r="G43" s="111"/>
      <c r="H43" s="112"/>
      <c r="I43" s="112"/>
      <c r="J43" s="934" t="s">
        <v>262</v>
      </c>
      <c r="K43" s="935"/>
      <c r="L43" s="106"/>
      <c r="M43" s="107"/>
      <c r="N43" s="107"/>
      <c r="O43" s="107"/>
      <c r="P43" s="107"/>
      <c r="Q43" s="107"/>
      <c r="R43" s="107"/>
      <c r="S43" s="108"/>
      <c r="T43" s="108"/>
      <c r="U43" s="109"/>
      <c r="V43" s="101"/>
    </row>
    <row r="44" spans="1:22" ht="13.5" customHeight="1">
      <c r="A44" s="760" t="str">
        <f>""&amp;IF(Data!J19="","",Data!J19)</f>
        <v>13/MEDICAL/2019</v>
      </c>
      <c r="B44" s="761"/>
      <c r="C44" s="761"/>
      <c r="D44" s="761"/>
      <c r="E44" s="761"/>
      <c r="F44" s="761"/>
      <c r="G44" s="761"/>
      <c r="H44" s="761"/>
      <c r="I44" s="104"/>
      <c r="J44" s="936"/>
      <c r="K44" s="937"/>
      <c r="L44" s="113"/>
      <c r="M44" s="114"/>
      <c r="N44" s="114"/>
      <c r="O44" s="114"/>
      <c r="P44" s="114"/>
      <c r="Q44" s="114"/>
      <c r="R44" s="114"/>
      <c r="S44" s="115"/>
      <c r="T44" s="115"/>
      <c r="U44" s="116"/>
      <c r="V44" s="101"/>
    </row>
    <row r="45" spans="1:22" ht="14.1" customHeight="1" thickBot="1">
      <c r="A45" s="340"/>
      <c r="B45" s="339"/>
      <c r="C45" s="339"/>
      <c r="D45" s="339"/>
      <c r="E45" s="341"/>
      <c r="F45" s="341"/>
      <c r="G45" s="342"/>
      <c r="H45" s="343"/>
      <c r="I45" s="342"/>
      <c r="J45" s="342"/>
      <c r="K45" s="344"/>
      <c r="L45" s="344"/>
      <c r="M45" s="344"/>
      <c r="N45" s="345"/>
      <c r="O45" s="345"/>
      <c r="P45" s="345"/>
      <c r="Q45" s="345"/>
      <c r="R45" s="345"/>
      <c r="S45" s="345"/>
      <c r="T45" s="346"/>
      <c r="U45" s="346"/>
      <c r="V45" s="347"/>
    </row>
    <row r="46" spans="1:22" ht="3.75" customHeight="1">
      <c r="A46" s="210"/>
      <c r="B46" s="225"/>
      <c r="C46" s="117"/>
      <c r="D46" s="117"/>
      <c r="E46" s="102"/>
      <c r="F46" s="102"/>
      <c r="G46" s="104"/>
      <c r="H46" s="119"/>
      <c r="I46" s="104"/>
      <c r="J46" s="104"/>
      <c r="K46" s="118"/>
      <c r="L46" s="118"/>
      <c r="M46" s="118"/>
      <c r="N46" s="120"/>
      <c r="O46" s="120"/>
      <c r="P46" s="120"/>
      <c r="Q46" s="120"/>
      <c r="R46" s="120"/>
      <c r="S46" s="120"/>
      <c r="T46" s="121"/>
      <c r="U46" s="121"/>
      <c r="V46" s="99"/>
    </row>
    <row r="47" spans="1:22" ht="17.45" customHeight="1">
      <c r="A47" s="212" t="s">
        <v>350</v>
      </c>
      <c r="B47" s="225"/>
      <c r="C47" s="122"/>
      <c r="D47" s="225"/>
      <c r="E47" s="938" t="str">
        <f>LEFT(E49,4)</f>
        <v>XXX</v>
      </c>
      <c r="F47" s="939"/>
      <c r="G47" s="939"/>
      <c r="H47" s="940"/>
      <c r="I47" s="104"/>
      <c r="J47" s="729" t="s">
        <v>263</v>
      </c>
      <c r="K47" s="729"/>
      <c r="L47" s="729"/>
      <c r="M47" s="123"/>
      <c r="N47" s="362" t="str">
        <f>'R C'!DZ21</f>
        <v>2</v>
      </c>
      <c r="O47" s="362" t="str">
        <f>'R C'!EA21</f>
        <v>0</v>
      </c>
      <c r="P47" s="362" t="str">
        <f>'R C'!EB21</f>
        <v>7</v>
      </c>
      <c r="Q47" s="362" t="str">
        <f>'R C'!EC21</f>
        <v>1</v>
      </c>
      <c r="R47" s="754"/>
      <c r="S47" s="755"/>
      <c r="T47" s="755"/>
      <c r="U47" s="755"/>
      <c r="V47" s="756"/>
    </row>
    <row r="48" spans="1:22" ht="7.5" customHeight="1">
      <c r="A48" s="216"/>
      <c r="B48" s="225"/>
      <c r="C48" s="104"/>
      <c r="D48" s="225"/>
      <c r="E48" s="104"/>
      <c r="F48" s="104"/>
      <c r="G48" s="104"/>
      <c r="H48" s="226"/>
      <c r="I48" s="104"/>
      <c r="J48" s="123"/>
      <c r="K48" s="123"/>
      <c r="L48" s="123"/>
      <c r="M48" s="123"/>
      <c r="N48" s="121"/>
      <c r="O48" s="121"/>
      <c r="P48" s="121"/>
      <c r="Q48" s="121"/>
      <c r="R48" s="363"/>
      <c r="S48" s="363"/>
      <c r="T48" s="363"/>
      <c r="U48" s="363"/>
      <c r="V48" s="364"/>
    </row>
    <row r="49" spans="1:22" ht="17.45" customHeight="1">
      <c r="A49" s="217" t="s">
        <v>264</v>
      </c>
      <c r="B49" s="225"/>
      <c r="C49" s="123"/>
      <c r="D49" s="101"/>
      <c r="E49" s="757" t="str">
        <f>Data!V17</f>
        <v>XXX</v>
      </c>
      <c r="F49" s="758"/>
      <c r="G49" s="758"/>
      <c r="H49" s="759"/>
      <c r="I49" s="104"/>
      <c r="J49" s="729" t="s">
        <v>265</v>
      </c>
      <c r="K49" s="729"/>
      <c r="L49" s="729"/>
      <c r="M49" s="729"/>
      <c r="N49" s="362" t="str">
        <f>'R C'!DZ22</f>
        <v>0</v>
      </c>
      <c r="O49" s="362" t="str">
        <f>'R C'!EA22</f>
        <v>1</v>
      </c>
      <c r="P49" s="212"/>
      <c r="Q49" s="225"/>
      <c r="R49" s="365"/>
      <c r="S49" s="365"/>
      <c r="T49" s="365"/>
      <c r="U49" s="365"/>
      <c r="V49" s="366"/>
    </row>
    <row r="50" spans="1:22" ht="9.9499999999999993" customHeight="1">
      <c r="A50" s="216"/>
      <c r="B50" s="225"/>
      <c r="C50" s="104"/>
      <c r="D50" s="225"/>
      <c r="E50" s="104"/>
      <c r="F50" s="104"/>
      <c r="G50" s="104"/>
      <c r="H50" s="226"/>
      <c r="I50" s="104"/>
      <c r="J50" s="123"/>
      <c r="K50" s="123"/>
      <c r="L50" s="123"/>
      <c r="M50" s="123"/>
      <c r="N50" s="104"/>
      <c r="O50" s="104"/>
      <c r="P50" s="104"/>
      <c r="Q50" s="104"/>
      <c r="R50" s="103"/>
      <c r="S50" s="103"/>
      <c r="T50" s="103"/>
      <c r="U50" s="103"/>
      <c r="V50" s="364"/>
    </row>
    <row r="51" spans="1:22" ht="17.45" customHeight="1">
      <c r="A51" s="212" t="s">
        <v>266</v>
      </c>
      <c r="B51" s="225"/>
      <c r="C51" s="124"/>
      <c r="D51" s="901" t="str">
        <f>Data!S10</f>
        <v>MEO</v>
      </c>
      <c r="E51" s="902"/>
      <c r="F51" s="902"/>
      <c r="G51" s="902"/>
      <c r="H51" s="903"/>
      <c r="I51" s="104"/>
      <c r="J51" s="729" t="s">
        <v>267</v>
      </c>
      <c r="K51" s="729"/>
      <c r="L51" s="729"/>
      <c r="M51" s="729"/>
      <c r="N51" s="362" t="str">
        <f>'R C'!DZ23</f>
        <v>8</v>
      </c>
      <c r="O51" s="362" t="str">
        <f>'R C'!EA23</f>
        <v>0</v>
      </c>
      <c r="P51" s="362" t="str">
        <f>'R C'!EB23</f>
        <v>0</v>
      </c>
      <c r="Q51" s="762"/>
      <c r="R51" s="763"/>
      <c r="S51" s="763"/>
      <c r="T51" s="763"/>
      <c r="U51" s="763"/>
      <c r="V51" s="764"/>
    </row>
    <row r="52" spans="1:22" ht="9.6" customHeight="1">
      <c r="A52" s="227"/>
      <c r="B52" s="225"/>
      <c r="C52" s="125"/>
      <c r="D52" s="225"/>
      <c r="E52" s="224"/>
      <c r="F52" s="353"/>
      <c r="G52" s="353"/>
      <c r="H52" s="354"/>
      <c r="I52" s="104"/>
      <c r="J52" s="123"/>
      <c r="K52" s="123"/>
      <c r="L52" s="123"/>
      <c r="M52" s="123"/>
      <c r="N52" s="129"/>
      <c r="O52" s="129"/>
      <c r="P52" s="129"/>
      <c r="Q52" s="104"/>
      <c r="R52" s="103"/>
      <c r="S52" s="103"/>
      <c r="T52" s="103"/>
      <c r="U52" s="103"/>
      <c r="V52" s="364"/>
    </row>
    <row r="53" spans="1:22" ht="17.45" customHeight="1">
      <c r="A53" s="217" t="s">
        <v>268</v>
      </c>
      <c r="B53" s="225"/>
      <c r="C53" s="125"/>
      <c r="D53" s="225"/>
      <c r="E53" s="904" t="str">
        <f>Data!Q12</f>
        <v>MP,G.L.PURAM</v>
      </c>
      <c r="F53" s="904"/>
      <c r="G53" s="904"/>
      <c r="H53" s="904"/>
      <c r="I53" s="104"/>
      <c r="J53" s="729" t="s">
        <v>269</v>
      </c>
      <c r="K53" s="729"/>
      <c r="L53" s="729"/>
      <c r="M53" s="729"/>
      <c r="N53" s="362"/>
      <c r="O53" s="362"/>
      <c r="P53" s="928"/>
      <c r="Q53" s="929"/>
      <c r="R53" s="906"/>
      <c r="S53" s="906"/>
      <c r="T53" s="906"/>
      <c r="U53" s="906"/>
      <c r="V53" s="907"/>
    </row>
    <row r="54" spans="1:22" ht="9.6" customHeight="1">
      <c r="A54" s="216"/>
      <c r="B54" s="225"/>
      <c r="C54" s="121"/>
      <c r="D54" s="225"/>
      <c r="E54" s="281"/>
      <c r="F54" s="281"/>
      <c r="G54" s="281"/>
      <c r="H54" s="282"/>
      <c r="I54" s="104"/>
      <c r="J54" s="123"/>
      <c r="K54" s="123"/>
      <c r="L54" s="123"/>
      <c r="M54" s="123"/>
      <c r="N54" s="129"/>
      <c r="O54" s="129"/>
      <c r="P54" s="129"/>
      <c r="Q54" s="104"/>
      <c r="R54" s="103"/>
      <c r="S54" s="103"/>
      <c r="T54" s="103"/>
      <c r="U54" s="103"/>
      <c r="V54" s="364"/>
    </row>
    <row r="55" spans="1:22" ht="17.45" customHeight="1">
      <c r="A55" s="212" t="s">
        <v>270</v>
      </c>
      <c r="B55" s="225"/>
      <c r="C55" s="103"/>
      <c r="D55" s="225"/>
      <c r="E55" s="931" t="str">
        <f>IF(Data!L20="","",Data!L20)</f>
        <v/>
      </c>
      <c r="F55" s="932"/>
      <c r="G55" s="932"/>
      <c r="H55" s="933"/>
      <c r="I55" s="104"/>
      <c r="J55" s="729" t="s">
        <v>271</v>
      </c>
      <c r="K55" s="729"/>
      <c r="L55" s="729"/>
      <c r="M55" s="729"/>
      <c r="N55" s="362" t="str">
        <f>'R C'!DZ25</f>
        <v>0</v>
      </c>
      <c r="O55" s="362" t="str">
        <f>'R C'!EA25</f>
        <v>6</v>
      </c>
      <c r="P55" s="121"/>
      <c r="Q55" s="121"/>
      <c r="R55" s="755"/>
      <c r="S55" s="755"/>
      <c r="T55" s="755"/>
      <c r="U55" s="755"/>
      <c r="V55" s="756"/>
    </row>
    <row r="56" spans="1:22" ht="11.1" customHeight="1">
      <c r="A56" s="216"/>
      <c r="B56" s="225"/>
      <c r="C56" s="104"/>
      <c r="D56" s="225"/>
      <c r="E56" s="283"/>
      <c r="F56" s="283"/>
      <c r="G56" s="283"/>
      <c r="H56" s="284"/>
      <c r="I56" s="104"/>
      <c r="J56" s="123"/>
      <c r="K56" s="123"/>
      <c r="L56" s="123"/>
      <c r="M56" s="123"/>
      <c r="N56" s="129"/>
      <c r="O56" s="129"/>
      <c r="P56" s="129"/>
      <c r="Q56" s="104"/>
      <c r="R56" s="103"/>
      <c r="S56" s="103"/>
      <c r="T56" s="103"/>
      <c r="U56" s="103"/>
      <c r="V56" s="364"/>
    </row>
    <row r="57" spans="1:22" ht="17.45" customHeight="1">
      <c r="A57" s="212" t="s">
        <v>272</v>
      </c>
      <c r="B57" s="225"/>
      <c r="C57" s="124"/>
      <c r="D57" s="225"/>
      <c r="E57" s="774" t="str">
        <f>Data!D20</f>
        <v>SBI SANGAREDDY</v>
      </c>
      <c r="F57" s="775"/>
      <c r="G57" s="775"/>
      <c r="H57" s="776"/>
      <c r="I57" s="104"/>
      <c r="J57" s="729" t="s">
        <v>273</v>
      </c>
      <c r="K57" s="729"/>
      <c r="L57" s="729"/>
      <c r="M57" s="729"/>
      <c r="N57" s="362" t="str">
        <f>'R C'!DZ26</f>
        <v>0</v>
      </c>
      <c r="O57" s="362" t="str">
        <f>'R C'!EA26</f>
        <v>4</v>
      </c>
      <c r="P57" s="362" t="str">
        <f>'R C'!EB26</f>
        <v>0</v>
      </c>
      <c r="Q57" s="121"/>
      <c r="R57" s="908"/>
      <c r="S57" s="908"/>
      <c r="T57" s="908"/>
      <c r="U57" s="908"/>
      <c r="V57" s="909"/>
    </row>
    <row r="58" spans="1:22" ht="9.6" customHeight="1">
      <c r="A58" s="210"/>
      <c r="B58" s="225"/>
      <c r="C58" s="104"/>
      <c r="D58" s="104"/>
      <c r="E58" s="777"/>
      <c r="F58" s="778"/>
      <c r="G58" s="778"/>
      <c r="H58" s="779"/>
      <c r="I58" s="104"/>
      <c r="J58" s="123"/>
      <c r="K58" s="123"/>
      <c r="L58" s="123"/>
      <c r="M58" s="123"/>
      <c r="N58" s="129"/>
      <c r="O58" s="129"/>
      <c r="P58" s="129"/>
      <c r="Q58" s="104"/>
      <c r="R58" s="103"/>
      <c r="S58" s="103"/>
      <c r="T58" s="103"/>
      <c r="U58" s="103"/>
      <c r="V58" s="364"/>
    </row>
    <row r="59" spans="1:22" ht="17.45" customHeight="1">
      <c r="A59" s="210"/>
      <c r="B59" s="225"/>
      <c r="C59" s="121"/>
      <c r="D59" s="121"/>
      <c r="E59" s="121"/>
      <c r="F59" s="121"/>
      <c r="G59" s="121"/>
      <c r="H59" s="99"/>
      <c r="I59" s="104"/>
      <c r="J59" s="780" t="s">
        <v>274</v>
      </c>
      <c r="K59" s="780"/>
      <c r="L59" s="780"/>
      <c r="M59" s="780"/>
      <c r="N59" s="362" t="str">
        <f>'R C'!DZ27</f>
        <v>0</v>
      </c>
      <c r="O59" s="362" t="str">
        <f>'R C'!EA27</f>
        <v>4</v>
      </c>
      <c r="P59" s="362" t="str">
        <f>'R C'!EB27</f>
        <v>3</v>
      </c>
      <c r="Q59" s="121"/>
      <c r="R59" s="765"/>
      <c r="S59" s="765"/>
      <c r="T59" s="765"/>
      <c r="U59" s="765"/>
      <c r="V59" s="766"/>
    </row>
    <row r="60" spans="1:22" ht="3" customHeight="1" thickBot="1">
      <c r="A60" s="348"/>
      <c r="B60" s="342"/>
      <c r="C60" s="342"/>
      <c r="D60" s="342"/>
      <c r="E60" s="342"/>
      <c r="F60" s="342"/>
      <c r="G60" s="342"/>
      <c r="H60" s="349"/>
      <c r="I60" s="342"/>
      <c r="J60" s="342"/>
      <c r="K60" s="342"/>
      <c r="L60" s="342"/>
      <c r="M60" s="342"/>
      <c r="N60" s="346"/>
      <c r="O60" s="346"/>
      <c r="P60" s="346"/>
      <c r="Q60" s="346"/>
      <c r="R60" s="346"/>
      <c r="S60" s="346"/>
      <c r="T60" s="346"/>
      <c r="U60" s="346"/>
      <c r="V60" s="347"/>
    </row>
    <row r="61" spans="1:22" ht="7.5" customHeight="1">
      <c r="A61" s="210"/>
      <c r="B61" s="104"/>
      <c r="C61" s="104"/>
      <c r="D61" s="225"/>
      <c r="E61" s="104"/>
      <c r="F61" s="104"/>
      <c r="G61" s="104"/>
      <c r="H61" s="104"/>
      <c r="I61" s="104"/>
      <c r="J61" s="104"/>
      <c r="K61" s="104"/>
      <c r="L61" s="104"/>
      <c r="M61" s="104"/>
      <c r="N61" s="121"/>
      <c r="O61" s="121"/>
      <c r="P61" s="121"/>
      <c r="Q61" s="121"/>
      <c r="R61" s="121"/>
      <c r="S61" s="121"/>
      <c r="T61" s="121"/>
      <c r="U61" s="121"/>
      <c r="V61" s="99"/>
    </row>
    <row r="62" spans="1:22" ht="24" customHeight="1">
      <c r="A62" s="895" t="s">
        <v>275</v>
      </c>
      <c r="B62" s="896"/>
      <c r="C62" s="896"/>
      <c r="D62" s="897"/>
      <c r="E62" s="228" t="s">
        <v>276</v>
      </c>
      <c r="F62" s="905" t="s">
        <v>277</v>
      </c>
      <c r="G62" s="906"/>
      <c r="H62" s="906"/>
      <c r="I62" s="906"/>
      <c r="J62" s="907"/>
      <c r="K62" s="228" t="s">
        <v>278</v>
      </c>
      <c r="L62" s="895" t="s">
        <v>279</v>
      </c>
      <c r="M62" s="896"/>
      <c r="N62" s="896"/>
      <c r="O62" s="896"/>
      <c r="P62" s="896"/>
      <c r="Q62" s="897"/>
      <c r="R62" s="228" t="str">
        <f>N47</f>
        <v>2</v>
      </c>
      <c r="S62" s="280" t="str">
        <f>O47</f>
        <v>0</v>
      </c>
      <c r="T62" s="228" t="str">
        <f>P47</f>
        <v>7</v>
      </c>
      <c r="U62" s="228" t="str">
        <f>Q47</f>
        <v>1</v>
      </c>
      <c r="V62" s="101"/>
    </row>
    <row r="63" spans="1:22" ht="9.6" customHeight="1">
      <c r="A63" s="210"/>
      <c r="B63" s="104"/>
      <c r="C63" s="104"/>
      <c r="D63" s="225"/>
      <c r="E63" s="104"/>
      <c r="F63" s="104"/>
      <c r="G63" s="104"/>
      <c r="H63" s="104"/>
      <c r="I63" s="104"/>
      <c r="J63" s="104"/>
      <c r="K63" s="104"/>
      <c r="L63" s="104"/>
      <c r="M63" s="104"/>
      <c r="N63" s="121"/>
      <c r="O63" s="121"/>
      <c r="P63" s="121"/>
      <c r="Q63" s="121"/>
      <c r="R63" s="121"/>
      <c r="S63" s="121"/>
      <c r="T63" s="121"/>
      <c r="U63" s="121"/>
      <c r="V63" s="99"/>
    </row>
    <row r="64" spans="1:22" ht="19.5" customHeight="1">
      <c r="A64" s="208" t="str">
        <f>"Gross Rs  : "&amp;Data!Q17 &amp;"                 Deduction Rs :  "&amp;" -                 Net Rs: "  &amp;Data!Q17</f>
        <v>Gross Rs  : 25000                 Deduction Rs :   -                 Net Rs: 25000</v>
      </c>
      <c r="B64" s="229"/>
      <c r="C64" s="197"/>
      <c r="D64" s="197"/>
      <c r="E64" s="197"/>
      <c r="F64" s="197"/>
      <c r="G64" s="126"/>
      <c r="H64" s="127"/>
      <c r="I64" s="128"/>
      <c r="J64" s="128"/>
      <c r="K64" s="198"/>
      <c r="L64" s="198"/>
      <c r="M64" s="198"/>
      <c r="N64" s="126"/>
      <c r="O64" s="126"/>
      <c r="P64" s="126"/>
      <c r="Q64" s="199"/>
      <c r="R64" s="199"/>
      <c r="S64" s="199"/>
      <c r="T64" s="199"/>
      <c r="U64" s="199"/>
      <c r="V64" s="200"/>
    </row>
    <row r="65" spans="1:22" ht="5.45" customHeight="1">
      <c r="A65" s="210"/>
      <c r="B65" s="104"/>
      <c r="C65" s="104"/>
      <c r="D65" s="225"/>
      <c r="E65" s="104"/>
      <c r="F65" s="104"/>
      <c r="G65" s="104"/>
      <c r="H65" s="104"/>
      <c r="I65" s="104"/>
      <c r="J65" s="104"/>
      <c r="K65" s="104"/>
      <c r="L65" s="104"/>
      <c r="M65" s="104"/>
      <c r="N65" s="121"/>
      <c r="O65" s="121"/>
      <c r="P65" s="121"/>
      <c r="Q65" s="121"/>
      <c r="R65" s="121"/>
      <c r="S65" s="121"/>
      <c r="T65" s="121"/>
      <c r="U65" s="121"/>
      <c r="V65" s="99"/>
    </row>
    <row r="66" spans="1:22" ht="15" customHeight="1">
      <c r="A66" s="898" t="str">
        <f>""&amp;CONCATENATE(" Passed for rupees  ",'R C'!B17)&amp; " and the same amount may be credited in A/c of "&amp;'CLAIMING FORMS'!C121&amp;" ."</f>
        <v xml:space="preserve"> Passed for rupees  (Twenty five Thousand rupees only) and the same amount may be credited in A/c of G MURALIMOHANA RAO .</v>
      </c>
      <c r="B66" s="899"/>
      <c r="C66" s="899"/>
      <c r="D66" s="899"/>
      <c r="E66" s="899"/>
      <c r="F66" s="899"/>
      <c r="G66" s="899"/>
      <c r="H66" s="899"/>
      <c r="I66" s="899"/>
      <c r="J66" s="899"/>
      <c r="K66" s="899"/>
      <c r="L66" s="899"/>
      <c r="M66" s="899"/>
      <c r="N66" s="899"/>
      <c r="O66" s="899"/>
      <c r="P66" s="899"/>
      <c r="Q66" s="899"/>
      <c r="R66" s="899"/>
      <c r="S66" s="899"/>
      <c r="T66" s="899"/>
      <c r="U66" s="899"/>
      <c r="V66" s="900"/>
    </row>
    <row r="67" spans="1:22" ht="5.45" customHeight="1">
      <c r="A67" s="335"/>
      <c r="B67" s="336"/>
      <c r="C67" s="326"/>
      <c r="D67" s="326"/>
      <c r="E67" s="326"/>
      <c r="F67" s="326"/>
      <c r="G67" s="326"/>
      <c r="H67" s="326"/>
      <c r="I67" s="326"/>
      <c r="J67" s="326"/>
      <c r="K67" s="326"/>
      <c r="L67" s="326"/>
      <c r="M67" s="326"/>
      <c r="N67" s="326"/>
      <c r="O67" s="326"/>
      <c r="P67" s="326"/>
      <c r="Q67" s="326"/>
      <c r="R67" s="326"/>
      <c r="S67" s="326"/>
      <c r="T67" s="326"/>
      <c r="U67" s="326"/>
      <c r="V67" s="327"/>
    </row>
    <row r="68" spans="1:22" ht="35.1" customHeight="1">
      <c r="A68" s="328" t="s">
        <v>337</v>
      </c>
      <c r="B68" s="767" t="s">
        <v>439</v>
      </c>
      <c r="C68" s="767"/>
      <c r="D68" s="767"/>
      <c r="E68" s="767"/>
      <c r="F68" s="767" t="s">
        <v>440</v>
      </c>
      <c r="G68" s="767"/>
      <c r="H68" s="767"/>
      <c r="I68" s="767" t="s">
        <v>444</v>
      </c>
      <c r="J68" s="767"/>
      <c r="K68" s="767" t="s">
        <v>441</v>
      </c>
      <c r="L68" s="767"/>
      <c r="M68" s="767" t="s">
        <v>442</v>
      </c>
      <c r="N68" s="767"/>
      <c r="O68" s="767" t="s">
        <v>443</v>
      </c>
      <c r="P68" s="767"/>
      <c r="Q68" s="383" t="s">
        <v>445</v>
      </c>
      <c r="R68" s="383" t="s">
        <v>446</v>
      </c>
      <c r="S68" s="384" t="s">
        <v>447</v>
      </c>
      <c r="T68" s="384" t="s">
        <v>448</v>
      </c>
      <c r="U68" s="768" t="s">
        <v>449</v>
      </c>
      <c r="V68" s="768"/>
    </row>
    <row r="69" spans="1:22" ht="38.450000000000003" customHeight="1">
      <c r="A69" s="324">
        <v>1</v>
      </c>
      <c r="B69" s="917" t="str">
        <f>IF(Data!AH5&gt;2,Data!G11,Data!K4)</f>
        <v>G MURALIMOHANA RAO</v>
      </c>
      <c r="C69" s="918"/>
      <c r="D69" s="918"/>
      <c r="E69" s="919"/>
      <c r="F69" s="773" t="str">
        <f>Data!R18</f>
        <v>XXXXX</v>
      </c>
      <c r="G69" s="773"/>
      <c r="H69" s="773"/>
      <c r="I69" s="894" t="str">
        <f>Data!R19</f>
        <v>SBI</v>
      </c>
      <c r="J69" s="894"/>
      <c r="K69" s="894" t="str">
        <f>Data!U19</f>
        <v>XXXX</v>
      </c>
      <c r="L69" s="894"/>
      <c r="M69" s="773" t="str">
        <f>Data!V18</f>
        <v>XXX</v>
      </c>
      <c r="N69" s="894"/>
      <c r="O69" s="887">
        <f>Data!Q17</f>
        <v>25000</v>
      </c>
      <c r="P69" s="887"/>
      <c r="Q69" s="329">
        <v>0</v>
      </c>
      <c r="R69" s="329">
        <v>0</v>
      </c>
      <c r="S69" s="329">
        <v>0</v>
      </c>
      <c r="T69" s="329">
        <v>0</v>
      </c>
      <c r="U69" s="888">
        <f>O69-SUM(Q69:T69)</f>
        <v>25000</v>
      </c>
      <c r="V69" s="915"/>
    </row>
    <row r="70" spans="1:22" ht="20.45" customHeight="1">
      <c r="A70" s="916"/>
      <c r="B70" s="916"/>
      <c r="C70" s="916"/>
      <c r="D70" s="916"/>
      <c r="E70" s="916"/>
      <c r="F70" s="916"/>
      <c r="G70" s="916"/>
      <c r="H70" s="916"/>
      <c r="I70" s="916"/>
      <c r="J70" s="916"/>
      <c r="K70" s="916"/>
      <c r="L70" s="916"/>
      <c r="M70" s="920" t="s">
        <v>467</v>
      </c>
      <c r="N70" s="920"/>
      <c r="O70" s="887">
        <f>O69</f>
        <v>25000</v>
      </c>
      <c r="P70" s="887"/>
      <c r="Q70" s="360">
        <f>Q69</f>
        <v>0</v>
      </c>
      <c r="R70" s="360">
        <f>R69</f>
        <v>0</v>
      </c>
      <c r="S70" s="360">
        <f>S69</f>
        <v>0</v>
      </c>
      <c r="T70" s="360">
        <f>T69</f>
        <v>0</v>
      </c>
      <c r="U70" s="888">
        <f>U69</f>
        <v>25000</v>
      </c>
      <c r="V70" s="889"/>
    </row>
    <row r="71" spans="1:22" ht="49.5" customHeight="1">
      <c r="A71" s="361" t="str">
        <f>""&amp;'R C'!B17&amp;""</f>
        <v>(Twenty five Thousand rupees only)</v>
      </c>
      <c r="B71" s="357"/>
      <c r="C71" s="358"/>
      <c r="D71" s="358"/>
      <c r="E71" s="358"/>
      <c r="F71" s="358"/>
      <c r="G71" s="358"/>
      <c r="H71" s="358"/>
      <c r="I71" s="358"/>
      <c r="J71" s="358"/>
      <c r="K71" s="358"/>
      <c r="L71" s="133"/>
      <c r="M71" s="133"/>
      <c r="N71" s="879" t="s">
        <v>450</v>
      </c>
      <c r="O71" s="879"/>
      <c r="P71" s="879"/>
      <c r="Q71" s="879"/>
      <c r="R71" s="879"/>
      <c r="S71" s="879"/>
      <c r="T71" s="879"/>
      <c r="U71" s="879"/>
      <c r="V71" s="880"/>
    </row>
    <row r="72" spans="1:22" ht="13.5" customHeight="1">
      <c r="A72" s="350"/>
      <c r="B72" s="333"/>
      <c r="C72" s="132"/>
      <c r="D72" s="132"/>
      <c r="E72" s="133"/>
      <c r="F72" s="133"/>
      <c r="G72" s="133"/>
      <c r="H72" s="129"/>
      <c r="I72" s="129"/>
      <c r="J72" s="129"/>
      <c r="K72" s="129"/>
      <c r="L72" s="129"/>
      <c r="M72" s="129"/>
      <c r="N72" s="130"/>
      <c r="O72" s="130"/>
      <c r="P72" s="131"/>
      <c r="Q72" s="130"/>
      <c r="R72" s="130"/>
      <c r="S72" s="130"/>
      <c r="T72" s="130"/>
      <c r="U72" s="130"/>
      <c r="V72" s="99"/>
    </row>
    <row r="73" spans="1:22" ht="15.6" customHeight="1">
      <c r="A73" s="884" t="s">
        <v>451</v>
      </c>
      <c r="B73" s="885"/>
      <c r="C73" s="885"/>
      <c r="D73" s="885"/>
      <c r="E73" s="885"/>
      <c r="F73" s="885"/>
      <c r="G73" s="885"/>
      <c r="H73" s="885"/>
      <c r="I73" s="885"/>
      <c r="J73" s="885"/>
      <c r="K73" s="885"/>
      <c r="L73" s="885"/>
      <c r="M73" s="885"/>
      <c r="N73" s="885"/>
      <c r="O73" s="885"/>
      <c r="P73" s="885"/>
      <c r="Q73" s="885"/>
      <c r="R73" s="885"/>
      <c r="S73" s="885"/>
      <c r="T73" s="885"/>
      <c r="U73" s="885"/>
      <c r="V73" s="99"/>
    </row>
    <row r="74" spans="1:22" ht="28.5" customHeight="1">
      <c r="A74" s="770" t="s">
        <v>452</v>
      </c>
      <c r="B74" s="771"/>
      <c r="C74" s="771"/>
      <c r="D74" s="771"/>
      <c r="E74" s="771"/>
      <c r="F74" s="771"/>
      <c r="G74" s="771"/>
      <c r="H74" s="771"/>
      <c r="I74" s="771"/>
      <c r="J74" s="771"/>
      <c r="K74" s="771"/>
      <c r="L74" s="771"/>
      <c r="M74" s="771"/>
      <c r="N74" s="771"/>
      <c r="O74" s="771"/>
      <c r="P74" s="771"/>
      <c r="Q74" s="771"/>
      <c r="R74" s="771"/>
      <c r="S74" s="771"/>
      <c r="T74" s="771"/>
      <c r="U74" s="771"/>
      <c r="V74" s="772"/>
    </row>
    <row r="75" spans="1:22" ht="26.45" customHeight="1">
      <c r="A75" s="770"/>
      <c r="B75" s="771"/>
      <c r="C75" s="771"/>
      <c r="D75" s="771"/>
      <c r="E75" s="771"/>
      <c r="F75" s="771"/>
      <c r="G75" s="771"/>
      <c r="H75" s="771"/>
      <c r="I75" s="771"/>
      <c r="J75" s="771"/>
      <c r="K75" s="771"/>
      <c r="L75" s="771"/>
      <c r="M75" s="771"/>
      <c r="N75" s="771"/>
      <c r="O75" s="771"/>
      <c r="P75" s="771"/>
      <c r="Q75" s="771"/>
      <c r="R75" s="771"/>
      <c r="S75" s="771"/>
      <c r="T75" s="771"/>
      <c r="U75" s="771"/>
      <c r="V75" s="772"/>
    </row>
    <row r="76" spans="1:22" ht="5.45" customHeight="1">
      <c r="A76" s="350"/>
      <c r="B76" s="124"/>
      <c r="C76" s="225"/>
      <c r="D76" s="124"/>
      <c r="E76" s="124"/>
      <c r="F76" s="124"/>
      <c r="G76" s="124"/>
      <c r="H76" s="124"/>
      <c r="I76" s="124"/>
      <c r="J76" s="124"/>
      <c r="K76" s="124"/>
      <c r="L76" s="124"/>
      <c r="M76" s="124"/>
      <c r="N76" s="124"/>
      <c r="O76" s="124"/>
      <c r="P76" s="124"/>
      <c r="Q76" s="124"/>
      <c r="R76" s="124"/>
      <c r="S76" s="124"/>
      <c r="T76" s="124"/>
      <c r="U76" s="124"/>
      <c r="V76" s="99"/>
    </row>
    <row r="77" spans="1:22" ht="15" customHeight="1">
      <c r="A77" s="212"/>
      <c r="B77" s="225"/>
      <c r="C77" s="225"/>
      <c r="D77" s="124"/>
      <c r="E77" s="225"/>
      <c r="F77" s="225"/>
      <c r="G77" s="124"/>
      <c r="H77" s="124"/>
      <c r="I77" s="124"/>
      <c r="J77" s="124"/>
      <c r="K77" s="124"/>
      <c r="L77" s="124"/>
      <c r="M77" s="124"/>
      <c r="O77" s="124"/>
      <c r="P77" s="124"/>
      <c r="Q77" s="124"/>
      <c r="R77" s="124"/>
      <c r="S77" s="124"/>
      <c r="T77" s="124"/>
      <c r="U77" s="124"/>
      <c r="V77" s="99"/>
    </row>
    <row r="78" spans="1:22">
      <c r="A78" s="230"/>
      <c r="B78" s="98"/>
      <c r="C78" s="225"/>
      <c r="D78" s="98"/>
      <c r="E78" s="225"/>
      <c r="F78" s="225"/>
      <c r="G78" s="98"/>
      <c r="H78" s="98"/>
      <c r="I78" s="98"/>
      <c r="J78" s="98"/>
      <c r="K78" s="98"/>
      <c r="L78" s="98"/>
      <c r="M78" s="98"/>
      <c r="N78" s="231"/>
      <c r="O78" s="231"/>
      <c r="P78" s="231"/>
      <c r="Q78" s="231"/>
      <c r="R78" s="231"/>
      <c r="S78" s="231"/>
      <c r="T78" s="231"/>
      <c r="U78" s="231"/>
      <c r="V78" s="99"/>
    </row>
    <row r="79" spans="1:22" ht="17.100000000000001" customHeight="1">
      <c r="A79" s="337" t="s">
        <v>345</v>
      </c>
      <c r="B79" s="338"/>
      <c r="C79" s="225"/>
      <c r="D79" s="98"/>
      <c r="E79" s="225"/>
      <c r="F79" s="225"/>
      <c r="G79" s="387"/>
      <c r="H79" s="387"/>
      <c r="I79" s="387"/>
      <c r="J79" s="387"/>
      <c r="K79" s="387"/>
      <c r="L79" s="387"/>
      <c r="M79" s="387"/>
      <c r="N79" s="124" t="s">
        <v>453</v>
      </c>
      <c r="O79" s="387"/>
      <c r="P79" s="387"/>
      <c r="Q79" s="387"/>
      <c r="R79" s="387"/>
      <c r="S79" s="387"/>
      <c r="T79" s="387"/>
      <c r="U79" s="387"/>
      <c r="V79" s="99"/>
    </row>
    <row r="80" spans="1:22" ht="15.95" customHeight="1">
      <c r="A80" s="232" t="s">
        <v>454</v>
      </c>
      <c r="B80" s="233"/>
      <c r="C80" s="225"/>
      <c r="D80" s="98"/>
      <c r="E80" s="225"/>
      <c r="F80" s="225"/>
      <c r="G80" s="893"/>
      <c r="H80" s="893"/>
      <c r="I80" s="893"/>
      <c r="J80" s="893"/>
      <c r="K80" s="893"/>
      <c r="L80" s="893"/>
      <c r="M80" s="893"/>
      <c r="N80" s="893"/>
      <c r="O80" s="893"/>
      <c r="P80" s="893"/>
      <c r="Q80" s="893"/>
      <c r="R80" s="893"/>
      <c r="S80" s="893"/>
      <c r="T80" s="893"/>
      <c r="U80" s="893"/>
      <c r="V80" s="99"/>
    </row>
    <row r="81" spans="1:22" ht="17.100000000000001" customHeight="1">
      <c r="A81" s="234" t="str">
        <f>""&amp;'R C'!B17&amp;""</f>
        <v>(Twenty five Thousand rupees only)</v>
      </c>
      <c r="B81" s="235"/>
      <c r="C81" s="115"/>
      <c r="D81" s="235"/>
      <c r="E81" s="115"/>
      <c r="F81" s="115"/>
      <c r="G81" s="235"/>
      <c r="H81" s="235"/>
      <c r="I81" s="235"/>
      <c r="J81" s="886"/>
      <c r="K81" s="886"/>
      <c r="L81" s="886"/>
      <c r="M81" s="886"/>
      <c r="N81" s="886"/>
      <c r="O81" s="886"/>
      <c r="P81" s="886"/>
      <c r="Q81" s="886"/>
      <c r="R81" s="886"/>
      <c r="S81" s="886"/>
      <c r="T81" s="886"/>
      <c r="U81" s="886"/>
      <c r="V81" s="134"/>
    </row>
    <row r="82" spans="1:22" ht="15.6" customHeight="1">
      <c r="A82" s="224"/>
      <c r="B82" s="121"/>
      <c r="C82" s="103"/>
      <c r="D82" s="104"/>
      <c r="E82" s="104"/>
      <c r="F82" s="104"/>
      <c r="G82" s="104"/>
      <c r="H82" s="104"/>
      <c r="I82" s="104"/>
      <c r="J82" s="121"/>
      <c r="K82" s="121"/>
      <c r="L82" s="121"/>
      <c r="M82" s="121"/>
      <c r="N82" s="121"/>
      <c r="O82" s="121"/>
      <c r="P82" s="121"/>
      <c r="Q82" s="121"/>
      <c r="R82" s="121"/>
      <c r="S82" s="121"/>
      <c r="T82" s="121"/>
      <c r="U82" s="121"/>
      <c r="V82" s="121"/>
    </row>
    <row r="83" spans="1:22" ht="15.95" customHeight="1">
      <c r="A83" s="224"/>
      <c r="B83" s="224"/>
      <c r="C83" s="224"/>
      <c r="D83" s="224"/>
      <c r="E83" s="224"/>
      <c r="F83" s="224"/>
      <c r="G83" s="224"/>
      <c r="H83" s="224"/>
      <c r="I83" s="224"/>
      <c r="J83" s="224"/>
      <c r="K83" s="224"/>
      <c r="L83" s="224"/>
      <c r="M83" s="224"/>
      <c r="N83" s="224"/>
      <c r="O83" s="224"/>
      <c r="P83" s="224"/>
      <c r="Q83" s="224"/>
      <c r="R83" s="224"/>
      <c r="S83" s="224"/>
      <c r="T83" s="224"/>
      <c r="U83" s="224"/>
      <c r="V83" s="224"/>
    </row>
    <row r="84" spans="1:22" ht="27.6" customHeight="1">
      <c r="A84" s="881" t="str">
        <f>" Designation of the Sanction Authority:- "&amp;Data!S10&amp;","&amp;Data!Q12</f>
        <v xml:space="preserve"> Designation of the Sanction Authority:- MEO,MP,G.L.PURAM</v>
      </c>
      <c r="B84" s="882"/>
      <c r="C84" s="882"/>
      <c r="D84" s="882"/>
      <c r="E84" s="882"/>
      <c r="F84" s="882"/>
      <c r="G84" s="882"/>
      <c r="H84" s="882"/>
      <c r="I84" s="882"/>
      <c r="J84" s="882"/>
      <c r="K84" s="882"/>
      <c r="L84" s="882"/>
      <c r="M84" s="882"/>
      <c r="N84" s="882"/>
      <c r="O84" s="882"/>
      <c r="P84" s="882"/>
      <c r="Q84" s="882"/>
      <c r="R84" s="882"/>
      <c r="S84" s="882"/>
      <c r="T84" s="882"/>
      <c r="U84" s="882"/>
      <c r="V84" s="883"/>
    </row>
    <row r="85" spans="1:22" ht="16.5" customHeight="1">
      <c r="A85" s="210" t="s">
        <v>455</v>
      </c>
      <c r="B85" s="330"/>
      <c r="C85" s="330"/>
      <c r="D85" s="330"/>
      <c r="E85" s="330"/>
      <c r="F85" s="330"/>
      <c r="G85" s="330"/>
      <c r="H85" s="330"/>
      <c r="I85" s="330"/>
      <c r="J85" s="330"/>
      <c r="K85" s="330"/>
      <c r="L85" s="330"/>
      <c r="M85" s="330"/>
      <c r="N85" s="330"/>
      <c r="O85" s="330"/>
      <c r="P85" s="330"/>
      <c r="Q85" s="330"/>
      <c r="R85" s="330"/>
      <c r="S85" s="330"/>
      <c r="T85" s="330"/>
      <c r="U85" s="330"/>
      <c r="V85" s="331"/>
    </row>
    <row r="86" spans="1:22" ht="3.6" customHeight="1">
      <c r="A86" s="210"/>
      <c r="B86" s="330"/>
      <c r="C86" s="330"/>
      <c r="D86" s="330"/>
      <c r="E86" s="330"/>
      <c r="F86" s="330"/>
      <c r="G86" s="330"/>
      <c r="H86" s="330"/>
      <c r="I86" s="330"/>
      <c r="J86" s="330"/>
      <c r="K86" s="330"/>
      <c r="L86" s="330"/>
      <c r="M86" s="330"/>
      <c r="N86" s="330"/>
      <c r="O86" s="330"/>
      <c r="P86" s="330"/>
      <c r="Q86" s="330"/>
      <c r="R86" s="330"/>
      <c r="S86" s="330"/>
      <c r="T86" s="330"/>
      <c r="U86" s="330"/>
      <c r="V86" s="331"/>
    </row>
    <row r="87" spans="1:22" ht="14.1" customHeight="1">
      <c r="A87" s="790" t="s">
        <v>280</v>
      </c>
      <c r="B87" s="791"/>
      <c r="C87" s="791"/>
      <c r="D87" s="791"/>
      <c r="E87" s="791"/>
      <c r="F87" s="791"/>
      <c r="G87" s="791"/>
      <c r="H87" s="791"/>
      <c r="I87" s="791"/>
      <c r="J87" s="791"/>
      <c r="K87" s="791"/>
      <c r="L87" s="791"/>
      <c r="M87" s="791"/>
      <c r="N87" s="791"/>
      <c r="O87" s="791"/>
      <c r="P87" s="791"/>
      <c r="Q87" s="791"/>
      <c r="R87" s="791"/>
      <c r="S87" s="791"/>
      <c r="T87" s="791"/>
      <c r="U87" s="791"/>
      <c r="V87" s="792"/>
    </row>
    <row r="88" spans="1:22" ht="21.75" customHeight="1">
      <c r="A88" s="332" t="s">
        <v>456</v>
      </c>
      <c r="B88" s="322"/>
      <c r="C88" s="322"/>
      <c r="D88" s="322"/>
      <c r="E88" s="322"/>
      <c r="F88" s="322"/>
      <c r="G88" s="322"/>
      <c r="H88" s="322"/>
      <c r="I88" s="322"/>
      <c r="J88" s="322"/>
      <c r="K88" s="322"/>
      <c r="L88" s="322"/>
      <c r="M88" s="322"/>
      <c r="N88" s="322"/>
      <c r="O88" s="322"/>
      <c r="P88" s="322"/>
      <c r="Q88" s="322"/>
      <c r="R88" s="322"/>
      <c r="S88" s="322"/>
      <c r="T88" s="322"/>
      <c r="U88" s="322"/>
      <c r="V88" s="323"/>
    </row>
    <row r="89" spans="1:22" ht="4.5" customHeight="1">
      <c r="A89" s="321"/>
      <c r="B89" s="322"/>
      <c r="C89" s="322"/>
      <c r="D89" s="322"/>
      <c r="E89" s="322"/>
      <c r="F89" s="322"/>
      <c r="G89" s="322"/>
      <c r="H89" s="322"/>
      <c r="I89" s="322"/>
      <c r="J89" s="322"/>
      <c r="K89" s="322"/>
      <c r="L89" s="322"/>
      <c r="M89" s="322"/>
      <c r="N89" s="322"/>
      <c r="O89" s="322"/>
      <c r="P89" s="322"/>
      <c r="Q89" s="322"/>
      <c r="R89" s="322"/>
      <c r="S89" s="322"/>
      <c r="T89" s="322"/>
      <c r="U89" s="322"/>
      <c r="V89" s="323"/>
    </row>
    <row r="90" spans="1:22" ht="17.45" customHeight="1">
      <c r="A90" s="790" t="s">
        <v>457</v>
      </c>
      <c r="B90" s="791"/>
      <c r="C90" s="791"/>
      <c r="D90" s="791"/>
      <c r="E90" s="791"/>
      <c r="F90" s="791"/>
      <c r="G90" s="791"/>
      <c r="H90" s="791"/>
      <c r="I90" s="791"/>
      <c r="J90" s="791"/>
      <c r="K90" s="791"/>
      <c r="L90" s="791"/>
      <c r="M90" s="791"/>
      <c r="N90" s="791"/>
      <c r="O90" s="791"/>
      <c r="P90" s="791"/>
      <c r="Q90" s="791"/>
      <c r="R90" s="791"/>
      <c r="S90" s="791"/>
      <c r="T90" s="791"/>
      <c r="U90" s="791"/>
      <c r="V90" s="792"/>
    </row>
    <row r="91" spans="1:22" ht="9.9499999999999993" customHeight="1">
      <c r="A91" s="211"/>
      <c r="B91" s="225"/>
      <c r="C91" s="225"/>
      <c r="D91" s="225"/>
      <c r="E91" s="225"/>
      <c r="F91" s="225"/>
      <c r="G91" s="225"/>
      <c r="H91" s="225"/>
      <c r="I91" s="225"/>
      <c r="J91" s="225"/>
      <c r="K91" s="225"/>
      <c r="L91" s="225"/>
      <c r="M91" s="225"/>
      <c r="N91" s="225"/>
      <c r="O91" s="225"/>
      <c r="P91" s="225"/>
      <c r="Q91" s="225"/>
      <c r="R91" s="225"/>
      <c r="S91" s="225"/>
      <c r="T91" s="225"/>
      <c r="U91" s="225"/>
      <c r="V91" s="101"/>
    </row>
    <row r="92" spans="1:22" ht="15" customHeight="1">
      <c r="A92" s="942" t="s">
        <v>509</v>
      </c>
      <c r="B92" s="943"/>
      <c r="C92" s="943"/>
      <c r="D92" s="943"/>
      <c r="E92" s="943"/>
      <c r="F92" s="943"/>
      <c r="G92" s="943"/>
      <c r="H92" s="943"/>
      <c r="I92" s="943"/>
      <c r="J92" s="943"/>
      <c r="K92" s="943"/>
      <c r="L92" s="943"/>
      <c r="M92" s="943"/>
      <c r="N92" s="943"/>
      <c r="O92" s="943"/>
      <c r="P92" s="943"/>
      <c r="Q92" s="943"/>
      <c r="R92" s="943"/>
      <c r="S92" s="943"/>
      <c r="T92" s="943"/>
      <c r="U92" s="943"/>
      <c r="V92" s="944"/>
    </row>
    <row r="93" spans="1:22" ht="24.95" customHeight="1">
      <c r="A93" s="942"/>
      <c r="B93" s="943"/>
      <c r="C93" s="943"/>
      <c r="D93" s="943"/>
      <c r="E93" s="943"/>
      <c r="F93" s="943"/>
      <c r="G93" s="943"/>
      <c r="H93" s="943"/>
      <c r="I93" s="943"/>
      <c r="J93" s="943"/>
      <c r="K93" s="943"/>
      <c r="L93" s="943"/>
      <c r="M93" s="943"/>
      <c r="N93" s="943"/>
      <c r="O93" s="943"/>
      <c r="P93" s="943"/>
      <c r="Q93" s="943"/>
      <c r="R93" s="943"/>
      <c r="S93" s="943"/>
      <c r="T93" s="943"/>
      <c r="U93" s="943"/>
      <c r="V93" s="944"/>
    </row>
    <row r="94" spans="1:22" ht="42.95" customHeight="1">
      <c r="A94" s="211"/>
      <c r="B94" s="225"/>
      <c r="C94" s="225"/>
      <c r="D94" s="225"/>
      <c r="E94" s="225"/>
      <c r="F94" s="225"/>
      <c r="G94" s="225"/>
      <c r="H94" s="225"/>
      <c r="I94" s="225"/>
      <c r="J94" s="225"/>
      <c r="K94" s="225"/>
      <c r="L94" s="225"/>
      <c r="M94" s="225"/>
      <c r="N94" s="225"/>
      <c r="O94" s="225"/>
      <c r="P94" s="225"/>
      <c r="Q94" s="225"/>
      <c r="R94" s="225"/>
      <c r="S94" s="225"/>
      <c r="T94" s="225"/>
      <c r="U94" s="225"/>
      <c r="V94" s="101"/>
    </row>
    <row r="95" spans="1:22" ht="24.6" customHeight="1">
      <c r="A95" s="211"/>
      <c r="B95" s="225"/>
      <c r="C95" s="225"/>
      <c r="D95" s="225"/>
      <c r="E95" s="225"/>
      <c r="F95" s="225"/>
      <c r="G95" s="225"/>
      <c r="H95" s="225"/>
      <c r="I95" s="225"/>
      <c r="J95" s="225"/>
      <c r="K95" s="225"/>
      <c r="L95" s="225"/>
      <c r="M95" s="225"/>
      <c r="N95" s="225"/>
      <c r="O95" s="225"/>
      <c r="P95" s="225"/>
      <c r="Q95" s="225"/>
      <c r="R95" s="236" t="s">
        <v>450</v>
      </c>
      <c r="S95" s="225"/>
      <c r="T95" s="225"/>
      <c r="U95" s="225"/>
      <c r="V95" s="101"/>
    </row>
    <row r="96" spans="1:22" ht="24" customHeight="1">
      <c r="A96" s="211"/>
      <c r="B96" s="225"/>
      <c r="C96" s="225"/>
      <c r="D96" s="225"/>
      <c r="E96" s="225"/>
      <c r="F96" s="225"/>
      <c r="G96" s="225"/>
      <c r="H96" s="225"/>
      <c r="I96" s="225"/>
      <c r="J96" s="225"/>
      <c r="K96" s="225"/>
      <c r="L96" s="225"/>
      <c r="M96" s="225"/>
      <c r="N96" s="225"/>
      <c r="O96" s="225"/>
      <c r="P96" s="225"/>
      <c r="Q96" s="225"/>
      <c r="R96" s="225"/>
      <c r="S96" s="225"/>
      <c r="T96" s="225"/>
      <c r="U96" s="225"/>
      <c r="V96" s="101"/>
    </row>
    <row r="97" spans="1:22" ht="20.45" customHeight="1">
      <c r="A97" s="793" t="s">
        <v>458</v>
      </c>
      <c r="B97" s="794"/>
      <c r="C97" s="794"/>
      <c r="D97" s="794"/>
      <c r="E97" s="794"/>
      <c r="F97" s="794"/>
      <c r="G97" s="794"/>
      <c r="H97" s="794"/>
      <c r="I97" s="794"/>
      <c r="J97" s="794"/>
      <c r="K97" s="794"/>
      <c r="L97" s="794"/>
      <c r="M97" s="794"/>
      <c r="N97" s="794"/>
      <c r="O97" s="794"/>
      <c r="P97" s="794"/>
      <c r="Q97" s="794"/>
      <c r="R97" s="794"/>
      <c r="S97" s="794"/>
      <c r="T97" s="794"/>
      <c r="U97" s="794"/>
      <c r="V97" s="795"/>
    </row>
    <row r="98" spans="1:22" ht="15.95" customHeight="1">
      <c r="A98" s="237"/>
      <c r="B98" s="238"/>
      <c r="C98" s="238"/>
      <c r="D98" s="238"/>
      <c r="E98" s="238"/>
      <c r="F98" s="238"/>
      <c r="G98" s="238"/>
      <c r="H98" s="238"/>
      <c r="I98" s="238"/>
      <c r="J98" s="238"/>
      <c r="K98" s="238"/>
      <c r="L98" s="238"/>
      <c r="M98" s="238"/>
      <c r="N98" s="238"/>
      <c r="O98" s="238"/>
      <c r="P98" s="238"/>
      <c r="Q98" s="238"/>
      <c r="R98" s="238"/>
      <c r="S98" s="238"/>
      <c r="T98" s="238"/>
      <c r="U98" s="238"/>
      <c r="V98" s="239"/>
    </row>
    <row r="99" spans="1:22" ht="18" customHeight="1">
      <c r="A99" s="211" t="s">
        <v>459</v>
      </c>
      <c r="B99" s="240"/>
      <c r="C99" s="240"/>
      <c r="D99" s="225"/>
      <c r="E99" s="225"/>
      <c r="F99" s="225"/>
      <c r="G99" s="225"/>
      <c r="H99" s="225"/>
      <c r="I99" s="225"/>
      <c r="J99" s="225"/>
      <c r="K99" s="225"/>
      <c r="L99" s="225"/>
      <c r="M99" s="225"/>
      <c r="N99" s="225"/>
      <c r="O99" s="225"/>
      <c r="P99" s="225"/>
      <c r="Q99" s="225"/>
      <c r="R99" s="225"/>
      <c r="S99" s="225"/>
      <c r="T99" s="225"/>
      <c r="U99" s="225"/>
      <c r="V99" s="101"/>
    </row>
    <row r="100" spans="1:22" ht="28.5" customHeight="1">
      <c r="A100" s="211" t="s">
        <v>460</v>
      </c>
      <c r="B100" s="240"/>
      <c r="C100" s="240"/>
      <c r="D100" s="225"/>
      <c r="E100" s="225"/>
      <c r="F100" s="225"/>
      <c r="G100" s="225"/>
      <c r="H100" s="225"/>
      <c r="I100" s="225"/>
      <c r="J100" s="225"/>
      <c r="K100" s="225"/>
      <c r="L100" s="225"/>
      <c r="M100" s="225"/>
      <c r="N100" s="225"/>
      <c r="O100" s="225"/>
      <c r="P100" s="225"/>
      <c r="Q100" s="225"/>
      <c r="R100" s="225"/>
      <c r="S100" s="225"/>
      <c r="T100" s="225"/>
      <c r="U100" s="225"/>
      <c r="V100" s="101"/>
    </row>
    <row r="101" spans="1:22" ht="26.45" customHeight="1">
      <c r="A101" s="211" t="s">
        <v>461</v>
      </c>
      <c r="B101" s="240"/>
      <c r="C101" s="240"/>
      <c r="D101" s="225"/>
      <c r="E101" s="225"/>
      <c r="F101" s="225"/>
      <c r="G101" s="225"/>
      <c r="H101" s="225"/>
      <c r="I101" s="225"/>
      <c r="J101" s="225"/>
      <c r="K101" s="225"/>
      <c r="L101" s="225"/>
      <c r="M101" s="225"/>
      <c r="N101" s="225"/>
      <c r="O101" s="225"/>
      <c r="P101" s="225"/>
      <c r="Q101" s="225"/>
      <c r="R101" s="225"/>
      <c r="S101" s="225"/>
      <c r="T101" s="225"/>
      <c r="U101" s="225"/>
      <c r="V101" s="101"/>
    </row>
    <row r="102" spans="1:22" ht="20.100000000000001" customHeight="1">
      <c r="A102" s="211" t="s">
        <v>460</v>
      </c>
      <c r="B102" s="225"/>
      <c r="C102" s="225"/>
      <c r="D102" s="225"/>
      <c r="E102" s="225"/>
      <c r="F102" s="225"/>
      <c r="G102" s="225"/>
      <c r="H102" s="225"/>
      <c r="I102" s="225"/>
      <c r="J102" s="225"/>
      <c r="K102" s="225"/>
      <c r="L102" s="225"/>
      <c r="M102" s="225"/>
      <c r="N102" s="225"/>
      <c r="O102" s="225"/>
      <c r="P102" s="225"/>
      <c r="Q102" s="225"/>
      <c r="R102" s="225"/>
      <c r="S102" s="225"/>
      <c r="T102" s="225"/>
      <c r="U102" s="225"/>
      <c r="V102" s="101"/>
    </row>
    <row r="103" spans="1:22" ht="27" customHeight="1">
      <c r="A103" s="211" t="s">
        <v>462</v>
      </c>
      <c r="B103" s="225"/>
      <c r="C103" s="225"/>
      <c r="D103" s="225"/>
      <c r="E103" s="225"/>
      <c r="F103" s="225"/>
      <c r="G103" s="225"/>
      <c r="H103" s="225"/>
      <c r="I103" s="225"/>
      <c r="J103" s="225"/>
      <c r="K103" s="225"/>
      <c r="L103" s="225"/>
      <c r="M103" s="225"/>
      <c r="N103" s="225"/>
      <c r="O103" s="225"/>
      <c r="P103" s="225"/>
      <c r="Q103" s="225"/>
      <c r="R103" s="225"/>
      <c r="S103" s="225"/>
      <c r="T103" s="225"/>
      <c r="U103" s="225"/>
      <c r="V103" s="101"/>
    </row>
    <row r="104" spans="1:22" ht="12" customHeight="1">
      <c r="A104" s="211"/>
      <c r="B104" s="225"/>
      <c r="C104" s="225"/>
      <c r="D104" s="225"/>
      <c r="E104" s="225"/>
      <c r="F104" s="225"/>
      <c r="G104" s="225"/>
      <c r="H104" s="225"/>
      <c r="I104" s="225"/>
      <c r="J104" s="225"/>
      <c r="K104" s="225"/>
      <c r="L104" s="225"/>
      <c r="M104" s="225"/>
      <c r="N104" s="225"/>
      <c r="O104" s="225"/>
      <c r="P104" s="225"/>
      <c r="Q104" s="225"/>
      <c r="R104" s="225"/>
      <c r="S104" s="225"/>
      <c r="T104" s="225"/>
      <c r="U104" s="225"/>
      <c r="V104" s="101"/>
    </row>
    <row r="105" spans="1:22" ht="36.950000000000003" customHeight="1">
      <c r="A105" s="964" t="str">
        <f>"Passed for Rs."&amp;U69&amp;""&amp;A71&amp;" Paid By Cash/ Adjustment/ Cheque/ Draft."</f>
        <v>Passed for Rs.25000(Twenty five Thousand rupees only) Paid By Cash/ Adjustment/ Cheque/ Draft.</v>
      </c>
      <c r="B105" s="965"/>
      <c r="C105" s="965"/>
      <c r="D105" s="965"/>
      <c r="E105" s="965"/>
      <c r="F105" s="965"/>
      <c r="G105" s="965"/>
      <c r="H105" s="965"/>
      <c r="I105" s="965"/>
      <c r="J105" s="965"/>
      <c r="K105" s="965"/>
      <c r="L105" s="965"/>
      <c r="M105" s="965"/>
      <c r="N105" s="965"/>
      <c r="O105" s="965"/>
      <c r="P105" s="965"/>
      <c r="Q105" s="965"/>
      <c r="R105" s="965"/>
      <c r="S105" s="965"/>
      <c r="T105" s="965"/>
      <c r="U105" s="965"/>
      <c r="V105" s="966"/>
    </row>
    <row r="106" spans="1:22" ht="48.95" customHeight="1">
      <c r="A106" s="211"/>
      <c r="B106" s="225"/>
      <c r="C106" s="225"/>
      <c r="D106" s="225"/>
      <c r="E106" s="225"/>
      <c r="F106" s="225"/>
      <c r="G106" s="225"/>
      <c r="H106" s="225"/>
      <c r="I106" s="225"/>
      <c r="J106" s="225"/>
      <c r="K106" s="225"/>
      <c r="L106" s="225"/>
      <c r="M106" s="225"/>
      <c r="N106" s="225"/>
      <c r="O106" s="225"/>
      <c r="P106" s="225"/>
      <c r="Q106" s="225"/>
      <c r="R106" s="225"/>
      <c r="S106" s="225"/>
      <c r="T106" s="225"/>
      <c r="U106" s="225"/>
      <c r="V106" s="101"/>
    </row>
    <row r="107" spans="1:22" ht="18.95" customHeight="1">
      <c r="A107" s="211"/>
      <c r="B107" s="225"/>
      <c r="C107" s="225"/>
      <c r="D107" s="225"/>
      <c r="E107" s="225"/>
      <c r="F107" s="225"/>
      <c r="G107" s="225"/>
      <c r="H107" s="225"/>
      <c r="I107" s="225"/>
      <c r="J107" s="225"/>
      <c r="K107" s="225"/>
      <c r="L107" s="225"/>
      <c r="M107" s="225"/>
      <c r="N107" s="225"/>
      <c r="O107" s="225"/>
      <c r="P107" s="334" t="s">
        <v>450</v>
      </c>
      <c r="Q107" s="225"/>
      <c r="R107" s="225"/>
      <c r="S107" s="225"/>
      <c r="T107" s="225"/>
      <c r="U107" s="225"/>
      <c r="V107" s="101"/>
    </row>
    <row r="108" spans="1:22" ht="11.1" customHeight="1">
      <c r="A108" s="211"/>
      <c r="B108" s="225"/>
      <c r="C108" s="225"/>
      <c r="D108" s="225"/>
      <c r="E108" s="225"/>
      <c r="F108" s="225"/>
      <c r="G108" s="225"/>
      <c r="H108" s="225"/>
      <c r="I108" s="225"/>
      <c r="J108" s="225"/>
      <c r="K108" s="225"/>
      <c r="L108" s="225"/>
      <c r="M108" s="225"/>
      <c r="N108" s="225"/>
      <c r="O108" s="225"/>
      <c r="P108" s="225"/>
      <c r="Q108" s="225"/>
      <c r="R108" s="225"/>
      <c r="S108" s="225"/>
      <c r="T108" s="225"/>
      <c r="U108" s="225"/>
      <c r="V108" s="101"/>
    </row>
    <row r="109" spans="1:22" ht="16.5" customHeight="1">
      <c r="A109" s="211"/>
      <c r="B109" s="225"/>
      <c r="C109" s="225"/>
      <c r="D109" s="225"/>
      <c r="E109" s="225"/>
      <c r="F109" s="225"/>
      <c r="G109" s="225"/>
      <c r="H109" s="225"/>
      <c r="I109" s="225"/>
      <c r="J109" s="225"/>
      <c r="K109" s="225"/>
      <c r="L109" s="225"/>
      <c r="M109" s="225"/>
      <c r="N109" s="225"/>
      <c r="O109" s="225"/>
      <c r="P109" s="225"/>
      <c r="Q109" s="225"/>
      <c r="R109" s="225"/>
      <c r="S109" s="225"/>
      <c r="T109" s="225"/>
      <c r="U109" s="225"/>
      <c r="V109" s="101"/>
    </row>
    <row r="110" spans="1:22" ht="35.450000000000003" customHeight="1">
      <c r="A110" s="241"/>
      <c r="B110" s="115"/>
      <c r="C110" s="115"/>
      <c r="D110" s="115"/>
      <c r="E110" s="115"/>
      <c r="F110" s="115"/>
      <c r="G110" s="115"/>
      <c r="H110" s="115"/>
      <c r="I110" s="115"/>
      <c r="J110" s="115"/>
      <c r="K110" s="115"/>
      <c r="L110" s="115"/>
      <c r="M110" s="115"/>
      <c r="N110" s="115"/>
      <c r="O110" s="115"/>
      <c r="P110" s="115"/>
      <c r="Q110" s="115"/>
      <c r="R110" s="115"/>
      <c r="S110" s="115"/>
      <c r="T110" s="115"/>
      <c r="U110" s="115"/>
      <c r="V110" s="116"/>
    </row>
    <row r="111" spans="1:22" ht="11.1" customHeight="1"/>
    <row r="112" spans="1:22" ht="12.95" customHeight="1">
      <c r="A112" s="224"/>
      <c r="B112" s="224"/>
      <c r="C112" s="224"/>
      <c r="D112" s="224"/>
      <c r="E112" s="224"/>
      <c r="F112" s="224"/>
      <c r="G112" s="224"/>
      <c r="H112" s="224"/>
      <c r="I112" s="224"/>
      <c r="J112" s="224"/>
      <c r="K112" s="224"/>
      <c r="L112" s="224"/>
      <c r="M112" s="224"/>
      <c r="N112" s="224"/>
      <c r="O112" s="224"/>
      <c r="P112" s="224"/>
      <c r="Q112" s="224"/>
      <c r="R112" s="224"/>
      <c r="S112" s="224"/>
      <c r="T112" s="224"/>
      <c r="U112" s="224"/>
      <c r="V112" s="224"/>
    </row>
    <row r="113" spans="1:22" ht="15.6" hidden="1" customHeight="1">
      <c r="A113" s="224"/>
      <c r="B113" s="224"/>
      <c r="C113" s="224"/>
      <c r="D113" s="224"/>
      <c r="E113" s="224"/>
      <c r="F113" s="224"/>
      <c r="G113" s="224"/>
      <c r="H113" s="224"/>
      <c r="I113" s="224"/>
      <c r="J113" s="224"/>
      <c r="K113" s="224"/>
      <c r="L113" s="224"/>
      <c r="M113" s="224"/>
      <c r="N113" s="224"/>
      <c r="O113" s="224"/>
      <c r="P113" s="224"/>
      <c r="Q113" s="224"/>
      <c r="R113" s="224"/>
      <c r="S113" s="224"/>
      <c r="T113" s="224"/>
      <c r="U113" s="224"/>
      <c r="V113" s="224"/>
    </row>
    <row r="114" spans="1:22" ht="18.75">
      <c r="A114" s="769" t="s">
        <v>324</v>
      </c>
      <c r="B114" s="769"/>
      <c r="C114" s="769"/>
      <c r="D114" s="769"/>
      <c r="E114" s="769"/>
      <c r="F114" s="769"/>
      <c r="G114" s="769"/>
      <c r="H114" s="769"/>
      <c r="I114" s="769"/>
      <c r="J114" s="769"/>
      <c r="K114" s="769"/>
      <c r="L114" s="769"/>
      <c r="M114" s="769"/>
      <c r="N114" s="769"/>
      <c r="O114" s="769"/>
      <c r="P114" s="769"/>
      <c r="Q114" s="769"/>
      <c r="R114" s="769"/>
      <c r="S114" s="769"/>
      <c r="T114" s="769"/>
      <c r="U114" s="769"/>
      <c r="V114" s="769"/>
    </row>
    <row r="115" spans="1:22" ht="37.5" customHeight="1">
      <c r="A115" s="945" t="str">
        <f>UPPER("FOR THE MONTH OF "&amp; Data!AH13)</f>
        <v>FOR THE MONTH OF AUG-2019</v>
      </c>
      <c r="B115" s="945"/>
      <c r="C115" s="945"/>
      <c r="D115" s="945"/>
      <c r="E115" s="945"/>
      <c r="F115" s="945"/>
      <c r="G115" s="945"/>
      <c r="H115" s="945"/>
      <c r="I115" s="945"/>
      <c r="J115" s="945"/>
      <c r="K115" s="945"/>
      <c r="L115" s="945"/>
      <c r="M115" s="945"/>
      <c r="N115" s="945"/>
      <c r="O115" s="945"/>
      <c r="P115" s="945"/>
      <c r="Q115" s="945"/>
      <c r="R115" s="945"/>
      <c r="S115" s="945"/>
      <c r="T115" s="945"/>
      <c r="U115" s="945"/>
      <c r="V115" s="945"/>
    </row>
    <row r="116" spans="1:22" ht="21.95" customHeight="1">
      <c r="A116" s="174" t="str">
        <f>"Name of the N.P.B:"&amp;(Data!D20)&amp;"                                  TRANS ID.NO:"</f>
        <v>Name of the N.P.B:SBI SANGAREDDY                                  TRANS ID.NO:</v>
      </c>
      <c r="B116" s="174"/>
      <c r="C116" s="174"/>
      <c r="D116" s="174"/>
      <c r="E116" s="174"/>
      <c r="F116" s="174"/>
      <c r="G116" s="174"/>
      <c r="H116" s="174"/>
      <c r="I116" s="270"/>
      <c r="J116" s="270"/>
      <c r="K116" s="270"/>
      <c r="L116" s="270"/>
      <c r="M116" s="270"/>
      <c r="N116" s="270"/>
      <c r="O116" s="270"/>
      <c r="P116" s="270"/>
      <c r="Q116" s="270"/>
      <c r="R116" s="270"/>
      <c r="S116" s="270"/>
      <c r="T116" s="270"/>
      <c r="U116" s="270"/>
      <c r="V116" s="270"/>
    </row>
    <row r="117" spans="1:22" ht="21.95" customHeight="1">
      <c r="A117" s="174" t="str">
        <f>"DDO Code: "&amp;(E49)&amp;"                                                            DATE:"</f>
        <v>DDO Code: XXX                                                            DATE:</v>
      </c>
      <c r="B117" s="174"/>
      <c r="C117" s="174"/>
      <c r="D117" s="174"/>
      <c r="E117" s="174"/>
      <c r="F117" s="174"/>
      <c r="G117" s="174"/>
      <c r="H117" s="174"/>
      <c r="I117" s="270"/>
      <c r="J117" s="270"/>
      <c r="K117" s="270"/>
      <c r="L117" s="270"/>
      <c r="M117" s="270"/>
      <c r="N117" s="270"/>
      <c r="O117" s="270"/>
      <c r="P117" s="270"/>
      <c r="Q117" s="270"/>
      <c r="R117" s="270"/>
      <c r="S117" s="270"/>
      <c r="T117" s="270"/>
      <c r="U117" s="270"/>
      <c r="V117" s="270"/>
    </row>
    <row r="118" spans="1:22" ht="21.95" customHeight="1">
      <c r="A118" s="174" t="str">
        <f>"DDO Name :  "&amp;Data!S10 &amp;" ," &amp;Data!Q12</f>
        <v>DDO Name :  MEO ,MP,G.L.PURAM</v>
      </c>
      <c r="B118" s="174"/>
      <c r="C118" s="174"/>
      <c r="D118" s="174"/>
      <c r="E118" s="174"/>
      <c r="F118" s="174"/>
      <c r="G118" s="174"/>
      <c r="H118" s="174"/>
      <c r="I118" s="270"/>
      <c r="J118" s="270"/>
      <c r="K118" s="270"/>
      <c r="L118" s="270"/>
      <c r="M118" s="270"/>
      <c r="N118" s="270"/>
      <c r="O118" s="270"/>
      <c r="P118" s="270"/>
      <c r="Q118" s="270"/>
      <c r="R118" s="270"/>
      <c r="S118" s="270"/>
      <c r="T118" s="270"/>
      <c r="U118" s="270"/>
      <c r="V118" s="270"/>
    </row>
    <row r="119" spans="1:22" ht="7.5" customHeight="1">
      <c r="A119" s="174"/>
      <c r="B119" s="174"/>
      <c r="C119" s="174"/>
      <c r="D119" s="174"/>
      <c r="E119" s="174"/>
      <c r="F119" s="174"/>
      <c r="G119" s="174"/>
      <c r="H119" s="174"/>
      <c r="I119" s="270"/>
      <c r="J119" s="270"/>
      <c r="K119" s="270"/>
      <c r="L119" s="270"/>
      <c r="M119" s="270"/>
      <c r="N119" s="270"/>
      <c r="O119" s="270"/>
      <c r="P119" s="270"/>
      <c r="Q119" s="270"/>
      <c r="R119" s="270"/>
      <c r="S119" s="270"/>
      <c r="T119" s="270"/>
      <c r="U119" s="270"/>
      <c r="V119" s="270"/>
    </row>
    <row r="120" spans="1:22" ht="69" customHeight="1">
      <c r="A120" s="376" t="s">
        <v>325</v>
      </c>
      <c r="B120" s="187" t="s">
        <v>513</v>
      </c>
      <c r="C120" s="751" t="str">
        <f>IF(Data!AH5&gt;2,"Name","Name of the Employee")</f>
        <v>Name of the Employee</v>
      </c>
      <c r="D120" s="751"/>
      <c r="E120" s="751"/>
      <c r="F120" s="751"/>
      <c r="G120" s="751"/>
      <c r="H120" s="751" t="s">
        <v>326</v>
      </c>
      <c r="I120" s="751"/>
      <c r="J120" s="751"/>
      <c r="K120" s="751" t="s">
        <v>327</v>
      </c>
      <c r="L120" s="751"/>
      <c r="M120" s="751"/>
      <c r="N120" s="751"/>
      <c r="O120" s="751" t="s">
        <v>328</v>
      </c>
      <c r="P120" s="751"/>
      <c r="Q120" s="751"/>
      <c r="R120" s="751"/>
      <c r="S120" s="751" t="s">
        <v>329</v>
      </c>
      <c r="T120" s="751"/>
      <c r="U120" s="751"/>
      <c r="V120" s="751"/>
    </row>
    <row r="121" spans="1:22" ht="62.1" customHeight="1">
      <c r="A121" s="377">
        <v>1</v>
      </c>
      <c r="B121" s="187" t="str">
        <f>IF(Data!V7="",A121,Data!V7)</f>
        <v>24-009256/SP</v>
      </c>
      <c r="C121" s="751" t="str">
        <f>IF(Data!AH5&gt;2,Data!G11,Data!K4)</f>
        <v>G MURALIMOHANA RAO</v>
      </c>
      <c r="D121" s="751"/>
      <c r="E121" s="751"/>
      <c r="F121" s="751"/>
      <c r="G121" s="751"/>
      <c r="H121" s="751" t="str">
        <f>IF(Data!AH5&gt;2,"F.Pensioner",'R C'!DI31)</f>
        <v xml:space="preserve"> Rtd ,S.G.T</v>
      </c>
      <c r="I121" s="751"/>
      <c r="J121" s="751"/>
      <c r="K121" s="752" t="str">
        <f>Data!R18</f>
        <v>XXXXX</v>
      </c>
      <c r="L121" s="751"/>
      <c r="M121" s="751"/>
      <c r="N121" s="751"/>
      <c r="O121" s="751" t="str">
        <f>Data!R19</f>
        <v>SBI</v>
      </c>
      <c r="P121" s="751"/>
      <c r="Q121" s="751"/>
      <c r="R121" s="751"/>
      <c r="S121" s="947">
        <f>'R C'!A17</f>
        <v>25000</v>
      </c>
      <c r="T121" s="948"/>
      <c r="U121" s="948"/>
      <c r="V121" s="948"/>
    </row>
    <row r="122" spans="1:22" ht="22.5" customHeight="1">
      <c r="A122" s="949" t="s">
        <v>330</v>
      </c>
      <c r="B122" s="949"/>
      <c r="C122" s="949"/>
      <c r="D122" s="949"/>
      <c r="E122" s="949"/>
      <c r="F122" s="949"/>
      <c r="G122" s="949"/>
      <c r="H122" s="949"/>
      <c r="I122" s="949"/>
      <c r="J122" s="949"/>
      <c r="K122" s="949"/>
      <c r="L122" s="949"/>
      <c r="M122" s="949"/>
      <c r="N122" s="949"/>
      <c r="O122" s="949"/>
      <c r="P122" s="949"/>
      <c r="Q122" s="949"/>
      <c r="R122" s="949"/>
      <c r="S122" s="961">
        <f>S121</f>
        <v>25000</v>
      </c>
      <c r="T122" s="962"/>
      <c r="U122" s="962"/>
      <c r="V122" s="963"/>
    </row>
    <row r="123" spans="1:22" ht="7.5" customHeight="1">
      <c r="A123" s="175"/>
      <c r="B123" s="175"/>
      <c r="C123" s="175"/>
      <c r="D123" s="175"/>
      <c r="E123" s="175"/>
      <c r="F123" s="175"/>
      <c r="G123" s="175"/>
      <c r="H123" s="175"/>
      <c r="I123" s="175"/>
      <c r="J123" s="175"/>
      <c r="K123" s="175"/>
      <c r="L123" s="175"/>
      <c r="M123" s="175"/>
      <c r="N123" s="175"/>
      <c r="O123" s="175"/>
      <c r="P123" s="175"/>
      <c r="Q123" s="175"/>
      <c r="R123" s="175"/>
      <c r="S123" s="271"/>
      <c r="T123" s="271"/>
      <c r="U123" s="271"/>
      <c r="V123" s="271"/>
    </row>
    <row r="124" spans="1:22" ht="18.75" customHeight="1">
      <c r="A124" s="968" t="str">
        <f>" In Words: "&amp;'R C'!B17</f>
        <v xml:space="preserve"> In Words: (Twenty five Thousand rupees only)</v>
      </c>
      <c r="B124" s="968"/>
      <c r="C124" s="968"/>
      <c r="D124" s="968"/>
      <c r="E124" s="968"/>
      <c r="F124" s="968"/>
      <c r="G124" s="968"/>
      <c r="H124" s="968"/>
      <c r="I124" s="968"/>
      <c r="J124" s="968"/>
      <c r="K124" s="968"/>
      <c r="L124" s="968"/>
      <c r="M124" s="968"/>
      <c r="N124" s="968"/>
      <c r="O124" s="968"/>
      <c r="P124" s="968"/>
      <c r="Q124" s="968"/>
      <c r="R124" s="968"/>
      <c r="S124" s="968"/>
      <c r="T124" s="968"/>
      <c r="U124" s="968"/>
      <c r="V124" s="968"/>
    </row>
    <row r="125" spans="1:22" ht="21" customHeight="1">
      <c r="A125" s="968"/>
      <c r="B125" s="968"/>
      <c r="C125" s="968"/>
      <c r="D125" s="968"/>
      <c r="E125" s="968"/>
      <c r="F125" s="968"/>
      <c r="G125" s="968"/>
      <c r="H125" s="968"/>
      <c r="I125" s="968"/>
      <c r="J125" s="968"/>
      <c r="K125" s="968"/>
      <c r="L125" s="968"/>
      <c r="M125" s="968"/>
      <c r="N125" s="968"/>
      <c r="O125" s="968"/>
      <c r="P125" s="968"/>
      <c r="Q125" s="968"/>
      <c r="R125" s="968"/>
      <c r="S125" s="968"/>
      <c r="T125" s="968"/>
      <c r="U125" s="968"/>
      <c r="V125" s="968"/>
    </row>
    <row r="126" spans="1:22">
      <c r="A126" s="810"/>
      <c r="B126" s="810"/>
      <c r="C126" s="810"/>
      <c r="D126" s="810"/>
      <c r="E126" s="810"/>
      <c r="F126" s="810"/>
      <c r="G126" s="810"/>
      <c r="H126" s="810"/>
      <c r="I126" s="810"/>
      <c r="J126" s="810"/>
      <c r="K126" s="810"/>
      <c r="L126" s="810"/>
      <c r="M126" s="810"/>
      <c r="N126" s="810"/>
      <c r="O126" s="810"/>
      <c r="P126" s="810"/>
      <c r="Q126" s="810"/>
      <c r="R126" s="810"/>
      <c r="S126" s="810"/>
      <c r="T126" s="810"/>
      <c r="U126" s="810"/>
      <c r="V126" s="810"/>
    </row>
    <row r="127" spans="1:22" ht="15" customHeight="1">
      <c r="A127" s="946" t="s">
        <v>331</v>
      </c>
      <c r="B127" s="946"/>
      <c r="C127" s="946"/>
      <c r="D127" s="946"/>
      <c r="E127" s="946"/>
      <c r="F127" s="176"/>
      <c r="G127" s="176"/>
      <c r="H127" s="177"/>
      <c r="I127" s="272"/>
      <c r="J127" s="272"/>
      <c r="K127" s="272"/>
      <c r="L127" s="272"/>
      <c r="M127" s="272"/>
      <c r="N127" s="272"/>
      <c r="O127" s="799" t="s">
        <v>332</v>
      </c>
      <c r="P127" s="799"/>
      <c r="Q127" s="799"/>
      <c r="R127" s="799"/>
      <c r="S127" s="799"/>
      <c r="T127" s="799"/>
      <c r="U127" s="799"/>
      <c r="V127" s="799"/>
    </row>
    <row r="128" spans="1:22" ht="19.5" customHeight="1">
      <c r="A128" s="946"/>
      <c r="B128" s="946"/>
      <c r="C128" s="946"/>
      <c r="D128" s="946"/>
      <c r="E128" s="946"/>
      <c r="F128" s="179"/>
      <c r="G128" s="179"/>
      <c r="H128" s="180"/>
      <c r="I128" s="272"/>
      <c r="J128" s="272"/>
      <c r="K128" s="272"/>
      <c r="L128" s="272"/>
      <c r="M128" s="272"/>
      <c r="N128" s="272"/>
      <c r="O128" s="799"/>
      <c r="P128" s="799"/>
      <c r="Q128" s="799"/>
      <c r="R128" s="799"/>
      <c r="S128" s="799"/>
      <c r="T128" s="799"/>
      <c r="U128" s="799"/>
      <c r="V128" s="799"/>
    </row>
    <row r="129" spans="1:22" ht="15.75" customHeight="1">
      <c r="A129" s="178"/>
      <c r="B129" s="181"/>
      <c r="C129" s="182"/>
      <c r="D129" s="183"/>
      <c r="E129" s="181"/>
      <c r="F129" s="224"/>
      <c r="G129" s="224"/>
      <c r="H129" s="178"/>
      <c r="I129" s="224"/>
      <c r="J129" s="224"/>
      <c r="K129" s="224"/>
      <c r="L129" s="224"/>
      <c r="M129" s="224"/>
      <c r="N129" s="224"/>
      <c r="O129" s="224"/>
      <c r="P129" s="224"/>
      <c r="Q129" s="224"/>
      <c r="R129" s="224"/>
      <c r="S129" s="224"/>
      <c r="T129" s="224"/>
      <c r="U129" s="224"/>
      <c r="V129" s="224"/>
    </row>
    <row r="130" spans="1:22">
      <c r="A130" s="184" t="s">
        <v>333</v>
      </c>
      <c r="B130" s="185"/>
      <c r="C130" s="185"/>
      <c r="D130" s="185"/>
      <c r="E130" s="185"/>
      <c r="F130" s="185"/>
      <c r="G130" s="185"/>
      <c r="H130" s="185"/>
      <c r="I130" s="224"/>
      <c r="J130" s="224"/>
      <c r="K130" s="224"/>
      <c r="L130" s="224"/>
      <c r="M130" s="224"/>
      <c r="N130" s="224"/>
      <c r="O130" s="224"/>
      <c r="P130" s="224"/>
      <c r="Q130" s="224"/>
      <c r="R130" s="224"/>
      <c r="S130" s="224"/>
      <c r="T130" s="224"/>
      <c r="U130" s="224"/>
      <c r="V130" s="224"/>
    </row>
    <row r="131" spans="1:22">
      <c r="A131" s="184"/>
      <c r="B131" s="185"/>
      <c r="C131" s="185"/>
      <c r="D131" s="185"/>
      <c r="E131" s="185"/>
      <c r="F131" s="185"/>
      <c r="G131" s="185"/>
      <c r="H131" s="185"/>
      <c r="I131" s="224"/>
      <c r="J131" s="224"/>
      <c r="K131" s="224"/>
      <c r="L131" s="224"/>
      <c r="M131" s="224"/>
      <c r="N131" s="224"/>
      <c r="O131" s="224"/>
      <c r="P131" s="224"/>
      <c r="Q131" s="224"/>
      <c r="R131" s="224"/>
      <c r="S131" s="224"/>
      <c r="T131" s="224"/>
      <c r="U131" s="224"/>
      <c r="V131" s="224"/>
    </row>
    <row r="132" spans="1:22" ht="18.75">
      <c r="A132" s="960" t="s">
        <v>324</v>
      </c>
      <c r="B132" s="960"/>
      <c r="C132" s="960"/>
      <c r="D132" s="960"/>
      <c r="E132" s="960"/>
      <c r="F132" s="960"/>
      <c r="G132" s="960"/>
      <c r="H132" s="960"/>
      <c r="I132" s="960"/>
      <c r="J132" s="960"/>
      <c r="K132" s="960"/>
      <c r="L132" s="960"/>
      <c r="M132" s="960"/>
      <c r="N132" s="960"/>
      <c r="O132" s="960"/>
      <c r="P132" s="960"/>
      <c r="Q132" s="960"/>
      <c r="R132" s="960"/>
      <c r="S132" s="960"/>
      <c r="T132" s="960"/>
      <c r="U132" s="960"/>
      <c r="V132" s="960"/>
    </row>
    <row r="133" spans="1:22" ht="15.75">
      <c r="A133" s="945" t="str">
        <f>A115</f>
        <v>FOR THE MONTH OF AUG-2019</v>
      </c>
      <c r="B133" s="945"/>
      <c r="C133" s="945"/>
      <c r="D133" s="945"/>
      <c r="E133" s="945"/>
      <c r="F133" s="945"/>
      <c r="G133" s="945"/>
      <c r="H133" s="945"/>
      <c r="I133" s="945"/>
      <c r="J133" s="945"/>
      <c r="K133" s="945"/>
      <c r="L133" s="945"/>
      <c r="M133" s="945"/>
      <c r="N133" s="945"/>
      <c r="O133" s="945"/>
      <c r="P133" s="945"/>
      <c r="Q133" s="945"/>
      <c r="R133" s="945"/>
      <c r="S133" s="945"/>
      <c r="T133" s="945"/>
      <c r="U133" s="945"/>
      <c r="V133" s="945"/>
    </row>
    <row r="134" spans="1:22" ht="24" customHeight="1">
      <c r="A134" s="174" t="str">
        <f>A116</f>
        <v>Name of the N.P.B:SBI SANGAREDDY                                  TRANS ID.NO:</v>
      </c>
      <c r="B134" s="186"/>
      <c r="C134" s="186"/>
      <c r="D134" s="186"/>
      <c r="E134" s="186"/>
      <c r="F134" s="186"/>
      <c r="G134" s="186"/>
      <c r="H134" s="186"/>
      <c r="I134" s="270"/>
      <c r="J134" s="270"/>
      <c r="K134" s="270"/>
      <c r="L134" s="270"/>
      <c r="M134" s="270"/>
      <c r="N134" s="270"/>
      <c r="O134" s="270"/>
      <c r="P134" s="270"/>
      <c r="Q134" s="270"/>
      <c r="R134" s="270"/>
      <c r="S134" s="270"/>
      <c r="T134" s="270"/>
      <c r="U134" s="270"/>
      <c r="V134" s="270"/>
    </row>
    <row r="135" spans="1:22" ht="24" customHeight="1">
      <c r="A135" s="174" t="str">
        <f>A117</f>
        <v>DDO Code: XXX                                                            DATE:</v>
      </c>
      <c r="B135" s="186"/>
      <c r="C135" s="186"/>
      <c r="D135" s="186"/>
      <c r="E135" s="186"/>
      <c r="F135" s="186"/>
      <c r="G135" s="186"/>
      <c r="H135" s="186"/>
      <c r="I135" s="270"/>
      <c r="J135" s="270"/>
      <c r="K135" s="270"/>
      <c r="L135" s="270"/>
      <c r="M135" s="270"/>
      <c r="N135" s="270"/>
      <c r="O135" s="270"/>
      <c r="P135" s="270"/>
      <c r="Q135" s="270"/>
      <c r="R135" s="270"/>
      <c r="S135" s="270"/>
      <c r="T135" s="270"/>
      <c r="U135" s="270"/>
      <c r="V135" s="270"/>
    </row>
    <row r="136" spans="1:22" ht="24" customHeight="1">
      <c r="A136" s="174" t="str">
        <f>A118</f>
        <v>DDO Name :  MEO ,MP,G.L.PURAM</v>
      </c>
      <c r="B136" s="186"/>
      <c r="C136" s="186"/>
      <c r="D136" s="186"/>
      <c r="E136" s="186"/>
      <c r="F136" s="186"/>
      <c r="G136" s="186"/>
      <c r="H136" s="186"/>
      <c r="I136" s="270"/>
      <c r="J136" s="270"/>
      <c r="K136" s="270"/>
      <c r="L136" s="270"/>
      <c r="M136" s="270"/>
      <c r="N136" s="270"/>
      <c r="O136" s="270"/>
      <c r="P136" s="270"/>
      <c r="Q136" s="270"/>
      <c r="R136" s="270"/>
      <c r="S136" s="270"/>
      <c r="T136" s="270"/>
      <c r="U136" s="270"/>
      <c r="V136" s="270"/>
    </row>
    <row r="137" spans="1:22" ht="4.5" customHeight="1">
      <c r="A137" s="174"/>
      <c r="B137" s="186"/>
      <c r="C137" s="186"/>
      <c r="D137" s="186"/>
      <c r="E137" s="186"/>
      <c r="F137" s="186"/>
      <c r="G137" s="186"/>
      <c r="H137" s="186"/>
      <c r="I137" s="270"/>
      <c r="J137" s="270"/>
      <c r="K137" s="270"/>
      <c r="L137" s="270"/>
      <c r="M137" s="270"/>
      <c r="N137" s="270"/>
      <c r="O137" s="270"/>
      <c r="P137" s="270"/>
      <c r="Q137" s="270"/>
      <c r="R137" s="270"/>
      <c r="S137" s="270"/>
      <c r="T137" s="270"/>
      <c r="U137" s="270"/>
      <c r="V137" s="270"/>
    </row>
    <row r="138" spans="1:22" ht="57" customHeight="1">
      <c r="A138" s="376" t="s">
        <v>325</v>
      </c>
      <c r="B138" s="187" t="str">
        <f>IF(Data!V7="","Ref.ID No",B120)</f>
        <v>Ref.ID No</v>
      </c>
      <c r="C138" s="751" t="str">
        <f>C120</f>
        <v>Name of the Employee</v>
      </c>
      <c r="D138" s="751"/>
      <c r="E138" s="751"/>
      <c r="F138" s="751"/>
      <c r="G138" s="751"/>
      <c r="H138" s="751" t="s">
        <v>326</v>
      </c>
      <c r="I138" s="751"/>
      <c r="J138" s="751"/>
      <c r="K138" s="751" t="s">
        <v>327</v>
      </c>
      <c r="L138" s="751"/>
      <c r="M138" s="751"/>
      <c r="N138" s="751"/>
      <c r="O138" s="751" t="s">
        <v>328</v>
      </c>
      <c r="P138" s="751"/>
      <c r="Q138" s="751"/>
      <c r="R138" s="751"/>
      <c r="S138" s="751" t="s">
        <v>329</v>
      </c>
      <c r="T138" s="751"/>
      <c r="U138" s="751"/>
      <c r="V138" s="751"/>
    </row>
    <row r="139" spans="1:22" ht="58.5" customHeight="1">
      <c r="A139" s="377">
        <v>1</v>
      </c>
      <c r="B139" s="187" t="str">
        <f>IF(Data!V7="",A139,B121)</f>
        <v>24-009256/SP</v>
      </c>
      <c r="C139" s="751" t="str">
        <f>C121</f>
        <v>G MURALIMOHANA RAO</v>
      </c>
      <c r="D139" s="751"/>
      <c r="E139" s="751"/>
      <c r="F139" s="751"/>
      <c r="G139" s="751"/>
      <c r="H139" s="751" t="str">
        <f>H121</f>
        <v xml:space="preserve"> Rtd ,S.G.T</v>
      </c>
      <c r="I139" s="751"/>
      <c r="J139" s="751"/>
      <c r="K139" s="751" t="str">
        <f>K121</f>
        <v>XXXXX</v>
      </c>
      <c r="L139" s="751"/>
      <c r="M139" s="751"/>
      <c r="N139" s="751"/>
      <c r="O139" s="751" t="str">
        <f>O121</f>
        <v>SBI</v>
      </c>
      <c r="P139" s="751"/>
      <c r="Q139" s="751"/>
      <c r="R139" s="751"/>
      <c r="S139" s="941">
        <f>S121</f>
        <v>25000</v>
      </c>
      <c r="T139" s="751"/>
      <c r="U139" s="751"/>
      <c r="V139" s="751"/>
    </row>
    <row r="140" spans="1:22" ht="20.100000000000001" customHeight="1">
      <c r="A140" s="949" t="s">
        <v>330</v>
      </c>
      <c r="B140" s="949"/>
      <c r="C140" s="949"/>
      <c r="D140" s="949"/>
      <c r="E140" s="949"/>
      <c r="F140" s="949"/>
      <c r="G140" s="949"/>
      <c r="H140" s="949"/>
      <c r="I140" s="949"/>
      <c r="J140" s="949"/>
      <c r="K140" s="949"/>
      <c r="L140" s="949"/>
      <c r="M140" s="949"/>
      <c r="N140" s="949"/>
      <c r="O140" s="949"/>
      <c r="P140" s="949"/>
      <c r="Q140" s="949"/>
      <c r="R140" s="949"/>
      <c r="S140" s="950">
        <f>S122</f>
        <v>25000</v>
      </c>
      <c r="T140" s="951"/>
      <c r="U140" s="951"/>
      <c r="V140" s="951"/>
    </row>
    <row r="141" spans="1:22" ht="3.75" customHeight="1">
      <c r="A141" s="175"/>
      <c r="B141" s="175"/>
      <c r="C141" s="175"/>
      <c r="D141" s="175"/>
      <c r="E141" s="175"/>
      <c r="F141" s="175"/>
      <c r="G141" s="175"/>
      <c r="H141" s="175"/>
      <c r="I141" s="175"/>
      <c r="J141" s="175"/>
      <c r="K141" s="175"/>
      <c r="L141" s="175"/>
      <c r="M141" s="175"/>
      <c r="N141" s="175"/>
      <c r="O141" s="175"/>
      <c r="P141" s="175"/>
      <c r="Q141" s="175"/>
      <c r="R141" s="175"/>
      <c r="S141" s="271"/>
      <c r="T141" s="271"/>
      <c r="U141" s="271"/>
      <c r="V141" s="271"/>
    </row>
    <row r="142" spans="1:22">
      <c r="A142" s="809" t="str">
        <f>A124</f>
        <v xml:space="preserve"> In Words: (Twenty five Thousand rupees only)</v>
      </c>
      <c r="B142" s="809"/>
      <c r="C142" s="809"/>
      <c r="D142" s="809"/>
      <c r="E142" s="809"/>
      <c r="F142" s="809"/>
      <c r="G142" s="809"/>
      <c r="H142" s="809"/>
      <c r="I142" s="809"/>
      <c r="J142" s="809"/>
      <c r="K142" s="809"/>
      <c r="L142" s="809"/>
      <c r="M142" s="809"/>
      <c r="N142" s="809"/>
      <c r="O142" s="809"/>
      <c r="P142" s="809"/>
      <c r="Q142" s="809"/>
      <c r="R142" s="809"/>
      <c r="S142" s="809"/>
      <c r="T142" s="809"/>
      <c r="U142" s="809"/>
      <c r="V142" s="809"/>
    </row>
    <row r="143" spans="1:22">
      <c r="A143" s="809"/>
      <c r="B143" s="809"/>
      <c r="C143" s="809"/>
      <c r="D143" s="809"/>
      <c r="E143" s="809"/>
      <c r="F143" s="809"/>
      <c r="G143" s="809"/>
      <c r="H143" s="809"/>
      <c r="I143" s="809"/>
      <c r="J143" s="809"/>
      <c r="K143" s="809"/>
      <c r="L143" s="809"/>
      <c r="M143" s="809"/>
      <c r="N143" s="809"/>
      <c r="O143" s="809"/>
      <c r="P143" s="809"/>
      <c r="Q143" s="809"/>
      <c r="R143" s="809"/>
      <c r="S143" s="809"/>
      <c r="T143" s="809"/>
      <c r="U143" s="809"/>
      <c r="V143" s="809"/>
    </row>
    <row r="144" spans="1:22" ht="15.6" customHeight="1">
      <c r="A144" s="810"/>
      <c r="B144" s="810"/>
      <c r="C144" s="810"/>
      <c r="D144" s="810"/>
      <c r="E144" s="810"/>
      <c r="F144" s="810"/>
      <c r="G144" s="810"/>
      <c r="H144" s="810"/>
      <c r="I144" s="810"/>
      <c r="J144" s="810"/>
      <c r="K144" s="810"/>
      <c r="L144" s="810"/>
      <c r="M144" s="810"/>
      <c r="N144" s="810"/>
      <c r="O144" s="810"/>
      <c r="P144" s="810"/>
      <c r="Q144" s="810"/>
      <c r="R144" s="810"/>
      <c r="S144" s="810"/>
      <c r="T144" s="810"/>
      <c r="U144" s="810"/>
      <c r="V144" s="810"/>
    </row>
    <row r="145" spans="1:22" ht="15" customHeight="1">
      <c r="A145" s="812" t="s">
        <v>331</v>
      </c>
      <c r="B145" s="812"/>
      <c r="C145" s="812"/>
      <c r="D145" s="812"/>
      <c r="E145" s="812"/>
      <c r="F145" s="188"/>
      <c r="G145" s="188"/>
      <c r="H145" s="189"/>
      <c r="I145" s="272"/>
      <c r="J145" s="272"/>
      <c r="K145" s="272"/>
      <c r="L145" s="272"/>
      <c r="M145" s="272"/>
      <c r="N145" s="272"/>
      <c r="O145" s="811" t="s">
        <v>332</v>
      </c>
      <c r="P145" s="811"/>
      <c r="Q145" s="811"/>
      <c r="R145" s="811"/>
      <c r="S145" s="811"/>
      <c r="T145" s="811"/>
      <c r="U145" s="811"/>
      <c r="V145" s="811"/>
    </row>
    <row r="146" spans="1:22" ht="19.5" customHeight="1">
      <c r="A146" s="812"/>
      <c r="B146" s="812"/>
      <c r="C146" s="812"/>
      <c r="D146" s="812"/>
      <c r="E146" s="812"/>
      <c r="F146" s="190"/>
      <c r="G146" s="190"/>
      <c r="H146" s="191"/>
      <c r="I146" s="272"/>
      <c r="J146" s="272"/>
      <c r="K146" s="272"/>
      <c r="L146" s="272"/>
      <c r="M146" s="272"/>
      <c r="N146" s="272"/>
      <c r="O146" s="811"/>
      <c r="P146" s="811"/>
      <c r="Q146" s="811"/>
      <c r="R146" s="811"/>
      <c r="S146" s="811"/>
      <c r="T146" s="811"/>
      <c r="U146" s="811"/>
      <c r="V146" s="811"/>
    </row>
    <row r="147" spans="1:22" ht="6" customHeight="1">
      <c r="A147" s="224"/>
      <c r="B147" s="224"/>
      <c r="C147" s="224"/>
      <c r="D147" s="224"/>
      <c r="E147" s="224"/>
      <c r="F147" s="224"/>
      <c r="G147" s="224"/>
      <c r="H147" s="224"/>
      <c r="I147" s="224"/>
      <c r="J147" s="224"/>
      <c r="K147" s="224"/>
      <c r="L147" s="224"/>
      <c r="M147" s="224"/>
      <c r="N147" s="224"/>
      <c r="O147" s="224"/>
      <c r="P147" s="224"/>
      <c r="Q147" s="224"/>
      <c r="R147" s="224"/>
      <c r="S147" s="224"/>
      <c r="T147" s="224"/>
      <c r="U147" s="224"/>
      <c r="V147" s="224"/>
    </row>
    <row r="148" spans="1:22" ht="6" customHeight="1">
      <c r="A148" s="224"/>
      <c r="B148" s="224"/>
      <c r="C148" s="224"/>
      <c r="D148" s="224"/>
      <c r="E148" s="224"/>
      <c r="F148" s="224"/>
      <c r="G148" s="224"/>
      <c r="H148" s="224"/>
      <c r="I148" s="224"/>
      <c r="J148" s="224"/>
      <c r="K148" s="224"/>
      <c r="L148" s="224"/>
      <c r="M148" s="224"/>
      <c r="N148" s="224"/>
      <c r="O148" s="224"/>
      <c r="P148" s="224"/>
      <c r="Q148" s="224"/>
      <c r="R148" s="224"/>
      <c r="S148" s="224"/>
      <c r="T148" s="224"/>
      <c r="U148" s="224"/>
      <c r="V148" s="224"/>
    </row>
    <row r="149" spans="1:22" ht="33" customHeight="1">
      <c r="A149" s="802" t="s">
        <v>334</v>
      </c>
      <c r="B149" s="802"/>
      <c r="C149" s="802"/>
      <c r="D149" s="802"/>
      <c r="E149" s="802"/>
      <c r="F149" s="802"/>
      <c r="G149" s="802"/>
      <c r="H149" s="802"/>
      <c r="I149" s="802"/>
      <c r="J149" s="802"/>
      <c r="K149" s="802"/>
      <c r="L149" s="802"/>
      <c r="M149" s="802"/>
      <c r="N149" s="802"/>
      <c r="O149" s="802"/>
      <c r="P149" s="802"/>
      <c r="Q149" s="802"/>
      <c r="R149" s="802"/>
      <c r="S149" s="802"/>
      <c r="T149" s="802"/>
      <c r="U149" s="802"/>
      <c r="V149" s="802"/>
    </row>
    <row r="150" spans="1:22" ht="15.75">
      <c r="A150" s="192" t="str">
        <f>"DDO Code : "&amp;E49</f>
        <v>DDO Code : XXX</v>
      </c>
      <c r="B150" s="192"/>
      <c r="C150" s="192"/>
      <c r="D150" s="192"/>
      <c r="E150" s="193"/>
      <c r="F150" s="194"/>
      <c r="G150" s="194"/>
      <c r="H150" s="194"/>
      <c r="I150" s="194"/>
      <c r="J150" s="195"/>
      <c r="K150" s="195"/>
      <c r="L150" s="224"/>
      <c r="M150" s="195"/>
      <c r="N150" s="195"/>
      <c r="O150" s="192" t="s">
        <v>335</v>
      </c>
      <c r="P150" s="195"/>
      <c r="Q150" s="195"/>
      <c r="R150" s="224"/>
      <c r="S150" s="224"/>
      <c r="T150" s="224"/>
      <c r="U150" s="224"/>
      <c r="V150" s="224"/>
    </row>
    <row r="151" spans="1:22">
      <c r="A151" s="192" t="str">
        <f>A118</f>
        <v>DDO Name :  MEO ,MP,G.L.PURAM</v>
      </c>
      <c r="B151" s="192"/>
      <c r="C151" s="192"/>
      <c r="D151" s="192"/>
      <c r="E151" s="196"/>
      <c r="F151" s="196"/>
      <c r="G151" s="196"/>
      <c r="H151" s="196"/>
      <c r="I151" s="196"/>
      <c r="J151" s="196"/>
      <c r="K151" s="196"/>
      <c r="L151" s="224"/>
      <c r="M151" s="195"/>
      <c r="N151" s="195"/>
      <c r="O151" s="192" t="s">
        <v>336</v>
      </c>
      <c r="P151" s="195"/>
      <c r="Q151" s="195"/>
      <c r="R151" s="224"/>
      <c r="S151" s="224"/>
      <c r="T151" s="224"/>
      <c r="U151" s="224"/>
      <c r="V151" s="224"/>
    </row>
    <row r="152" spans="1:22">
      <c r="A152" s="195"/>
      <c r="B152" s="195"/>
      <c r="C152" s="195"/>
      <c r="D152" s="195"/>
      <c r="E152" s="195"/>
      <c r="F152" s="195"/>
      <c r="G152" s="195"/>
      <c r="H152" s="195"/>
      <c r="I152" s="195"/>
      <c r="J152" s="195"/>
      <c r="K152" s="195"/>
      <c r="L152" s="195"/>
      <c r="M152" s="195"/>
      <c r="N152" s="195"/>
      <c r="O152" s="195"/>
      <c r="P152" s="195"/>
      <c r="Q152" s="195"/>
      <c r="R152" s="224"/>
      <c r="S152" s="224"/>
      <c r="T152" s="224"/>
      <c r="U152" s="224"/>
      <c r="V152" s="224"/>
    </row>
    <row r="153" spans="1:22" ht="26.1" customHeight="1">
      <c r="A153" s="803" t="s">
        <v>337</v>
      </c>
      <c r="B153" s="804"/>
      <c r="C153" s="805" t="s">
        <v>338</v>
      </c>
      <c r="D153" s="806"/>
      <c r="E153" s="806"/>
      <c r="F153" s="806"/>
      <c r="G153" s="806"/>
      <c r="H153" s="807"/>
      <c r="I153" s="808" t="s">
        <v>339</v>
      </c>
      <c r="J153" s="808"/>
      <c r="K153" s="808"/>
      <c r="L153" s="808"/>
      <c r="M153" s="808"/>
      <c r="N153" s="808"/>
      <c r="O153" s="808"/>
      <c r="P153" s="808"/>
      <c r="Q153" s="808" t="s">
        <v>248</v>
      </c>
      <c r="R153" s="808"/>
      <c r="S153" s="808"/>
      <c r="T153" s="808"/>
      <c r="U153" s="808"/>
      <c r="V153" s="808"/>
    </row>
    <row r="154" spans="1:22">
      <c r="A154" s="813">
        <v>1</v>
      </c>
      <c r="B154" s="813"/>
      <c r="C154" s="814" t="str">
        <f>Data!D20</f>
        <v>SBI SANGAREDDY</v>
      </c>
      <c r="D154" s="815"/>
      <c r="E154" s="815"/>
      <c r="F154" s="815"/>
      <c r="G154" s="815"/>
      <c r="H154" s="816"/>
      <c r="I154" s="821" t="s">
        <v>349</v>
      </c>
      <c r="J154" s="822"/>
      <c r="K154" s="822"/>
      <c r="L154" s="822"/>
      <c r="M154" s="822"/>
      <c r="N154" s="822"/>
      <c r="O154" s="822"/>
      <c r="P154" s="823"/>
      <c r="Q154" s="820">
        <f>S139</f>
        <v>25000</v>
      </c>
      <c r="R154" s="820"/>
      <c r="S154" s="820"/>
      <c r="T154" s="820"/>
      <c r="U154" s="820"/>
      <c r="V154" s="820"/>
    </row>
    <row r="155" spans="1:22" ht="45.6" customHeight="1">
      <c r="A155" s="813"/>
      <c r="B155" s="813"/>
      <c r="C155" s="817"/>
      <c r="D155" s="818"/>
      <c r="E155" s="818"/>
      <c r="F155" s="818"/>
      <c r="G155" s="818"/>
      <c r="H155" s="819"/>
      <c r="I155" s="824"/>
      <c r="J155" s="825"/>
      <c r="K155" s="825"/>
      <c r="L155" s="825"/>
      <c r="M155" s="825"/>
      <c r="N155" s="825"/>
      <c r="O155" s="825"/>
      <c r="P155" s="826"/>
      <c r="Q155" s="820"/>
      <c r="R155" s="820"/>
      <c r="S155" s="820"/>
      <c r="T155" s="820"/>
      <c r="U155" s="820"/>
      <c r="V155" s="820"/>
    </row>
    <row r="156" spans="1:22" ht="32.450000000000003" customHeight="1">
      <c r="A156" s="827" t="s">
        <v>381</v>
      </c>
      <c r="B156" s="828"/>
      <c r="C156" s="828"/>
      <c r="D156" s="828"/>
      <c r="E156" s="828"/>
      <c r="F156" s="828"/>
      <c r="G156" s="828"/>
      <c r="H156" s="828"/>
      <c r="I156" s="828"/>
      <c r="J156" s="828"/>
      <c r="K156" s="828"/>
      <c r="L156" s="828"/>
      <c r="M156" s="828"/>
      <c r="N156" s="828"/>
      <c r="O156" s="828"/>
      <c r="P156" s="829"/>
      <c r="Q156" s="830">
        <f>Q154</f>
        <v>25000</v>
      </c>
      <c r="R156" s="830"/>
      <c r="S156" s="830"/>
      <c r="T156" s="830"/>
      <c r="U156" s="830"/>
      <c r="V156" s="830"/>
    </row>
    <row r="157" spans="1:22">
      <c r="A157" s="195"/>
      <c r="B157" s="195"/>
      <c r="C157" s="195"/>
      <c r="D157" s="195"/>
      <c r="E157" s="195"/>
      <c r="F157" s="195"/>
      <c r="G157" s="195"/>
      <c r="H157" s="195"/>
      <c r="I157" s="195"/>
      <c r="J157" s="195"/>
      <c r="K157" s="195"/>
      <c r="L157" s="195"/>
      <c r="M157" s="195"/>
      <c r="N157" s="195"/>
      <c r="O157" s="195"/>
      <c r="P157" s="195"/>
      <c r="Q157" s="195"/>
      <c r="R157" s="224"/>
      <c r="S157" s="224"/>
      <c r="T157" s="224"/>
      <c r="U157" s="224"/>
      <c r="V157" s="224"/>
    </row>
    <row r="158" spans="1:22">
      <c r="A158" s="831" t="str">
        <f>A142</f>
        <v xml:space="preserve"> In Words: (Twenty five Thousand rupees only)</v>
      </c>
      <c r="B158" s="831"/>
      <c r="C158" s="831"/>
      <c r="D158" s="831"/>
      <c r="E158" s="831"/>
      <c r="F158" s="831"/>
      <c r="G158" s="831"/>
      <c r="H158" s="831"/>
      <c r="I158" s="831"/>
      <c r="J158" s="831"/>
      <c r="K158" s="831"/>
      <c r="L158" s="831"/>
      <c r="M158" s="831"/>
      <c r="N158" s="831"/>
      <c r="O158" s="831"/>
      <c r="P158" s="831"/>
      <c r="Q158" s="831"/>
      <c r="R158" s="831"/>
      <c r="S158" s="831"/>
      <c r="T158" s="831"/>
      <c r="U158" s="831"/>
      <c r="V158" s="831"/>
    </row>
    <row r="159" spans="1:22">
      <c r="A159" s="831"/>
      <c r="B159" s="831"/>
      <c r="C159" s="831"/>
      <c r="D159" s="831"/>
      <c r="E159" s="831"/>
      <c r="F159" s="831"/>
      <c r="G159" s="831"/>
      <c r="H159" s="831"/>
      <c r="I159" s="831"/>
      <c r="J159" s="831"/>
      <c r="K159" s="831"/>
      <c r="L159" s="831"/>
      <c r="M159" s="831"/>
      <c r="N159" s="831"/>
      <c r="O159" s="831"/>
      <c r="P159" s="831"/>
      <c r="Q159" s="831"/>
      <c r="R159" s="831"/>
      <c r="S159" s="831"/>
      <c r="T159" s="831"/>
      <c r="U159" s="831"/>
      <c r="V159" s="831"/>
    </row>
    <row r="160" spans="1:22">
      <c r="A160" s="195"/>
      <c r="B160" s="195"/>
      <c r="C160" s="195"/>
      <c r="D160" s="195"/>
      <c r="E160" s="195"/>
      <c r="F160" s="195"/>
      <c r="G160" s="195"/>
      <c r="H160" s="195"/>
      <c r="I160" s="195"/>
      <c r="J160" s="195"/>
      <c r="K160" s="195"/>
      <c r="L160" s="195"/>
      <c r="M160" s="195"/>
      <c r="N160" s="195"/>
      <c r="O160" s="195"/>
      <c r="P160" s="195"/>
      <c r="Q160" s="195"/>
      <c r="R160" s="224"/>
      <c r="S160" s="224"/>
      <c r="T160" s="224"/>
      <c r="U160" s="224"/>
      <c r="V160" s="224"/>
    </row>
    <row r="161" spans="1:22">
      <c r="A161" s="195"/>
      <c r="B161" s="195"/>
      <c r="C161" s="195"/>
      <c r="D161" s="195"/>
      <c r="E161" s="195"/>
      <c r="F161" s="195"/>
      <c r="G161" s="195"/>
      <c r="H161" s="195"/>
      <c r="I161" s="195"/>
      <c r="J161" s="195"/>
      <c r="K161" s="195"/>
      <c r="L161" s="195"/>
      <c r="M161" s="195"/>
      <c r="N161" s="195"/>
      <c r="O161" s="195"/>
      <c r="P161" s="195"/>
      <c r="Q161" s="195"/>
      <c r="R161" s="224"/>
      <c r="S161" s="224"/>
      <c r="T161" s="224"/>
      <c r="U161" s="224"/>
      <c r="V161" s="224"/>
    </row>
    <row r="162" spans="1:22">
      <c r="A162" s="195"/>
      <c r="B162" s="195" t="s">
        <v>321</v>
      </c>
      <c r="C162" s="195"/>
      <c r="D162" s="195"/>
      <c r="E162" s="195"/>
      <c r="F162" s="195"/>
      <c r="G162" s="195"/>
      <c r="H162" s="195"/>
      <c r="I162" s="195"/>
      <c r="J162" s="195"/>
      <c r="K162" s="195"/>
      <c r="L162" s="195" t="s">
        <v>340</v>
      </c>
      <c r="M162" s="195"/>
      <c r="N162" s="195"/>
      <c r="O162" s="195"/>
      <c r="P162" s="195"/>
      <c r="Q162" s="195"/>
      <c r="R162" s="224"/>
      <c r="S162" s="224"/>
      <c r="T162" s="224"/>
      <c r="U162" s="224"/>
      <c r="V162" s="224"/>
    </row>
    <row r="163" spans="1:22">
      <c r="A163" s="195"/>
      <c r="B163" s="195"/>
      <c r="C163" s="195"/>
      <c r="D163" s="195"/>
      <c r="E163" s="195"/>
      <c r="F163" s="195"/>
      <c r="G163" s="195"/>
      <c r="H163" s="195"/>
      <c r="I163" s="195"/>
      <c r="J163" s="195"/>
      <c r="K163" s="195"/>
      <c r="L163" s="195"/>
      <c r="M163" s="195"/>
      <c r="N163" s="195"/>
      <c r="O163" s="195"/>
      <c r="P163" s="195"/>
      <c r="Q163" s="195"/>
      <c r="R163" s="224"/>
      <c r="S163" s="224"/>
      <c r="T163" s="224"/>
      <c r="U163" s="224"/>
      <c r="V163" s="224"/>
    </row>
    <row r="164" spans="1:22">
      <c r="A164" s="195"/>
      <c r="B164" s="195"/>
      <c r="C164" s="195"/>
      <c r="D164" s="195"/>
      <c r="E164" s="195"/>
      <c r="F164" s="195"/>
      <c r="G164" s="195"/>
      <c r="H164" s="195"/>
      <c r="I164" s="195"/>
      <c r="J164" s="195"/>
      <c r="K164" s="195"/>
      <c r="L164" s="195"/>
      <c r="M164" s="195"/>
      <c r="N164" s="195"/>
      <c r="O164" s="195"/>
      <c r="P164" s="195"/>
      <c r="Q164" s="195"/>
      <c r="R164" s="224"/>
      <c r="S164" s="224"/>
      <c r="T164" s="224"/>
      <c r="U164" s="224"/>
      <c r="V164" s="224"/>
    </row>
    <row r="165" spans="1:22">
      <c r="A165" s="195"/>
      <c r="B165" s="195"/>
      <c r="C165" s="195"/>
      <c r="D165" s="195"/>
      <c r="E165" s="195"/>
      <c r="F165" s="195"/>
      <c r="G165" s="195"/>
      <c r="H165" s="195"/>
      <c r="I165" s="195"/>
      <c r="J165" s="195"/>
      <c r="K165" s="195"/>
      <c r="L165" s="195"/>
      <c r="M165" s="195"/>
      <c r="N165" s="195"/>
      <c r="O165" s="195"/>
      <c r="P165" s="195"/>
      <c r="Q165" s="195"/>
      <c r="R165" s="224"/>
      <c r="S165" s="224"/>
      <c r="T165" s="224"/>
      <c r="U165" s="224"/>
      <c r="V165" s="224"/>
    </row>
    <row r="166" spans="1:22" ht="20.25">
      <c r="A166" s="832" t="s">
        <v>341</v>
      </c>
      <c r="B166" s="832"/>
      <c r="C166" s="832"/>
      <c r="D166" s="832"/>
      <c r="E166" s="832"/>
      <c r="F166" s="832"/>
      <c r="G166" s="832"/>
      <c r="H166" s="832"/>
      <c r="I166" s="832"/>
      <c r="J166" s="832"/>
      <c r="K166" s="832"/>
      <c r="L166" s="832"/>
      <c r="M166" s="832"/>
      <c r="N166" s="832"/>
      <c r="O166" s="832"/>
      <c r="P166" s="832"/>
      <c r="Q166" s="832"/>
      <c r="R166" s="832"/>
      <c r="S166" s="832"/>
      <c r="T166" s="832"/>
      <c r="U166" s="832"/>
      <c r="V166" s="832"/>
    </row>
    <row r="167" spans="1:22" ht="15.75">
      <c r="A167" s="833" t="s">
        <v>342</v>
      </c>
      <c r="B167" s="833"/>
      <c r="C167" s="833"/>
      <c r="D167" s="833"/>
      <c r="E167" s="833"/>
      <c r="F167" s="833"/>
      <c r="G167" s="833"/>
      <c r="H167" s="833"/>
      <c r="I167" s="833"/>
      <c r="J167" s="833"/>
      <c r="K167" s="833"/>
      <c r="L167" s="833"/>
      <c r="M167" s="833"/>
      <c r="N167" s="833"/>
      <c r="O167" s="833"/>
      <c r="P167" s="833"/>
      <c r="Q167" s="833"/>
      <c r="R167" s="833"/>
      <c r="S167" s="833"/>
      <c r="T167" s="833"/>
      <c r="U167" s="833"/>
      <c r="V167" s="833"/>
    </row>
    <row r="168" spans="1:22">
      <c r="A168" s="834" t="str">
        <f>A151</f>
        <v>DDO Name :  MEO ,MP,G.L.PURAM</v>
      </c>
      <c r="B168" s="834"/>
      <c r="C168" s="834"/>
      <c r="D168" s="834"/>
      <c r="E168" s="834"/>
      <c r="F168" s="834"/>
      <c r="G168" s="834"/>
      <c r="H168" s="834"/>
      <c r="I168" s="834"/>
      <c r="J168" s="834"/>
      <c r="K168" s="834"/>
      <c r="L168" s="834"/>
      <c r="M168" s="834"/>
      <c r="N168" s="834"/>
      <c r="O168" s="834"/>
      <c r="P168" s="834"/>
      <c r="Q168" s="834"/>
      <c r="R168" s="834"/>
      <c r="S168" s="834"/>
      <c r="T168" s="834"/>
      <c r="U168" s="834"/>
      <c r="V168" s="834"/>
    </row>
    <row r="169" spans="1:22" ht="27" customHeight="1">
      <c r="A169" s="835" t="str">
        <f>CONCATENATE("STO CODE:",E47,"                            STO NAME","  :  ", Data!C19)</f>
        <v>STO CODE:XXX                            STO NAME  :  SANGAREDDY</v>
      </c>
      <c r="B169" s="835"/>
      <c r="C169" s="835"/>
      <c r="D169" s="835"/>
      <c r="E169" s="835"/>
      <c r="F169" s="835"/>
      <c r="G169" s="835"/>
      <c r="H169" s="835"/>
      <c r="I169" s="835"/>
      <c r="J169" s="835"/>
      <c r="K169" s="835"/>
      <c r="L169" s="835"/>
      <c r="M169" s="835"/>
      <c r="N169" s="835"/>
      <c r="O169" s="835"/>
      <c r="P169" s="835"/>
      <c r="Q169" s="835"/>
      <c r="R169" s="835"/>
      <c r="S169" s="835"/>
      <c r="T169" s="835"/>
      <c r="U169" s="835"/>
      <c r="V169" s="835"/>
    </row>
    <row r="170" spans="1:22" ht="15.75">
      <c r="A170" s="273"/>
      <c r="B170" s="273"/>
      <c r="C170" s="273"/>
      <c r="D170" s="273"/>
      <c r="E170" s="273"/>
      <c r="F170" s="273"/>
      <c r="G170" s="273"/>
      <c r="H170" s="274"/>
      <c r="I170" s="274"/>
      <c r="J170" s="274"/>
      <c r="K170" s="274"/>
      <c r="L170" s="274"/>
      <c r="M170" s="275"/>
      <c r="N170" s="275"/>
      <c r="O170" s="275"/>
      <c r="P170" s="275"/>
      <c r="Q170" s="275"/>
      <c r="R170" s="224"/>
      <c r="S170" s="224"/>
      <c r="T170" s="224"/>
      <c r="U170" s="224"/>
      <c r="V170" s="224"/>
    </row>
    <row r="171" spans="1:22">
      <c r="A171" s="836" t="s">
        <v>337</v>
      </c>
      <c r="B171" s="836"/>
      <c r="C171" s="837" t="s">
        <v>343</v>
      </c>
      <c r="D171" s="837"/>
      <c r="E171" s="837"/>
      <c r="F171" s="837"/>
      <c r="G171" s="837"/>
      <c r="H171" s="838" t="s">
        <v>344</v>
      </c>
      <c r="I171" s="838"/>
      <c r="J171" s="838"/>
      <c r="K171" s="839" t="s">
        <v>345</v>
      </c>
      <c r="L171" s="839"/>
      <c r="M171" s="839"/>
      <c r="N171" s="839"/>
      <c r="O171" s="839"/>
      <c r="P171" s="839"/>
      <c r="Q171" s="839"/>
      <c r="R171" s="840" t="s">
        <v>346</v>
      </c>
      <c r="S171" s="840"/>
      <c r="T171" s="840"/>
      <c r="U171" s="840"/>
      <c r="V171" s="840"/>
    </row>
    <row r="172" spans="1:22" ht="32.1" customHeight="1">
      <c r="A172" s="836"/>
      <c r="B172" s="836"/>
      <c r="C172" s="837"/>
      <c r="D172" s="837"/>
      <c r="E172" s="837"/>
      <c r="F172" s="837"/>
      <c r="G172" s="837"/>
      <c r="H172" s="838"/>
      <c r="I172" s="838"/>
      <c r="J172" s="838"/>
      <c r="K172" s="839"/>
      <c r="L172" s="839"/>
      <c r="M172" s="839"/>
      <c r="N172" s="839"/>
      <c r="O172" s="839"/>
      <c r="P172" s="839"/>
      <c r="Q172" s="839"/>
      <c r="R172" s="840"/>
      <c r="S172" s="840"/>
      <c r="T172" s="840"/>
      <c r="U172" s="840"/>
      <c r="V172" s="840"/>
    </row>
    <row r="173" spans="1:22">
      <c r="A173" s="837">
        <v>1</v>
      </c>
      <c r="B173" s="837"/>
      <c r="C173" s="837" t="str">
        <f>C154</f>
        <v>SBI SANGAREDDY</v>
      </c>
      <c r="D173" s="837"/>
      <c r="E173" s="837"/>
      <c r="F173" s="837"/>
      <c r="G173" s="837"/>
      <c r="H173" s="846"/>
      <c r="I173" s="846"/>
      <c r="J173" s="846"/>
      <c r="K173" s="847" t="str">
        <f>I154</f>
        <v>Medical reimbursement</v>
      </c>
      <c r="L173" s="847"/>
      <c r="M173" s="847"/>
      <c r="N173" s="847"/>
      <c r="O173" s="847"/>
      <c r="P173" s="847"/>
      <c r="Q173" s="847"/>
      <c r="R173" s="844">
        <f>Q156</f>
        <v>25000</v>
      </c>
      <c r="S173" s="844"/>
      <c r="T173" s="844"/>
      <c r="U173" s="844"/>
      <c r="V173" s="844"/>
    </row>
    <row r="174" spans="1:22" ht="35.450000000000003" customHeight="1">
      <c r="A174" s="837"/>
      <c r="B174" s="837"/>
      <c r="C174" s="837"/>
      <c r="D174" s="837"/>
      <c r="E174" s="837"/>
      <c r="F174" s="837"/>
      <c r="G174" s="837"/>
      <c r="H174" s="846"/>
      <c r="I174" s="846"/>
      <c r="J174" s="846"/>
      <c r="K174" s="847"/>
      <c r="L174" s="847"/>
      <c r="M174" s="847"/>
      <c r="N174" s="847"/>
      <c r="O174" s="847"/>
      <c r="P174" s="847"/>
      <c r="Q174" s="847"/>
      <c r="R174" s="844"/>
      <c r="S174" s="844"/>
      <c r="T174" s="844"/>
      <c r="U174" s="844"/>
      <c r="V174" s="844"/>
    </row>
    <row r="175" spans="1:22" ht="18.75">
      <c r="A175" s="841" t="s">
        <v>381</v>
      </c>
      <c r="B175" s="842"/>
      <c r="C175" s="842"/>
      <c r="D175" s="842"/>
      <c r="E175" s="842"/>
      <c r="F175" s="842"/>
      <c r="G175" s="842"/>
      <c r="H175" s="842"/>
      <c r="I175" s="842"/>
      <c r="J175" s="842"/>
      <c r="K175" s="842"/>
      <c r="L175" s="842"/>
      <c r="M175" s="842"/>
      <c r="N175" s="842"/>
      <c r="O175" s="842"/>
      <c r="P175" s="842"/>
      <c r="Q175" s="843"/>
      <c r="R175" s="844">
        <f>R173</f>
        <v>25000</v>
      </c>
      <c r="S175" s="844"/>
      <c r="T175" s="844"/>
      <c r="U175" s="844"/>
      <c r="V175" s="844"/>
    </row>
    <row r="176" spans="1:22" ht="15.75">
      <c r="A176" s="276"/>
      <c r="B176" s="276"/>
      <c r="C176" s="276"/>
      <c r="D176" s="276"/>
      <c r="E176" s="276"/>
      <c r="F176" s="276"/>
      <c r="G176" s="276"/>
      <c r="H176" s="274"/>
      <c r="I176" s="274"/>
      <c r="J176" s="274"/>
      <c r="K176" s="274"/>
      <c r="L176" s="274"/>
      <c r="M176" s="275"/>
      <c r="N176" s="275"/>
      <c r="O176" s="275"/>
      <c r="P176" s="275"/>
      <c r="Q176" s="275"/>
      <c r="R176" s="224"/>
      <c r="S176" s="224"/>
      <c r="T176" s="224"/>
      <c r="U176" s="224"/>
      <c r="V176" s="224"/>
    </row>
    <row r="177" spans="1:22">
      <c r="A177" s="845" t="str">
        <f>A158</f>
        <v xml:space="preserve"> In Words: (Twenty five Thousand rupees only)</v>
      </c>
      <c r="B177" s="845"/>
      <c r="C177" s="845"/>
      <c r="D177" s="845"/>
      <c r="E177" s="845"/>
      <c r="F177" s="845"/>
      <c r="G177" s="845"/>
      <c r="H177" s="845"/>
      <c r="I177" s="845"/>
      <c r="J177" s="845"/>
      <c r="K177" s="845"/>
      <c r="L177" s="845"/>
      <c r="M177" s="845"/>
      <c r="N177" s="845"/>
      <c r="O177" s="845"/>
      <c r="P177" s="845"/>
      <c r="Q177" s="845"/>
      <c r="R177" s="845"/>
      <c r="S177" s="845"/>
      <c r="T177" s="845"/>
      <c r="U177" s="845"/>
      <c r="V177" s="845"/>
    </row>
    <row r="178" spans="1:22">
      <c r="A178" s="845"/>
      <c r="B178" s="845"/>
      <c r="C178" s="845"/>
      <c r="D178" s="845"/>
      <c r="E178" s="845"/>
      <c r="F178" s="845"/>
      <c r="G178" s="845"/>
      <c r="H178" s="845"/>
      <c r="I178" s="845"/>
      <c r="J178" s="845"/>
      <c r="K178" s="845"/>
      <c r="L178" s="845"/>
      <c r="M178" s="845"/>
      <c r="N178" s="845"/>
      <c r="O178" s="845"/>
      <c r="P178" s="845"/>
      <c r="Q178" s="845"/>
      <c r="R178" s="845"/>
      <c r="S178" s="845"/>
      <c r="T178" s="845"/>
      <c r="U178" s="845"/>
      <c r="V178" s="845"/>
    </row>
    <row r="179" spans="1:22" ht="15.75">
      <c r="A179" s="277"/>
      <c r="B179" s="277"/>
      <c r="C179" s="277"/>
      <c r="D179" s="277"/>
      <c r="E179" s="277"/>
      <c r="F179" s="277"/>
      <c r="G179" s="277"/>
      <c r="H179" s="275"/>
      <c r="I179" s="275"/>
      <c r="J179" s="275"/>
      <c r="K179" s="275"/>
      <c r="L179" s="275"/>
      <c r="M179" s="275"/>
      <c r="N179" s="275"/>
      <c r="O179" s="275"/>
      <c r="P179" s="275"/>
      <c r="Q179" s="275"/>
      <c r="R179" s="224"/>
      <c r="S179" s="224"/>
      <c r="T179" s="224"/>
      <c r="U179" s="224"/>
      <c r="V179" s="224"/>
    </row>
    <row r="180" spans="1:22" ht="15.75">
      <c r="A180" s="278" t="s">
        <v>331</v>
      </c>
      <c r="B180" s="278"/>
      <c r="C180" s="278"/>
      <c r="D180" s="279"/>
      <c r="E180" s="279"/>
      <c r="F180" s="279"/>
      <c r="G180" s="279"/>
      <c r="H180" s="275"/>
      <c r="I180" s="275"/>
      <c r="J180" s="275"/>
      <c r="K180" s="224"/>
      <c r="L180" s="278"/>
      <c r="M180" s="278"/>
      <c r="N180" s="278" t="s">
        <v>340</v>
      </c>
      <c r="O180" s="275"/>
      <c r="P180" s="275"/>
      <c r="Q180" s="275"/>
      <c r="R180" s="224"/>
      <c r="S180" s="224"/>
      <c r="T180" s="224"/>
      <c r="U180" s="224"/>
      <c r="V180" s="224"/>
    </row>
    <row r="181" spans="1:22"/>
    <row r="182" spans="1:22"/>
    <row r="183" spans="1:22" ht="9" customHeight="1" thickBot="1"/>
    <row r="184" spans="1:22" ht="21" thickTop="1">
      <c r="A184" s="852" t="s">
        <v>281</v>
      </c>
      <c r="B184" s="853"/>
      <c r="C184" s="853"/>
      <c r="D184" s="853"/>
      <c r="E184" s="853"/>
      <c r="F184" s="853"/>
      <c r="G184" s="853"/>
      <c r="H184" s="853"/>
      <c r="I184" s="853"/>
      <c r="J184" s="853"/>
      <c r="K184" s="853"/>
      <c r="L184" s="853"/>
      <c r="M184" s="853"/>
      <c r="N184" s="853"/>
      <c r="O184" s="853"/>
      <c r="P184" s="853"/>
      <c r="Q184" s="853"/>
      <c r="R184" s="853"/>
      <c r="S184" s="853"/>
      <c r="T184" s="853"/>
      <c r="U184" s="853"/>
      <c r="V184" s="854"/>
    </row>
    <row r="185" spans="1:22">
      <c r="A185" s="796" t="s">
        <v>282</v>
      </c>
      <c r="B185" s="797"/>
      <c r="C185" s="797"/>
      <c r="D185" s="797"/>
      <c r="E185" s="797"/>
      <c r="F185" s="797"/>
      <c r="G185" s="797"/>
      <c r="H185" s="797"/>
      <c r="I185" s="797"/>
      <c r="J185" s="797"/>
      <c r="K185" s="797"/>
      <c r="L185" s="797"/>
      <c r="M185" s="797"/>
      <c r="N185" s="797"/>
      <c r="O185" s="797"/>
      <c r="P185" s="797"/>
      <c r="Q185" s="797"/>
      <c r="R185" s="797"/>
      <c r="S185" s="797"/>
      <c r="T185" s="797"/>
      <c r="U185" s="797"/>
      <c r="V185" s="798"/>
    </row>
    <row r="186" spans="1:22">
      <c r="A186" s="796" t="s">
        <v>283</v>
      </c>
      <c r="B186" s="797"/>
      <c r="C186" s="797"/>
      <c r="D186" s="797"/>
      <c r="E186" s="797"/>
      <c r="F186" s="797"/>
      <c r="G186" s="797"/>
      <c r="H186" s="797"/>
      <c r="I186" s="797"/>
      <c r="J186" s="797"/>
      <c r="K186" s="797"/>
      <c r="L186" s="797"/>
      <c r="M186" s="797"/>
      <c r="N186" s="797"/>
      <c r="O186" s="797"/>
      <c r="P186" s="797"/>
      <c r="Q186" s="797"/>
      <c r="R186" s="797"/>
      <c r="S186" s="797"/>
      <c r="T186" s="797"/>
      <c r="U186" s="797"/>
      <c r="V186" s="798"/>
    </row>
    <row r="187" spans="1:22" ht="6.6" customHeight="1">
      <c r="A187" s="135"/>
      <c r="B187" s="136"/>
      <c r="C187" s="136"/>
      <c r="D187" s="136"/>
      <c r="E187" s="136"/>
      <c r="F187" s="136"/>
      <c r="G187" s="136"/>
      <c r="H187" s="137"/>
      <c r="I187" s="137"/>
      <c r="J187" s="137"/>
      <c r="K187" s="136"/>
      <c r="L187" s="136"/>
      <c r="M187" s="136"/>
      <c r="N187" s="136"/>
      <c r="O187" s="136"/>
      <c r="P187" s="225"/>
      <c r="Q187" s="225"/>
      <c r="R187" s="225"/>
      <c r="S187" s="225"/>
      <c r="T187" s="225"/>
      <c r="U187" s="225"/>
      <c r="V187" s="242"/>
    </row>
    <row r="188" spans="1:22">
      <c r="A188" s="135" t="str">
        <f>"DDO Code:"&amp;'CLAIMING FORMS'!E49</f>
        <v>DDO Code:XXX</v>
      </c>
      <c r="B188" s="138"/>
      <c r="C188" s="138"/>
      <c r="D188" s="138"/>
      <c r="E188" s="138"/>
      <c r="F188" s="138"/>
      <c r="G188" s="138"/>
      <c r="H188" s="225"/>
      <c r="I188" s="139"/>
      <c r="J188" s="140"/>
      <c r="K188" s="136" t="str">
        <f>"Treasury / PAO Code : "&amp;E47</f>
        <v>Treasury / PAO Code : XXX</v>
      </c>
      <c r="L188" s="136"/>
      <c r="M188" s="225"/>
      <c r="N188" s="225"/>
      <c r="O188" s="138"/>
      <c r="P188" s="225"/>
      <c r="Q188" s="225"/>
      <c r="R188" s="225"/>
      <c r="S188" s="225"/>
      <c r="T188" s="225"/>
      <c r="U188" s="225"/>
      <c r="V188" s="242"/>
    </row>
    <row r="189" spans="1:22">
      <c r="A189" s="143" t="str">
        <f>"DDO Designation : "&amp;Data!S10</f>
        <v>DDO Designation : MEO</v>
      </c>
      <c r="B189" s="141"/>
      <c r="C189" s="136"/>
      <c r="D189" s="136"/>
      <c r="E189" s="136"/>
      <c r="F189" s="136"/>
      <c r="G189" s="136"/>
      <c r="H189" s="225"/>
      <c r="I189" s="139"/>
      <c r="J189" s="140"/>
      <c r="K189" s="136" t="str">
        <f>"Treasury / PAO Name: "&amp;Data!C19</f>
        <v>Treasury / PAO Name: SANGAREDDY</v>
      </c>
      <c r="L189" s="142"/>
      <c r="M189" s="225"/>
      <c r="N189" s="225"/>
      <c r="O189" s="136"/>
      <c r="P189" s="225"/>
      <c r="Q189" s="225"/>
      <c r="R189" s="225"/>
      <c r="S189" s="225"/>
      <c r="T189" s="225"/>
      <c r="U189" s="225"/>
      <c r="V189" s="242"/>
    </row>
    <row r="190" spans="1:22" ht="5.25" customHeight="1">
      <c r="A190" s="135"/>
      <c r="B190" s="141"/>
      <c r="C190" s="136"/>
      <c r="D190" s="136"/>
      <c r="E190" s="136"/>
      <c r="F190" s="136"/>
      <c r="G190" s="136"/>
      <c r="H190" s="225"/>
      <c r="I190" s="139"/>
      <c r="J190" s="140"/>
      <c r="K190" s="140"/>
      <c r="L190" s="142"/>
      <c r="M190" s="141"/>
      <c r="N190" s="136"/>
      <c r="O190" s="136"/>
      <c r="P190" s="225"/>
      <c r="Q190" s="225"/>
      <c r="R190" s="225"/>
      <c r="S190" s="225"/>
      <c r="T190" s="225"/>
      <c r="U190" s="225"/>
      <c r="V190" s="242"/>
    </row>
    <row r="191" spans="1:22">
      <c r="A191" s="135" t="s">
        <v>6</v>
      </c>
      <c r="B191" s="136"/>
      <c r="C191" s="136"/>
      <c r="D191" s="136"/>
      <c r="E191" s="136"/>
      <c r="F191" s="136"/>
      <c r="G191" s="136"/>
      <c r="H191" s="136"/>
      <c r="I191" s="136"/>
      <c r="J191" s="136"/>
      <c r="K191" s="136"/>
      <c r="L191" s="136"/>
      <c r="M191" s="136"/>
      <c r="N191" s="136"/>
      <c r="O191" s="136"/>
      <c r="P191" s="225"/>
      <c r="Q191" s="225"/>
      <c r="R191" s="225"/>
      <c r="S191" s="225"/>
      <c r="T191" s="225"/>
      <c r="U191" s="225"/>
      <c r="V191" s="242"/>
    </row>
    <row r="192" spans="1:22">
      <c r="A192" s="135" t="s">
        <v>284</v>
      </c>
      <c r="B192" s="136"/>
      <c r="C192" s="136"/>
      <c r="D192" s="136"/>
      <c r="E192" s="136"/>
      <c r="F192" s="136"/>
      <c r="G192" s="136"/>
      <c r="H192" s="136"/>
      <c r="I192" s="136"/>
      <c r="J192" s="136"/>
      <c r="K192" s="136"/>
      <c r="L192" s="136"/>
      <c r="M192" s="136"/>
      <c r="N192" s="136"/>
      <c r="O192" s="136"/>
      <c r="P192" s="225"/>
      <c r="Q192" s="225"/>
      <c r="R192" s="225"/>
      <c r="S192" s="225"/>
      <c r="T192" s="225"/>
      <c r="U192" s="225"/>
      <c r="V192" s="242"/>
    </row>
    <row r="193" spans="1:22">
      <c r="A193" s="201" t="str">
        <f>Data!D20</f>
        <v>SBI SANGAREDDY</v>
      </c>
      <c r="B193" s="202"/>
      <c r="C193" s="202"/>
      <c r="D193" s="202"/>
      <c r="E193" s="202"/>
      <c r="F193" s="202"/>
      <c r="G193" s="202"/>
      <c r="H193" s="136"/>
      <c r="I193" s="136"/>
      <c r="J193" s="136"/>
      <c r="K193" s="136"/>
      <c r="L193" s="136"/>
      <c r="M193" s="136"/>
      <c r="N193" s="136"/>
      <c r="O193" s="136"/>
      <c r="P193" s="225"/>
      <c r="Q193" s="225"/>
      <c r="R193" s="225"/>
      <c r="S193" s="225"/>
      <c r="T193" s="225"/>
      <c r="U193" s="225"/>
      <c r="V193" s="242"/>
    </row>
    <row r="194" spans="1:22" ht="2.25" customHeight="1">
      <c r="A194" s="135"/>
      <c r="B194" s="136"/>
      <c r="C194" s="136"/>
      <c r="D194" s="136"/>
      <c r="E194" s="136"/>
      <c r="F194" s="136"/>
      <c r="G194" s="136"/>
      <c r="H194" s="136"/>
      <c r="I194" s="136"/>
      <c r="J194" s="136"/>
      <c r="K194" s="136"/>
      <c r="L194" s="136"/>
      <c r="M194" s="136"/>
      <c r="N194" s="136"/>
      <c r="O194" s="136"/>
      <c r="P194" s="225"/>
      <c r="Q194" s="225"/>
      <c r="R194" s="225"/>
      <c r="S194" s="225"/>
      <c r="T194" s="225"/>
      <c r="U194" s="225"/>
      <c r="V194" s="242"/>
    </row>
    <row r="195" spans="1:22">
      <c r="A195" s="135" t="s">
        <v>348</v>
      </c>
      <c r="B195" s="225"/>
      <c r="C195" s="136"/>
      <c r="D195" s="136"/>
      <c r="E195" s="136"/>
      <c r="F195" s="136"/>
      <c r="G195" s="136"/>
      <c r="H195" s="136" t="s">
        <v>285</v>
      </c>
      <c r="I195" s="140"/>
      <c r="J195" s="136"/>
      <c r="K195" s="225"/>
      <c r="L195" s="139"/>
      <c r="M195" s="136"/>
      <c r="N195" s="136" t="str">
        <f>"For   Rs:  "&amp;'R C'!A17&amp;" /-"</f>
        <v>For   Rs:  25000 /-</v>
      </c>
      <c r="O195" s="140"/>
      <c r="P195" s="225"/>
      <c r="Q195" s="225"/>
      <c r="R195" s="225"/>
      <c r="S195" s="225"/>
      <c r="T195" s="225"/>
      <c r="U195" s="225"/>
      <c r="V195" s="242"/>
    </row>
    <row r="196" spans="1:22" ht="2.25" customHeight="1">
      <c r="A196" s="135"/>
      <c r="B196" s="136"/>
      <c r="C196" s="136"/>
      <c r="D196" s="136"/>
      <c r="E196" s="136"/>
      <c r="F196" s="136"/>
      <c r="G196" s="136"/>
      <c r="H196" s="136"/>
      <c r="I196" s="136"/>
      <c r="J196" s="136"/>
      <c r="K196" s="136"/>
      <c r="L196" s="136"/>
      <c r="M196" s="136"/>
      <c r="N196" s="136"/>
      <c r="O196" s="136"/>
      <c r="P196" s="225"/>
      <c r="Q196" s="225"/>
      <c r="R196" s="225"/>
      <c r="S196" s="225"/>
      <c r="T196" s="225"/>
      <c r="U196" s="225"/>
      <c r="V196" s="242"/>
    </row>
    <row r="197" spans="1:22">
      <c r="A197" s="855" t="str">
        <f>"Amount in Words: "&amp;'R C'!B17</f>
        <v>Amount in Words: (Twenty five Thousand rupees only)</v>
      </c>
      <c r="B197" s="856"/>
      <c r="C197" s="856"/>
      <c r="D197" s="856"/>
      <c r="E197" s="856"/>
      <c r="F197" s="856"/>
      <c r="G197" s="856"/>
      <c r="H197" s="856"/>
      <c r="I197" s="856"/>
      <c r="J197" s="856"/>
      <c r="K197" s="856"/>
      <c r="L197" s="856"/>
      <c r="M197" s="856"/>
      <c r="N197" s="856"/>
      <c r="O197" s="856"/>
      <c r="P197" s="856"/>
      <c r="Q197" s="856"/>
      <c r="R197" s="856"/>
      <c r="S197" s="856"/>
      <c r="T197" s="856"/>
      <c r="U197" s="856"/>
      <c r="V197" s="857"/>
    </row>
    <row r="198" spans="1:22" ht="3.95" customHeight="1">
      <c r="A198" s="135"/>
      <c r="B198" s="142"/>
      <c r="C198" s="142"/>
      <c r="D198" s="142"/>
      <c r="E198" s="142"/>
      <c r="F198" s="142"/>
      <c r="G198" s="142"/>
      <c r="H198" s="142"/>
      <c r="I198" s="142"/>
      <c r="J198" s="142"/>
      <c r="K198" s="142"/>
      <c r="L198" s="142"/>
      <c r="M198" s="142"/>
      <c r="N198" s="142"/>
      <c r="O198" s="136"/>
      <c r="P198" s="225"/>
      <c r="Q198" s="225"/>
      <c r="R198" s="225"/>
      <c r="S198" s="225"/>
      <c r="T198" s="225"/>
      <c r="U198" s="225"/>
      <c r="V198" s="242"/>
    </row>
    <row r="199" spans="1:22" ht="13.5" customHeight="1">
      <c r="A199" s="135" t="s">
        <v>286</v>
      </c>
      <c r="B199" s="136"/>
      <c r="C199" s="136"/>
      <c r="D199" s="136"/>
      <c r="E199" s="136"/>
      <c r="F199" s="136"/>
      <c r="G199" s="136"/>
      <c r="H199" s="136"/>
      <c r="I199" s="136"/>
      <c r="J199" s="136"/>
      <c r="K199" s="136"/>
      <c r="L199" s="136"/>
      <c r="M199" s="136"/>
      <c r="N199" s="136"/>
      <c r="O199" s="136"/>
      <c r="P199" s="225"/>
      <c r="Q199" s="225"/>
      <c r="R199" s="225"/>
      <c r="S199" s="225"/>
      <c r="T199" s="225"/>
      <c r="U199" s="225"/>
      <c r="V199" s="242"/>
    </row>
    <row r="200" spans="1:22" hidden="1">
      <c r="A200" s="135"/>
      <c r="B200" s="136"/>
      <c r="C200" s="136"/>
      <c r="D200" s="136"/>
      <c r="E200" s="136"/>
      <c r="F200" s="136"/>
      <c r="G200" s="136"/>
      <c r="H200" s="136"/>
      <c r="I200" s="136"/>
      <c r="J200" s="136"/>
      <c r="K200" s="136"/>
      <c r="L200" s="136"/>
      <c r="M200" s="136"/>
      <c r="N200" s="136"/>
      <c r="O200" s="136"/>
      <c r="P200" s="225"/>
      <c r="Q200" s="225"/>
      <c r="R200" s="225"/>
      <c r="S200" s="225"/>
      <c r="T200" s="225"/>
      <c r="U200" s="225"/>
      <c r="V200" s="242"/>
    </row>
    <row r="201" spans="1:22">
      <c r="A201" s="135"/>
      <c r="B201" s="136"/>
      <c r="C201" s="136"/>
      <c r="D201" s="136"/>
      <c r="E201" s="136"/>
      <c r="F201" s="136"/>
      <c r="G201" s="136"/>
      <c r="H201" s="136"/>
      <c r="I201" s="136"/>
      <c r="J201" s="136"/>
      <c r="K201" s="136"/>
      <c r="L201" s="136"/>
      <c r="M201" s="136"/>
      <c r="N201" s="136"/>
      <c r="O201" s="136"/>
      <c r="P201" s="225"/>
      <c r="Q201" s="225"/>
      <c r="R201" s="225"/>
      <c r="S201" s="225"/>
      <c r="T201" s="225"/>
      <c r="U201" s="225"/>
      <c r="V201" s="242"/>
    </row>
    <row r="202" spans="1:22">
      <c r="A202" s="135" t="s">
        <v>287</v>
      </c>
      <c r="B202" s="136"/>
      <c r="C202" s="136"/>
      <c r="D202" s="136"/>
      <c r="E202" s="136"/>
      <c r="F202" s="136"/>
      <c r="G202" s="136"/>
      <c r="H202" s="136"/>
      <c r="I202" s="136"/>
      <c r="J202" s="225"/>
      <c r="K202" s="139"/>
      <c r="L202" s="136" t="s">
        <v>288</v>
      </c>
      <c r="M202" s="140"/>
      <c r="N202" s="225"/>
      <c r="O202" s="136"/>
      <c r="P202" s="225"/>
      <c r="Q202" s="225"/>
      <c r="R202" s="225"/>
      <c r="S202" s="225"/>
      <c r="T202" s="225"/>
      <c r="U202" s="225"/>
      <c r="V202" s="242"/>
    </row>
    <row r="203" spans="1:22" ht="3.75" customHeight="1">
      <c r="A203" s="135"/>
      <c r="B203" s="136"/>
      <c r="C203" s="136"/>
      <c r="D203" s="136"/>
      <c r="E203" s="136"/>
      <c r="F203" s="136"/>
      <c r="G203" s="136"/>
      <c r="H203" s="136"/>
      <c r="I203" s="136"/>
      <c r="J203" s="225"/>
      <c r="K203" s="139"/>
      <c r="L203" s="136"/>
      <c r="M203" s="140"/>
      <c r="N203" s="225"/>
      <c r="O203" s="136"/>
      <c r="P203" s="225"/>
      <c r="Q203" s="225"/>
      <c r="R203" s="225"/>
      <c r="S203" s="225"/>
      <c r="T203" s="225"/>
      <c r="U203" s="225"/>
      <c r="V203" s="242"/>
    </row>
    <row r="204" spans="1:22">
      <c r="A204" s="203" t="s">
        <v>289</v>
      </c>
      <c r="B204" s="136"/>
      <c r="C204" s="136"/>
      <c r="D204" s="136"/>
      <c r="E204" s="136"/>
      <c r="F204" s="136"/>
      <c r="G204" s="136"/>
      <c r="H204" s="136"/>
      <c r="I204" s="136"/>
      <c r="J204" s="225"/>
      <c r="K204" s="139"/>
      <c r="L204" s="204" t="s">
        <v>290</v>
      </c>
      <c r="M204" s="140"/>
      <c r="N204" s="225"/>
      <c r="O204" s="136"/>
      <c r="P204" s="225"/>
      <c r="Q204" s="225"/>
      <c r="R204" s="225"/>
      <c r="S204" s="225"/>
      <c r="T204" s="225"/>
      <c r="U204" s="225"/>
      <c r="V204" s="242"/>
    </row>
    <row r="205" spans="1:22">
      <c r="A205" s="135"/>
      <c r="B205" s="136"/>
      <c r="C205" s="225"/>
      <c r="D205" s="136"/>
      <c r="E205" s="136"/>
      <c r="F205" s="136"/>
      <c r="G205" s="136"/>
      <c r="H205" s="136"/>
      <c r="I205" s="136"/>
      <c r="J205" s="225"/>
      <c r="K205" s="139"/>
      <c r="L205" s="136"/>
      <c r="M205" s="140"/>
      <c r="N205" s="225"/>
      <c r="O205" s="136"/>
      <c r="P205" s="225"/>
      <c r="Q205" s="225"/>
      <c r="R205" s="225"/>
      <c r="S205" s="225"/>
      <c r="T205" s="225"/>
      <c r="U205" s="225"/>
      <c r="V205" s="242"/>
    </row>
    <row r="206" spans="1:22">
      <c r="A206" s="135"/>
      <c r="B206" s="136"/>
      <c r="C206" s="136" t="s">
        <v>291</v>
      </c>
      <c r="D206" s="136"/>
      <c r="E206" s="136"/>
      <c r="F206" s="136"/>
      <c r="G206" s="136"/>
      <c r="H206" s="136"/>
      <c r="I206" s="225"/>
      <c r="J206" s="225"/>
      <c r="K206" s="139"/>
      <c r="L206" s="136" t="s">
        <v>292</v>
      </c>
      <c r="M206" s="140"/>
      <c r="N206" s="225"/>
      <c r="O206" s="136"/>
      <c r="P206" s="225"/>
      <c r="Q206" s="225"/>
      <c r="R206" s="225"/>
      <c r="S206" s="225"/>
      <c r="T206" s="225"/>
      <c r="U206" s="225"/>
      <c r="V206" s="242"/>
    </row>
    <row r="207" spans="1:22">
      <c r="A207" s="135"/>
      <c r="B207" s="136"/>
      <c r="C207" s="136"/>
      <c r="D207" s="136"/>
      <c r="E207" s="136"/>
      <c r="F207" s="136"/>
      <c r="G207" s="136"/>
      <c r="H207" s="136"/>
      <c r="I207" s="225"/>
      <c r="J207" s="225"/>
      <c r="K207" s="139"/>
      <c r="L207" s="136" t="s">
        <v>293</v>
      </c>
      <c r="M207" s="140"/>
      <c r="N207" s="225"/>
      <c r="O207" s="136"/>
      <c r="P207" s="225"/>
      <c r="Q207" s="225"/>
      <c r="R207" s="225"/>
      <c r="S207" s="225"/>
      <c r="T207" s="225"/>
      <c r="U207" s="225"/>
      <c r="V207" s="242"/>
    </row>
    <row r="208" spans="1:22" ht="9" customHeight="1">
      <c r="A208" s="135"/>
      <c r="B208" s="136"/>
      <c r="C208" s="136"/>
      <c r="D208" s="136"/>
      <c r="E208" s="136"/>
      <c r="F208" s="136"/>
      <c r="G208" s="136"/>
      <c r="H208" s="136"/>
      <c r="I208" s="136"/>
      <c r="J208" s="136"/>
      <c r="K208" s="136"/>
      <c r="L208" s="136"/>
      <c r="M208" s="136"/>
      <c r="N208" s="136"/>
      <c r="O208" s="136"/>
      <c r="P208" s="225"/>
      <c r="Q208" s="225"/>
      <c r="R208" s="225"/>
      <c r="S208" s="225"/>
      <c r="T208" s="225"/>
      <c r="U208" s="225"/>
      <c r="V208" s="242"/>
    </row>
    <row r="209" spans="1:22">
      <c r="A209" s="143" t="s">
        <v>294</v>
      </c>
      <c r="B209" s="136"/>
      <c r="C209" s="136"/>
      <c r="D209" s="136"/>
      <c r="E209" s="136"/>
      <c r="F209" s="136"/>
      <c r="G209" s="136"/>
      <c r="H209" s="136"/>
      <c r="I209" s="136"/>
      <c r="J209" s="136"/>
      <c r="K209" s="136"/>
      <c r="L209" s="136"/>
      <c r="M209" s="136"/>
      <c r="N209" s="136"/>
      <c r="O209" s="136"/>
      <c r="P209" s="225"/>
      <c r="Q209" s="225"/>
      <c r="R209" s="225"/>
      <c r="S209" s="225"/>
      <c r="T209" s="225"/>
      <c r="U209" s="225"/>
      <c r="V209" s="242"/>
    </row>
    <row r="210" spans="1:22" ht="9" customHeight="1" thickBot="1">
      <c r="A210" s="144"/>
      <c r="B210" s="145"/>
      <c r="C210" s="145"/>
      <c r="D210" s="145"/>
      <c r="E210" s="145"/>
      <c r="F210" s="145"/>
      <c r="G210" s="145"/>
      <c r="H210" s="145"/>
      <c r="I210" s="145"/>
      <c r="J210" s="145"/>
      <c r="K210" s="145"/>
      <c r="L210" s="145"/>
      <c r="M210" s="145"/>
      <c r="N210" s="145"/>
      <c r="O210" s="145"/>
      <c r="P210" s="243"/>
      <c r="Q210" s="243"/>
      <c r="R210" s="243"/>
      <c r="S210" s="243"/>
      <c r="T210" s="243"/>
      <c r="U210" s="243"/>
      <c r="V210" s="244"/>
    </row>
    <row r="211" spans="1:22" ht="15.75" customHeight="1" thickTop="1" thickBot="1">
      <c r="A211" s="146" t="s">
        <v>295</v>
      </c>
      <c r="B211" s="147"/>
      <c r="C211" s="147"/>
      <c r="D211" s="147"/>
      <c r="E211" s="147"/>
      <c r="F211" s="147"/>
      <c r="G211" s="147"/>
      <c r="H211" s="147"/>
      <c r="I211" s="147"/>
      <c r="J211" s="147"/>
      <c r="K211" s="147"/>
      <c r="L211" s="147"/>
      <c r="M211" s="147"/>
      <c r="N211" s="147"/>
      <c r="O211" s="147"/>
      <c r="P211" s="225"/>
      <c r="Q211" s="225"/>
      <c r="R211" s="225"/>
      <c r="S211" s="225"/>
      <c r="T211" s="225"/>
      <c r="U211" s="225"/>
      <c r="V211" s="242"/>
    </row>
    <row r="212" spans="1:22" ht="15.75" hidden="1" thickBot="1">
      <c r="A212" s="139"/>
      <c r="B212" s="139"/>
      <c r="C212" s="139"/>
      <c r="D212" s="139"/>
      <c r="E212" s="139"/>
      <c r="F212" s="139"/>
      <c r="G212" s="139"/>
      <c r="H212" s="139"/>
      <c r="I212" s="139"/>
      <c r="J212" s="139"/>
      <c r="K212" s="139"/>
      <c r="L212" s="139"/>
      <c r="M212" s="139"/>
      <c r="N212" s="139"/>
      <c r="O212" s="139"/>
      <c r="P212" s="225"/>
      <c r="Q212" s="225"/>
      <c r="R212" s="225"/>
      <c r="S212" s="225"/>
      <c r="T212" s="225"/>
      <c r="U212" s="225"/>
      <c r="V212" s="242"/>
    </row>
    <row r="213" spans="1:22" ht="19.5" thickTop="1">
      <c r="A213" s="740" t="str">
        <f>""&amp;('[1]DATA SHEET'!F122)&amp;"  STATE  GOVERNMENT"</f>
        <v xml:space="preserve">  STATE  GOVERNMENT</v>
      </c>
      <c r="B213" s="741"/>
      <c r="C213" s="741"/>
      <c r="D213" s="741"/>
      <c r="E213" s="741"/>
      <c r="F213" s="741"/>
      <c r="G213" s="741"/>
      <c r="H213" s="741"/>
      <c r="I213" s="741"/>
      <c r="J213" s="741"/>
      <c r="K213" s="741"/>
      <c r="L213" s="741"/>
      <c r="M213" s="741"/>
      <c r="N213" s="741"/>
      <c r="O213" s="741"/>
      <c r="P213" s="741"/>
      <c r="Q213" s="741"/>
      <c r="R213" s="741"/>
      <c r="S213" s="741"/>
      <c r="T213" s="741"/>
      <c r="U213" s="741"/>
      <c r="V213" s="742"/>
    </row>
    <row r="214" spans="1:22" ht="18">
      <c r="A214" s="743" t="s">
        <v>296</v>
      </c>
      <c r="B214" s="744"/>
      <c r="C214" s="744"/>
      <c r="D214" s="744"/>
      <c r="E214" s="744"/>
      <c r="F214" s="744"/>
      <c r="G214" s="744"/>
      <c r="H214" s="744"/>
      <c r="I214" s="744"/>
      <c r="J214" s="744"/>
      <c r="K214" s="744"/>
      <c r="L214" s="744"/>
      <c r="M214" s="744"/>
      <c r="N214" s="744"/>
      <c r="O214" s="744"/>
      <c r="P214" s="744"/>
      <c r="Q214" s="744"/>
      <c r="R214" s="744"/>
      <c r="S214" s="744"/>
      <c r="T214" s="744"/>
      <c r="U214" s="744"/>
      <c r="V214" s="745"/>
    </row>
    <row r="215" spans="1:22" ht="6" customHeight="1">
      <c r="A215" s="148"/>
      <c r="B215" s="149"/>
      <c r="C215" s="149"/>
      <c r="D215" s="149"/>
      <c r="E215" s="149"/>
      <c r="F215" s="149"/>
      <c r="G215" s="149"/>
      <c r="H215" s="149"/>
      <c r="I215" s="149"/>
      <c r="J215" s="149"/>
      <c r="K215" s="149"/>
      <c r="L215" s="149"/>
      <c r="M215" s="149"/>
      <c r="N215" s="150"/>
      <c r="O215" s="150"/>
      <c r="P215" s="115"/>
      <c r="Q215" s="115"/>
      <c r="R215" s="115"/>
      <c r="S215" s="115"/>
      <c r="T215" s="115"/>
      <c r="U215" s="225"/>
      <c r="V215" s="242"/>
    </row>
    <row r="216" spans="1:22" ht="15.75">
      <c r="A216" s="151" t="s">
        <v>297</v>
      </c>
      <c r="B216" s="245"/>
      <c r="C216" s="245"/>
      <c r="D216" s="746" t="str">
        <f>E47</f>
        <v>XXX</v>
      </c>
      <c r="E216" s="747"/>
      <c r="F216" s="747"/>
      <c r="G216" s="748"/>
      <c r="H216" s="140"/>
      <c r="I216" s="245"/>
      <c r="J216" s="866" t="s">
        <v>298</v>
      </c>
      <c r="K216" s="867"/>
      <c r="L216" s="867"/>
      <c r="M216" s="867"/>
      <c r="N216" s="867"/>
      <c r="O216" s="867"/>
      <c r="P216" s="867"/>
      <c r="Q216" s="867"/>
      <c r="R216" s="867"/>
      <c r="S216" s="867"/>
      <c r="T216" s="867"/>
      <c r="U216" s="867"/>
      <c r="V216" s="868"/>
    </row>
    <row r="217" spans="1:22" ht="4.5" customHeight="1">
      <c r="A217" s="151"/>
      <c r="B217" s="245"/>
      <c r="C217" s="245"/>
      <c r="D217" s="152"/>
      <c r="E217" s="152"/>
      <c r="F217" s="152"/>
      <c r="G217" s="152"/>
      <c r="H217" s="140"/>
      <c r="I217" s="245"/>
      <c r="J217" s="153"/>
      <c r="K217" s="154"/>
      <c r="L217" s="154"/>
      <c r="M217" s="154"/>
      <c r="N217" s="154"/>
      <c r="O217" s="154"/>
      <c r="P217" s="246"/>
      <c r="Q217" s="246"/>
      <c r="R217" s="246"/>
      <c r="S217" s="246"/>
      <c r="T217" s="246"/>
      <c r="U217" s="246"/>
      <c r="V217" s="247"/>
    </row>
    <row r="218" spans="1:22" ht="15.75">
      <c r="A218" s="151" t="s">
        <v>299</v>
      </c>
      <c r="B218" s="245"/>
      <c r="C218" s="245"/>
      <c r="D218" s="865" t="str">
        <f>Data!C19</f>
        <v>SANGAREDDY</v>
      </c>
      <c r="E218" s="747"/>
      <c r="F218" s="747"/>
      <c r="G218" s="748"/>
      <c r="H218" s="140"/>
      <c r="I218" s="245"/>
      <c r="J218" s="869" t="s">
        <v>300</v>
      </c>
      <c r="K218" s="870"/>
      <c r="L218" s="870"/>
      <c r="M218" s="870"/>
      <c r="N218" s="870"/>
      <c r="O218" s="870"/>
      <c r="P218" s="870"/>
      <c r="Q218" s="870"/>
      <c r="R218" s="870"/>
      <c r="S218" s="870"/>
      <c r="T218" s="870"/>
      <c r="U218" s="870"/>
      <c r="V218" s="871"/>
    </row>
    <row r="219" spans="1:22" ht="6" customHeight="1">
      <c r="A219" s="151"/>
      <c r="B219" s="245"/>
      <c r="C219" s="245"/>
      <c r="D219" s="152"/>
      <c r="E219" s="152"/>
      <c r="F219" s="152"/>
      <c r="G219" s="152"/>
      <c r="H219" s="140"/>
      <c r="I219" s="245"/>
      <c r="J219" s="153"/>
      <c r="K219" s="154"/>
      <c r="L219" s="154"/>
      <c r="M219" s="154"/>
      <c r="N219" s="154"/>
      <c r="O219" s="154"/>
      <c r="P219" s="246"/>
      <c r="Q219" s="246"/>
      <c r="R219" s="246"/>
      <c r="S219" s="246"/>
      <c r="T219" s="246"/>
      <c r="U219" s="246"/>
      <c r="V219" s="247"/>
    </row>
    <row r="220" spans="1:22" ht="15.75">
      <c r="A220" s="151" t="s">
        <v>264</v>
      </c>
      <c r="B220" s="245"/>
      <c r="C220" s="245"/>
      <c r="D220" s="876" t="str">
        <f>E49</f>
        <v>XXX</v>
      </c>
      <c r="E220" s="877"/>
      <c r="F220" s="877"/>
      <c r="G220" s="878"/>
      <c r="H220" s="140"/>
      <c r="I220" s="245"/>
      <c r="J220" s="848" t="s">
        <v>301</v>
      </c>
      <c r="K220" s="849"/>
      <c r="L220" s="849"/>
      <c r="M220" s="849"/>
      <c r="N220" s="849"/>
      <c r="O220" s="849"/>
      <c r="P220" s="849"/>
      <c r="Q220" s="849"/>
      <c r="R220" s="849"/>
      <c r="S220" s="849"/>
      <c r="T220" s="849"/>
      <c r="U220" s="849"/>
      <c r="V220" s="850"/>
    </row>
    <row r="221" spans="1:22" ht="2.25" customHeight="1">
      <c r="A221" s="151"/>
      <c r="B221" s="245"/>
      <c r="C221" s="245"/>
      <c r="D221" s="154"/>
      <c r="E221" s="154"/>
      <c r="F221" s="154"/>
      <c r="G221" s="154"/>
      <c r="H221" s="140"/>
      <c r="I221" s="245"/>
      <c r="J221" s="140"/>
      <c r="K221" s="140"/>
      <c r="L221" s="140"/>
      <c r="M221" s="155"/>
      <c r="N221" s="155"/>
      <c r="O221" s="155"/>
      <c r="P221" s="155"/>
      <c r="Q221" s="155"/>
      <c r="R221" s="155"/>
      <c r="S221" s="248"/>
      <c r="T221" s="248"/>
      <c r="U221" s="248"/>
      <c r="V221" s="249"/>
    </row>
    <row r="222" spans="1:22" ht="15.75">
      <c r="A222" s="156" t="s">
        <v>302</v>
      </c>
      <c r="B222" s="245"/>
      <c r="C222" s="245"/>
      <c r="D222" s="851" t="str">
        <f>Data!S10</f>
        <v>MEO</v>
      </c>
      <c r="E222" s="851"/>
      <c r="F222" s="851"/>
      <c r="G222" s="851"/>
      <c r="H222" s="851"/>
      <c r="I222" s="245"/>
      <c r="J222" s="225"/>
      <c r="K222" s="861" t="str">
        <f>"DDO Office Name: "&amp;Data!Q12</f>
        <v>DDO Office Name: MP,G.L.PURAM</v>
      </c>
      <c r="L222" s="861"/>
      <c r="M222" s="861"/>
      <c r="N222" s="861"/>
      <c r="O222" s="861"/>
      <c r="P222" s="861"/>
      <c r="Q222" s="861"/>
      <c r="R222" s="861"/>
      <c r="S222" s="861"/>
      <c r="T222" s="861"/>
      <c r="U222" s="861"/>
      <c r="V222" s="862"/>
    </row>
    <row r="223" spans="1:22" ht="2.25" customHeight="1">
      <c r="A223" s="151"/>
      <c r="B223" s="245"/>
      <c r="C223" s="245"/>
      <c r="D223" s="154"/>
      <c r="E223" s="154"/>
      <c r="F223" s="154"/>
      <c r="G223" s="154"/>
      <c r="H223" s="140"/>
      <c r="I223" s="245"/>
      <c r="J223" s="154"/>
      <c r="K223" s="154"/>
      <c r="L223" s="154"/>
      <c r="M223" s="154"/>
      <c r="N223" s="154"/>
      <c r="O223" s="154"/>
      <c r="P223" s="154"/>
      <c r="Q223" s="154"/>
      <c r="R223" s="154"/>
      <c r="S223" s="246"/>
      <c r="T223" s="246"/>
      <c r="U223" s="246"/>
      <c r="V223" s="247"/>
    </row>
    <row r="224" spans="1:22" ht="15.75">
      <c r="A224" s="151" t="s">
        <v>303</v>
      </c>
      <c r="B224" s="250"/>
      <c r="C224" s="245"/>
      <c r="D224" s="225"/>
      <c r="E224" s="225"/>
      <c r="F224" s="872" t="str">
        <f>E55</f>
        <v/>
      </c>
      <c r="G224" s="873"/>
      <c r="H224" s="874"/>
      <c r="I224" s="245"/>
      <c r="J224" s="225"/>
      <c r="K224" s="863" t="str">
        <f>"Link Bank Name: "&amp;Data!D20</f>
        <v>Link Bank Name: SBI SANGAREDDY</v>
      </c>
      <c r="L224" s="863"/>
      <c r="M224" s="863"/>
      <c r="N224" s="863"/>
      <c r="O224" s="863"/>
      <c r="P224" s="863"/>
      <c r="Q224" s="863"/>
      <c r="R224" s="863"/>
      <c r="S224" s="863"/>
      <c r="T224" s="863"/>
      <c r="U224" s="863"/>
      <c r="V224" s="864"/>
    </row>
    <row r="225" spans="1:22" ht="2.25" customHeight="1">
      <c r="A225" s="151"/>
      <c r="B225" s="245"/>
      <c r="C225" s="245"/>
      <c r="D225" s="158"/>
      <c r="E225" s="158"/>
      <c r="F225" s="158"/>
      <c r="G225" s="158"/>
      <c r="H225" s="158"/>
      <c r="I225" s="245"/>
      <c r="J225" s="158"/>
      <c r="K225" s="158"/>
      <c r="L225" s="158"/>
      <c r="M225" s="158"/>
      <c r="N225" s="158"/>
      <c r="O225" s="158"/>
      <c r="P225" s="140"/>
      <c r="Q225" s="140"/>
      <c r="R225" s="140"/>
      <c r="S225" s="245"/>
      <c r="T225" s="245"/>
      <c r="U225" s="245"/>
      <c r="V225" s="251"/>
    </row>
    <row r="226" spans="1:22" ht="15.75">
      <c r="A226" s="156" t="s">
        <v>304</v>
      </c>
      <c r="B226" s="252"/>
      <c r="C226" s="245"/>
      <c r="D226" s="160"/>
      <c r="E226" s="253" t="str">
        <f>N47</f>
        <v>2</v>
      </c>
      <c r="F226" s="253" t="str">
        <f>O47</f>
        <v>0</v>
      </c>
      <c r="G226" s="253" t="str">
        <f>P47</f>
        <v>7</v>
      </c>
      <c r="H226" s="253" t="str">
        <f>Q47</f>
        <v>1</v>
      </c>
      <c r="I226" s="245"/>
      <c r="J226" s="225"/>
      <c r="K226" s="253" t="str">
        <f>N49</f>
        <v>0</v>
      </c>
      <c r="L226" s="786" t="str">
        <f>O49</f>
        <v>1</v>
      </c>
      <c r="M226" s="786"/>
      <c r="N226" s="225"/>
      <c r="O226" s="253" t="str">
        <f>N51</f>
        <v>8</v>
      </c>
      <c r="P226" s="253" t="str">
        <f>O51</f>
        <v>0</v>
      </c>
      <c r="Q226" s="253" t="str">
        <f>P51</f>
        <v>0</v>
      </c>
      <c r="R226" s="225"/>
      <c r="S226" s="254"/>
      <c r="T226" s="858"/>
      <c r="U226" s="858"/>
      <c r="V226" s="255"/>
    </row>
    <row r="227" spans="1:22" ht="15.75">
      <c r="A227" s="151"/>
      <c r="B227" s="245"/>
      <c r="C227" s="245"/>
      <c r="D227" s="225"/>
      <c r="E227" s="256" t="s">
        <v>305</v>
      </c>
      <c r="F227" s="225"/>
      <c r="G227" s="257"/>
      <c r="H227" s="256"/>
      <c r="I227" s="252"/>
      <c r="J227" s="225"/>
      <c r="K227" s="256" t="s">
        <v>306</v>
      </c>
      <c r="L227" s="252"/>
      <c r="M227" s="225"/>
      <c r="N227" s="225"/>
      <c r="O227" s="256" t="s">
        <v>307</v>
      </c>
      <c r="P227" s="252"/>
      <c r="Q227" s="225"/>
      <c r="R227" s="225"/>
      <c r="S227" s="258" t="s">
        <v>308</v>
      </c>
      <c r="T227" s="256"/>
      <c r="U227" s="245"/>
      <c r="V227" s="242"/>
    </row>
    <row r="228" spans="1:22" ht="0.75" customHeight="1">
      <c r="A228" s="151"/>
      <c r="B228" s="245"/>
      <c r="C228" s="245"/>
      <c r="D228" s="158"/>
      <c r="E228" s="158"/>
      <c r="F228" s="158"/>
      <c r="G228" s="158"/>
      <c r="H228" s="140"/>
      <c r="I228" s="245"/>
      <c r="J228" s="158"/>
      <c r="K228" s="158"/>
      <c r="L228" s="140"/>
      <c r="M228" s="245"/>
      <c r="N228" s="158"/>
      <c r="O228" s="158"/>
      <c r="P228" s="158"/>
      <c r="Q228" s="245"/>
      <c r="R228" s="245"/>
      <c r="S228" s="245"/>
      <c r="T228" s="158"/>
      <c r="U228" s="158"/>
      <c r="V228" s="251"/>
    </row>
    <row r="229" spans="1:22" ht="15.75">
      <c r="A229" s="151"/>
      <c r="B229" s="245"/>
      <c r="C229" s="245"/>
      <c r="D229" s="225"/>
      <c r="E229" s="253" t="str">
        <f>N55</f>
        <v>0</v>
      </c>
      <c r="F229" s="253" t="str">
        <f>O55</f>
        <v>6</v>
      </c>
      <c r="G229" s="225"/>
      <c r="H229" s="140"/>
      <c r="I229" s="245"/>
      <c r="J229" s="253" t="str">
        <f>N57</f>
        <v>0</v>
      </c>
      <c r="K229" s="253" t="str">
        <f>O57</f>
        <v>4</v>
      </c>
      <c r="L229" s="786" t="str">
        <f>P57</f>
        <v>0</v>
      </c>
      <c r="M229" s="786"/>
      <c r="N229" s="158"/>
      <c r="O229" s="259" t="str">
        <f>N59</f>
        <v>0</v>
      </c>
      <c r="P229" s="859" t="str">
        <f>O59</f>
        <v>4</v>
      </c>
      <c r="Q229" s="860"/>
      <c r="R229" s="875" t="str">
        <f>P59</f>
        <v>3</v>
      </c>
      <c r="S229" s="875"/>
      <c r="T229" s="225"/>
      <c r="U229" s="225"/>
      <c r="V229" s="242"/>
    </row>
    <row r="230" spans="1:22" ht="15.75">
      <c r="A230" s="151"/>
      <c r="B230" s="245"/>
      <c r="C230" s="245"/>
      <c r="D230" s="225"/>
      <c r="E230" s="260" t="s">
        <v>309</v>
      </c>
      <c r="F230" s="260"/>
      <c r="G230" s="225"/>
      <c r="H230" s="256"/>
      <c r="I230" s="252"/>
      <c r="J230" s="739" t="s">
        <v>310</v>
      </c>
      <c r="K230" s="739"/>
      <c r="L230" s="739"/>
      <c r="M230" s="261"/>
      <c r="N230" s="261"/>
      <c r="O230" s="257" t="s">
        <v>311</v>
      </c>
      <c r="P230" s="257"/>
      <c r="Q230" s="257"/>
      <c r="R230" s="252"/>
      <c r="S230" s="252"/>
      <c r="T230" s="225"/>
      <c r="U230" s="225"/>
      <c r="V230" s="242"/>
    </row>
    <row r="231" spans="1:22" ht="2.25" customHeight="1">
      <c r="A231" s="151"/>
      <c r="B231" s="245"/>
      <c r="C231" s="245"/>
      <c r="D231" s="154"/>
      <c r="E231" s="154"/>
      <c r="F231" s="158"/>
      <c r="G231" s="158"/>
      <c r="H231" s="140"/>
      <c r="I231" s="245"/>
      <c r="J231" s="158"/>
      <c r="K231" s="158"/>
      <c r="L231" s="158"/>
      <c r="M231" s="158"/>
      <c r="N231" s="158"/>
      <c r="O231" s="245"/>
      <c r="P231" s="245"/>
      <c r="Q231" s="245"/>
      <c r="R231" s="262"/>
      <c r="S231" s="262"/>
      <c r="T231" s="262"/>
      <c r="U231" s="245"/>
      <c r="V231" s="251"/>
    </row>
    <row r="232" spans="1:22" ht="15.75">
      <c r="A232" s="151" t="s">
        <v>312</v>
      </c>
      <c r="B232" s="245"/>
      <c r="C232" s="245"/>
      <c r="D232" s="782" t="s">
        <v>276</v>
      </c>
      <c r="E232" s="263"/>
      <c r="F232" s="140" t="s">
        <v>313</v>
      </c>
      <c r="G232" s="140"/>
      <c r="H232" s="245"/>
      <c r="I232" s="225"/>
      <c r="J232" s="786" t="s">
        <v>278</v>
      </c>
      <c r="K232" s="264" t="s">
        <v>314</v>
      </c>
      <c r="L232" s="139"/>
      <c r="M232" s="139"/>
      <c r="N232" s="139"/>
      <c r="O232" s="139"/>
      <c r="P232" s="101"/>
      <c r="Q232" s="784" t="str">
        <f>E226</f>
        <v>2</v>
      </c>
      <c r="R232" s="784" t="str">
        <f>F226</f>
        <v>0</v>
      </c>
      <c r="S232" s="786" t="str">
        <f>G226</f>
        <v>7</v>
      </c>
      <c r="T232" s="786"/>
      <c r="U232" s="786" t="str">
        <f>H226</f>
        <v>1</v>
      </c>
      <c r="V232" s="801"/>
    </row>
    <row r="233" spans="1:22" ht="15.75">
      <c r="A233" s="151" t="s">
        <v>315</v>
      </c>
      <c r="B233" s="245"/>
      <c r="C233" s="245"/>
      <c r="D233" s="783"/>
      <c r="E233" s="263"/>
      <c r="F233" s="140" t="s">
        <v>316</v>
      </c>
      <c r="G233" s="140"/>
      <c r="H233" s="245"/>
      <c r="I233" s="157"/>
      <c r="J233" s="786"/>
      <c r="K233" s="264" t="s">
        <v>317</v>
      </c>
      <c r="L233" s="139"/>
      <c r="M233" s="139"/>
      <c r="N233" s="139"/>
      <c r="O233" s="139"/>
      <c r="P233" s="101"/>
      <c r="Q233" s="785"/>
      <c r="R233" s="785"/>
      <c r="S233" s="786"/>
      <c r="T233" s="786"/>
      <c r="U233" s="786"/>
      <c r="V233" s="801"/>
    </row>
    <row r="234" spans="1:22" ht="4.5" customHeight="1">
      <c r="A234" s="151"/>
      <c r="B234" s="245"/>
      <c r="C234" s="245"/>
      <c r="D234" s="159"/>
      <c r="E234" s="160"/>
      <c r="F234" s="158"/>
      <c r="G234" s="158"/>
      <c r="H234" s="160"/>
      <c r="I234" s="245"/>
      <c r="J234" s="158"/>
      <c r="K234" s="158"/>
      <c r="L234" s="158"/>
      <c r="M234" s="158"/>
      <c r="N234" s="158"/>
      <c r="O234" s="160"/>
      <c r="P234" s="160"/>
      <c r="Q234" s="160"/>
      <c r="R234" s="160"/>
      <c r="S234" s="245"/>
      <c r="T234" s="245"/>
      <c r="U234" s="245"/>
      <c r="V234" s="251"/>
    </row>
    <row r="235" spans="1:22" ht="15.75">
      <c r="A235" s="161" t="str">
        <f>"Gross Rs  : "&amp;Data!Q17 &amp;"                 Deduction Rs :  "&amp;" -                 Net Rs:"  &amp;Data!Q17</f>
        <v>Gross Rs  : 25000                 Deduction Rs :   -                 Net Rs:25000</v>
      </c>
      <c r="B235" s="265"/>
      <c r="C235" s="265"/>
      <c r="D235" s="205"/>
      <c r="E235" s="205"/>
      <c r="F235" s="265"/>
      <c r="G235" s="162"/>
      <c r="H235" s="229"/>
      <c r="I235" s="162"/>
      <c r="J235" s="162"/>
      <c r="K235" s="206"/>
      <c r="L235" s="207"/>
      <c r="M235" s="207"/>
      <c r="N235" s="265"/>
      <c r="O235" s="163"/>
      <c r="P235" s="163"/>
      <c r="Q235" s="163"/>
      <c r="R235" s="205"/>
      <c r="S235" s="205"/>
      <c r="T235" s="205"/>
      <c r="U235" s="205"/>
      <c r="V235" s="266"/>
    </row>
    <row r="236" spans="1:22" ht="0.75" customHeight="1">
      <c r="A236" s="164"/>
      <c r="B236" s="160"/>
      <c r="C236" s="160"/>
      <c r="D236" s="165"/>
      <c r="E236" s="165"/>
      <c r="F236" s="165"/>
      <c r="G236" s="160"/>
      <c r="H236" s="160"/>
      <c r="I236" s="160"/>
      <c r="J236" s="165"/>
      <c r="K236" s="165"/>
      <c r="L236" s="165"/>
      <c r="M236" s="160"/>
      <c r="N236" s="160"/>
      <c r="O236" s="160"/>
      <c r="P236" s="245"/>
      <c r="Q236" s="245"/>
      <c r="R236" s="245"/>
      <c r="S236" s="245"/>
      <c r="T236" s="245"/>
      <c r="U236" s="245"/>
      <c r="V236" s="251"/>
    </row>
    <row r="237" spans="1:22">
      <c r="A237" s="787" t="str">
        <f>"NET  RUPEES: "&amp;'R C'!B17</f>
        <v>NET  RUPEES: (Twenty five Thousand rupees only)</v>
      </c>
      <c r="B237" s="788"/>
      <c r="C237" s="788"/>
      <c r="D237" s="788"/>
      <c r="E237" s="788"/>
      <c r="F237" s="788"/>
      <c r="G237" s="788"/>
      <c r="H237" s="788"/>
      <c r="I237" s="788"/>
      <c r="J237" s="788"/>
      <c r="K237" s="788"/>
      <c r="L237" s="788"/>
      <c r="M237" s="788"/>
      <c r="N237" s="788"/>
      <c r="O237" s="788"/>
      <c r="P237" s="788"/>
      <c r="Q237" s="788"/>
      <c r="R237" s="788"/>
      <c r="S237" s="788"/>
      <c r="T237" s="788"/>
      <c r="U237" s="788"/>
      <c r="V237" s="789"/>
    </row>
    <row r="238" spans="1:22" ht="15.75">
      <c r="A238" s="166"/>
      <c r="B238" s="167"/>
      <c r="C238" s="167"/>
      <c r="D238" s="167"/>
      <c r="E238" s="167"/>
      <c r="F238" s="167"/>
      <c r="G238" s="167"/>
      <c r="H238" s="167"/>
      <c r="I238" s="167"/>
      <c r="J238" s="167"/>
      <c r="K238" s="167"/>
      <c r="L238" s="167"/>
      <c r="M238" s="167"/>
      <c r="N238" s="167"/>
      <c r="O238" s="167"/>
      <c r="P238" s="167"/>
      <c r="Q238" s="167"/>
      <c r="R238" s="167"/>
      <c r="S238" s="167"/>
      <c r="T238" s="167"/>
      <c r="U238" s="167"/>
      <c r="V238" s="168"/>
    </row>
    <row r="239" spans="1:22" ht="15.75">
      <c r="A239" s="169" t="s">
        <v>318</v>
      </c>
      <c r="B239" s="245"/>
      <c r="C239" s="157"/>
      <c r="D239" s="157"/>
      <c r="E239" s="157"/>
      <c r="F239" s="157"/>
      <c r="G239" s="157"/>
      <c r="H239" s="245"/>
      <c r="I239" s="140"/>
      <c r="J239" s="140"/>
      <c r="K239" s="140" t="s">
        <v>319</v>
      </c>
      <c r="L239" s="170"/>
      <c r="M239" s="170"/>
      <c r="N239" s="170"/>
      <c r="O239" s="170"/>
      <c r="P239" s="245"/>
      <c r="Q239" s="245"/>
      <c r="R239" s="245"/>
      <c r="S239" s="245"/>
      <c r="T239" s="245"/>
      <c r="U239" s="245"/>
      <c r="V239" s="251"/>
    </row>
    <row r="240" spans="1:22" ht="15.75">
      <c r="A240" s="267" t="str">
        <f>"(As in "&amp;IF(Data!AF12=1,"TS","AP")&amp;"TC form-101)"</f>
        <v>(As in APTC form-101)</v>
      </c>
      <c r="B240" s="140"/>
      <c r="C240" s="140"/>
      <c r="D240" s="140"/>
      <c r="E240" s="140"/>
      <c r="F240" s="140"/>
      <c r="G240" s="140"/>
      <c r="H240" s="140"/>
      <c r="I240" s="140"/>
      <c r="J240" s="140"/>
      <c r="K240" s="140"/>
      <c r="L240" s="140"/>
      <c r="M240" s="140"/>
      <c r="N240" s="140"/>
      <c r="O240" s="140"/>
      <c r="P240" s="245"/>
      <c r="Q240" s="245"/>
      <c r="R240" s="245"/>
      <c r="S240" s="245"/>
      <c r="T240" s="245"/>
      <c r="U240" s="245"/>
      <c r="V240" s="251"/>
    </row>
    <row r="241" spans="1:22" ht="6" customHeight="1">
      <c r="A241" s="171"/>
      <c r="B241" s="158"/>
      <c r="C241" s="158"/>
      <c r="D241" s="158"/>
      <c r="E241" s="140"/>
      <c r="F241" s="140"/>
      <c r="G241" s="140"/>
      <c r="H241" s="140"/>
      <c r="I241" s="140"/>
      <c r="J241" s="140"/>
      <c r="K241" s="140"/>
      <c r="L241" s="140"/>
      <c r="M241" s="140"/>
      <c r="N241" s="140"/>
      <c r="O241" s="140"/>
      <c r="P241" s="245"/>
      <c r="Q241" s="245"/>
      <c r="R241" s="245"/>
      <c r="S241" s="245"/>
      <c r="T241" s="245"/>
      <c r="U241" s="245"/>
      <c r="V241" s="251"/>
    </row>
    <row r="242" spans="1:22" ht="15.75">
      <c r="A242" s="169" t="s">
        <v>320</v>
      </c>
      <c r="B242" s="140"/>
      <c r="C242" s="140"/>
      <c r="D242" s="140"/>
      <c r="E242" s="225"/>
      <c r="F242" s="140"/>
      <c r="G242" s="140"/>
      <c r="H242" s="225"/>
      <c r="I242" s="140"/>
      <c r="J242" s="158">
        <v>1</v>
      </c>
      <c r="K242" s="140"/>
      <c r="L242" s="140"/>
      <c r="M242" s="140"/>
      <c r="N242" s="140"/>
      <c r="O242" s="140"/>
      <c r="P242" s="245"/>
      <c r="Q242" s="245"/>
      <c r="R242" s="245"/>
      <c r="S242" s="245"/>
      <c r="T242" s="245"/>
      <c r="U242" s="245"/>
      <c r="V242" s="251"/>
    </row>
    <row r="243" spans="1:22" ht="15.75">
      <c r="A243" s="169"/>
      <c r="B243" s="140"/>
      <c r="C243" s="140"/>
      <c r="D243" s="140"/>
      <c r="E243" s="225"/>
      <c r="F243" s="140"/>
      <c r="G243" s="140"/>
      <c r="H243" s="225"/>
      <c r="I243" s="140"/>
      <c r="J243" s="158">
        <v>2</v>
      </c>
      <c r="K243" s="140"/>
      <c r="L243" s="140"/>
      <c r="M243" s="140"/>
      <c r="N243" s="140"/>
      <c r="O243" s="140"/>
      <c r="P243" s="245"/>
      <c r="Q243" s="245"/>
      <c r="R243" s="245"/>
      <c r="S243" s="245"/>
      <c r="T243" s="245"/>
      <c r="U243" s="245"/>
      <c r="V243" s="251"/>
    </row>
    <row r="244" spans="1:22" ht="8.25" customHeight="1">
      <c r="A244" s="169"/>
      <c r="B244" s="140"/>
      <c r="C244" s="140"/>
      <c r="D244" s="140"/>
      <c r="E244" s="140"/>
      <c r="F244" s="140"/>
      <c r="G244" s="140"/>
      <c r="H244" s="140"/>
      <c r="I244" s="140"/>
      <c r="J244" s="140"/>
      <c r="K244" s="140"/>
      <c r="L244" s="140"/>
      <c r="M244" s="140"/>
      <c r="N244" s="140"/>
      <c r="O244" s="140"/>
      <c r="P244" s="245"/>
      <c r="Q244" s="245"/>
      <c r="R244" s="245"/>
      <c r="S244" s="245"/>
      <c r="T244" s="245"/>
      <c r="U244" s="245"/>
      <c r="V244" s="251"/>
    </row>
    <row r="245" spans="1:22" ht="4.5" customHeight="1">
      <c r="A245" s="169"/>
      <c r="B245" s="140"/>
      <c r="C245" s="140"/>
      <c r="D245" s="140"/>
      <c r="E245" s="140"/>
      <c r="F245" s="140"/>
      <c r="G245" s="140"/>
      <c r="H245" s="140"/>
      <c r="I245" s="140"/>
      <c r="J245" s="140"/>
      <c r="K245" s="140"/>
      <c r="L245" s="140"/>
      <c r="M245" s="140"/>
      <c r="N245" s="140"/>
      <c r="O245" s="140"/>
      <c r="P245" s="245"/>
      <c r="Q245" s="245"/>
      <c r="R245" s="245"/>
      <c r="S245" s="245"/>
      <c r="T245" s="245"/>
      <c r="U245" s="245"/>
      <c r="V245" s="251"/>
    </row>
    <row r="246" spans="1:22" ht="15.75">
      <c r="A246" s="169" t="s">
        <v>321</v>
      </c>
      <c r="B246" s="140"/>
      <c r="C246" s="140"/>
      <c r="D246" s="140"/>
      <c r="E246" s="225"/>
      <c r="F246" s="225"/>
      <c r="G246" s="225"/>
      <c r="H246" s="140"/>
      <c r="I246" s="781" t="s">
        <v>291</v>
      </c>
      <c r="J246" s="781"/>
      <c r="K246" s="781"/>
      <c r="L246" s="245"/>
      <c r="M246" s="245"/>
      <c r="N246" s="245"/>
      <c r="O246" s="245"/>
      <c r="P246" s="245"/>
      <c r="Q246" s="140" t="s">
        <v>322</v>
      </c>
      <c r="R246" s="140"/>
      <c r="S246" s="140"/>
      <c r="T246" s="140"/>
      <c r="U246" s="245"/>
      <c r="V246" s="251"/>
    </row>
    <row r="247" spans="1:22" ht="15.75">
      <c r="A247" s="800"/>
      <c r="B247" s="140"/>
      <c r="C247" s="140"/>
      <c r="D247" s="140"/>
      <c r="E247" s="140"/>
      <c r="F247" s="140"/>
      <c r="G247" s="140"/>
      <c r="H247" s="140"/>
      <c r="I247" s="140"/>
      <c r="J247" s="140"/>
      <c r="K247" s="140"/>
      <c r="L247" s="140"/>
      <c r="M247" s="140"/>
      <c r="N247" s="140"/>
      <c r="O247" s="140"/>
      <c r="P247" s="245"/>
      <c r="Q247" s="245"/>
      <c r="R247" s="245"/>
      <c r="S247" s="245"/>
      <c r="T247" s="245"/>
      <c r="U247" s="245"/>
      <c r="V247" s="251"/>
    </row>
    <row r="248" spans="1:22" ht="15.75">
      <c r="A248" s="800"/>
      <c r="B248" s="140"/>
      <c r="C248" s="140"/>
      <c r="D248" s="140"/>
      <c r="E248" s="225"/>
      <c r="F248" s="140"/>
      <c r="G248" s="140"/>
      <c r="H248" s="140"/>
      <c r="I248" s="140"/>
      <c r="J248" s="225"/>
      <c r="K248" s="140"/>
      <c r="L248" s="140"/>
      <c r="M248" s="781"/>
      <c r="N248" s="781"/>
      <c r="O248" s="140"/>
      <c r="P248" s="245"/>
      <c r="Q248" s="245"/>
      <c r="R248" s="245"/>
      <c r="S248" s="245"/>
      <c r="T248" s="245"/>
      <c r="U248" s="245"/>
      <c r="V248" s="251"/>
    </row>
    <row r="249" spans="1:22" ht="15.75">
      <c r="A249" s="171"/>
      <c r="B249" s="140"/>
      <c r="C249" s="140"/>
      <c r="D249" s="140"/>
      <c r="E249" s="140"/>
      <c r="F249" s="140"/>
      <c r="G249" s="140"/>
      <c r="H249" s="140"/>
      <c r="I249" s="140"/>
      <c r="J249" s="140" t="s">
        <v>323</v>
      </c>
      <c r="K249" s="140"/>
      <c r="L249" s="140"/>
      <c r="M249" s="781"/>
      <c r="N249" s="781"/>
      <c r="O249" s="140"/>
      <c r="P249" s="245"/>
      <c r="Q249" s="245"/>
      <c r="R249" s="245"/>
      <c r="S249" s="245"/>
      <c r="T249" s="245"/>
      <c r="U249" s="245"/>
      <c r="V249" s="251"/>
    </row>
    <row r="250" spans="1:22" ht="11.45" customHeight="1">
      <c r="A250" s="169"/>
      <c r="B250" s="140"/>
      <c r="C250" s="140"/>
      <c r="D250" s="140"/>
      <c r="E250" s="140"/>
      <c r="F250" s="140"/>
      <c r="G250" s="140"/>
      <c r="H250" s="140"/>
      <c r="I250" s="140"/>
      <c r="J250" s="140"/>
      <c r="K250" s="140"/>
      <c r="L250" s="140"/>
      <c r="M250" s="140"/>
      <c r="N250" s="140"/>
      <c r="O250" s="140"/>
      <c r="P250" s="245"/>
      <c r="Q250" s="245"/>
      <c r="R250" s="245"/>
      <c r="S250" s="245"/>
      <c r="T250" s="245"/>
      <c r="U250" s="245"/>
      <c r="V250" s="251"/>
    </row>
    <row r="251" spans="1:22" ht="12.6" customHeight="1" thickBot="1">
      <c r="A251" s="172"/>
      <c r="B251" s="173"/>
      <c r="C251" s="173"/>
      <c r="D251" s="173"/>
      <c r="E251" s="173"/>
      <c r="F251" s="173"/>
      <c r="G251" s="173"/>
      <c r="H251" s="173"/>
      <c r="I251" s="173"/>
      <c r="J251" s="173"/>
      <c r="K251" s="173"/>
      <c r="L251" s="173"/>
      <c r="M251" s="173"/>
      <c r="N251" s="173"/>
      <c r="O251" s="173"/>
      <c r="P251" s="268"/>
      <c r="Q251" s="268"/>
      <c r="R251" s="268"/>
      <c r="S251" s="268"/>
      <c r="T251" s="268"/>
      <c r="U251" s="268"/>
      <c r="V251" s="269"/>
    </row>
    <row r="252" spans="1:22" ht="9.6" customHeight="1" thickTop="1"/>
    <row r="253" spans="1:22"/>
  </sheetData>
  <sheetProtection password="C67B" sheet="1" objects="1" scenarios="1" formatCells="0" formatColumns="0" formatRows="0" sort="0" autoFilter="0"/>
  <protectedRanges>
    <protectedRange password="CE28" sqref="E156:F156 E172:F172" name="Range4_1" securityDescriptor="O:WDG:WDD:(A;;CC;;;S-1-5-21-1390067357-507921405-725345543-500)(A;;CC;;;BA)(A;;CC;;;AN)(A;;CC;;;AU)(A;;CC;;;BO)(A;;CC;;;S-1-5-3)(A;;CC;;;S-1-5-21-1390067357-507921405-725345543-1002)(A;;CC;;;S-1-5-1)(A;;CC;;;WD)(A;;CC;;;S-1-5-21-1390067357-507921405-725345543-501)(A;;CC;;;BG)(A;;CC;;;S-1-5-21-1390067357-507921405-725345543-1001)(A;;CC;;;IU)(A;;CC;;;NU)(A;;CC;;;NO)(A;;CC;;;PU)(A;;CC;;;S-1-5-21-1390067357-507921405-725345543-1000)(A;;CC;;;RD)(A;;CC;;;RE)(A;;CC;;;SU)(A;;CC;;;SY)(A;;CC;;;S-1-5-13)(A;;CC;;;BU)"/>
  </protectedRanges>
  <customSheetViews>
    <customSheetView guid="{B625ED32-945B-469E-9979-E993C41040F6}" showGridLines="0" hiddenRows="1" hiddenColumns="1" topLeftCell="A3">
      <selection activeCell="X1" sqref="X1:IV65536"/>
      <rowBreaks count="4" manualBreakCount="4">
        <brk id="53" max="21" man="1"/>
        <brk id="100" max="21" man="1"/>
        <brk id="171" max="21" man="1"/>
        <brk id="206" max="21" man="1"/>
      </rowBreaks>
      <pageMargins left="0.25" right="0.25" top="0.38" bottom="0.28000000000000003" header="0.3" footer="0.3"/>
      <printOptions horizontalCentered="1"/>
      <pageSetup paperSize="9" orientation="portrait" horizontalDpi="300" verticalDpi="300" r:id="rId1"/>
    </customSheetView>
  </customSheetViews>
  <mergeCells count="187">
    <mergeCell ref="A140:R140"/>
    <mergeCell ref="H138:J138"/>
    <mergeCell ref="K138:N138"/>
    <mergeCell ref="C138:G138"/>
    <mergeCell ref="C139:G139"/>
    <mergeCell ref="C120:G120"/>
    <mergeCell ref="S140:V140"/>
    <mergeCell ref="A5:V5"/>
    <mergeCell ref="A6:V6"/>
    <mergeCell ref="A18:V20"/>
    <mergeCell ref="P31:V32"/>
    <mergeCell ref="A132:V132"/>
    <mergeCell ref="O138:R138"/>
    <mergeCell ref="S138:V138"/>
    <mergeCell ref="A122:R122"/>
    <mergeCell ref="S122:V122"/>
    <mergeCell ref="I23:J23"/>
    <mergeCell ref="A105:V105"/>
    <mergeCell ref="G23:H23"/>
    <mergeCell ref="K23:L23"/>
    <mergeCell ref="M23:N23"/>
    <mergeCell ref="A124:V125"/>
    <mergeCell ref="C23:F23"/>
    <mergeCell ref="A26:V27"/>
    <mergeCell ref="H139:J139"/>
    <mergeCell ref="K139:N139"/>
    <mergeCell ref="O139:R139"/>
    <mergeCell ref="S139:V139"/>
    <mergeCell ref="O120:R120"/>
    <mergeCell ref="S120:V120"/>
    <mergeCell ref="A92:V93"/>
    <mergeCell ref="A133:V133"/>
    <mergeCell ref="A127:E128"/>
    <mergeCell ref="K120:N120"/>
    <mergeCell ref="A126:V126"/>
    <mergeCell ref="S121:V121"/>
    <mergeCell ref="C121:G121"/>
    <mergeCell ref="A115:V115"/>
    <mergeCell ref="O69:P69"/>
    <mergeCell ref="U69:V69"/>
    <mergeCell ref="A70:L70"/>
    <mergeCell ref="B69:E69"/>
    <mergeCell ref="M70:N70"/>
    <mergeCell ref="A39:V39"/>
    <mergeCell ref="G24:H24"/>
    <mergeCell ref="I24:J24"/>
    <mergeCell ref="K24:L24"/>
    <mergeCell ref="M24:N24"/>
    <mergeCell ref="A36:V36"/>
    <mergeCell ref="A37:V37"/>
    <mergeCell ref="C24:F24"/>
    <mergeCell ref="R53:V53"/>
    <mergeCell ref="P53:Q53"/>
    <mergeCell ref="E55:H55"/>
    <mergeCell ref="J43:K44"/>
    <mergeCell ref="E47:H47"/>
    <mergeCell ref="N71:V71"/>
    <mergeCell ref="A84:V84"/>
    <mergeCell ref="A73:U73"/>
    <mergeCell ref="J81:U81"/>
    <mergeCell ref="O70:P70"/>
    <mergeCell ref="U70:V70"/>
    <mergeCell ref="B68:E68"/>
    <mergeCell ref="A40:V40"/>
    <mergeCell ref="A87:V87"/>
    <mergeCell ref="M68:N68"/>
    <mergeCell ref="O68:P68"/>
    <mergeCell ref="G80:U80"/>
    <mergeCell ref="I69:J69"/>
    <mergeCell ref="K69:L69"/>
    <mergeCell ref="M69:N69"/>
    <mergeCell ref="A62:D62"/>
    <mergeCell ref="A66:V66"/>
    <mergeCell ref="D51:H51"/>
    <mergeCell ref="E53:H53"/>
    <mergeCell ref="L62:Q62"/>
    <mergeCell ref="F62:J62"/>
    <mergeCell ref="J57:M57"/>
    <mergeCell ref="R57:V57"/>
    <mergeCell ref="J53:M53"/>
    <mergeCell ref="D222:H222"/>
    <mergeCell ref="A184:V184"/>
    <mergeCell ref="A185:V185"/>
    <mergeCell ref="A197:V197"/>
    <mergeCell ref="L226:M226"/>
    <mergeCell ref="T226:U226"/>
    <mergeCell ref="P229:Q229"/>
    <mergeCell ref="K222:V222"/>
    <mergeCell ref="K224:V224"/>
    <mergeCell ref="D218:G218"/>
    <mergeCell ref="J216:V216"/>
    <mergeCell ref="J218:V218"/>
    <mergeCell ref="F224:H224"/>
    <mergeCell ref="L229:M229"/>
    <mergeCell ref="R229:S229"/>
    <mergeCell ref="D220:G220"/>
    <mergeCell ref="A175:Q175"/>
    <mergeCell ref="R175:V175"/>
    <mergeCell ref="A177:V178"/>
    <mergeCell ref="A173:B174"/>
    <mergeCell ref="C173:G174"/>
    <mergeCell ref="H173:J174"/>
    <mergeCell ref="R173:V174"/>
    <mergeCell ref="K173:Q174"/>
    <mergeCell ref="J220:V220"/>
    <mergeCell ref="A156:P156"/>
    <mergeCell ref="Q156:V156"/>
    <mergeCell ref="A158:V159"/>
    <mergeCell ref="A166:V166"/>
    <mergeCell ref="A167:V167"/>
    <mergeCell ref="A168:V168"/>
    <mergeCell ref="A169:V169"/>
    <mergeCell ref="A171:B172"/>
    <mergeCell ref="C171:G172"/>
    <mergeCell ref="H171:J172"/>
    <mergeCell ref="K171:Q172"/>
    <mergeCell ref="R171:V172"/>
    <mergeCell ref="Q153:V153"/>
    <mergeCell ref="A142:V143"/>
    <mergeCell ref="A144:V144"/>
    <mergeCell ref="O145:V146"/>
    <mergeCell ref="A145:E146"/>
    <mergeCell ref="A154:B155"/>
    <mergeCell ref="C154:H155"/>
    <mergeCell ref="Q154:V155"/>
    <mergeCell ref="I154:P155"/>
    <mergeCell ref="A74:V75"/>
    <mergeCell ref="F69:H69"/>
    <mergeCell ref="R55:V55"/>
    <mergeCell ref="E57:H58"/>
    <mergeCell ref="J59:M59"/>
    <mergeCell ref="M249:N249"/>
    <mergeCell ref="D232:D233"/>
    <mergeCell ref="R232:R233"/>
    <mergeCell ref="S232:T233"/>
    <mergeCell ref="A237:V237"/>
    <mergeCell ref="A90:V90"/>
    <mergeCell ref="I246:K246"/>
    <mergeCell ref="A97:V97"/>
    <mergeCell ref="A186:V186"/>
    <mergeCell ref="O127:V128"/>
    <mergeCell ref="A247:A248"/>
    <mergeCell ref="M248:N248"/>
    <mergeCell ref="J232:J233"/>
    <mergeCell ref="U232:V233"/>
    <mergeCell ref="Q232:Q233"/>
    <mergeCell ref="A149:V149"/>
    <mergeCell ref="A153:B153"/>
    <mergeCell ref="C153:H153"/>
    <mergeCell ref="I153:P153"/>
    <mergeCell ref="J230:L230"/>
    <mergeCell ref="A213:V213"/>
    <mergeCell ref="A214:V214"/>
    <mergeCell ref="D216:G216"/>
    <mergeCell ref="O23:P23"/>
    <mergeCell ref="O24:P24"/>
    <mergeCell ref="H121:J121"/>
    <mergeCell ref="K121:N121"/>
    <mergeCell ref="O121:R121"/>
    <mergeCell ref="Q24:R24"/>
    <mergeCell ref="J47:L47"/>
    <mergeCell ref="R47:V47"/>
    <mergeCell ref="E49:H49"/>
    <mergeCell ref="J49:M49"/>
    <mergeCell ref="A44:H44"/>
    <mergeCell ref="Q51:V51"/>
    <mergeCell ref="J55:M55"/>
    <mergeCell ref="R59:V59"/>
    <mergeCell ref="K68:L68"/>
    <mergeCell ref="U68:V68"/>
    <mergeCell ref="I68:J68"/>
    <mergeCell ref="F68:H68"/>
    <mergeCell ref="A114:V114"/>
    <mergeCell ref="H120:J120"/>
    <mergeCell ref="A1:V1"/>
    <mergeCell ref="C41:H41"/>
    <mergeCell ref="J41:U41"/>
    <mergeCell ref="J51:M51"/>
    <mergeCell ref="C14:V15"/>
    <mergeCell ref="A2:V2"/>
    <mergeCell ref="C7:V8"/>
    <mergeCell ref="Q23:R23"/>
    <mergeCell ref="C12:V13"/>
    <mergeCell ref="A4:V4"/>
    <mergeCell ref="A7:B7"/>
    <mergeCell ref="A10:B10"/>
    <mergeCell ref="A22:V22"/>
  </mergeCells>
  <conditionalFormatting sqref="A112:V251 A3:V17 A21:V30 A18 A36:V76 A77:M77 O77:V77 A78:V110 A33:V33 A31:P31 A32:O32">
    <cfRule type="expression" dxfId="2" priority="1" stopIfTrue="1">
      <formula>$AC$7=1</formula>
    </cfRule>
  </conditionalFormatting>
  <printOptions horizontalCentered="1"/>
  <pageMargins left="0.17" right="0.25" top="0.33" bottom="0.24" header="0.3" footer="0.3"/>
  <pageSetup paperSize="9" scale="92" fitToHeight="0" orientation="portrait" r:id="rId2"/>
  <rowBreaks count="5" manualBreakCount="5">
    <brk id="34" max="21" man="1"/>
    <brk id="82" max="21" man="1"/>
    <brk id="111" max="21" man="1"/>
    <brk id="147" max="16383" man="1"/>
    <brk id="182" max="16383"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C000"/>
  </sheetPr>
  <dimension ref="A1:O35"/>
  <sheetViews>
    <sheetView showGridLines="0" zoomScaleNormal="100" zoomScaleSheetLayoutView="100" workbookViewId="0">
      <selection activeCell="A20" sqref="A20:I23"/>
    </sheetView>
  </sheetViews>
  <sheetFormatPr defaultColWidth="0" defaultRowHeight="16.5"/>
  <cols>
    <col min="1" max="1" width="8.42578125" style="2" customWidth="1"/>
    <col min="2" max="2" width="7" style="2" customWidth="1"/>
    <col min="3" max="4" width="9.7109375" style="2" customWidth="1"/>
    <col min="5" max="5" width="10.42578125" style="2" customWidth="1"/>
    <col min="6" max="6" width="9.7109375" style="2" customWidth="1"/>
    <col min="7" max="7" width="12.42578125" style="2" customWidth="1"/>
    <col min="8" max="8" width="13.5703125" style="2" customWidth="1"/>
    <col min="9" max="9" width="6.5703125" style="2" customWidth="1"/>
    <col min="10" max="10" width="8.5703125" style="2" customWidth="1"/>
    <col min="11" max="16384" width="3.5703125" style="2" hidden="1"/>
  </cols>
  <sheetData>
    <row r="1" spans="1:15">
      <c r="A1" s="556" t="str">
        <f>UPPER("Office of the "&amp;Data!S10&amp;", "&amp;Data!Q12)</f>
        <v>OFFICE OF THE MEO, MP,G.L.PURAM</v>
      </c>
      <c r="B1" s="556"/>
      <c r="C1" s="556"/>
      <c r="D1" s="556"/>
      <c r="E1" s="556"/>
      <c r="F1" s="556"/>
      <c r="G1" s="556"/>
      <c r="H1" s="556"/>
      <c r="I1" s="556"/>
    </row>
    <row r="2" spans="1:15">
      <c r="A2" s="556" t="str">
        <f>UPPER("District: "&amp;Data!Q14)</f>
        <v>DISTRICT: PARVATHIPURAM MANYAM</v>
      </c>
      <c r="B2" s="556"/>
      <c r="C2" s="556"/>
      <c r="D2" s="556"/>
      <c r="E2" s="556"/>
      <c r="F2" s="556"/>
      <c r="G2" s="556"/>
      <c r="H2" s="556"/>
      <c r="I2" s="556"/>
      <c r="O2" s="95">
        <f>'Genuine certificate'!R2</f>
        <v>1</v>
      </c>
    </row>
    <row r="3" spans="1:15" ht="13.5" customHeight="1">
      <c r="A3" s="47"/>
      <c r="B3" s="47"/>
      <c r="C3" s="47"/>
      <c r="D3" s="47"/>
      <c r="E3" s="47"/>
      <c r="F3" s="47"/>
      <c r="G3" s="47"/>
      <c r="H3" s="47"/>
      <c r="I3" s="47"/>
    </row>
    <row r="4" spans="1:15">
      <c r="A4" s="2" t="s">
        <v>8</v>
      </c>
      <c r="F4" s="2" t="s">
        <v>6</v>
      </c>
    </row>
    <row r="5" spans="1:15">
      <c r="A5" s="2" t="str">
        <f>"The "&amp;Data!S10</f>
        <v>The MEO</v>
      </c>
      <c r="F5" s="2" t="s">
        <v>226</v>
      </c>
    </row>
    <row r="6" spans="1:15">
      <c r="A6" s="2" t="str">
        <f>Data!Q12</f>
        <v>MP,G.L.PURAM</v>
      </c>
      <c r="F6" s="2" t="str">
        <f>Data!D15</f>
        <v>M/S INDUS HOSPITAL</v>
      </c>
    </row>
    <row r="7" spans="1:15">
      <c r="A7" s="2" t="str">
        <f>""&amp;Data!O13&amp;": "&amp;Data!Q13</f>
        <v>Mandal: G L PURAM</v>
      </c>
      <c r="F7" s="972" t="str">
        <f>Data!D16</f>
        <v>KGH DOWN ROAD, VISAKHAPATNAM</v>
      </c>
      <c r="G7" s="972"/>
      <c r="H7" s="972"/>
    </row>
    <row r="8" spans="1:15">
      <c r="A8" s="2" t="str">
        <f>""&amp;Data!O14&amp;": "&amp;Data!Q14</f>
        <v>District: PARVATHIPURAM MANYAM</v>
      </c>
      <c r="F8" s="972"/>
      <c r="G8" s="972"/>
      <c r="H8" s="972"/>
    </row>
    <row r="9" spans="1:15" ht="6" customHeight="1"/>
    <row r="10" spans="1:15" ht="2.25" customHeight="1"/>
    <row r="11" spans="1:15">
      <c r="A11" s="557" t="str">
        <f>""&amp;IF(Data!S15="","Lr.No………………………………  ","Lr.No."&amp;Data!S15)&amp;"                      "&amp;IF(Data!S15="","Dated:………………………………..","Dated: "&amp;Data!U16)</f>
        <v>Lr.No.15/MEDICAL REIMBURSEMENT/2023                      Dated: 03.08.2023</v>
      </c>
      <c r="B11" s="557"/>
      <c r="C11" s="557"/>
      <c r="D11" s="557"/>
      <c r="E11" s="557"/>
      <c r="F11" s="557"/>
      <c r="G11" s="557"/>
      <c r="H11" s="557"/>
      <c r="I11" s="557"/>
    </row>
    <row r="12" spans="1:15" ht="15" customHeight="1">
      <c r="A12" s="2" t="s">
        <v>9</v>
      </c>
    </row>
    <row r="13" spans="1:15" ht="5.25" customHeight="1"/>
    <row r="14" spans="1:15" ht="12" customHeight="1">
      <c r="A14" s="49" t="s">
        <v>10</v>
      </c>
      <c r="B14" s="558" t="str">
        <f>"Medical Attendance - Medical Reimbursement  Proposal  in respect of "&amp;'R C'!DO28&amp;" "&amp;" - For  Confirmation of   treatment- Issue  of Genuinity Certificate- Reg "</f>
        <v xml:space="preserve">Medical Attendance - Medical Reimbursement  Proposal  in respect of Sri G MURALIMOHANA RAO, Rtd S.G.T ,G P SCHOOL LAKKAGUDA,Mandal:G L PURAM, Dist:PARVATHIPURAM MANYAM  - For  Confirmation of   treatment- Issue  of Genuinity Certificate- Reg </v>
      </c>
      <c r="C14" s="558"/>
      <c r="D14" s="558"/>
      <c r="E14" s="558"/>
      <c r="F14" s="558"/>
      <c r="G14" s="558"/>
      <c r="H14" s="558"/>
      <c r="I14" s="558"/>
    </row>
    <row r="15" spans="1:15">
      <c r="B15" s="558"/>
      <c r="C15" s="558"/>
      <c r="D15" s="558"/>
      <c r="E15" s="558"/>
      <c r="F15" s="558"/>
      <c r="G15" s="558"/>
      <c r="H15" s="558"/>
      <c r="I15" s="558"/>
    </row>
    <row r="16" spans="1:15" ht="47.25" customHeight="1">
      <c r="B16" s="558"/>
      <c r="C16" s="558"/>
      <c r="D16" s="558"/>
      <c r="E16" s="558"/>
      <c r="F16" s="558"/>
      <c r="G16" s="558"/>
      <c r="H16" s="558"/>
      <c r="I16" s="558"/>
    </row>
    <row r="17" spans="1:9">
      <c r="A17" s="49" t="s">
        <v>11</v>
      </c>
      <c r="B17" s="90" t="s">
        <v>256</v>
      </c>
      <c r="C17" s="90"/>
      <c r="D17" s="90"/>
      <c r="E17" s="90"/>
      <c r="F17" s="90"/>
      <c r="G17" s="90"/>
      <c r="H17" s="90"/>
    </row>
    <row r="18" spans="1:9">
      <c r="B18" s="90" t="s">
        <v>227</v>
      </c>
      <c r="C18" s="90"/>
      <c r="D18" s="90"/>
      <c r="E18" s="90"/>
      <c r="F18" s="90"/>
      <c r="G18" s="90"/>
      <c r="H18" s="90"/>
    </row>
    <row r="19" spans="1:9">
      <c r="E19" s="3" t="s">
        <v>13</v>
      </c>
    </row>
    <row r="20" spans="1:9">
      <c r="A20" s="555" t="str">
        <f>"                With reference to the subject cited above I submit here with the "&amp;Data!J9&amp;" Medical Reimbursement proposals of "&amp;'R C'!DO28&amp;" for  under gone treatment of "&amp;Data!D13&amp;" at your hospital  from "&amp;Data!G14&amp;" to "&amp;Data!K14&amp;" with incurred an amount of Rs."&amp;Data!J17&amp;"/-"&amp;'R C'!B16</f>
        <v xml:space="preserve">                With reference to the subject cited above I submit here with the Out Patient Medical Reimbursement proposals of Sri G MURALIMOHANA RAO, Rtd S.G.T ,G P SCHOOL LAKKAGUDA,Mandal:G L PURAM, Dist:PARVATHIPURAM MANYAM for  under gone treatment of HTN T2-DM AF PAH-SEVERE PIP AF C FVR OS ADS WITH LEFT TO RIGHT SHUNTI NORMAL LV FUNCTION at your hospital  from 26.06.2023 to 28.06.2023 with incurred an amount of Rs.55000/-(Fifty five Thousand rupees only)</v>
      </c>
      <c r="B20" s="555"/>
      <c r="C20" s="555"/>
      <c r="D20" s="555"/>
      <c r="E20" s="555"/>
      <c r="F20" s="555"/>
      <c r="G20" s="555"/>
      <c r="H20" s="555"/>
      <c r="I20" s="555"/>
    </row>
    <row r="21" spans="1:9">
      <c r="A21" s="555"/>
      <c r="B21" s="555"/>
      <c r="C21" s="555"/>
      <c r="D21" s="555"/>
      <c r="E21" s="555"/>
      <c r="F21" s="555"/>
      <c r="G21" s="555"/>
      <c r="H21" s="555"/>
      <c r="I21" s="555"/>
    </row>
    <row r="22" spans="1:9">
      <c r="A22" s="555"/>
      <c r="B22" s="555"/>
      <c r="C22" s="555"/>
      <c r="D22" s="555"/>
      <c r="E22" s="555"/>
      <c r="F22" s="555"/>
      <c r="G22" s="555"/>
      <c r="H22" s="555"/>
      <c r="I22" s="555"/>
    </row>
    <row r="23" spans="1:9" ht="89.25" customHeight="1">
      <c r="A23" s="555"/>
      <c r="B23" s="555"/>
      <c r="C23" s="555"/>
      <c r="D23" s="555"/>
      <c r="E23" s="555"/>
      <c r="F23" s="555"/>
      <c r="G23" s="555"/>
      <c r="H23" s="555"/>
      <c r="I23" s="555"/>
    </row>
    <row r="24" spans="1:9" ht="14.25" customHeight="1">
      <c r="A24" s="555" t="s">
        <v>390</v>
      </c>
      <c r="B24" s="555"/>
      <c r="C24" s="555"/>
      <c r="D24" s="555"/>
      <c r="E24" s="555"/>
      <c r="F24" s="555"/>
      <c r="G24" s="555"/>
      <c r="H24" s="555"/>
      <c r="I24" s="555"/>
    </row>
    <row r="25" spans="1:9" ht="12.75" customHeight="1">
      <c r="A25" s="555"/>
      <c r="B25" s="555"/>
      <c r="C25" s="555"/>
      <c r="D25" s="555"/>
      <c r="E25" s="555"/>
      <c r="F25" s="555"/>
      <c r="G25" s="555"/>
      <c r="H25" s="555"/>
      <c r="I25" s="555"/>
    </row>
    <row r="26" spans="1:9" ht="24.75" customHeight="1">
      <c r="A26" s="555"/>
      <c r="B26" s="555"/>
      <c r="C26" s="555"/>
      <c r="D26" s="555"/>
      <c r="E26" s="555"/>
      <c r="F26" s="555"/>
      <c r="G26" s="555"/>
      <c r="H26" s="555"/>
      <c r="I26" s="555"/>
    </row>
    <row r="27" spans="1:9">
      <c r="A27" s="555" t="s">
        <v>228</v>
      </c>
      <c r="B27" s="555"/>
      <c r="C27" s="555"/>
      <c r="D27" s="555"/>
      <c r="E27" s="555"/>
      <c r="F27" s="555"/>
      <c r="G27" s="555"/>
      <c r="H27" s="555"/>
      <c r="I27" s="555"/>
    </row>
    <row r="28" spans="1:9">
      <c r="A28" s="48"/>
      <c r="B28" s="48"/>
      <c r="C28" s="48"/>
      <c r="D28" s="48"/>
      <c r="E28" s="48"/>
      <c r="F28" s="48"/>
      <c r="G28" s="48"/>
      <c r="H28" s="48"/>
      <c r="I28" s="48"/>
    </row>
    <row r="29" spans="1:9">
      <c r="A29" s="48"/>
      <c r="B29" s="48"/>
      <c r="C29" s="48"/>
      <c r="D29" s="48"/>
      <c r="E29" s="48"/>
      <c r="F29" s="48"/>
      <c r="G29" s="48"/>
      <c r="H29" s="48"/>
      <c r="I29" s="48"/>
    </row>
    <row r="30" spans="1:9">
      <c r="G30" s="6" t="s">
        <v>16</v>
      </c>
    </row>
    <row r="31" spans="1:9">
      <c r="G31" s="6"/>
    </row>
    <row r="32" spans="1:9">
      <c r="G32" s="6"/>
    </row>
    <row r="33" spans="1:7">
      <c r="G33" s="6" t="str">
        <f>Data!S10</f>
        <v>MEO</v>
      </c>
    </row>
    <row r="34" spans="1:7">
      <c r="G34" s="6" t="str">
        <f>Data!Q12</f>
        <v>MP,G.L.PURAM</v>
      </c>
    </row>
    <row r="35" spans="1:7">
      <c r="A35" s="2" t="s">
        <v>229</v>
      </c>
      <c r="G35" s="6"/>
    </row>
  </sheetData>
  <sheetProtection password="C67B" sheet="1" formatCells="0" formatColumns="0" formatRows="0" sort="0"/>
  <customSheetViews>
    <customSheetView guid="{B625ED32-945B-469E-9979-E993C41040F6}" showGridLines="0" hiddenColumns="1" topLeftCell="B1">
      <selection activeCell="C3" sqref="C3"/>
      <pageMargins left="0.25" right="0.25" top="0.83" bottom="0.75" header="0.3" footer="0.3"/>
      <printOptions horizontalCentered="1"/>
      <pageSetup paperSize="9" orientation="portrait" horizontalDpi="300" verticalDpi="300" r:id="rId1"/>
    </customSheetView>
  </customSheetViews>
  <mergeCells count="8">
    <mergeCell ref="A27:I27"/>
    <mergeCell ref="F7:H8"/>
    <mergeCell ref="A1:I1"/>
    <mergeCell ref="A2:I2"/>
    <mergeCell ref="A11:I11"/>
    <mergeCell ref="B14:I16"/>
    <mergeCell ref="A20:I23"/>
    <mergeCell ref="A24:I26"/>
  </mergeCells>
  <conditionalFormatting sqref="A1:I36">
    <cfRule type="expression" dxfId="1" priority="1" stopIfTrue="1">
      <formula>$O$2=2</formula>
    </cfRule>
  </conditionalFormatting>
  <printOptions horizontalCentered="1"/>
  <pageMargins left="0.25" right="0.25" top="0.83"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FFC000"/>
  </sheetPr>
  <dimension ref="A1:R29"/>
  <sheetViews>
    <sheetView showGridLines="0" zoomScaleNormal="100" zoomScaleSheetLayoutView="100" workbookViewId="0">
      <selection activeCell="J25" sqref="J25:M25"/>
    </sheetView>
  </sheetViews>
  <sheetFormatPr defaultColWidth="0" defaultRowHeight="16.5"/>
  <cols>
    <col min="1" max="1" width="9.7109375" style="2" customWidth="1"/>
    <col min="2" max="2" width="6.28515625" style="2" customWidth="1"/>
    <col min="3" max="7" width="9.7109375" style="2" customWidth="1"/>
    <col min="8" max="8" width="12.28515625" style="2" customWidth="1"/>
    <col min="9" max="9" width="9.7109375" style="2" customWidth="1"/>
    <col min="10" max="10" width="0.85546875" style="2" customWidth="1"/>
    <col min="11" max="11" width="1.140625" style="2" customWidth="1"/>
    <col min="12" max="12" width="9.5703125" style="2" customWidth="1"/>
    <col min="13" max="13" width="11.85546875" style="2" customWidth="1"/>
    <col min="14" max="14" width="6.140625" style="2" customWidth="1"/>
    <col min="15" max="15" width="10.28515625" style="2" customWidth="1"/>
    <col min="16" max="17" width="5.140625" style="2" customWidth="1"/>
    <col min="18" max="16384" width="5.140625" style="2" hidden="1"/>
  </cols>
  <sheetData>
    <row r="1" spans="1:18" ht="1.5" customHeight="1"/>
    <row r="2" spans="1:18" ht="21.75" customHeight="1">
      <c r="A2" s="69"/>
      <c r="B2" s="69"/>
      <c r="C2" s="69"/>
      <c r="D2" s="69"/>
      <c r="E2" s="69"/>
      <c r="F2" s="69"/>
      <c r="G2" s="69" t="s">
        <v>37</v>
      </c>
      <c r="H2" s="69"/>
      <c r="I2" s="69"/>
      <c r="R2" s="95">
        <f>Data!AH3</f>
        <v>1</v>
      </c>
    </row>
    <row r="3" spans="1:18" ht="8.25" customHeight="1"/>
    <row r="4" spans="1:18">
      <c r="A4" s="2" t="s">
        <v>6</v>
      </c>
    </row>
    <row r="5" spans="1:18">
      <c r="A5" s="2" t="str">
        <f>'Covering Lr'!A5</f>
        <v>The MEO</v>
      </c>
      <c r="L5" s="973" t="s">
        <v>230</v>
      </c>
      <c r="M5" s="973"/>
      <c r="N5" s="974"/>
      <c r="O5" s="974"/>
      <c r="P5" s="974"/>
    </row>
    <row r="6" spans="1:18">
      <c r="A6" s="2" t="str">
        <f>'Covering Lr'!A6</f>
        <v>MP,G.L.PURAM</v>
      </c>
      <c r="L6" s="973" t="s">
        <v>231</v>
      </c>
      <c r="M6" s="973"/>
      <c r="N6" s="974"/>
      <c r="O6" s="974"/>
      <c r="P6" s="974"/>
    </row>
    <row r="7" spans="1:18">
      <c r="A7" s="2" t="str">
        <f>'Covering Lr'!A7</f>
        <v>Mandal: G L PURAM</v>
      </c>
      <c r="L7" s="68" t="s">
        <v>233</v>
      </c>
      <c r="M7" s="68"/>
      <c r="N7" s="974"/>
      <c r="O7" s="974"/>
      <c r="P7" s="974"/>
    </row>
    <row r="8" spans="1:18">
      <c r="A8" s="2" t="str">
        <f>'Covering Lr'!A8</f>
        <v>District: PARVATHIPURAM MANYAM</v>
      </c>
      <c r="L8" s="68" t="s">
        <v>234</v>
      </c>
      <c r="M8" s="68"/>
      <c r="N8" s="974"/>
      <c r="O8" s="974"/>
      <c r="P8" s="974"/>
    </row>
    <row r="9" spans="1:18" ht="10.5" customHeight="1"/>
    <row r="10" spans="1:18">
      <c r="A10" s="2" t="s">
        <v>9</v>
      </c>
    </row>
    <row r="12" spans="1:18">
      <c r="A12" s="49" t="s">
        <v>10</v>
      </c>
      <c r="B12" s="558" t="str">
        <f>"Confirmation of genuineness –Medical bill of  "&amp;'R C'!DI28&amp;" - regarding."</f>
        <v>Confirmation of genuineness –Medical bill of  Sri G MURALIMOHANA RAO, Rtd S.G.T - regarding.</v>
      </c>
      <c r="C12" s="558"/>
      <c r="D12" s="558"/>
      <c r="E12" s="558"/>
      <c r="F12" s="558"/>
      <c r="G12" s="558"/>
      <c r="H12" s="558"/>
      <c r="I12" s="558"/>
    </row>
    <row r="13" spans="1:18" ht="32.25" customHeight="1">
      <c r="A13" s="49"/>
      <c r="B13" s="558"/>
      <c r="C13" s="558"/>
      <c r="D13" s="558"/>
      <c r="E13" s="558"/>
      <c r="F13" s="558"/>
      <c r="G13" s="558"/>
      <c r="H13" s="558"/>
      <c r="I13" s="558"/>
    </row>
    <row r="14" spans="1:18" ht="7.5" customHeight="1">
      <c r="A14" s="49"/>
      <c r="B14" s="558"/>
      <c r="C14" s="558"/>
      <c r="D14" s="558"/>
      <c r="E14" s="558"/>
      <c r="F14" s="558"/>
      <c r="G14" s="558"/>
      <c r="H14" s="558"/>
      <c r="I14" s="558"/>
    </row>
    <row r="15" spans="1:18">
      <c r="A15" s="49" t="s">
        <v>11</v>
      </c>
      <c r="B15" s="2" t="str">
        <f>"1) "&amp;Data!S10 &amp;" Lr. No"&amp;IF( 'Genuine certificate'!N5="","______________",N5)&amp;",  Dated : "&amp;IF('Genuine certificate'!N6="","______________",N6)&amp;""</f>
        <v>1) MEO Lr. No______________,  Dated : ______________</v>
      </c>
    </row>
    <row r="16" spans="1:18" ht="3.75" customHeight="1"/>
    <row r="17" spans="1:9" ht="12.75" customHeight="1">
      <c r="E17" s="3" t="s">
        <v>13</v>
      </c>
    </row>
    <row r="18" spans="1:9" ht="10.5" customHeight="1"/>
    <row r="19" spans="1:9" ht="23.25" customHeight="1">
      <c r="A19" s="560" t="str">
        <f>"                We hereby confirm that patient  "&amp;'R C'!DI28&amp;" has undergone the treatment of "&amp;Data!D13&amp;" in our hospital  from  "&amp;Data!G14&amp;" to "&amp;Data!K14&amp;"  vide  IP.NO."&amp;IF(N7="","______________",N7)&amp;" with Regn.No."&amp;IF(N8="","______________",N8)&amp;"   and medical bills for  Rs."&amp;Data!J17&amp;"/-"&amp;'R C'!B16&amp;" are Genuine."</f>
        <v xml:space="preserve">                We hereby confirm that patient  Sri G MURALIMOHANA RAO, Rtd S.G.T has undergone the treatment of HTN T2-DM AF PAH-SEVERE PIP AF C FVR OS ADS WITH LEFT TO RIGHT SHUNTI NORMAL LV FUNCTION in our hospital  from  26.06.2023 to 28.06.2023  vide  IP.NO.______________ with Regn.No.______________   and medical bills for  Rs.55000/-(Fifty five Thousand rupees only) are Genuine.</v>
      </c>
      <c r="B19" s="560"/>
      <c r="C19" s="560"/>
      <c r="D19" s="560"/>
      <c r="E19" s="560"/>
      <c r="F19" s="560"/>
      <c r="G19" s="560"/>
      <c r="H19" s="560"/>
      <c r="I19" s="560"/>
    </row>
    <row r="20" spans="1:9" ht="83.25" customHeight="1">
      <c r="A20" s="560"/>
      <c r="B20" s="560"/>
      <c r="C20" s="560"/>
      <c r="D20" s="560"/>
      <c r="E20" s="560"/>
      <c r="F20" s="560"/>
      <c r="G20" s="560"/>
      <c r="H20" s="560"/>
      <c r="I20" s="560"/>
    </row>
    <row r="21" spans="1:9" ht="27.75" customHeight="1"/>
    <row r="22" spans="1:9">
      <c r="F22" s="2" t="str">
        <f>"FOR "&amp;Data!D15</f>
        <v>FOR M/S INDUS HOSPITAL</v>
      </c>
      <c r="G22" s="6"/>
    </row>
    <row r="23" spans="1:9" ht="26.25" customHeight="1">
      <c r="G23" s="6"/>
    </row>
    <row r="24" spans="1:9">
      <c r="F24" s="2" t="s">
        <v>232</v>
      </c>
      <c r="G24" s="6"/>
    </row>
    <row r="25" spans="1:9">
      <c r="G25" s="6"/>
    </row>
    <row r="26" spans="1:9">
      <c r="G26" s="6"/>
    </row>
    <row r="27" spans="1:9">
      <c r="H27" s="6"/>
    </row>
    <row r="28" spans="1:9">
      <c r="G28" s="6"/>
    </row>
    <row r="29" spans="1:9">
      <c r="G29" s="6"/>
    </row>
  </sheetData>
  <sheetProtection password="C67B" sheet="1"/>
  <customSheetViews>
    <customSheetView guid="{B625ED32-945B-469E-9979-E993C41040F6}" showGridLines="0" hiddenColumns="1">
      <selection activeCell="A2" sqref="A2"/>
      <pageMargins left="0.49" right="0.38" top="0.75" bottom="0.75" header="0.3" footer="0.3"/>
      <printOptions horizontalCentered="1"/>
      <pageSetup paperSize="9" orientation="portrait" horizontalDpi="300" verticalDpi="300" r:id="rId1"/>
    </customSheetView>
  </customSheetViews>
  <mergeCells count="8">
    <mergeCell ref="B12:I14"/>
    <mergeCell ref="A19:I20"/>
    <mergeCell ref="L5:M5"/>
    <mergeCell ref="L6:M6"/>
    <mergeCell ref="N5:P5"/>
    <mergeCell ref="N6:P6"/>
    <mergeCell ref="N7:P7"/>
    <mergeCell ref="N8:P8"/>
  </mergeCells>
  <conditionalFormatting sqref="A2:P24">
    <cfRule type="expression" dxfId="0" priority="1" stopIfTrue="1">
      <formula>$R$2=2</formula>
    </cfRule>
  </conditionalFormatting>
  <printOptions horizontalCentered="1"/>
  <pageMargins left="0.49" right="0.38"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11</vt:i4>
      </vt:variant>
    </vt:vector>
  </HeadingPairs>
  <TitlesOfParts>
    <vt:vector size="25" baseType="lpstr">
      <vt:lpstr>Data</vt:lpstr>
      <vt:lpstr>R C</vt:lpstr>
      <vt:lpstr>Covering Lr</vt:lpstr>
      <vt:lpstr>Lr to DDO</vt:lpstr>
      <vt:lpstr>Checklist</vt:lpstr>
      <vt:lpstr>Appendix-II</vt:lpstr>
      <vt:lpstr>Nondrawn</vt:lpstr>
      <vt:lpstr>Spell Certificate</vt:lpstr>
      <vt:lpstr>Dependant certificate</vt:lpstr>
      <vt:lpstr>FORM C</vt:lpstr>
      <vt:lpstr>FORM E</vt:lpstr>
      <vt:lpstr>CLAIMING FORMS</vt:lpstr>
      <vt:lpstr>Conformity Lr</vt:lpstr>
      <vt:lpstr>Genuine certificate</vt:lpstr>
      <vt:lpstr>'Appendix-II'!Print_Area</vt:lpstr>
      <vt:lpstr>Checklist!Print_Area</vt:lpstr>
      <vt:lpstr>'CLAIMING FORMS'!Print_Area</vt:lpstr>
      <vt:lpstr>'Conformity Lr'!Print_Area</vt:lpstr>
      <vt:lpstr>'Covering Lr'!Print_Area</vt:lpstr>
      <vt:lpstr>'Dependant certificate'!Print_Area</vt:lpstr>
      <vt:lpstr>'FORM C'!Print_Area</vt:lpstr>
      <vt:lpstr>'Genuine certificate'!Print_Area</vt:lpstr>
      <vt:lpstr>'Lr to DDO'!Print_Area</vt:lpstr>
      <vt:lpstr>Nondrawn!Print_Area</vt:lpstr>
      <vt:lpstr>'Spell Certificate'!Print_Area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VINUTHNA</dc:creator>
  <cp:lastModifiedBy>Admin</cp:lastModifiedBy>
  <cp:lastPrinted>2023-08-03T12:12:14Z</cp:lastPrinted>
  <dcterms:created xsi:type="dcterms:W3CDTF">2010-03-02T15:16:08Z</dcterms:created>
  <dcterms:modified xsi:type="dcterms:W3CDTF">2023-08-03T12:13:50Z</dcterms:modified>
</cp:coreProperties>
</file>