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b8fc246640d213/Рабочий стол/Лабы 1 сем/"/>
    </mc:Choice>
  </mc:AlternateContent>
  <xr:revisionPtr revIDLastSave="118" documentId="8_{843EF787-AFF7-4C96-8C8C-463DE7D61891}" xr6:coauthVersionLast="47" xr6:coauthVersionMax="47" xr10:uidLastSave="{3A4C200D-2EE0-42DF-A528-54DDBACF738D}"/>
  <bookViews>
    <workbookView xWindow="828" yWindow="-108" windowWidth="22320" windowHeight="13176" xr2:uid="{61D129B8-E4FB-438F-9026-7FFD5497241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N26" i="1" s="1"/>
  <c r="V23" i="1"/>
  <c r="U23" i="1"/>
  <c r="S23" i="1"/>
  <c r="V15" i="1"/>
  <c r="V16" i="1"/>
  <c r="V17" i="1"/>
  <c r="V18" i="1"/>
  <c r="V19" i="1"/>
  <c r="V20" i="1"/>
  <c r="V21" i="1"/>
  <c r="V14" i="1"/>
  <c r="U15" i="1"/>
  <c r="U16" i="1"/>
  <c r="U17" i="1"/>
  <c r="U18" i="1"/>
  <c r="U19" i="1"/>
  <c r="U20" i="1"/>
  <c r="U21" i="1"/>
  <c r="U14" i="1"/>
  <c r="S15" i="1"/>
  <c r="S16" i="1"/>
  <c r="S17" i="1"/>
  <c r="S18" i="1"/>
  <c r="S19" i="1"/>
  <c r="S20" i="1"/>
  <c r="S21" i="1"/>
  <c r="S14" i="1"/>
  <c r="T14" i="1"/>
  <c r="P23" i="1"/>
  <c r="O23" i="1"/>
  <c r="N23" i="1" s="1"/>
  <c r="N15" i="1"/>
  <c r="N16" i="1"/>
  <c r="N17" i="1"/>
  <c r="N18" i="1"/>
  <c r="N19" i="1"/>
  <c r="N20" i="1"/>
  <c r="N21" i="1"/>
  <c r="N14" i="1"/>
  <c r="Q15" i="1"/>
  <c r="Q16" i="1"/>
  <c r="Q17" i="1"/>
  <c r="Q18" i="1"/>
  <c r="Q19" i="1"/>
  <c r="Q20" i="1"/>
  <c r="Q21" i="1"/>
  <c r="Q14" i="1"/>
  <c r="N2" i="1"/>
  <c r="N3" i="1"/>
  <c r="O3" i="1" s="1"/>
  <c r="N4" i="1"/>
  <c r="N5" i="1"/>
  <c r="N6" i="1"/>
  <c r="O6" i="1" s="1"/>
  <c r="N7" i="1"/>
  <c r="O7" i="1" s="1"/>
  <c r="N8" i="1"/>
  <c r="O8" i="1" s="1"/>
  <c r="N9" i="1"/>
  <c r="O9" i="1" s="1"/>
  <c r="G3" i="1"/>
  <c r="G4" i="1"/>
  <c r="G5" i="1"/>
  <c r="G6" i="1"/>
  <c r="G7" i="1"/>
  <c r="G8" i="1"/>
  <c r="G9" i="1"/>
  <c r="G2" i="1"/>
  <c r="X2" i="1"/>
  <c r="P21" i="1" s="1"/>
  <c r="O21" i="1"/>
  <c r="D3" i="1"/>
  <c r="O15" i="1" s="1"/>
  <c r="D4" i="1"/>
  <c r="D5" i="1"/>
  <c r="O17" i="1" s="1"/>
  <c r="D6" i="1"/>
  <c r="O18" i="1" s="1"/>
  <c r="D7" i="1"/>
  <c r="O19" i="1" s="1"/>
  <c r="D8" i="1"/>
  <c r="J8" i="1" s="1"/>
  <c r="D9" i="1"/>
  <c r="J9" i="1" s="1"/>
  <c r="D2" i="1"/>
  <c r="O14" i="1" s="1"/>
  <c r="T8" i="1"/>
  <c r="U3" i="1" s="1"/>
  <c r="Q8" i="1"/>
  <c r="R4" i="1" s="1"/>
  <c r="O4" i="1"/>
  <c r="O5" i="1"/>
  <c r="O2" i="1"/>
  <c r="L9" i="1"/>
  <c r="L3" i="1"/>
  <c r="L4" i="1"/>
  <c r="L5" i="1"/>
  <c r="L6" i="1"/>
  <c r="L7" i="1"/>
  <c r="L8" i="1"/>
  <c r="J7" i="1"/>
  <c r="I5" i="1" l="1"/>
  <c r="P16" i="1"/>
  <c r="P14" i="1"/>
  <c r="U2" i="1"/>
  <c r="U6" i="1"/>
  <c r="U5" i="1"/>
  <c r="J6" i="1"/>
  <c r="J4" i="1"/>
  <c r="P18" i="1"/>
  <c r="R6" i="1"/>
  <c r="P19" i="1"/>
  <c r="I3" i="1"/>
  <c r="O16" i="1"/>
  <c r="P17" i="1"/>
  <c r="P20" i="1"/>
  <c r="U4" i="1"/>
  <c r="P15" i="1"/>
  <c r="R3" i="1"/>
  <c r="R2" i="1"/>
  <c r="R5" i="1"/>
  <c r="O20" i="1"/>
  <c r="J2" i="1"/>
  <c r="I6" i="1"/>
  <c r="I7" i="1"/>
  <c r="I2" i="1"/>
  <c r="I9" i="1"/>
  <c r="I8" i="1"/>
  <c r="L2" i="1"/>
  <c r="L11" i="1" s="1"/>
  <c r="J5" i="1"/>
  <c r="J3" i="1"/>
  <c r="I4" i="1"/>
  <c r="U8" i="1" l="1"/>
  <c r="U9" i="1" s="1"/>
  <c r="R8" i="1"/>
  <c r="R9" i="1" s="1"/>
  <c r="J11" i="1"/>
  <c r="I11" i="1"/>
  <c r="I14" i="1" l="1"/>
  <c r="L14" i="1" s="1"/>
</calcChain>
</file>

<file path=xl/sharedStrings.xml><?xml version="1.0" encoding="utf-8"?>
<sst xmlns="http://schemas.openxmlformats.org/spreadsheetml/2006/main" count="26" uniqueCount="26">
  <si>
    <t>m, г</t>
  </si>
  <si>
    <t>M</t>
  </si>
  <si>
    <t>Ω</t>
  </si>
  <si>
    <t>xy</t>
  </si>
  <si>
    <t>x^2</t>
  </si>
  <si>
    <t>k</t>
  </si>
  <si>
    <t>y^2</t>
  </si>
  <si>
    <t>sigm k</t>
  </si>
  <si>
    <t>погр омега</t>
  </si>
  <si>
    <t>N</t>
  </si>
  <si>
    <t>t, с</t>
  </si>
  <si>
    <t>отн омега</t>
  </si>
  <si>
    <t>Tц</t>
  </si>
  <si>
    <t>Тр</t>
  </si>
  <si>
    <t>омег0</t>
  </si>
  <si>
    <t>I</t>
  </si>
  <si>
    <t>sigm омег0</t>
  </si>
  <si>
    <t>sigm I</t>
  </si>
  <si>
    <t>sigm омег</t>
  </si>
  <si>
    <t>отн омега0</t>
  </si>
  <si>
    <t>ню</t>
  </si>
  <si>
    <t>угол трения</t>
  </si>
  <si>
    <t>Mтр</t>
  </si>
  <si>
    <t>sigm ню</t>
  </si>
  <si>
    <t>sigm тр</t>
  </si>
  <si>
    <t>отн 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</si>
</sst>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50196850393701"/>
          <c:y val="5.0925925925925923E-2"/>
          <c:w val="0.88396062992125979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Лист1!$F$2:$F$9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4.7E-2</c:v>
                </c:pt>
                <c:pt idx="2">
                  <c:v>7.0000000000000007E-2</c:v>
                </c:pt>
                <c:pt idx="3">
                  <c:v>8.6999999999999994E-2</c:v>
                </c:pt>
                <c:pt idx="4">
                  <c:v>0.107</c:v>
                </c:pt>
                <c:pt idx="5">
                  <c:v>0.126</c:v>
                </c:pt>
                <c:pt idx="6">
                  <c:v>0.16600000000000001</c:v>
                </c:pt>
                <c:pt idx="7">
                  <c:v>0.20200000000000001</c:v>
                </c:pt>
              </c:numCache>
            </c:numRef>
          </c:cat>
          <c:val>
            <c:numRef>
              <c:f>Лист1!$S$14:$S$21</c:f>
              <c:numCache>
                <c:formatCode>General</c:formatCode>
                <c:ptCount val="8"/>
                <c:pt idx="0">
                  <c:v>4.3602017273837836E-4</c:v>
                </c:pt>
                <c:pt idx="1">
                  <c:v>5.5324546447979095E-4</c:v>
                </c:pt>
                <c:pt idx="2">
                  <c:v>5.3223025892099149E-4</c:v>
                </c:pt>
                <c:pt idx="3">
                  <c:v>5.9731171464655049E-4</c:v>
                </c:pt>
                <c:pt idx="4">
                  <c:v>5.4708789080113059E-4</c:v>
                </c:pt>
                <c:pt idx="5">
                  <c:v>6.4557086286032436E-4</c:v>
                </c:pt>
                <c:pt idx="6">
                  <c:v>7.5899760155399355E-4</c:v>
                </c:pt>
                <c:pt idx="7">
                  <c:v>6.9076664577594443E-4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E0-45AF-881C-1DF1D01C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12400"/>
        <c:axId val="1322911152"/>
      </c:lineChart>
      <c:catAx>
        <c:axId val="13229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911152"/>
        <c:crosses val="autoZero"/>
        <c:auto val="1"/>
        <c:lblAlgn val="ctr"/>
        <c:lblOffset val="100"/>
        <c:noMultiLvlLbl val="0"/>
      </c:catAx>
      <c:valAx>
        <c:axId val="13229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91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14</xdr:row>
      <xdr:rowOff>144780</xdr:rowOff>
    </xdr:from>
    <xdr:to>
      <xdr:col>11</xdr:col>
      <xdr:colOff>403860</xdr:colOff>
      <xdr:row>29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42B290-4BA3-4E1D-85C5-26720528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63AB-681A-4569-8443-6B21874BFDA4}">
  <dimension ref="A1:X26"/>
  <sheetViews>
    <sheetView tabSelected="1" topLeftCell="D1" workbookViewId="0">
      <selection activeCell="O26" sqref="O26"/>
    </sheetView>
  </sheetViews>
  <sheetFormatPr defaultRowHeight="14.4" x14ac:dyDescent="0.3"/>
  <cols>
    <col min="7" max="7" width="12" bestFit="1" customWidth="1"/>
    <col min="14" max="14" width="12" bestFit="1" customWidth="1"/>
    <col min="15" max="15" width="11" bestFit="1" customWidth="1"/>
    <col min="16" max="16" width="10.88671875" customWidth="1"/>
    <col min="17" max="17" width="14.109375" customWidth="1"/>
    <col min="18" max="18" width="11" bestFit="1" customWidth="1"/>
    <col min="20" max="20" width="11.109375" customWidth="1"/>
    <col min="21" max="21" width="12" bestFit="1" customWidth="1"/>
    <col min="24" max="24" width="10" bestFit="1" customWidth="1"/>
  </cols>
  <sheetData>
    <row r="1" spans="1:24" x14ac:dyDescent="0.3">
      <c r="A1" t="s">
        <v>0</v>
      </c>
      <c r="B1" t="s">
        <v>9</v>
      </c>
      <c r="C1" t="s">
        <v>10</v>
      </c>
      <c r="D1" t="s">
        <v>1</v>
      </c>
      <c r="F1" s="2" t="s">
        <v>2</v>
      </c>
      <c r="G1" s="2" t="s">
        <v>18</v>
      </c>
      <c r="I1" t="s">
        <v>3</v>
      </c>
      <c r="J1" t="s">
        <v>4</v>
      </c>
      <c r="L1" t="s">
        <v>6</v>
      </c>
      <c r="N1" t="s">
        <v>8</v>
      </c>
      <c r="O1" t="s">
        <v>11</v>
      </c>
      <c r="Q1" t="s">
        <v>12</v>
      </c>
      <c r="T1" t="s">
        <v>13</v>
      </c>
      <c r="W1" t="s">
        <v>15</v>
      </c>
      <c r="X1" t="s">
        <v>17</v>
      </c>
    </row>
    <row r="2" spans="1:24" x14ac:dyDescent="0.3">
      <c r="A2">
        <v>59.8</v>
      </c>
      <c r="B2">
        <v>7</v>
      </c>
      <c r="C2">
        <v>1206.83</v>
      </c>
      <c r="D2">
        <f>A2 * 0.121*10/1000</f>
        <v>7.2357999999999992E-2</v>
      </c>
      <c r="E2" s="1"/>
      <c r="F2">
        <v>3.5999999999999997E-2</v>
      </c>
      <c r="G2">
        <f>2*PI()*B2/C2^2</f>
        <v>3.0198523764441077E-5</v>
      </c>
      <c r="I2">
        <f>D2*F2</f>
        <v>2.6048879999999996E-3</v>
      </c>
      <c r="J2">
        <f>D2*D2</f>
        <v>5.2356801639999988E-3</v>
      </c>
      <c r="L2">
        <f>F2*F2</f>
        <v>1.2959999999999998E-3</v>
      </c>
      <c r="N2">
        <f xml:space="preserve"> 2 * PI()*B2/C2/C2</f>
        <v>3.0198523764441081E-5</v>
      </c>
      <c r="O2">
        <f t="shared" ref="O2:O9" si="0">N2/F2 * 100</f>
        <v>8.3884788234558569E-2</v>
      </c>
      <c r="Q2">
        <v>4.0439999999999996</v>
      </c>
      <c r="R2">
        <f xml:space="preserve"> (Q2-Q$8)^2</f>
        <v>6.7599999999962016E-6</v>
      </c>
      <c r="T2">
        <v>3.2130000000000001</v>
      </c>
      <c r="U2">
        <f>(T2-T$8)^2</f>
        <v>4.8400000000008879E-6</v>
      </c>
      <c r="W2">
        <v>8.0000000000000004E-4</v>
      </c>
      <c r="X2">
        <f xml:space="preserve"> 1.25*10^-5</f>
        <v>1.2500000000000001E-5</v>
      </c>
    </row>
    <row r="3" spans="1:24" x14ac:dyDescent="0.3">
      <c r="A3">
        <v>76.8</v>
      </c>
      <c r="B3">
        <v>7</v>
      </c>
      <c r="C3">
        <v>935.62</v>
      </c>
      <c r="D3">
        <f t="shared" ref="D3:D9" si="1">A3 * 0.121*10/1000</f>
        <v>9.2927999999999997E-2</v>
      </c>
      <c r="F3">
        <v>4.7E-2</v>
      </c>
      <c r="G3">
        <f t="shared" ref="G3:G9" si="2">2*PI()*B3/C3^2</f>
        <v>5.0243387746798841E-5</v>
      </c>
      <c r="I3">
        <f t="shared" ref="I3:I9" si="3">D3*F3</f>
        <v>4.3676159999999995E-3</v>
      </c>
      <c r="J3">
        <f t="shared" ref="J3:J9" si="4">D3*D3</f>
        <v>8.6356131839999996E-3</v>
      </c>
      <c r="L3">
        <f t="shared" ref="L3:L8" si="5">F3*F3</f>
        <v>2.209E-3</v>
      </c>
      <c r="N3">
        <f t="shared" ref="N3:N9" si="6" xml:space="preserve"> 2 * PI()*B3/C3/C3</f>
        <v>5.0243387746798841E-5</v>
      </c>
      <c r="O3">
        <f t="shared" si="0"/>
        <v>0.10690082499318902</v>
      </c>
      <c r="Q3">
        <v>4.0430000000000001</v>
      </c>
      <c r="R3">
        <f t="shared" ref="R3:R6" si="7" xml:space="preserve"> (Q3-Q$8)^2</f>
        <v>2.5599999999994359E-6</v>
      </c>
      <c r="T3">
        <v>3.2149999999999999</v>
      </c>
      <c r="U3">
        <f t="shared" ref="U3:U6" si="8">(T3-T$8)^2</f>
        <v>1.7639999999999845E-5</v>
      </c>
    </row>
    <row r="4" spans="1:24" x14ac:dyDescent="0.3">
      <c r="A4">
        <v>115.2</v>
      </c>
      <c r="B4">
        <v>11</v>
      </c>
      <c r="C4">
        <v>979.51</v>
      </c>
      <c r="D4">
        <f t="shared" si="1"/>
        <v>0.13939199999999999</v>
      </c>
      <c r="F4">
        <v>7.0000000000000007E-2</v>
      </c>
      <c r="G4">
        <f t="shared" si="2"/>
        <v>7.2036865148076144E-5</v>
      </c>
      <c r="I4">
        <f t="shared" si="3"/>
        <v>9.7574400000000009E-3</v>
      </c>
      <c r="J4">
        <f t="shared" si="4"/>
        <v>1.9430129663999998E-2</v>
      </c>
      <c r="L4">
        <f t="shared" si="5"/>
        <v>4.9000000000000007E-3</v>
      </c>
      <c r="N4">
        <f t="shared" si="6"/>
        <v>7.2036865148076144E-5</v>
      </c>
      <c r="O4">
        <f t="shared" si="0"/>
        <v>0.10290980735439448</v>
      </c>
      <c r="Q4">
        <v>4.0410000000000004</v>
      </c>
      <c r="R4">
        <f t="shared" si="7"/>
        <v>1.5999999999996475E-7</v>
      </c>
      <c r="T4">
        <v>3.2069999999999999</v>
      </c>
      <c r="U4">
        <f t="shared" si="8"/>
        <v>1.4440000000000194E-5</v>
      </c>
    </row>
    <row r="5" spans="1:24" x14ac:dyDescent="0.3">
      <c r="A5">
        <v>141.9</v>
      </c>
      <c r="B5">
        <v>12</v>
      </c>
      <c r="C5">
        <v>865</v>
      </c>
      <c r="D5">
        <f t="shared" si="1"/>
        <v>0.17169900000000002</v>
      </c>
      <c r="F5">
        <v>8.6999999999999994E-2</v>
      </c>
      <c r="G5">
        <f t="shared" si="2"/>
        <v>1.0076945261940597E-4</v>
      </c>
      <c r="I5">
        <f t="shared" si="3"/>
        <v>1.4937813000000001E-2</v>
      </c>
      <c r="J5">
        <f t="shared" si="4"/>
        <v>2.9480546601000007E-2</v>
      </c>
      <c r="L5">
        <f t="shared" si="5"/>
        <v>7.5689999999999993E-3</v>
      </c>
      <c r="N5">
        <f t="shared" si="6"/>
        <v>1.0076945261940598E-4</v>
      </c>
      <c r="O5">
        <f t="shared" si="0"/>
        <v>0.11582695703379998</v>
      </c>
      <c r="Q5">
        <v>4.0410000000000004</v>
      </c>
      <c r="R5">
        <f t="shared" si="7"/>
        <v>1.5999999999996475E-7</v>
      </c>
      <c r="T5">
        <v>3.2130000000000001</v>
      </c>
      <c r="U5">
        <f t="shared" si="8"/>
        <v>4.8400000000008879E-6</v>
      </c>
    </row>
    <row r="6" spans="1:24" x14ac:dyDescent="0.3">
      <c r="A6">
        <v>173.9</v>
      </c>
      <c r="B6">
        <v>16</v>
      </c>
      <c r="C6">
        <v>941.05</v>
      </c>
      <c r="D6">
        <f t="shared" si="1"/>
        <v>0.21041900000000002</v>
      </c>
      <c r="F6">
        <v>0.107</v>
      </c>
      <c r="G6">
        <f t="shared" si="2"/>
        <v>1.1352054120658095E-4</v>
      </c>
      <c r="I6">
        <f t="shared" si="3"/>
        <v>2.2514833000000001E-2</v>
      </c>
      <c r="J6">
        <f t="shared" si="4"/>
        <v>4.4276155561000008E-2</v>
      </c>
      <c r="L6">
        <f t="shared" si="5"/>
        <v>1.1448999999999999E-2</v>
      </c>
      <c r="N6">
        <f t="shared" si="6"/>
        <v>1.1352054120658093E-4</v>
      </c>
      <c r="O6">
        <f t="shared" si="0"/>
        <v>0.10609396374446815</v>
      </c>
      <c r="Q6">
        <v>4.0380000000000003</v>
      </c>
      <c r="R6">
        <f t="shared" si="7"/>
        <v>1.1560000000000474E-5</v>
      </c>
      <c r="T6">
        <v>3.206</v>
      </c>
      <c r="U6">
        <f t="shared" si="8"/>
        <v>2.303999999999919E-5</v>
      </c>
    </row>
    <row r="7" spans="1:24" x14ac:dyDescent="0.3">
      <c r="A7">
        <v>217.5</v>
      </c>
      <c r="B7">
        <v>17</v>
      </c>
      <c r="C7">
        <v>847.03</v>
      </c>
      <c r="D7">
        <f t="shared" si="1"/>
        <v>0.26317499999999999</v>
      </c>
      <c r="F7">
        <v>0.126</v>
      </c>
      <c r="G7">
        <f t="shared" si="2"/>
        <v>1.4887823277415392E-4</v>
      </c>
      <c r="I7">
        <f t="shared" si="3"/>
        <v>3.3160049999999996E-2</v>
      </c>
      <c r="J7">
        <f t="shared" si="4"/>
        <v>6.9261080624999999E-2</v>
      </c>
      <c r="L7">
        <f t="shared" si="5"/>
        <v>1.5876000000000001E-2</v>
      </c>
      <c r="N7">
        <f t="shared" si="6"/>
        <v>1.4887823277415392E-4</v>
      </c>
      <c r="O7">
        <f t="shared" si="0"/>
        <v>0.11815732759853485</v>
      </c>
    </row>
    <row r="8" spans="1:24" x14ac:dyDescent="0.3">
      <c r="A8">
        <v>270.5</v>
      </c>
      <c r="B8">
        <v>18</v>
      </c>
      <c r="C8">
        <v>680.1</v>
      </c>
      <c r="D8">
        <f t="shared" si="1"/>
        <v>0.32730500000000001</v>
      </c>
      <c r="F8">
        <v>0.16600000000000001</v>
      </c>
      <c r="G8">
        <f t="shared" si="2"/>
        <v>2.4451574165919006E-4</v>
      </c>
      <c r="I8">
        <f t="shared" si="3"/>
        <v>5.4332630000000007E-2</v>
      </c>
      <c r="J8">
        <f t="shared" si="4"/>
        <v>0.10712856302500001</v>
      </c>
      <c r="L8">
        <f t="shared" si="5"/>
        <v>2.7556000000000004E-2</v>
      </c>
      <c r="N8">
        <f t="shared" si="6"/>
        <v>2.4451574165919006E-4</v>
      </c>
      <c r="O8">
        <f t="shared" si="0"/>
        <v>0.14729863955372896</v>
      </c>
      <c r="Q8">
        <f>SUM(Q2:Q6) / 5</f>
        <v>4.0414000000000003</v>
      </c>
      <c r="R8">
        <f>SUM(R2:R6)^0.5 / 20^0.5</f>
        <v>1.0295630140986038E-3</v>
      </c>
      <c r="T8">
        <f>SUM(T2:T6) / 5</f>
        <v>3.2107999999999999</v>
      </c>
      <c r="U8">
        <f>SUM(U2:U6)^0.5 / 20^0.5</f>
        <v>1.8000000000000138E-3</v>
      </c>
    </row>
    <row r="9" spans="1:24" x14ac:dyDescent="0.3">
      <c r="A9">
        <v>328.6</v>
      </c>
      <c r="B9">
        <v>24</v>
      </c>
      <c r="C9">
        <v>746</v>
      </c>
      <c r="D9">
        <f t="shared" si="1"/>
        <v>0.39760600000000007</v>
      </c>
      <c r="F9">
        <v>0.20200000000000001</v>
      </c>
      <c r="G9">
        <f t="shared" si="2"/>
        <v>2.7096516070033939E-4</v>
      </c>
      <c r="I9">
        <f t="shared" si="3"/>
        <v>8.0316412000000018E-2</v>
      </c>
      <c r="J9">
        <f t="shared" si="4"/>
        <v>0.15809053123600006</v>
      </c>
      <c r="L9">
        <f>F9*F9</f>
        <v>4.0804000000000007E-2</v>
      </c>
      <c r="N9">
        <f t="shared" si="6"/>
        <v>2.7096516070033939E-4</v>
      </c>
      <c r="O9">
        <f t="shared" si="0"/>
        <v>0.13414116866353434</v>
      </c>
      <c r="R9">
        <f>R8/Q8*100</f>
        <v>2.547540491162973E-2</v>
      </c>
      <c r="U9">
        <f>U8/T8*100</f>
        <v>5.6060794817491398E-2</v>
      </c>
    </row>
    <row r="11" spans="1:24" x14ac:dyDescent="0.3">
      <c r="I11">
        <f>SUM(I2:I9) / 8</f>
        <v>2.7748960250000003E-2</v>
      </c>
      <c r="J11">
        <f>SUM(J2:J9) / 8</f>
        <v>5.5192287507500007E-2</v>
      </c>
      <c r="L11">
        <f>SUM(L2:L9) / 8</f>
        <v>1.3957375000000001E-2</v>
      </c>
    </row>
    <row r="13" spans="1:24" x14ac:dyDescent="0.3">
      <c r="I13" t="s">
        <v>5</v>
      </c>
      <c r="L13" t="s">
        <v>7</v>
      </c>
      <c r="N13" t="s">
        <v>20</v>
      </c>
      <c r="O13" t="s">
        <v>14</v>
      </c>
      <c r="P13" t="s">
        <v>16</v>
      </c>
      <c r="Q13" t="s">
        <v>19</v>
      </c>
      <c r="S13" t="s">
        <v>22</v>
      </c>
      <c r="T13" t="s">
        <v>21</v>
      </c>
      <c r="U13" t="s">
        <v>24</v>
      </c>
      <c r="V13" t="s">
        <v>25</v>
      </c>
    </row>
    <row r="14" spans="1:24" x14ac:dyDescent="0.3">
      <c r="I14">
        <f>I11/J11</f>
        <v>0.50276880164151982</v>
      </c>
      <c r="L14">
        <f>1/ 8^0.5 * (L11 / J11 - I14 * I14)^0.5</f>
        <v>3.7057643403974583E-3</v>
      </c>
      <c r="N14">
        <f>O14/2/PI()</f>
        <v>399.86574209178343</v>
      </c>
      <c r="O14">
        <f t="shared" ref="O14:O21" si="9">D2/W$2/F2</f>
        <v>2512.4305555555557</v>
      </c>
      <c r="P14">
        <f t="shared" ref="P14:P21" si="10" xml:space="preserve"> ((D2/W$2^2/F2)^2*X$2^2 + (D2/F2^2/W$2)^2*G2^2)^0.5</f>
        <v>39.313259889373192</v>
      </c>
      <c r="Q14">
        <f>P14/O14*100</f>
        <v>1.5647501103042483</v>
      </c>
      <c r="S14">
        <f>T$14 / C2 * O14 * W$2</f>
        <v>4.3602017273837836E-4</v>
      </c>
      <c r="T14">
        <f xml:space="preserve"> 15 / 180 * PI()</f>
        <v>0.26179938779914941</v>
      </c>
      <c r="U14">
        <f xml:space="preserve"> ((T$14 / C2 * O14)^2 * X$2^2 + (T$14 / C2 * W$2)^2 * P14 ^ 2 + (T$14 / C2^2 * O14 *  W$2)^2 * 1)^0.5</f>
        <v>9.6484823415100606E-6</v>
      </c>
      <c r="V14">
        <f xml:space="preserve"> 100 * U14 / S14</f>
        <v>2.2128522817909531</v>
      </c>
    </row>
    <row r="15" spans="1:24" x14ac:dyDescent="0.3">
      <c r="N15">
        <f t="shared" ref="N15:N21" si="11">O15/2/PI()</f>
        <v>393.34974871392683</v>
      </c>
      <c r="O15">
        <f t="shared" si="9"/>
        <v>2471.4893617021276</v>
      </c>
      <c r="P15">
        <f t="shared" si="10"/>
        <v>38.707295448534708</v>
      </c>
      <c r="Q15">
        <f t="shared" ref="Q15:Q21" si="12">P15/O15*100</f>
        <v>1.5661526223150237</v>
      </c>
      <c r="S15">
        <f t="shared" ref="S15:S21" si="13">T$14 / C3 * O15 * W$2</f>
        <v>5.5324546447979095E-4</v>
      </c>
      <c r="U15">
        <f t="shared" ref="U15:U21" si="14" xml:space="preserve"> ((T$14 / C3 * O15)^2 * X$2^2 + (T$14 / C3 * W$2)^2 * P15 ^ 2 + (T$14 / C3^2 * O15 *  W$2)^2 * 1)^0.5</f>
        <v>1.2253686200134967E-5</v>
      </c>
      <c r="V15">
        <f t="shared" ref="V15:V21" si="15" xml:space="preserve"> 100 * U15 / S15</f>
        <v>2.2148733223971275</v>
      </c>
    </row>
    <row r="16" spans="1:24" x14ac:dyDescent="0.3">
      <c r="N16">
        <f t="shared" si="11"/>
        <v>396.15938977616906</v>
      </c>
      <c r="O16">
        <f t="shared" si="9"/>
        <v>2489.1428571428564</v>
      </c>
      <c r="P16">
        <f t="shared" si="10"/>
        <v>38.977121346449458</v>
      </c>
      <c r="Q16">
        <f t="shared" si="12"/>
        <v>1.565885269887203</v>
      </c>
      <c r="S16">
        <f t="shared" si="13"/>
        <v>5.3223025892099149E-4</v>
      </c>
      <c r="U16">
        <f t="shared" si="14"/>
        <v>1.1786017281203758E-5</v>
      </c>
      <c r="V16">
        <f t="shared" si="15"/>
        <v>2.2144583258189701</v>
      </c>
    </row>
    <row r="17" spans="14:22" x14ac:dyDescent="0.3">
      <c r="N17">
        <f t="shared" si="11"/>
        <v>392.62564043010548</v>
      </c>
      <c r="O17">
        <f t="shared" si="9"/>
        <v>2466.9396551724139</v>
      </c>
      <c r="P17">
        <f t="shared" si="10"/>
        <v>38.651694779604675</v>
      </c>
      <c r="Q17">
        <f t="shared" si="12"/>
        <v>1.5667872012419906</v>
      </c>
      <c r="S17">
        <f t="shared" si="13"/>
        <v>5.9731171464655049E-4</v>
      </c>
      <c r="U17">
        <f t="shared" si="14"/>
        <v>1.3234995356053299E-5</v>
      </c>
      <c r="V17">
        <f t="shared" si="15"/>
        <v>2.2157602189143222</v>
      </c>
    </row>
    <row r="18" spans="14:22" x14ac:dyDescent="0.3">
      <c r="N18">
        <f t="shared" si="11"/>
        <v>391.22925199127951</v>
      </c>
      <c r="O18">
        <f t="shared" si="9"/>
        <v>2458.1658878504672</v>
      </c>
      <c r="P18">
        <f t="shared" si="10"/>
        <v>38.497280791076925</v>
      </c>
      <c r="Q18">
        <f t="shared" si="12"/>
        <v>1.5660977552959501</v>
      </c>
      <c r="S18">
        <f t="shared" si="13"/>
        <v>5.4708789080113059E-4</v>
      </c>
      <c r="U18">
        <f t="shared" si="14"/>
        <v>1.211692914244557E-5</v>
      </c>
      <c r="V18">
        <f t="shared" si="15"/>
        <v>2.2148048505884659</v>
      </c>
    </row>
    <row r="19" spans="14:22" x14ac:dyDescent="0.3">
      <c r="N19">
        <f t="shared" si="11"/>
        <v>415.5317673433488</v>
      </c>
      <c r="O19">
        <f t="shared" si="9"/>
        <v>2610.8630952380954</v>
      </c>
      <c r="P19">
        <f t="shared" si="10"/>
        <v>40.911211702160749</v>
      </c>
      <c r="Q19">
        <f t="shared" si="12"/>
        <v>1.566961200561529</v>
      </c>
      <c r="S19">
        <f t="shared" si="13"/>
        <v>6.4557086286032436E-4</v>
      </c>
      <c r="U19">
        <f t="shared" si="14"/>
        <v>1.4305931478580859E-5</v>
      </c>
      <c r="V19">
        <f t="shared" si="15"/>
        <v>2.2160125714465662</v>
      </c>
    </row>
    <row r="20" spans="14:22" x14ac:dyDescent="0.3">
      <c r="N20">
        <f t="shared" si="11"/>
        <v>392.26060729437353</v>
      </c>
      <c r="O20">
        <f t="shared" si="9"/>
        <v>2464.6460843373493</v>
      </c>
      <c r="P20">
        <f t="shared" si="10"/>
        <v>38.680837048657807</v>
      </c>
      <c r="Q20">
        <f t="shared" si="12"/>
        <v>1.5694276470147897</v>
      </c>
      <c r="S20">
        <f t="shared" si="13"/>
        <v>7.5899760155399355E-4</v>
      </c>
      <c r="U20">
        <f t="shared" si="14"/>
        <v>1.6845864697014412E-5</v>
      </c>
      <c r="V20">
        <f t="shared" si="15"/>
        <v>2.219488528359471</v>
      </c>
    </row>
    <row r="21" spans="14:22" x14ac:dyDescent="0.3">
      <c r="N21">
        <f t="shared" si="11"/>
        <v>391.59010088487707</v>
      </c>
      <c r="O21">
        <f t="shared" si="9"/>
        <v>2460.4331683168316</v>
      </c>
      <c r="P21">
        <f t="shared" si="10"/>
        <v>38.58568072465777</v>
      </c>
      <c r="Q21">
        <f t="shared" si="12"/>
        <v>1.5682474623382685</v>
      </c>
      <c r="S21">
        <f t="shared" si="13"/>
        <v>6.9076664577594443E-4</v>
      </c>
      <c r="U21">
        <f t="shared" si="14"/>
        <v>1.532003827757623E-5</v>
      </c>
      <c r="V21">
        <f t="shared" si="15"/>
        <v>2.2178312127921425</v>
      </c>
    </row>
    <row r="23" spans="14:22" x14ac:dyDescent="0.3">
      <c r="N23">
        <f>O23/2/PI()</f>
        <v>396.57653106573298</v>
      </c>
      <c r="O23">
        <f>SUM(O14:O21)/8</f>
        <v>2491.7638331644621</v>
      </c>
      <c r="P23">
        <f>SUM(P14:P21)/8</f>
        <v>39.040547716314407</v>
      </c>
      <c r="Q23">
        <f>SUM(Q14:Q21)/8</f>
        <v>1.5667886586198754</v>
      </c>
      <c r="S23">
        <f>SUM(S14:S21)/8</f>
        <v>5.9515382647213808E-4</v>
      </c>
      <c r="U23">
        <f>SUM(U14:U21)/8</f>
        <v>1.3188993096814895E-5</v>
      </c>
      <c r="V23">
        <f>U23 / S23 * 100</f>
        <v>2.2160645719098526</v>
      </c>
    </row>
    <row r="25" spans="14:22" x14ac:dyDescent="0.3">
      <c r="N25" t="s">
        <v>23</v>
      </c>
    </row>
    <row r="26" spans="14:22" x14ac:dyDescent="0.3">
      <c r="N26">
        <f xml:space="preserve"> N23 / 100 * Q23</f>
        <v>6.2135161114860313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Rogozin</dc:creator>
  <cp:lastModifiedBy>Vladimir Rogozin</cp:lastModifiedBy>
  <dcterms:created xsi:type="dcterms:W3CDTF">2021-11-14T12:24:56Z</dcterms:created>
  <dcterms:modified xsi:type="dcterms:W3CDTF">2021-12-01T19:25:14Z</dcterms:modified>
</cp:coreProperties>
</file>