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ladi\OneDrive\Рабочий стол\Лабы\2 сем\1-3-3\"/>
    </mc:Choice>
  </mc:AlternateContent>
  <xr:revisionPtr revIDLastSave="0" documentId="13_ncr:1_{C553975D-4951-405A-AE6F-8B578E17F6D5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I2" i="1" l="1"/>
  <c r="C21" i="1"/>
  <c r="B21" i="1" s="1"/>
  <c r="A21" i="1"/>
  <c r="C11" i="1"/>
  <c r="AA22" i="1"/>
  <c r="AA23" i="1"/>
  <c r="AA20" i="1"/>
  <c r="Y21" i="1"/>
  <c r="S25" i="1"/>
  <c r="S24" i="1"/>
  <c r="S23" i="1"/>
  <c r="S22" i="1"/>
  <c r="S21" i="1"/>
  <c r="S20" i="1"/>
  <c r="N23" i="1"/>
  <c r="N24" i="1"/>
  <c r="N25" i="1"/>
  <c r="N20" i="1"/>
  <c r="L25" i="1"/>
  <c r="L24" i="1"/>
  <c r="L23" i="1"/>
  <c r="L22" i="1"/>
  <c r="L21" i="1"/>
  <c r="L20" i="1"/>
  <c r="L2" i="1"/>
  <c r="I21" i="1"/>
  <c r="U12" i="1"/>
  <c r="U13" i="1"/>
  <c r="U14" i="1"/>
  <c r="U15" i="1"/>
  <c r="U18" i="1"/>
  <c r="U11" i="1"/>
  <c r="AA12" i="1"/>
  <c r="AA13" i="1"/>
  <c r="AA11" i="1"/>
  <c r="Y12" i="1"/>
  <c r="N14" i="1"/>
  <c r="N15" i="1"/>
  <c r="N16" i="1"/>
  <c r="N17" i="1"/>
  <c r="N18" i="1"/>
  <c r="N11" i="1"/>
  <c r="L18" i="1"/>
  <c r="L17" i="1"/>
  <c r="L16" i="1"/>
  <c r="L15" i="1"/>
  <c r="L14" i="1"/>
  <c r="L13" i="1"/>
  <c r="L12" i="1"/>
  <c r="L11" i="1"/>
  <c r="S18" i="1"/>
  <c r="S17" i="1"/>
  <c r="S16" i="1"/>
  <c r="S15" i="1"/>
  <c r="S14" i="1"/>
  <c r="S13" i="1"/>
  <c r="S12" i="1"/>
  <c r="S11" i="1"/>
  <c r="I12" i="1"/>
  <c r="A5" i="1"/>
  <c r="Y3" i="1"/>
  <c r="AA3" i="1"/>
  <c r="AA4" i="1"/>
  <c r="AA5" i="1"/>
  <c r="AA2" i="1"/>
  <c r="S9" i="1"/>
  <c r="S8" i="1"/>
  <c r="S7" i="1"/>
  <c r="S6" i="1"/>
  <c r="S5" i="1"/>
  <c r="S4" i="1"/>
  <c r="S3" i="1"/>
  <c r="S2" i="1"/>
  <c r="L9" i="1"/>
  <c r="L8" i="1"/>
  <c r="L7" i="1"/>
  <c r="L6" i="1"/>
  <c r="L5" i="1"/>
  <c r="L4" i="1"/>
  <c r="L3" i="1"/>
  <c r="I4" i="1"/>
  <c r="E11" i="1"/>
  <c r="F3" i="1" s="1"/>
  <c r="A2" i="1"/>
  <c r="N3" i="1" s="1"/>
  <c r="N13" i="1" l="1"/>
  <c r="U17" i="1"/>
  <c r="N22" i="1"/>
  <c r="AA21" i="1"/>
  <c r="N12" i="1"/>
  <c r="U16" i="1"/>
  <c r="N21" i="1"/>
  <c r="U20" i="1"/>
  <c r="U25" i="1"/>
  <c r="U24" i="1"/>
  <c r="U23" i="1"/>
  <c r="U22" i="1"/>
  <c r="U21" i="1"/>
  <c r="U2" i="1"/>
  <c r="U9" i="1"/>
  <c r="U8" i="1"/>
  <c r="U7" i="1"/>
  <c r="U4" i="1"/>
  <c r="U6" i="1"/>
  <c r="U5" i="1"/>
  <c r="U3" i="1"/>
  <c r="N2" i="1"/>
  <c r="N7" i="1"/>
  <c r="N5" i="1"/>
  <c r="N8" i="1"/>
  <c r="N4" i="1"/>
  <c r="N9" i="1"/>
  <c r="A7" i="1"/>
  <c r="N6" i="1"/>
  <c r="F2" i="1"/>
  <c r="F8" i="1"/>
  <c r="F7" i="1"/>
  <c r="F6" i="1"/>
  <c r="F5" i="1"/>
  <c r="F4" i="1"/>
  <c r="F11" i="1" l="1"/>
  <c r="P12" i="1" l="1"/>
  <c r="P20" i="1"/>
  <c r="P14" i="1"/>
  <c r="W21" i="1"/>
  <c r="W16" i="1"/>
  <c r="W22" i="1"/>
  <c r="W17" i="1"/>
  <c r="W23" i="1"/>
  <c r="W18" i="1"/>
  <c r="W24" i="1"/>
  <c r="W11" i="1"/>
  <c r="W25" i="1"/>
  <c r="W20" i="1"/>
  <c r="P13" i="1"/>
  <c r="P21" i="1"/>
  <c r="P15" i="1"/>
  <c r="P22" i="1"/>
  <c r="W12" i="1"/>
  <c r="P16" i="1"/>
  <c r="P23" i="1"/>
  <c r="W13" i="1"/>
  <c r="P17" i="1"/>
  <c r="P24" i="1"/>
  <c r="W14" i="1"/>
  <c r="P18" i="1"/>
  <c r="P25" i="1"/>
  <c r="W15" i="1"/>
  <c r="P11" i="1"/>
  <c r="W3" i="1"/>
  <c r="W7" i="1"/>
  <c r="W9" i="1"/>
  <c r="P6" i="1"/>
  <c r="P7" i="1"/>
  <c r="P8" i="1"/>
  <c r="W4" i="1"/>
  <c r="P3" i="1"/>
  <c r="P5" i="1"/>
  <c r="W2" i="1"/>
  <c r="W5" i="1"/>
  <c r="W6" i="1"/>
  <c r="W8" i="1"/>
  <c r="P4" i="1"/>
  <c r="P9" i="1"/>
  <c r="P2" i="1"/>
</calcChain>
</file>

<file path=xl/sharedStrings.xml><?xml version="1.0" encoding="utf-8"?>
<sst xmlns="http://schemas.openxmlformats.org/spreadsheetml/2006/main" count="42" uniqueCount="29">
  <si>
    <t xml:space="preserve">Перевод </t>
  </si>
  <si>
    <t xml:space="preserve">давления </t>
  </si>
  <si>
    <t>Тест реакции</t>
  </si>
  <si>
    <t>aver</t>
  </si>
  <si>
    <t xml:space="preserve">sigm </t>
  </si>
  <si>
    <t>d</t>
  </si>
  <si>
    <t>l</t>
  </si>
  <si>
    <t>sigm P</t>
  </si>
  <si>
    <t>Ламин</t>
  </si>
  <si>
    <t>Q, м^3 / c</t>
  </si>
  <si>
    <t>P, дел</t>
  </si>
  <si>
    <t>P, Па</t>
  </si>
  <si>
    <t>t, c</t>
  </si>
  <si>
    <t>eps t</t>
  </si>
  <si>
    <t>Турб</t>
  </si>
  <si>
    <t>P(x)</t>
  </si>
  <si>
    <t>x, m</t>
  </si>
  <si>
    <t>Q = const</t>
  </si>
  <si>
    <t>sigm d</t>
  </si>
  <si>
    <t>P атм</t>
  </si>
  <si>
    <t>sigm P атм</t>
  </si>
  <si>
    <t>eps P атм</t>
  </si>
  <si>
    <t>ϕ проц</t>
  </si>
  <si>
    <t>T, град Цельс</t>
  </si>
  <si>
    <t>sigm T</t>
  </si>
  <si>
    <t>eps T</t>
  </si>
  <si>
    <t>ϼ</t>
  </si>
  <si>
    <t>sigm ϼ</t>
  </si>
  <si>
    <t>eps 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</si>
</sst>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zoomScale="70" zoomScaleNormal="70" workbookViewId="0">
      <selection activeCell="I24" sqref="I24"/>
    </sheetView>
  </sheetViews>
  <sheetFormatPr defaultRowHeight="14.4" x14ac:dyDescent="0.3"/>
  <cols>
    <col min="1" max="1" width="12.33203125" customWidth="1"/>
    <col min="2" max="2" width="10.5546875" customWidth="1"/>
    <col min="3" max="3" width="12.5546875" customWidth="1"/>
    <col min="5" max="5" width="12.21875" customWidth="1"/>
    <col min="6" max="6" width="12" bestFit="1" customWidth="1"/>
    <col min="11" max="11" width="8.6640625" customWidth="1"/>
    <col min="12" max="12" width="12.21875" bestFit="1" customWidth="1"/>
    <col min="19" max="19" width="11" bestFit="1" customWidth="1"/>
    <col min="25" max="25" width="11.109375" bestFit="1" customWidth="1"/>
  </cols>
  <sheetData>
    <row r="1" spans="1:28" x14ac:dyDescent="0.3">
      <c r="A1" t="s">
        <v>0</v>
      </c>
      <c r="B1" t="s">
        <v>1</v>
      </c>
      <c r="E1" t="s">
        <v>2</v>
      </c>
      <c r="I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15</v>
      </c>
      <c r="Z1" t="s">
        <v>10</v>
      </c>
      <c r="AA1" t="s">
        <v>11</v>
      </c>
      <c r="AB1" t="s">
        <v>16</v>
      </c>
    </row>
    <row r="2" spans="1:28" x14ac:dyDescent="0.3">
      <c r="A2">
        <f>9.8067*0.2</f>
        <v>1.9613399999999999</v>
      </c>
      <c r="E2">
        <v>10.33</v>
      </c>
      <c r="F2">
        <f xml:space="preserve"> (E$11 - E2)^2</f>
        <v>1.0000000000003127E-4</v>
      </c>
      <c r="I2">
        <f>3.95*10^-3</f>
        <v>3.9500000000000004E-3</v>
      </c>
      <c r="L2">
        <f>1.22*10^-5</f>
        <v>1.22E-5</v>
      </c>
      <c r="M2">
        <v>8</v>
      </c>
      <c r="N2">
        <f>M2 * A$2</f>
        <v>15.690719999999999</v>
      </c>
      <c r="O2">
        <v>40.93</v>
      </c>
      <c r="P2">
        <f>100*F$11 / O2</f>
        <v>0.1277334240683945</v>
      </c>
      <c r="S2">
        <f>6.39 * 10^-5</f>
        <v>6.3900000000000008E-5</v>
      </c>
      <c r="T2">
        <v>46</v>
      </c>
      <c r="U2">
        <f>A$2*T2</f>
        <v>90.221639999999994</v>
      </c>
      <c r="V2">
        <v>15.65</v>
      </c>
      <c r="W2">
        <f>100*F$11 / V2</f>
        <v>0.33406575380954545</v>
      </c>
      <c r="Y2" t="s">
        <v>17</v>
      </c>
      <c r="Z2">
        <v>22</v>
      </c>
      <c r="AA2">
        <f>A$2 * Z2</f>
        <v>43.149479999999997</v>
      </c>
      <c r="AB2">
        <v>0.109</v>
      </c>
    </row>
    <row r="3" spans="1:28" x14ac:dyDescent="0.3">
      <c r="E3">
        <v>10.32</v>
      </c>
      <c r="F3">
        <f xml:space="preserve"> (E$11 - E3)^2</f>
        <v>3.1554436208840472E-30</v>
      </c>
      <c r="I3" t="s">
        <v>6</v>
      </c>
      <c r="L3">
        <f>1.75*10^-5</f>
        <v>1.7500000000000002E-5</v>
      </c>
      <c r="M3">
        <v>12</v>
      </c>
      <c r="N3">
        <f t="shared" ref="N3:N9" si="0">M3 * A$2</f>
        <v>23.536079999999998</v>
      </c>
      <c r="O3">
        <v>18.829999999999998</v>
      </c>
      <c r="P3">
        <f t="shared" ref="P3:P9" si="1">100*F$11 / O3</f>
        <v>0.27764891381409385</v>
      </c>
      <c r="S3">
        <f>7.12 * 10^-5</f>
        <v>7.1200000000000009E-5</v>
      </c>
      <c r="T3">
        <v>53</v>
      </c>
      <c r="U3">
        <f t="shared" ref="U3:U9" si="2">A$2*T3</f>
        <v>103.95102</v>
      </c>
      <c r="V3">
        <v>14.04</v>
      </c>
      <c r="W3">
        <f t="shared" ref="W3:W9" si="3">100*F$11 / V3</f>
        <v>0.37237386375494208</v>
      </c>
      <c r="Y3">
        <f>5.02 * 10^-5</f>
        <v>5.02E-5</v>
      </c>
      <c r="Z3">
        <v>28</v>
      </c>
      <c r="AA3">
        <f t="shared" ref="AA3:AA5" si="4">A$2 * Z3</f>
        <v>54.917519999999996</v>
      </c>
      <c r="AB3">
        <v>0.3</v>
      </c>
    </row>
    <row r="4" spans="1:28" x14ac:dyDescent="0.3">
      <c r="A4" t="s">
        <v>18</v>
      </c>
      <c r="E4">
        <v>10.4</v>
      </c>
      <c r="F4">
        <f t="shared" ref="F4:F8" si="5" xml:space="preserve"> (E$11 - E4)^2</f>
        <v>6.4000000000002952E-3</v>
      </c>
      <c r="I4">
        <f>0.4</f>
        <v>0.4</v>
      </c>
      <c r="L4">
        <f>2.66*10^-5</f>
        <v>2.6600000000000003E-5</v>
      </c>
      <c r="M4">
        <v>18</v>
      </c>
      <c r="N4">
        <f t="shared" si="0"/>
        <v>35.304119999999998</v>
      </c>
      <c r="O4">
        <v>14.24</v>
      </c>
      <c r="P4">
        <f t="shared" si="1"/>
        <v>0.36714389375838391</v>
      </c>
      <c r="S4">
        <f>7.7 * 10^-5</f>
        <v>7.7000000000000001E-5</v>
      </c>
      <c r="T4">
        <v>59</v>
      </c>
      <c r="U4">
        <f t="shared" si="2"/>
        <v>115.71905999999998</v>
      </c>
      <c r="V4">
        <v>12.99</v>
      </c>
      <c r="W4">
        <f t="shared" si="3"/>
        <v>0.40247336775360942</v>
      </c>
      <c r="Z4">
        <v>35</v>
      </c>
      <c r="AA4">
        <f t="shared" si="4"/>
        <v>68.646899999999988</v>
      </c>
      <c r="AB4">
        <v>0.4</v>
      </c>
    </row>
    <row r="5" spans="1:28" x14ac:dyDescent="0.3">
      <c r="A5">
        <f>5*10^-5</f>
        <v>5.0000000000000002E-5</v>
      </c>
      <c r="E5">
        <v>10.37</v>
      </c>
      <c r="F5">
        <f t="shared" si="5"/>
        <v>2.5000000000000712E-3</v>
      </c>
      <c r="L5">
        <f>3.51*10^-5</f>
        <v>3.5099999999999999E-5</v>
      </c>
      <c r="M5">
        <v>23</v>
      </c>
      <c r="N5">
        <f t="shared" si="0"/>
        <v>45.110819999999997</v>
      </c>
      <c r="O5">
        <v>11.55</v>
      </c>
      <c r="P5">
        <f t="shared" si="1"/>
        <v>0.45265186555146203</v>
      </c>
      <c r="S5">
        <f>8.16* 10^-5</f>
        <v>8.1600000000000005E-5</v>
      </c>
      <c r="T5">
        <v>67</v>
      </c>
      <c r="U5">
        <f t="shared" si="2"/>
        <v>131.40977999999998</v>
      </c>
      <c r="V5">
        <v>12.26</v>
      </c>
      <c r="W5">
        <f t="shared" si="3"/>
        <v>0.42643793206520281</v>
      </c>
      <c r="Z5">
        <v>42</v>
      </c>
      <c r="AA5">
        <f t="shared" si="4"/>
        <v>82.376279999999994</v>
      </c>
      <c r="AB5">
        <v>0.5</v>
      </c>
    </row>
    <row r="6" spans="1:28" x14ac:dyDescent="0.3">
      <c r="A6" t="s">
        <v>7</v>
      </c>
      <c r="E6">
        <v>10.25</v>
      </c>
      <c r="F6">
        <f t="shared" si="5"/>
        <v>4.8999999999997908E-3</v>
      </c>
      <c r="L6">
        <f>4.33*10^-5</f>
        <v>4.3300000000000002E-5</v>
      </c>
      <c r="M6">
        <v>28</v>
      </c>
      <c r="N6">
        <f t="shared" si="0"/>
        <v>54.917519999999996</v>
      </c>
      <c r="O6">
        <v>20.83</v>
      </c>
      <c r="P6">
        <f t="shared" si="1"/>
        <v>0.2509903527181655</v>
      </c>
      <c r="S6">
        <f>9.06 * 10^-5</f>
        <v>9.0600000000000007E-5</v>
      </c>
      <c r="T6">
        <v>74</v>
      </c>
      <c r="U6">
        <f t="shared" si="2"/>
        <v>145.13916</v>
      </c>
      <c r="V6">
        <v>16.55</v>
      </c>
      <c r="W6">
        <f t="shared" si="3"/>
        <v>0.31589903607972125</v>
      </c>
    </row>
    <row r="7" spans="1:28" x14ac:dyDescent="0.3">
      <c r="A7">
        <f>A2*0.5</f>
        <v>0.98066999999999993</v>
      </c>
      <c r="E7">
        <v>10.28</v>
      </c>
      <c r="F7">
        <f t="shared" si="5"/>
        <v>1.5999999999999318E-3</v>
      </c>
      <c r="L7">
        <f>4.8*10^-5</f>
        <v>4.8000000000000001E-5</v>
      </c>
      <c r="M7">
        <v>33</v>
      </c>
      <c r="N7">
        <f t="shared" si="0"/>
        <v>64.724220000000003</v>
      </c>
      <c r="O7">
        <v>19.46</v>
      </c>
      <c r="P7">
        <f t="shared" si="1"/>
        <v>0.26866027991363756</v>
      </c>
      <c r="S7">
        <f>9.16 * 10^-5</f>
        <v>9.1600000000000004E-5</v>
      </c>
      <c r="T7">
        <v>82</v>
      </c>
      <c r="U7">
        <f t="shared" si="2"/>
        <v>160.82988</v>
      </c>
      <c r="V7">
        <v>16.38</v>
      </c>
      <c r="W7">
        <f t="shared" si="3"/>
        <v>0.31917759750423608</v>
      </c>
    </row>
    <row r="8" spans="1:28" x14ac:dyDescent="0.3">
      <c r="E8">
        <v>10.29</v>
      </c>
      <c r="F8">
        <f t="shared" si="5"/>
        <v>8.9999999999996159E-4</v>
      </c>
      <c r="L8">
        <f>5.14*10^-5</f>
        <v>5.1400000000000003E-5</v>
      </c>
      <c r="M8">
        <v>36</v>
      </c>
      <c r="N8">
        <f t="shared" si="0"/>
        <v>70.608239999999995</v>
      </c>
      <c r="O8">
        <v>28.55</v>
      </c>
      <c r="P8">
        <f t="shared" si="1"/>
        <v>0.18312185804271056</v>
      </c>
      <c r="S8">
        <f>9.6 * 10^-5</f>
        <v>9.6000000000000002E-5</v>
      </c>
      <c r="T8">
        <v>92</v>
      </c>
      <c r="U8">
        <f t="shared" si="2"/>
        <v>180.44327999999999</v>
      </c>
      <c r="V8">
        <v>15.62</v>
      </c>
      <c r="W8">
        <f t="shared" si="3"/>
        <v>0.33470736537255996</v>
      </c>
    </row>
    <row r="9" spans="1:28" x14ac:dyDescent="0.3">
      <c r="L9">
        <f>5.8*10^-5</f>
        <v>5.8E-5</v>
      </c>
      <c r="M9">
        <v>41</v>
      </c>
      <c r="N9">
        <f t="shared" si="0"/>
        <v>80.414940000000001</v>
      </c>
      <c r="O9">
        <v>17.239999999999998</v>
      </c>
      <c r="P9">
        <f t="shared" si="1"/>
        <v>0.30325574519253984</v>
      </c>
      <c r="S9">
        <f>10^-4</f>
        <v>1E-4</v>
      </c>
      <c r="T9">
        <v>99</v>
      </c>
      <c r="U9">
        <f t="shared" si="2"/>
        <v>194.17265999999998</v>
      </c>
      <c r="V9">
        <v>14.92</v>
      </c>
      <c r="W9">
        <f t="shared" si="3"/>
        <v>0.35041079404285436</v>
      </c>
    </row>
    <row r="10" spans="1:28" x14ac:dyDescent="0.3">
      <c r="A10" t="s">
        <v>19</v>
      </c>
      <c r="B10" t="s">
        <v>20</v>
      </c>
      <c r="C10" t="s">
        <v>21</v>
      </c>
      <c r="E10" t="s">
        <v>3</v>
      </c>
      <c r="F10" t="s">
        <v>4</v>
      </c>
    </row>
    <row r="11" spans="1:28" x14ac:dyDescent="0.3">
      <c r="A11">
        <v>105000</v>
      </c>
      <c r="B11">
        <v>500</v>
      </c>
      <c r="C11">
        <f>B11/A11 * 100</f>
        <v>0.47619047619047622</v>
      </c>
      <c r="E11">
        <f>SUM(E2:E8) / 7</f>
        <v>10.319999999999999</v>
      </c>
      <c r="F11">
        <f>(SUM(F2:F8) / 6)^0.5</f>
        <v>5.228129047119387E-2</v>
      </c>
      <c r="I11" t="s">
        <v>5</v>
      </c>
      <c r="L11">
        <f>4.13*10^-6</f>
        <v>4.1299999999999994E-6</v>
      </c>
      <c r="M11">
        <v>6</v>
      </c>
      <c r="N11">
        <f>A$2*M11</f>
        <v>11.768039999999999</v>
      </c>
      <c r="O11">
        <v>96.77</v>
      </c>
      <c r="P11">
        <f>100*F$11 / O11</f>
        <v>5.4026341295023116E-2</v>
      </c>
      <c r="S11">
        <f>4.34*10^-5</f>
        <v>4.3400000000000005E-5</v>
      </c>
      <c r="T11">
        <v>61</v>
      </c>
      <c r="U11">
        <f>A$2*T11</f>
        <v>119.64174</v>
      </c>
      <c r="V11">
        <v>11.51</v>
      </c>
      <c r="W11">
        <f>100*F$11 / V11</f>
        <v>0.45422493893304838</v>
      </c>
      <c r="Y11" t="s">
        <v>17</v>
      </c>
      <c r="Z11">
        <v>48</v>
      </c>
      <c r="AA11">
        <f>A$2*Z11</f>
        <v>94.144319999999993</v>
      </c>
      <c r="AB11">
        <v>0.11</v>
      </c>
    </row>
    <row r="12" spans="1:28" x14ac:dyDescent="0.3">
      <c r="I12">
        <f>3*10^-3</f>
        <v>3.0000000000000001E-3</v>
      </c>
      <c r="L12">
        <f>1.08*10^-5</f>
        <v>1.0800000000000002E-5</v>
      </c>
      <c r="M12">
        <v>15</v>
      </c>
      <c r="N12">
        <f t="shared" ref="N12:N18" si="6">A$2*M12</f>
        <v>29.420099999999998</v>
      </c>
      <c r="O12">
        <v>36.92</v>
      </c>
      <c r="P12">
        <f t="shared" ref="P12:P18" si="7">100*F$11 / O12</f>
        <v>0.14160696227300612</v>
      </c>
      <c r="S12">
        <f>4.64*10^-5</f>
        <v>4.6400000000000003E-5</v>
      </c>
      <c r="T12">
        <v>69</v>
      </c>
      <c r="U12">
        <f t="shared" ref="U12:U18" si="8">A$2*T12</f>
        <v>135.33246</v>
      </c>
      <c r="V12">
        <v>10.78</v>
      </c>
      <c r="W12">
        <f t="shared" ref="W12:W18" si="9">100*F$11 / V12</f>
        <v>0.48498414166228077</v>
      </c>
      <c r="Y12">
        <f>3.38 * 10^-5</f>
        <v>3.3800000000000002E-5</v>
      </c>
      <c r="Z12">
        <v>39</v>
      </c>
      <c r="AA12">
        <f t="shared" ref="AA12:AA13" si="10">A$2*Z12</f>
        <v>76.492259999999987</v>
      </c>
      <c r="AB12">
        <v>0.2</v>
      </c>
    </row>
    <row r="13" spans="1:28" x14ac:dyDescent="0.3">
      <c r="A13" s="1" t="s">
        <v>22</v>
      </c>
      <c r="I13" t="s">
        <v>6</v>
      </c>
      <c r="L13">
        <f>1.58*10^-5</f>
        <v>1.5800000000000001E-5</v>
      </c>
      <c r="M13">
        <v>22</v>
      </c>
      <c r="N13">
        <f t="shared" si="6"/>
        <v>43.149479999999997</v>
      </c>
      <c r="O13">
        <v>25.27</v>
      </c>
      <c r="P13">
        <f t="shared" si="7"/>
        <v>0.20689074187255191</v>
      </c>
      <c r="S13">
        <f>5.05*10^-5</f>
        <v>5.0500000000000001E-5</v>
      </c>
      <c r="T13">
        <v>78</v>
      </c>
      <c r="U13">
        <f t="shared" si="8"/>
        <v>152.98451999999997</v>
      </c>
      <c r="V13">
        <v>9.91</v>
      </c>
      <c r="W13">
        <f t="shared" si="9"/>
        <v>0.52756095329156272</v>
      </c>
      <c r="Z13">
        <v>45</v>
      </c>
      <c r="AA13">
        <f t="shared" si="10"/>
        <v>88.260300000000001</v>
      </c>
      <c r="AB13">
        <v>0.3</v>
      </c>
    </row>
    <row r="14" spans="1:28" x14ac:dyDescent="0.3">
      <c r="A14">
        <v>74</v>
      </c>
      <c r="I14">
        <v>0.3</v>
      </c>
      <c r="L14">
        <f>2*10^-5</f>
        <v>2.0000000000000002E-5</v>
      </c>
      <c r="M14">
        <v>27</v>
      </c>
      <c r="N14">
        <f t="shared" si="6"/>
        <v>52.956179999999996</v>
      </c>
      <c r="O14">
        <v>19.96</v>
      </c>
      <c r="P14">
        <f t="shared" si="7"/>
        <v>0.2619303129819332</v>
      </c>
      <c r="S14">
        <f>5.18*10^-5</f>
        <v>5.1799999999999999E-5</v>
      </c>
      <c r="T14">
        <v>83</v>
      </c>
      <c r="U14">
        <f t="shared" si="8"/>
        <v>162.79121999999998</v>
      </c>
      <c r="V14">
        <v>19.309999999999999</v>
      </c>
      <c r="W14">
        <f t="shared" si="9"/>
        <v>0.27074723185496569</v>
      </c>
    </row>
    <row r="15" spans="1:28" x14ac:dyDescent="0.3">
      <c r="L15">
        <f>2.39*10^-5</f>
        <v>2.3900000000000002E-5</v>
      </c>
      <c r="M15">
        <v>33</v>
      </c>
      <c r="N15">
        <f t="shared" si="6"/>
        <v>64.724220000000003</v>
      </c>
      <c r="O15">
        <v>16.72</v>
      </c>
      <c r="P15">
        <f t="shared" si="7"/>
        <v>0.31268714396647052</v>
      </c>
      <c r="S15">
        <f>5.46*10^-5</f>
        <v>5.4600000000000006E-5</v>
      </c>
      <c r="T15">
        <v>87</v>
      </c>
      <c r="U15">
        <f t="shared" si="8"/>
        <v>170.63657999999998</v>
      </c>
      <c r="V15">
        <v>18.329999999999998</v>
      </c>
      <c r="W15">
        <f t="shared" si="9"/>
        <v>0.28522253393995567</v>
      </c>
    </row>
    <row r="16" spans="1:28" x14ac:dyDescent="0.3">
      <c r="A16" t="s">
        <v>23</v>
      </c>
      <c r="B16" t="s">
        <v>24</v>
      </c>
      <c r="C16" t="s">
        <v>25</v>
      </c>
      <c r="L16">
        <f>2.74*10^-5</f>
        <v>2.7400000000000005E-5</v>
      </c>
      <c r="M16">
        <v>39</v>
      </c>
      <c r="N16">
        <f t="shared" si="6"/>
        <v>76.492259999999987</v>
      </c>
      <c r="O16">
        <v>14.61</v>
      </c>
      <c r="P16">
        <f t="shared" si="7"/>
        <v>0.35784593067210041</v>
      </c>
      <c r="S16">
        <f>5.66*10^-5</f>
        <v>5.6600000000000007E-5</v>
      </c>
      <c r="T16">
        <v>92</v>
      </c>
      <c r="U16">
        <f t="shared" si="8"/>
        <v>180.44327999999999</v>
      </c>
      <c r="V16">
        <v>17.66</v>
      </c>
      <c r="W16">
        <f t="shared" si="9"/>
        <v>0.29604354740200378</v>
      </c>
    </row>
    <row r="17" spans="1:28" x14ac:dyDescent="0.3">
      <c r="A17">
        <v>23.5</v>
      </c>
      <c r="B17">
        <v>0.1</v>
      </c>
      <c r="C17">
        <f>B17 / (A17 + 273) * 100</f>
        <v>3.3726812816188868E-2</v>
      </c>
      <c r="L17">
        <f>3.45*10^-5</f>
        <v>3.4500000000000005E-5</v>
      </c>
      <c r="M17">
        <v>47</v>
      </c>
      <c r="N17">
        <f t="shared" si="6"/>
        <v>92.182979999999986</v>
      </c>
      <c r="O17">
        <v>11.61</v>
      </c>
      <c r="P17">
        <f t="shared" si="7"/>
        <v>0.45031257942458114</v>
      </c>
      <c r="S17">
        <f>6*10^-5</f>
        <v>6.0000000000000008E-5</v>
      </c>
      <c r="T17">
        <v>96</v>
      </c>
      <c r="U17">
        <f t="shared" si="8"/>
        <v>188.28863999999999</v>
      </c>
      <c r="V17">
        <v>16.670000000000002</v>
      </c>
      <c r="W17">
        <f t="shared" si="9"/>
        <v>0.31362501782359847</v>
      </c>
    </row>
    <row r="18" spans="1:28" x14ac:dyDescent="0.3">
      <c r="L18">
        <f>3.83*10^-5</f>
        <v>3.8300000000000003E-5</v>
      </c>
      <c r="M18">
        <v>51</v>
      </c>
      <c r="N18">
        <f t="shared" si="6"/>
        <v>100.02833999999999</v>
      </c>
      <c r="O18">
        <v>13.06</v>
      </c>
      <c r="P18">
        <f t="shared" si="7"/>
        <v>0.40031615981006019</v>
      </c>
      <c r="S18">
        <f>6.24*10^-5</f>
        <v>6.2400000000000012E-5</v>
      </c>
      <c r="T18">
        <v>102</v>
      </c>
      <c r="U18">
        <f t="shared" si="8"/>
        <v>200.05667999999997</v>
      </c>
      <c r="V18">
        <v>16.03</v>
      </c>
      <c r="W18">
        <f t="shared" si="9"/>
        <v>0.32614654068118443</v>
      </c>
    </row>
    <row r="20" spans="1:28" x14ac:dyDescent="0.3">
      <c r="A20" s="1" t="s">
        <v>26</v>
      </c>
      <c r="B20" t="s">
        <v>27</v>
      </c>
      <c r="C20" t="s">
        <v>28</v>
      </c>
      <c r="I20" t="s">
        <v>5</v>
      </c>
      <c r="L20">
        <f>3.42*10^-5</f>
        <v>3.4200000000000005E-5</v>
      </c>
      <c r="M20">
        <v>6</v>
      </c>
      <c r="N20">
        <f>M20*A$2</f>
        <v>11.768039999999999</v>
      </c>
      <c r="O20">
        <v>11.69</v>
      </c>
      <c r="P20">
        <f>F$11*100 / O20</f>
        <v>0.44723088512569603</v>
      </c>
      <c r="S20">
        <f>1.3*10^-4</f>
        <v>1.3000000000000002E-4</v>
      </c>
      <c r="T20">
        <v>28</v>
      </c>
      <c r="U20">
        <f>A$2*T20</f>
        <v>54.917519999999996</v>
      </c>
      <c r="V20">
        <v>11.56</v>
      </c>
      <c r="W20">
        <f>F$11*100 / V20</f>
        <v>0.45226029819371855</v>
      </c>
      <c r="Y20" t="s">
        <v>17</v>
      </c>
      <c r="Z20">
        <v>23</v>
      </c>
      <c r="AA20">
        <f>A$2*Z20</f>
        <v>45.110819999999997</v>
      </c>
      <c r="AB20">
        <v>0.107</v>
      </c>
    </row>
    <row r="21" spans="1:28" x14ac:dyDescent="0.3">
      <c r="A21">
        <f>0.029 * A11 / 8.31/ (A17 + 273)</f>
        <v>1.2358380869469929</v>
      </c>
      <c r="B21">
        <f>A21 * C21 / 100</f>
        <v>5.8996853203622905E-3</v>
      </c>
      <c r="C21">
        <f xml:space="preserve"> (C17^2 + C11^2)^0.5</f>
        <v>0.47738335488080302</v>
      </c>
      <c r="I21">
        <f>5.1*10^-3</f>
        <v>5.0999999999999995E-3</v>
      </c>
      <c r="L21">
        <f>6*10^-5</f>
        <v>6.0000000000000008E-5</v>
      </c>
      <c r="M21">
        <v>11</v>
      </c>
      <c r="N21">
        <f t="shared" ref="N21:N25" si="11">M21*A$2</f>
        <v>21.574739999999998</v>
      </c>
      <c r="O21">
        <v>11.66</v>
      </c>
      <c r="P21">
        <f>F$11*100 / O21</f>
        <v>0.44838156493305203</v>
      </c>
      <c r="S21">
        <f>1.4*10^-4</f>
        <v>1.3999999999999999E-4</v>
      </c>
      <c r="T21">
        <v>35</v>
      </c>
      <c r="U21">
        <f t="shared" ref="U21:U25" si="12">A$2*T21</f>
        <v>68.646899999999988</v>
      </c>
      <c r="V21">
        <v>10.89</v>
      </c>
      <c r="W21">
        <f t="shared" ref="W21:W25" si="13">F$11*100 / V21</f>
        <v>0.48008531194852033</v>
      </c>
      <c r="Y21">
        <f>9.9*10^-5</f>
        <v>9.9000000000000008E-5</v>
      </c>
      <c r="Z21">
        <v>19</v>
      </c>
      <c r="AA21">
        <f t="shared" ref="AA21:AA23" si="14">A$2*Z21</f>
        <v>37.265459999999997</v>
      </c>
      <c r="AB21">
        <v>0.3</v>
      </c>
    </row>
    <row r="22" spans="1:28" x14ac:dyDescent="0.3">
      <c r="I22" t="s">
        <v>6</v>
      </c>
      <c r="L22">
        <f>8.07*10^-5</f>
        <v>8.070000000000001E-5</v>
      </c>
      <c r="M22">
        <v>15</v>
      </c>
      <c r="N22">
        <f t="shared" si="11"/>
        <v>29.420099999999998</v>
      </c>
      <c r="O22">
        <v>12.39</v>
      </c>
      <c r="P22">
        <f t="shared" ref="P22:P25" si="15">F$11*100 / O22</f>
        <v>0.42196360348017647</v>
      </c>
      <c r="S22">
        <f>1.5*10^-4</f>
        <v>1.5000000000000001E-4</v>
      </c>
      <c r="T22">
        <v>42</v>
      </c>
      <c r="U22">
        <f t="shared" si="12"/>
        <v>82.376279999999994</v>
      </c>
      <c r="V22">
        <v>13.29</v>
      </c>
      <c r="W22">
        <f t="shared" si="13"/>
        <v>0.39338819015194787</v>
      </c>
      <c r="Z22">
        <v>18</v>
      </c>
      <c r="AA22">
        <f t="shared" si="14"/>
        <v>35.304119999999998</v>
      </c>
      <c r="AB22">
        <v>0.4</v>
      </c>
    </row>
    <row r="23" spans="1:28" x14ac:dyDescent="0.3">
      <c r="I23">
        <v>0.4</v>
      </c>
      <c r="L23">
        <f>9.2*10^-5</f>
        <v>9.2E-5</v>
      </c>
      <c r="M23">
        <v>18</v>
      </c>
      <c r="N23">
        <f t="shared" si="11"/>
        <v>35.304119999999998</v>
      </c>
      <c r="O23">
        <v>10.87</v>
      </c>
      <c r="P23">
        <f t="shared" si="15"/>
        <v>0.48096863358964004</v>
      </c>
      <c r="S23">
        <f>1.6*10^-4</f>
        <v>1.6000000000000001E-4</v>
      </c>
      <c r="T23">
        <v>49</v>
      </c>
      <c r="U23">
        <f t="shared" si="12"/>
        <v>96.10566</v>
      </c>
      <c r="V23">
        <v>12.21</v>
      </c>
      <c r="W23">
        <f t="shared" si="13"/>
        <v>0.42818419714327488</v>
      </c>
      <c r="Z23">
        <v>23</v>
      </c>
      <c r="AA23">
        <f t="shared" si="14"/>
        <v>45.110819999999997</v>
      </c>
      <c r="AB23">
        <v>0.5</v>
      </c>
    </row>
    <row r="24" spans="1:28" x14ac:dyDescent="0.3">
      <c r="L24">
        <f>1.1*10^-4</f>
        <v>1.1000000000000002E-4</v>
      </c>
      <c r="M24">
        <v>20</v>
      </c>
      <c r="N24">
        <f t="shared" si="11"/>
        <v>39.226799999999997</v>
      </c>
      <c r="O24">
        <v>13.55</v>
      </c>
      <c r="P24">
        <f t="shared" si="15"/>
        <v>0.38583978207523145</v>
      </c>
      <c r="S24">
        <f>1.8*10^-4</f>
        <v>1.8000000000000001E-4</v>
      </c>
      <c r="T24">
        <v>57</v>
      </c>
      <c r="U24">
        <f t="shared" si="12"/>
        <v>111.79638</v>
      </c>
      <c r="V24">
        <v>11.25</v>
      </c>
      <c r="W24">
        <f t="shared" si="13"/>
        <v>0.46472258196616772</v>
      </c>
    </row>
    <row r="25" spans="1:28" x14ac:dyDescent="0.3">
      <c r="L25">
        <f>1.2*10^-4</f>
        <v>1.2E-4</v>
      </c>
      <c r="M25">
        <v>22</v>
      </c>
      <c r="N25">
        <f t="shared" si="11"/>
        <v>43.149479999999997</v>
      </c>
      <c r="O25">
        <v>12.89</v>
      </c>
      <c r="P25">
        <f t="shared" si="15"/>
        <v>0.40559573678195393</v>
      </c>
      <c r="S25">
        <f>1.8*10^-4</f>
        <v>1.8000000000000001E-4</v>
      </c>
      <c r="T25">
        <v>62</v>
      </c>
      <c r="U25">
        <f t="shared" si="12"/>
        <v>121.60307999999999</v>
      </c>
      <c r="V25">
        <v>10.88</v>
      </c>
      <c r="W25">
        <f t="shared" si="13"/>
        <v>0.48052656683082595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2015-06-05T18:19:34Z</dcterms:created>
  <dcterms:modified xsi:type="dcterms:W3CDTF">2022-03-05T13:28:20Z</dcterms:modified>
</cp:coreProperties>
</file>