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bfb8fc246640d213/Рабочий стол/Лабы/2 сем/"/>
    </mc:Choice>
  </mc:AlternateContent>
  <xr:revisionPtr revIDLastSave="289" documentId="11_AD4DF75460589B3ACB7284E4EF1C4CF65BDEDD94" xr6:coauthVersionLast="47" xr6:coauthVersionMax="47" xr10:uidLastSave="{DCC7CCF4-A71E-4DBF-9B9C-DDB00AC1A612}"/>
  <bookViews>
    <workbookView xWindow="828" yWindow="-108" windowWidth="22320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7" i="1" l="1"/>
  <c r="L19" i="1"/>
  <c r="K19" i="1"/>
  <c r="P3" i="1"/>
  <c r="AS4" i="1"/>
  <c r="AS5" i="1"/>
  <c r="AS6" i="1"/>
  <c r="AS7" i="1"/>
  <c r="AS8" i="1"/>
  <c r="AS9" i="1"/>
  <c r="AS10" i="1"/>
  <c r="AS11" i="1"/>
  <c r="AS12" i="1"/>
  <c r="AS13" i="1"/>
  <c r="AS14" i="1"/>
  <c r="AS3" i="1"/>
  <c r="A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E2" i="1" l="1"/>
  <c r="B7" i="1"/>
  <c r="AL14" i="1"/>
  <c r="AM14" i="1" s="1"/>
  <c r="AL13" i="1"/>
  <c r="AM13" i="1" s="1"/>
  <c r="AL12" i="1"/>
  <c r="AM12" i="1" s="1"/>
  <c r="AL11" i="1"/>
  <c r="AM11" i="1" s="1"/>
  <c r="AL10" i="1"/>
  <c r="AM10" i="1" s="1"/>
  <c r="AL9" i="1"/>
  <c r="AM9" i="1" s="1"/>
  <c r="AL8" i="1"/>
  <c r="AM8" i="1" s="1"/>
  <c r="AL7" i="1"/>
  <c r="AM7" i="1" s="1"/>
  <c r="AL6" i="1"/>
  <c r="AM6" i="1" s="1"/>
  <c r="AL5" i="1"/>
  <c r="AM5" i="1" s="1"/>
  <c r="AL4" i="1"/>
  <c r="AM4" i="1" s="1"/>
  <c r="AL3" i="1"/>
  <c r="AM3" i="1" s="1"/>
  <c r="AK3" i="1"/>
  <c r="AP3" i="1" s="1"/>
  <c r="AK2" i="1"/>
  <c r="G3" i="1" s="1"/>
  <c r="AL2" i="1"/>
  <c r="AM2" i="1" s="1"/>
  <c r="AI3" i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N12" i="1" s="1"/>
  <c r="O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J16" i="1"/>
  <c r="AD16" i="1" s="1"/>
  <c r="J17" i="1"/>
  <c r="J15" i="1"/>
  <c r="J14" i="1"/>
  <c r="J13" i="1"/>
  <c r="J12" i="1"/>
  <c r="J11" i="1"/>
  <c r="AD11" i="1" s="1"/>
  <c r="J10" i="1"/>
  <c r="AD10" i="1" s="1"/>
  <c r="J9" i="1"/>
  <c r="AD9" i="1" s="1"/>
  <c r="J8" i="1"/>
  <c r="AD8" i="1" s="1"/>
  <c r="J7" i="1"/>
  <c r="AD7" i="1" s="1"/>
  <c r="J6" i="1"/>
  <c r="AD6" i="1" s="1"/>
  <c r="J5" i="1"/>
  <c r="AD5" i="1" s="1"/>
  <c r="J4" i="1"/>
  <c r="J3" i="1"/>
  <c r="J2" i="1"/>
  <c r="AI2" i="1" l="1"/>
  <c r="AI4" i="1" s="1"/>
  <c r="G2" i="1"/>
  <c r="AP2" i="1"/>
  <c r="AO3" i="1"/>
  <c r="N3" i="1"/>
  <c r="E13" i="1"/>
  <c r="N13" i="1"/>
  <c r="N5" i="1"/>
  <c r="N6" i="1"/>
  <c r="O6" i="1" s="1"/>
  <c r="N7" i="1"/>
  <c r="O7" i="1" s="1"/>
  <c r="AD12" i="1"/>
  <c r="N14" i="1"/>
  <c r="O14" i="1" s="1"/>
  <c r="N15" i="1"/>
  <c r="N16" i="1"/>
  <c r="N17" i="1"/>
  <c r="O17" i="1" s="1"/>
  <c r="N8" i="1"/>
  <c r="O8" i="1" s="1"/>
  <c r="N9" i="1"/>
  <c r="O9" i="1" s="1"/>
  <c r="R3" i="1"/>
  <c r="N4" i="1"/>
  <c r="N10" i="1"/>
  <c r="O10" i="1" s="1"/>
  <c r="N11" i="1"/>
  <c r="O11" i="1" s="1"/>
  <c r="AX6" i="1"/>
  <c r="AY6" i="1" s="1"/>
  <c r="AU6" i="1"/>
  <c r="AX8" i="1"/>
  <c r="AY8" i="1" s="1"/>
  <c r="AU8" i="1"/>
  <c r="AX10" i="1"/>
  <c r="AY10" i="1" s="1"/>
  <c r="AU10" i="1"/>
  <c r="AX11" i="1"/>
  <c r="AY11" i="1" s="1"/>
  <c r="AU11" i="1"/>
  <c r="AX2" i="1"/>
  <c r="AY2" i="1" s="1"/>
  <c r="E16" i="1"/>
  <c r="AU2" i="1"/>
  <c r="AX12" i="1"/>
  <c r="AY12" i="1" s="1"/>
  <c r="AU12" i="1"/>
  <c r="AZ2" i="1"/>
  <c r="BA2" i="1" s="1"/>
  <c r="AV2" i="1"/>
  <c r="AW2" i="1"/>
  <c r="AX13" i="1"/>
  <c r="AY13" i="1" s="1"/>
  <c r="AU13" i="1"/>
  <c r="AX9" i="1"/>
  <c r="AY9" i="1" s="1"/>
  <c r="AU9" i="1"/>
  <c r="AD13" i="1"/>
  <c r="AN14" i="1"/>
  <c r="AU14" i="1"/>
  <c r="AD2" i="1"/>
  <c r="D13" i="1"/>
  <c r="S2" i="1"/>
  <c r="T2" i="1"/>
  <c r="AD3" i="1"/>
  <c r="AX4" i="1"/>
  <c r="AY4" i="1" s="1"/>
  <c r="AU4" i="1"/>
  <c r="AX7" i="1"/>
  <c r="AY7" i="1" s="1"/>
  <c r="AU7" i="1"/>
  <c r="AK4" i="1"/>
  <c r="AP4" i="1" s="1"/>
  <c r="AV3" i="1"/>
  <c r="AW3" i="1"/>
  <c r="AD14" i="1"/>
  <c r="AX3" i="1"/>
  <c r="AY3" i="1" s="1"/>
  <c r="AU3" i="1"/>
  <c r="AD15" i="1"/>
  <c r="AD4" i="1"/>
  <c r="AD17" i="1"/>
  <c r="AX5" i="1"/>
  <c r="AY5" i="1" s="1"/>
  <c r="AU5" i="1"/>
  <c r="W4" i="1"/>
  <c r="X4" i="1" s="1"/>
  <c r="T4" i="1"/>
  <c r="S4" i="1"/>
  <c r="W17" i="1"/>
  <c r="X17" i="1" s="1"/>
  <c r="S17" i="1"/>
  <c r="T17" i="1"/>
  <c r="W6" i="1"/>
  <c r="X6" i="1" s="1"/>
  <c r="S6" i="1"/>
  <c r="T6" i="1"/>
  <c r="U14" i="1"/>
  <c r="V14" i="1" s="1"/>
  <c r="R14" i="1"/>
  <c r="W7" i="1"/>
  <c r="X7" i="1" s="1"/>
  <c r="T7" i="1"/>
  <c r="S7" i="1"/>
  <c r="U3" i="1"/>
  <c r="V3" i="1" s="1"/>
  <c r="U17" i="1"/>
  <c r="V17" i="1" s="1"/>
  <c r="R17" i="1"/>
  <c r="U6" i="1"/>
  <c r="V6" i="1" s="1"/>
  <c r="R6" i="1"/>
  <c r="W16" i="1"/>
  <c r="X16" i="1" s="1"/>
  <c r="T16" i="1"/>
  <c r="S16" i="1"/>
  <c r="U15" i="1"/>
  <c r="V15" i="1" s="1"/>
  <c r="R15" i="1"/>
  <c r="W10" i="1"/>
  <c r="X10" i="1" s="1"/>
  <c r="T10" i="1"/>
  <c r="S10" i="1"/>
  <c r="U7" i="1"/>
  <c r="V7" i="1" s="1"/>
  <c r="R7" i="1"/>
  <c r="W12" i="1"/>
  <c r="X12" i="1" s="1"/>
  <c r="T12" i="1"/>
  <c r="S12" i="1"/>
  <c r="U9" i="1"/>
  <c r="V9" i="1" s="1"/>
  <c r="R9" i="1"/>
  <c r="W14" i="1"/>
  <c r="X14" i="1" s="1"/>
  <c r="S14" i="1"/>
  <c r="T14" i="1"/>
  <c r="U10" i="1"/>
  <c r="V10" i="1" s="1"/>
  <c r="R10" i="1"/>
  <c r="U12" i="1"/>
  <c r="V12" i="1" s="1"/>
  <c r="R12" i="1"/>
  <c r="W5" i="1"/>
  <c r="X5" i="1" s="1"/>
  <c r="S5" i="1"/>
  <c r="T5" i="1"/>
  <c r="U13" i="1"/>
  <c r="V13" i="1" s="1"/>
  <c r="R13" i="1"/>
  <c r="U2" i="1"/>
  <c r="V2" i="1" s="1"/>
  <c r="R2" i="1"/>
  <c r="W8" i="1"/>
  <c r="X8" i="1" s="1"/>
  <c r="T8" i="1"/>
  <c r="S8" i="1"/>
  <c r="U4" i="1"/>
  <c r="V4" i="1" s="1"/>
  <c r="R4" i="1"/>
  <c r="U16" i="1"/>
  <c r="V16" i="1" s="1"/>
  <c r="R16" i="1"/>
  <c r="W9" i="1"/>
  <c r="X9" i="1" s="1"/>
  <c r="S9" i="1"/>
  <c r="T9" i="1"/>
  <c r="U5" i="1"/>
  <c r="V5" i="1" s="1"/>
  <c r="R5" i="1"/>
  <c r="W11" i="1"/>
  <c r="X11" i="1" s="1"/>
  <c r="S11" i="1"/>
  <c r="T11" i="1"/>
  <c r="U8" i="1"/>
  <c r="V8" i="1" s="1"/>
  <c r="R8" i="1"/>
  <c r="W13" i="1"/>
  <c r="X13" i="1" s="1"/>
  <c r="S13" i="1"/>
  <c r="T13" i="1"/>
  <c r="W2" i="1"/>
  <c r="X2" i="1" s="1"/>
  <c r="W3" i="1"/>
  <c r="X3" i="1" s="1"/>
  <c r="T3" i="1"/>
  <c r="S3" i="1"/>
  <c r="W15" i="1"/>
  <c r="X15" i="1" s="1"/>
  <c r="T15" i="1"/>
  <c r="S15" i="1"/>
  <c r="U11" i="1"/>
  <c r="V11" i="1" s="1"/>
  <c r="R11" i="1"/>
  <c r="BC3" i="1"/>
  <c r="BC6" i="1"/>
  <c r="M2" i="1"/>
  <c r="AX14" i="1"/>
  <c r="AN13" i="1"/>
  <c r="AN12" i="1"/>
  <c r="AN11" i="1"/>
  <c r="AN6" i="1"/>
  <c r="AN9" i="1"/>
  <c r="AN8" i="1"/>
  <c r="AN7" i="1"/>
  <c r="AN10" i="1"/>
  <c r="AN5" i="1"/>
  <c r="AN4" i="1"/>
  <c r="AN2" i="1"/>
  <c r="AN3" i="1"/>
  <c r="M14" i="1"/>
  <c r="M13" i="1"/>
  <c r="M12" i="1"/>
  <c r="M11" i="1"/>
  <c r="M10" i="1"/>
  <c r="M9" i="1"/>
  <c r="M8" i="1"/>
  <c r="M7" i="1"/>
  <c r="M6" i="1"/>
  <c r="M17" i="1"/>
  <c r="M5" i="1"/>
  <c r="M16" i="1"/>
  <c r="M4" i="1"/>
  <c r="AZ3" i="1"/>
  <c r="M15" i="1"/>
  <c r="M3" i="1"/>
  <c r="E4" i="1"/>
  <c r="G4" i="1" s="1"/>
  <c r="O15" i="1" l="1"/>
  <c r="AO4" i="1"/>
  <c r="AQ4" i="1" s="1"/>
  <c r="O16" i="1"/>
  <c r="BC13" i="1"/>
  <c r="O4" i="1"/>
  <c r="O5" i="1"/>
  <c r="BC5" i="1"/>
  <c r="BC8" i="1"/>
  <c r="BE3" i="1"/>
  <c r="O3" i="1"/>
  <c r="O13" i="1"/>
  <c r="BC10" i="1"/>
  <c r="BC7" i="1"/>
  <c r="AA15" i="1"/>
  <c r="BD2" i="1"/>
  <c r="AA17" i="1"/>
  <c r="AK5" i="1"/>
  <c r="AV4" i="1"/>
  <c r="AW4" i="1"/>
  <c r="AZ4" i="1"/>
  <c r="BE4" i="1" s="1"/>
  <c r="BC12" i="1"/>
  <c r="AA10" i="1"/>
  <c r="Z10" i="1"/>
  <c r="BC4" i="1"/>
  <c r="H13" i="1"/>
  <c r="AA11" i="1"/>
  <c r="Z12" i="1"/>
  <c r="AA4" i="1"/>
  <c r="BE2" i="1"/>
  <c r="Z11" i="1"/>
  <c r="H16" i="1"/>
  <c r="AB8" i="1"/>
  <c r="AB10" i="1"/>
  <c r="BC9" i="1"/>
  <c r="G13" i="1"/>
  <c r="AA3" i="1"/>
  <c r="BC11" i="1"/>
  <c r="F13" i="1"/>
  <c r="AA8" i="1"/>
  <c r="BC2" i="1"/>
  <c r="AA2" i="1"/>
  <c r="AB6" i="1"/>
  <c r="Z3" i="1"/>
  <c r="Z14" i="1"/>
  <c r="AB17" i="1"/>
  <c r="Z16" i="1"/>
  <c r="Z4" i="1"/>
  <c r="AA14" i="1"/>
  <c r="AB3" i="1"/>
  <c r="Z17" i="1"/>
  <c r="AA12" i="1"/>
  <c r="AA6" i="1"/>
  <c r="AB2" i="1"/>
  <c r="Z8" i="1"/>
  <c r="Z15" i="1"/>
  <c r="AB13" i="1"/>
  <c r="Z5" i="1"/>
  <c r="AB9" i="1"/>
  <c r="AA13" i="1"/>
  <c r="Z6" i="1"/>
  <c r="AA16" i="1"/>
  <c r="AB15" i="1"/>
  <c r="AB11" i="1"/>
  <c r="Z2" i="1"/>
  <c r="AA5" i="1"/>
  <c r="AB4" i="1"/>
  <c r="AB12" i="1"/>
  <c r="Z7" i="1"/>
  <c r="AA7" i="1"/>
  <c r="AA9" i="1"/>
  <c r="AB7" i="1"/>
  <c r="AB14" i="1"/>
  <c r="AB16" i="1"/>
  <c r="AB5" i="1"/>
  <c r="Z13" i="1"/>
  <c r="Z9" i="1"/>
  <c r="AY14" i="1"/>
  <c r="BC14" i="1"/>
  <c r="BA3" i="1"/>
  <c r="BD3" i="1"/>
  <c r="P2" i="1" l="1"/>
  <c r="AO5" i="1"/>
  <c r="AQ5" i="1" s="1"/>
  <c r="AP5" i="1"/>
  <c r="A14" i="1"/>
  <c r="BD4" i="1"/>
  <c r="BA4" i="1"/>
  <c r="B14" i="1"/>
  <c r="C14" i="1" s="1"/>
  <c r="AK6" i="1"/>
  <c r="AW5" i="1"/>
  <c r="AV5" i="1"/>
  <c r="AZ5" i="1"/>
  <c r="AO6" i="1" l="1"/>
  <c r="AP6" i="1"/>
  <c r="BE5" i="1"/>
  <c r="BD5" i="1"/>
  <c r="BA5" i="1"/>
  <c r="AK7" i="1"/>
  <c r="AW6" i="1"/>
  <c r="AV6" i="1"/>
  <c r="AZ6" i="1"/>
  <c r="AQ6" i="1" l="1"/>
  <c r="AO7" i="1"/>
  <c r="AP7" i="1"/>
  <c r="BE6" i="1"/>
  <c r="BD6" i="1"/>
  <c r="BA6" i="1"/>
  <c r="AK8" i="1"/>
  <c r="AW7" i="1"/>
  <c r="AV7" i="1"/>
  <c r="AZ7" i="1"/>
  <c r="AQ7" i="1" l="1"/>
  <c r="AO8" i="1"/>
  <c r="AP8" i="1"/>
  <c r="BE7" i="1"/>
  <c r="BA7" i="1"/>
  <c r="BD7" i="1"/>
  <c r="AK9" i="1"/>
  <c r="AW8" i="1"/>
  <c r="AV8" i="1"/>
  <c r="AZ8" i="1"/>
  <c r="AQ8" i="1" l="1"/>
  <c r="AO9" i="1"/>
  <c r="AP9" i="1"/>
  <c r="BE8" i="1"/>
  <c r="BA8" i="1"/>
  <c r="BD8" i="1"/>
  <c r="AK10" i="1"/>
  <c r="AW9" i="1"/>
  <c r="AV9" i="1"/>
  <c r="AZ9" i="1"/>
  <c r="AQ9" i="1" l="1"/>
  <c r="AO10" i="1"/>
  <c r="AP10" i="1"/>
  <c r="BE9" i="1"/>
  <c r="BA9" i="1"/>
  <c r="BD9" i="1"/>
  <c r="AK11" i="1"/>
  <c r="AW10" i="1"/>
  <c r="AV10" i="1"/>
  <c r="AZ10" i="1"/>
  <c r="AQ10" i="1" l="1"/>
  <c r="AO11" i="1"/>
  <c r="AP11" i="1"/>
  <c r="BE10" i="1"/>
  <c r="BA10" i="1"/>
  <c r="BD10" i="1"/>
  <c r="AK12" i="1"/>
  <c r="AW11" i="1"/>
  <c r="AV11" i="1"/>
  <c r="AZ11" i="1"/>
  <c r="AQ11" i="1" l="1"/>
  <c r="AO12" i="1"/>
  <c r="AQ12" i="1" s="1"/>
  <c r="AP12" i="1"/>
  <c r="BE11" i="1"/>
  <c r="BD11" i="1"/>
  <c r="BA11" i="1"/>
  <c r="AK13" i="1"/>
  <c r="AW12" i="1"/>
  <c r="AV12" i="1"/>
  <c r="AZ12" i="1"/>
  <c r="AO13" i="1" l="1"/>
  <c r="AP13" i="1"/>
  <c r="AK14" i="1"/>
  <c r="AW13" i="1"/>
  <c r="AV13" i="1"/>
  <c r="AZ13" i="1"/>
  <c r="BE12" i="1"/>
  <c r="BA12" i="1"/>
  <c r="BD12" i="1"/>
  <c r="AQ13" i="1" l="1"/>
  <c r="AO14" i="1"/>
  <c r="AQ14" i="1" s="1"/>
  <c r="AR2" i="1" s="1"/>
  <c r="AS17" i="1" s="1"/>
  <c r="AP14" i="1"/>
  <c r="BE13" i="1"/>
  <c r="BA13" i="1"/>
  <c r="BD13" i="1"/>
  <c r="AZ14" i="1"/>
  <c r="AW14" i="1"/>
  <c r="G16" i="1" s="1"/>
  <c r="AV14" i="1"/>
  <c r="F16" i="1" s="1"/>
  <c r="D16" i="1"/>
  <c r="A17" i="1" l="1"/>
  <c r="B17" i="1" s="1"/>
  <c r="C17" i="1" s="1"/>
  <c r="BA14" i="1"/>
  <c r="BD14" i="1"/>
  <c r="BE14" i="1"/>
</calcChain>
</file>

<file path=xl/sharedStrings.xml><?xml version="1.0" encoding="utf-8"?>
<sst xmlns="http://schemas.openxmlformats.org/spreadsheetml/2006/main" count="67" uniqueCount="33">
  <si>
    <t>Нагрев</t>
  </si>
  <si>
    <t>sigm h</t>
  </si>
  <si>
    <t>sigm T</t>
  </si>
  <si>
    <t>h, mm</t>
  </si>
  <si>
    <t>T, K</t>
  </si>
  <si>
    <t>P, Pa</t>
  </si>
  <si>
    <t>Охлаждение</t>
  </si>
  <si>
    <t>ln p</t>
  </si>
  <si>
    <t>1/T</t>
  </si>
  <si>
    <t>sigm P</t>
  </si>
  <si>
    <t xml:space="preserve">T^2 / P </t>
  </si>
  <si>
    <t>average</t>
  </si>
  <si>
    <t>x</t>
  </si>
  <si>
    <t>нагрев</t>
  </si>
  <si>
    <t>y</t>
  </si>
  <si>
    <t>x ^ 2</t>
  </si>
  <si>
    <t>xy</t>
  </si>
  <si>
    <t>охлаж</t>
  </si>
  <si>
    <t>y ^ 2</t>
  </si>
  <si>
    <t>x^2</t>
  </si>
  <si>
    <t>k</t>
  </si>
  <si>
    <t>ln p and 1 / T</t>
  </si>
  <si>
    <t>sigm k</t>
  </si>
  <si>
    <t>eps k</t>
  </si>
  <si>
    <t>ln P and 1 / T</t>
  </si>
  <si>
    <t>P and T</t>
  </si>
  <si>
    <t>y^2</t>
  </si>
  <si>
    <t>dp / dT</t>
  </si>
  <si>
    <t>L</t>
  </si>
  <si>
    <t>T^2 / P</t>
  </si>
  <si>
    <t>L aver</t>
  </si>
  <si>
    <t>eps</t>
  </si>
  <si>
    <t>sigm sluch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</si>
</sst>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Нагрев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Лист1!$J$2:$J$17</c:f>
              <c:numCache>
                <c:formatCode>General</c:formatCode>
                <c:ptCount val="16"/>
                <c:pt idx="0">
                  <c:v>295.8</c:v>
                </c:pt>
                <c:pt idx="1">
                  <c:v>296.89999999999998</c:v>
                </c:pt>
                <c:pt idx="2">
                  <c:v>297.89999999999998</c:v>
                </c:pt>
                <c:pt idx="3">
                  <c:v>298.8</c:v>
                </c:pt>
                <c:pt idx="4">
                  <c:v>299.8</c:v>
                </c:pt>
                <c:pt idx="5">
                  <c:v>300.8</c:v>
                </c:pt>
                <c:pt idx="6">
                  <c:v>301.8</c:v>
                </c:pt>
                <c:pt idx="7">
                  <c:v>302.8</c:v>
                </c:pt>
                <c:pt idx="8">
                  <c:v>303.8</c:v>
                </c:pt>
                <c:pt idx="9">
                  <c:v>304.8</c:v>
                </c:pt>
                <c:pt idx="10">
                  <c:v>305.8</c:v>
                </c:pt>
                <c:pt idx="11">
                  <c:v>306.8</c:v>
                </c:pt>
                <c:pt idx="12">
                  <c:v>307.8</c:v>
                </c:pt>
                <c:pt idx="13">
                  <c:v>308.8</c:v>
                </c:pt>
                <c:pt idx="14">
                  <c:v>309.8</c:v>
                </c:pt>
                <c:pt idx="15">
                  <c:v>310.8</c:v>
                </c:pt>
              </c:numCache>
            </c:numRef>
          </c:cat>
          <c:val>
            <c:numRef>
              <c:f>Лист1!$L$2:$L$17</c:f>
              <c:numCache>
                <c:formatCode>General</c:formatCode>
                <c:ptCount val="16"/>
                <c:pt idx="0">
                  <c:v>7324.5384000000013</c:v>
                </c:pt>
                <c:pt idx="1">
                  <c:v>7751.4695999999985</c:v>
                </c:pt>
                <c:pt idx="2">
                  <c:v>8098.3512000000001</c:v>
                </c:pt>
                <c:pt idx="3">
                  <c:v>8485.2576000000008</c:v>
                </c:pt>
                <c:pt idx="4">
                  <c:v>8858.8224000000009</c:v>
                </c:pt>
                <c:pt idx="5">
                  <c:v>9352.4615999999987</c:v>
                </c:pt>
                <c:pt idx="6">
                  <c:v>10139.616</c:v>
                </c:pt>
                <c:pt idx="7">
                  <c:v>10553.205600000001</c:v>
                </c:pt>
                <c:pt idx="8">
                  <c:v>11086.8696</c:v>
                </c:pt>
                <c:pt idx="9">
                  <c:v>11540.483999999999</c:v>
                </c:pt>
                <c:pt idx="10">
                  <c:v>12167.539199999999</c:v>
                </c:pt>
                <c:pt idx="11">
                  <c:v>12874.644000000002</c:v>
                </c:pt>
                <c:pt idx="12">
                  <c:v>13381.6248</c:v>
                </c:pt>
                <c:pt idx="13">
                  <c:v>14328.878400000001</c:v>
                </c:pt>
                <c:pt idx="14">
                  <c:v>14982.6168</c:v>
                </c:pt>
                <c:pt idx="15">
                  <c:v>15809.795999999998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9-47C7-ACAC-DA9743701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306079"/>
        <c:axId val="1511305663"/>
      </c:lineChart>
      <c:catAx>
        <c:axId val="151130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305663"/>
        <c:crosses val="autoZero"/>
        <c:auto val="1"/>
        <c:lblAlgn val="ctr"/>
        <c:lblOffset val="100"/>
        <c:noMultiLvlLbl val="0"/>
      </c:catAx>
      <c:valAx>
        <c:axId val="15113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30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Охлаждение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Лист1!$AK$2:$AK$14</c:f>
              <c:numCache>
                <c:formatCode>General</c:formatCode>
                <c:ptCount val="13"/>
                <c:pt idx="0">
                  <c:v>295.7</c:v>
                </c:pt>
                <c:pt idx="1">
                  <c:v>296.7</c:v>
                </c:pt>
                <c:pt idx="2">
                  <c:v>297.7</c:v>
                </c:pt>
                <c:pt idx="3">
                  <c:v>298.59999999999997</c:v>
                </c:pt>
                <c:pt idx="4">
                  <c:v>299.59999999999997</c:v>
                </c:pt>
                <c:pt idx="5">
                  <c:v>300.59999999999997</c:v>
                </c:pt>
                <c:pt idx="6">
                  <c:v>301.59999999999997</c:v>
                </c:pt>
                <c:pt idx="7">
                  <c:v>302.7</c:v>
                </c:pt>
                <c:pt idx="8">
                  <c:v>303.59999999999997</c:v>
                </c:pt>
                <c:pt idx="9">
                  <c:v>304.59999999999997</c:v>
                </c:pt>
                <c:pt idx="10">
                  <c:v>305.59999999999997</c:v>
                </c:pt>
                <c:pt idx="11">
                  <c:v>306.79999999999995</c:v>
                </c:pt>
                <c:pt idx="12">
                  <c:v>308.39999999999998</c:v>
                </c:pt>
              </c:numCache>
            </c:numRef>
          </c:cat>
          <c:val>
            <c:numRef>
              <c:f>Лист1!$AM$2:$AM$14</c:f>
              <c:numCache>
                <c:formatCode>General</c:formatCode>
                <c:ptCount val="13"/>
                <c:pt idx="0">
                  <c:v>7497.9792000000007</c:v>
                </c:pt>
                <c:pt idx="1">
                  <c:v>7884.8855999999996</c:v>
                </c:pt>
                <c:pt idx="2">
                  <c:v>8178.4008000000003</c:v>
                </c:pt>
                <c:pt idx="3">
                  <c:v>8578.648799999999</c:v>
                </c:pt>
                <c:pt idx="4">
                  <c:v>9152.3376000000026</c:v>
                </c:pt>
                <c:pt idx="5">
                  <c:v>9499.2191999999995</c:v>
                </c:pt>
                <c:pt idx="6">
                  <c:v>10179.640799999999</c:v>
                </c:pt>
                <c:pt idx="7">
                  <c:v>10566.547200000001</c:v>
                </c:pt>
                <c:pt idx="8">
                  <c:v>11073.528</c:v>
                </c:pt>
                <c:pt idx="9">
                  <c:v>11780.632800000003</c:v>
                </c:pt>
                <c:pt idx="10">
                  <c:v>12274.272000000001</c:v>
                </c:pt>
                <c:pt idx="11">
                  <c:v>13048.084800000002</c:v>
                </c:pt>
                <c:pt idx="12">
                  <c:v>14248.828799999999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C-4797-AC62-A5AAEC1B0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476815"/>
        <c:axId val="1513009791"/>
      </c:lineChart>
      <c:catAx>
        <c:axId val="15104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3009791"/>
        <c:crosses val="autoZero"/>
        <c:auto val="1"/>
        <c:lblAlgn val="ctr"/>
        <c:lblOffset val="100"/>
        <c:noMultiLvlLbl val="0"/>
      </c:catAx>
      <c:valAx>
        <c:axId val="15130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047681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Нагрев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Лист1!$W$2:$W$17</c:f>
              <c:numCache>
                <c:formatCode>General</c:formatCode>
                <c:ptCount val="16"/>
                <c:pt idx="0">
                  <c:v>3.3806626098715348E-3</c:v>
                </c:pt>
                <c:pt idx="1">
                  <c:v>3.3681374200067366E-3</c:v>
                </c:pt>
                <c:pt idx="2">
                  <c:v>3.3568311513930854E-3</c:v>
                </c:pt>
                <c:pt idx="3">
                  <c:v>3.3467202141900937E-3</c:v>
                </c:pt>
                <c:pt idx="4">
                  <c:v>3.3355570380253501E-3</c:v>
                </c:pt>
                <c:pt idx="5">
                  <c:v>3.324468085106383E-3</c:v>
                </c:pt>
                <c:pt idx="6">
                  <c:v>3.3134526176275677E-3</c:v>
                </c:pt>
                <c:pt idx="7">
                  <c:v>3.3025099075297223E-3</c:v>
                </c:pt>
                <c:pt idx="8">
                  <c:v>3.2916392363396972E-3</c:v>
                </c:pt>
                <c:pt idx="9">
                  <c:v>3.2808398950131233E-3</c:v>
                </c:pt>
                <c:pt idx="10">
                  <c:v>3.2701111837802484E-3</c:v>
                </c:pt>
                <c:pt idx="11">
                  <c:v>3.2594524119947846E-3</c:v>
                </c:pt>
                <c:pt idx="12">
                  <c:v>3.2488628979857048E-3</c:v>
                </c:pt>
                <c:pt idx="13">
                  <c:v>3.2383419689119169E-3</c:v>
                </c:pt>
                <c:pt idx="14">
                  <c:v>3.2278889606197547E-3</c:v>
                </c:pt>
                <c:pt idx="15">
                  <c:v>3.2175032175032173E-3</c:v>
                </c:pt>
              </c:numCache>
            </c:numRef>
          </c:cat>
          <c:val>
            <c:numRef>
              <c:f>Лист1!$U$2:$U$17</c:f>
              <c:numCache>
                <c:formatCode>General</c:formatCode>
                <c:ptCount val="16"/>
                <c:pt idx="0">
                  <c:v>8.8989854148347636</c:v>
                </c:pt>
                <c:pt idx="1">
                  <c:v>8.955637730177143</c:v>
                </c:pt>
                <c:pt idx="2">
                  <c:v>8.9994157643847306</c:v>
                </c:pt>
                <c:pt idx="3">
                  <c:v>9.0460855366653554</c:v>
                </c:pt>
                <c:pt idx="4">
                  <c:v>9.0891691228016658</c:v>
                </c:pt>
                <c:pt idx="5">
                  <c:v>9.1433948603598232</c:v>
                </c:pt>
                <c:pt idx="6">
                  <c:v>9.2242054066056092</c:v>
                </c:pt>
                <c:pt idx="7">
                  <c:v>9.2641849410928856</c:v>
                </c:pt>
                <c:pt idx="8">
                  <c:v>9.3135167681806799</c:v>
                </c:pt>
                <c:pt idx="9">
                  <c:v>9.3536164802571111</c:v>
                </c:pt>
                <c:pt idx="10">
                  <c:v>9.4065269633995641</c:v>
                </c:pt>
                <c:pt idx="11">
                  <c:v>9.4630150746642183</c:v>
                </c:pt>
                <c:pt idx="12">
                  <c:v>9.5016377612871672</c:v>
                </c:pt>
                <c:pt idx="13">
                  <c:v>9.5700322483940425</c:v>
                </c:pt>
                <c:pt idx="14">
                  <c:v>9.6146459280636751</c:v>
                </c:pt>
                <c:pt idx="15">
                  <c:v>9.6683850268944642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B-4849-AA19-2A2EF107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329855"/>
        <c:axId val="1502776847"/>
      </c:lineChart>
      <c:catAx>
        <c:axId val="151132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2776847"/>
        <c:crosses val="autoZero"/>
        <c:auto val="1"/>
        <c:lblAlgn val="ctr"/>
        <c:lblOffset val="100"/>
        <c:noMultiLvlLbl val="0"/>
      </c:catAx>
      <c:valAx>
        <c:axId val="15027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32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Охлаждение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Лист1!$AZ$2:$AZ$14</c:f>
              <c:numCache>
                <c:formatCode>General</c:formatCode>
                <c:ptCount val="13"/>
                <c:pt idx="0">
                  <c:v>3.3818058843422391E-3</c:v>
                </c:pt>
                <c:pt idx="1">
                  <c:v>3.370407819346141E-3</c:v>
                </c:pt>
                <c:pt idx="2">
                  <c:v>3.3590863285186431E-3</c:v>
                </c:pt>
                <c:pt idx="3">
                  <c:v>3.3489618218352315E-3</c:v>
                </c:pt>
                <c:pt idx="4">
                  <c:v>3.3377837116154879E-3</c:v>
                </c:pt>
                <c:pt idx="5">
                  <c:v>3.3266799733865605E-3</c:v>
                </c:pt>
                <c:pt idx="6">
                  <c:v>3.3156498673740059E-3</c:v>
                </c:pt>
                <c:pt idx="7">
                  <c:v>3.3036009250082591E-3</c:v>
                </c:pt>
                <c:pt idx="8">
                  <c:v>3.2938076416337289E-3</c:v>
                </c:pt>
                <c:pt idx="9">
                  <c:v>3.2829940906106371E-3</c:v>
                </c:pt>
                <c:pt idx="10">
                  <c:v>3.272251308900524E-3</c:v>
                </c:pt>
                <c:pt idx="11">
                  <c:v>3.2594524119947854E-3</c:v>
                </c:pt>
                <c:pt idx="12">
                  <c:v>3.2425421530479898E-3</c:v>
                </c:pt>
              </c:numCache>
            </c:numRef>
          </c:cat>
          <c:val>
            <c:numRef>
              <c:f>Лист1!$AX$2:$AX$14</c:f>
              <c:numCache>
                <c:formatCode>General</c:formatCode>
                <c:ptCount val="13"/>
                <c:pt idx="0">
                  <c:v>8.9223888232189239</c:v>
                </c:pt>
                <c:pt idx="1">
                  <c:v>8.9727029907313298</c:v>
                </c:pt>
                <c:pt idx="2">
                  <c:v>9.0092519092614438</c:v>
                </c:pt>
                <c:pt idx="3">
                  <c:v>9.0570316975628522</c:v>
                </c:pt>
                <c:pt idx="4">
                  <c:v>9.1217646010511171</c:v>
                </c:pt>
                <c:pt idx="5">
                  <c:v>9.1589648847372089</c:v>
                </c:pt>
                <c:pt idx="6">
                  <c:v>9.22814500460969</c:v>
                </c:pt>
                <c:pt idx="7">
                  <c:v>9.2654483651396582</c:v>
                </c:pt>
                <c:pt idx="8">
                  <c:v>9.3123126741158764</c:v>
                </c:pt>
                <c:pt idx="9">
                  <c:v>9.3742121739291928</c:v>
                </c:pt>
                <c:pt idx="10">
                  <c:v>9.4152606433683186</c:v>
                </c:pt>
                <c:pt idx="11">
                  <c:v>9.4763966433600491</c:v>
                </c:pt>
                <c:pt idx="12">
                  <c:v>9.5644299928453727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E-4438-9A19-D89B8A8D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354415"/>
        <c:axId val="1599351503"/>
      </c:lineChart>
      <c:catAx>
        <c:axId val="159935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351503"/>
        <c:crosses val="autoZero"/>
        <c:auto val="1"/>
        <c:lblAlgn val="ctr"/>
        <c:lblOffset val="100"/>
        <c:noMultiLvlLbl val="0"/>
      </c:catAx>
      <c:valAx>
        <c:axId val="15993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35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21</xdr:row>
      <xdr:rowOff>91440</xdr:rowOff>
    </xdr:from>
    <xdr:to>
      <xdr:col>31</xdr:col>
      <xdr:colOff>53340</xdr:colOff>
      <xdr:row>39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14EA7E-0097-401B-BE9C-B5F02290E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419100</xdr:colOff>
      <xdr:row>21</xdr:row>
      <xdr:rowOff>114300</xdr:rowOff>
    </xdr:from>
    <xdr:to>
      <xdr:col>49</xdr:col>
      <xdr:colOff>381000</xdr:colOff>
      <xdr:row>38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02E923-664E-4373-9EA4-CF2945B67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83820</xdr:colOff>
      <xdr:row>39</xdr:row>
      <xdr:rowOff>0</xdr:rowOff>
    </xdr:from>
    <xdr:to>
      <xdr:col>22</xdr:col>
      <xdr:colOff>388620</xdr:colOff>
      <xdr:row>54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D529968-AC99-40A5-B278-E07B8349E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388620</xdr:colOff>
      <xdr:row>39</xdr:row>
      <xdr:rowOff>160020</xdr:rowOff>
    </xdr:from>
    <xdr:to>
      <xdr:col>48</xdr:col>
      <xdr:colOff>487680</xdr:colOff>
      <xdr:row>54</xdr:row>
      <xdr:rowOff>160020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10ECBE5-ED82-40FB-B203-818DCC886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9"/>
  <sheetViews>
    <sheetView tabSelected="1" zoomScale="10" zoomScaleNormal="10" workbookViewId="0">
      <selection activeCell="AS17" sqref="AS17"/>
    </sheetView>
  </sheetViews>
  <sheetFormatPr defaultRowHeight="14.4" x14ac:dyDescent="0.3"/>
  <cols>
    <col min="5" max="5" width="12" bestFit="1" customWidth="1"/>
    <col min="6" max="8" width="12" customWidth="1"/>
    <col min="18" max="18" width="11" bestFit="1" customWidth="1"/>
    <col min="24" max="24" width="12" bestFit="1" customWidth="1"/>
    <col min="25" max="29" width="12" customWidth="1"/>
    <col min="33" max="33" width="11.88671875" customWidth="1"/>
    <col min="45" max="45" width="12" bestFit="1" customWidth="1"/>
    <col min="47" max="47" width="11" bestFit="1" customWidth="1"/>
    <col min="54" max="54" width="11.44140625" customWidth="1"/>
    <col min="56" max="56" width="12" bestFit="1" customWidth="1"/>
  </cols>
  <sheetData>
    <row r="1" spans="1:57" x14ac:dyDescent="0.3">
      <c r="B1" t="s">
        <v>0</v>
      </c>
      <c r="J1" t="s">
        <v>4</v>
      </c>
      <c r="K1" t="s">
        <v>3</v>
      </c>
      <c r="L1" t="s">
        <v>5</v>
      </c>
      <c r="N1" t="s">
        <v>27</v>
      </c>
      <c r="O1" t="s">
        <v>28</v>
      </c>
      <c r="P1" t="s">
        <v>30</v>
      </c>
      <c r="Q1" t="s">
        <v>25</v>
      </c>
      <c r="R1" t="s">
        <v>26</v>
      </c>
      <c r="S1" t="s">
        <v>19</v>
      </c>
      <c r="T1" t="s">
        <v>16</v>
      </c>
      <c r="U1" t="s">
        <v>7</v>
      </c>
      <c r="W1" t="s">
        <v>8</v>
      </c>
      <c r="Y1" t="s">
        <v>21</v>
      </c>
      <c r="Z1" t="s">
        <v>18</v>
      </c>
      <c r="AA1" t="s">
        <v>15</v>
      </c>
      <c r="AB1" t="s">
        <v>16</v>
      </c>
      <c r="AD1" t="s">
        <v>10</v>
      </c>
      <c r="AG1" t="s">
        <v>6</v>
      </c>
      <c r="AK1" t="s">
        <v>4</v>
      </c>
      <c r="AL1" t="s">
        <v>3</v>
      </c>
      <c r="AM1" t="s">
        <v>5</v>
      </c>
      <c r="AO1" t="s">
        <v>27</v>
      </c>
      <c r="AP1" t="s">
        <v>29</v>
      </c>
      <c r="AQ1" t="s">
        <v>28</v>
      </c>
      <c r="AR1" t="s">
        <v>30</v>
      </c>
      <c r="AT1" t="s">
        <v>25</v>
      </c>
      <c r="AU1" t="s">
        <v>26</v>
      </c>
      <c r="AV1" t="s">
        <v>19</v>
      </c>
      <c r="AW1" t="s">
        <v>16</v>
      </c>
      <c r="AX1" t="s">
        <v>7</v>
      </c>
      <c r="AZ1" t="s">
        <v>8</v>
      </c>
      <c r="BB1" t="s">
        <v>24</v>
      </c>
      <c r="BC1" t="s">
        <v>18</v>
      </c>
      <c r="BD1" t="s">
        <v>15</v>
      </c>
      <c r="BE1" t="s">
        <v>16</v>
      </c>
    </row>
    <row r="2" spans="1:57" x14ac:dyDescent="0.3">
      <c r="D2" t="s">
        <v>1</v>
      </c>
      <c r="E2">
        <f>5*10^-5*2^0.5</f>
        <v>7.0710678118654754E-5</v>
      </c>
      <c r="F2" t="s">
        <v>31</v>
      </c>
      <c r="G2">
        <f>E2 / K2 * 1000 * 100</f>
        <v>0.12879904939645673</v>
      </c>
      <c r="J2">
        <f>22.8 + 273</f>
        <v>295.8</v>
      </c>
      <c r="K2">
        <f>138.8-83.9</f>
        <v>54.900000000000006</v>
      </c>
      <c r="L2">
        <f>K2 / 1000 *B$5*B$6</f>
        <v>7324.5384000000013</v>
      </c>
      <c r="M2">
        <f>(L2 - 7300)/870</f>
        <v>2.8205057471265834E-2</v>
      </c>
      <c r="P2">
        <f>SUM(O3:O17) / 15</f>
        <v>40175.591481383934</v>
      </c>
      <c r="R2">
        <f>L2^2</f>
        <v>53648862.773074582</v>
      </c>
      <c r="S2">
        <f>J2^2</f>
        <v>87497.640000000014</v>
      </c>
      <c r="T2">
        <f>J2*L2</f>
        <v>2166598.4587200005</v>
      </c>
      <c r="U2">
        <f>LN(L2)</f>
        <v>8.8989854148347636</v>
      </c>
      <c r="V2">
        <f>(U2 - 8.8) /0.1</f>
        <v>0.98985414834762864</v>
      </c>
      <c r="W2">
        <f>1/J2</f>
        <v>3.3806626098715348E-3</v>
      </c>
      <c r="X2">
        <f>(W2-0.0032) / (0.0034 - 0.0032)*16</f>
        <v>14.453008789722794</v>
      </c>
      <c r="Z2">
        <f>U2^2</f>
        <v>79.191941413441853</v>
      </c>
      <c r="AA2">
        <f>W2^2</f>
        <v>1.1428879681783417E-5</v>
      </c>
      <c r="AB2">
        <f>W2*U2</f>
        <v>3.0084467257724016E-2</v>
      </c>
      <c r="AD2">
        <f>J2^2 / L2</f>
        <v>11.945823097876039</v>
      </c>
      <c r="AH2" t="s">
        <v>1</v>
      </c>
      <c r="AI2">
        <f>E2</f>
        <v>7.0710678118654754E-5</v>
      </c>
      <c r="AK2">
        <f>22.7 + 273</f>
        <v>295.7</v>
      </c>
      <c r="AL2">
        <f>106.4 - 50.2</f>
        <v>56.2</v>
      </c>
      <c r="AM2">
        <f>AL2/1000*B$5*B$6</f>
        <v>7497.9792000000007</v>
      </c>
      <c r="AN2">
        <f>(AM2 -7300) / 870</f>
        <v>0.2275622988505755</v>
      </c>
      <c r="AP2">
        <f>AK2^2 / AM2</f>
        <v>11.661607436841113</v>
      </c>
      <c r="AR2">
        <f xml:space="preserve"> SUM(AQ3:AQ14) / 12</f>
        <v>37293.56110728551</v>
      </c>
      <c r="AU2">
        <f>AM2^2</f>
        <v>56219692.083632648</v>
      </c>
      <c r="AV2">
        <f>AK2^2</f>
        <v>87438.489999999991</v>
      </c>
      <c r="AW2">
        <f>AK2*AM2</f>
        <v>2217152.4494400001</v>
      </c>
      <c r="AX2">
        <f>LN(AM2)</f>
        <v>8.9223888232189239</v>
      </c>
      <c r="AY2">
        <f>(AX2 - 8.8) / 0.1</f>
        <v>1.2238882321892319</v>
      </c>
      <c r="AZ2">
        <f>1 / AK2</f>
        <v>3.3818058843422391E-3</v>
      </c>
      <c r="BA2">
        <f>(AZ2-0.0032) / (0.0034 - 0.0032)*16</f>
        <v>14.544470747379139</v>
      </c>
      <c r="BC2">
        <f>AX2^ 2</f>
        <v>79.609022312701967</v>
      </c>
      <c r="BD2">
        <f>AZ2^2</f>
        <v>1.1436611039371794E-5</v>
      </c>
      <c r="BE2">
        <f>AZ2*AX2</f>
        <v>3.0173787024751184E-2</v>
      </c>
    </row>
    <row r="3" spans="1:57" x14ac:dyDescent="0.3">
      <c r="D3" t="s">
        <v>2</v>
      </c>
      <c r="E3">
        <v>0.1</v>
      </c>
      <c r="F3" t="s">
        <v>31</v>
      </c>
      <c r="G3">
        <f>E3 / AK2 * 100</f>
        <v>3.3818058843422392E-2</v>
      </c>
      <c r="J3">
        <f>23.9+273</f>
        <v>296.89999999999998</v>
      </c>
      <c r="K3">
        <f>140.6 - 82.5</f>
        <v>58.099999999999994</v>
      </c>
      <c r="L3">
        <f t="shared" ref="L3:L17" si="0">K3 / 1000 *B$5*B$6</f>
        <v>7751.4695999999985</v>
      </c>
      <c r="M3">
        <f t="shared" ref="M3:M17" si="1">(L3 - 7300)/870</f>
        <v>0.51893057471264203</v>
      </c>
      <c r="N3">
        <f>(L3 - L2) / (J3 - J2)</f>
        <v>388.11927272728229</v>
      </c>
      <c r="O3">
        <f>N3 * B$7 *AD2</f>
        <v>38528.518676603046</v>
      </c>
      <c r="P3">
        <f>(P$2 -O3)^2</f>
        <v>2712848.824248781</v>
      </c>
      <c r="R3">
        <f>L3^2</f>
        <v>60085280.959724136</v>
      </c>
      <c r="S3">
        <f>J3^2</f>
        <v>88149.609999999986</v>
      </c>
      <c r="T3">
        <f>J3*L3</f>
        <v>2301411.3242399995</v>
      </c>
      <c r="U3">
        <f>LN(L3)</f>
        <v>8.955637730177143</v>
      </c>
      <c r="V3">
        <f t="shared" ref="V3:V17" si="2">(U3 - 8.8) /0.1</f>
        <v>1.5563773017714233</v>
      </c>
      <c r="W3">
        <f>1/J3</f>
        <v>3.3681374200067366E-3</v>
      </c>
      <c r="X3">
        <f t="shared" ref="X3:X17" si="3">(W3-0.0032) / (0.0034 - 0.0032)*16</f>
        <v>13.450993600538942</v>
      </c>
      <c r="Z3">
        <f t="shared" ref="Z3:Z17" si="4">U3^2</f>
        <v>80.203447154172409</v>
      </c>
      <c r="AA3">
        <f t="shared" ref="AA3:AA17" si="5">W3^2</f>
        <v>1.1344349680049636E-5</v>
      </c>
      <c r="AB3">
        <f t="shared" ref="AB3:AB16" si="6">W3*U3</f>
        <v>3.0163818559033828E-2</v>
      </c>
      <c r="AD3">
        <f>J3^2 / L3</f>
        <v>11.371986803637855</v>
      </c>
      <c r="AH3" t="s">
        <v>2</v>
      </c>
      <c r="AI3">
        <f>E3</f>
        <v>0.1</v>
      </c>
      <c r="AK3">
        <f>23.7+273</f>
        <v>296.7</v>
      </c>
      <c r="AL3">
        <f>107.6 - 48.5</f>
        <v>59.099999999999994</v>
      </c>
      <c r="AM3">
        <f>AL3/1000*B$5*B$6</f>
        <v>7884.8855999999996</v>
      </c>
      <c r="AN3">
        <f t="shared" ref="AN3:AN14" si="7">(AM3 -7300) / 870</f>
        <v>0.67228229885057422</v>
      </c>
      <c r="AO3">
        <f>(AM3 - AM2)/ (AK3 - AK2)</f>
        <v>386.90639999999894</v>
      </c>
      <c r="AP3">
        <f t="shared" ref="AP3:AP14" si="8">AK3^2 / AM3</f>
        <v>11.164510744455189</v>
      </c>
      <c r="AQ3">
        <f>AO3* B$7 * AP3</f>
        <v>35896.047683756246</v>
      </c>
      <c r="AS3">
        <f>(AQ3 - AR$2) ^2</f>
        <v>1953043.7689444851</v>
      </c>
      <c r="AU3">
        <f t="shared" ref="AU3:AU14" si="9">AM3^2</f>
        <v>62171420.925087355</v>
      </c>
      <c r="AV3">
        <f t="shared" ref="AV3:AV14" si="10">AK3^2</f>
        <v>88030.89</v>
      </c>
      <c r="AW3">
        <f t="shared" ref="AW3:AW14" si="11">AK3*AM3</f>
        <v>2339445.5575199998</v>
      </c>
      <c r="AX3">
        <f t="shared" ref="AX3:AX14" si="12">LN(AM3)</f>
        <v>8.9727029907313298</v>
      </c>
      <c r="AY3">
        <f t="shared" ref="AY3:AY14" si="13">(AX3 - 8.8) / 0.1</f>
        <v>1.7270299073132911</v>
      </c>
      <c r="AZ3">
        <f t="shared" ref="AZ3:AZ14" si="14">1 / AK3</f>
        <v>3.370407819346141E-3</v>
      </c>
      <c r="BA3">
        <f>(AZ3-0.0032) / (0.0034 - 0.0032)*16</f>
        <v>13.632625547691292</v>
      </c>
      <c r="BC3">
        <f t="shared" ref="BC3:BC14" si="15">AX3^ 2</f>
        <v>80.509398959878951</v>
      </c>
      <c r="BD3">
        <f t="shared" ref="BD3:BD14" si="16">AZ3^2</f>
        <v>1.135964886870961E-5</v>
      </c>
      <c r="BE3">
        <f t="shared" ref="BE3:BE14" si="17">AZ3*AX3</f>
        <v>3.0241668320631378E-2</v>
      </c>
    </row>
    <row r="4" spans="1:57" x14ac:dyDescent="0.3">
      <c r="D4" t="s">
        <v>9</v>
      </c>
      <c r="E4">
        <f>B5*B6*E2</f>
        <v>9.4339358318784434</v>
      </c>
      <c r="F4" t="s">
        <v>31</v>
      </c>
      <c r="G4">
        <f>E4 / L2 *100</f>
        <v>0.12879904939645673</v>
      </c>
      <c r="J4">
        <f>24.9+273</f>
        <v>297.89999999999998</v>
      </c>
      <c r="K4">
        <f>108.8-48.1</f>
        <v>60.699999999999996</v>
      </c>
      <c r="L4">
        <f t="shared" si="0"/>
        <v>8098.3512000000001</v>
      </c>
      <c r="M4">
        <f t="shared" si="1"/>
        <v>0.91764505747126446</v>
      </c>
      <c r="N4">
        <f t="shared" ref="N4:N16" si="18">(L4 - L3) / (J4 - J3)</f>
        <v>346.88160000000153</v>
      </c>
      <c r="O4">
        <f>N4 * B$7 *AD3</f>
        <v>32780.731044062108</v>
      </c>
      <c r="P4">
        <f t="shared" ref="P4:P17" si="19">(P$2 -O4)^2</f>
        <v>54683960.887467548</v>
      </c>
      <c r="R4">
        <f>L4^2</f>
        <v>65583292.158541441</v>
      </c>
      <c r="S4">
        <f>J4^2</f>
        <v>88744.409999999989</v>
      </c>
      <c r="T4">
        <f>J4*L4</f>
        <v>2412498.8224799996</v>
      </c>
      <c r="U4">
        <f>LN(L4)</f>
        <v>8.9994157643847306</v>
      </c>
      <c r="V4">
        <f t="shared" si="2"/>
        <v>1.9941576438472985</v>
      </c>
      <c r="W4">
        <f>1/J4</f>
        <v>3.3568311513930854E-3</v>
      </c>
      <c r="X4">
        <f t="shared" si="3"/>
        <v>12.546492111446838</v>
      </c>
      <c r="Z4">
        <f t="shared" si="4"/>
        <v>80.989484100256405</v>
      </c>
      <c r="AA4">
        <f t="shared" si="5"/>
        <v>1.1268315378963026E-5</v>
      </c>
      <c r="AB4">
        <f t="shared" si="6"/>
        <v>3.0209519182224677E-2</v>
      </c>
      <c r="AD4">
        <f>J4^2 / L4</f>
        <v>10.958330629079162</v>
      </c>
      <c r="AH4" t="s">
        <v>9</v>
      </c>
      <c r="AI4">
        <f>AI2*B6*B5</f>
        <v>9.4339358318784434</v>
      </c>
      <c r="AK4">
        <f>AK3+1</f>
        <v>297.7</v>
      </c>
      <c r="AL4">
        <f>109 - 47.7</f>
        <v>61.3</v>
      </c>
      <c r="AM4">
        <f>AL4/1000*B$5*B$6</f>
        <v>8178.4008000000003</v>
      </c>
      <c r="AN4">
        <f t="shared" si="7"/>
        <v>1.0096560919540234</v>
      </c>
      <c r="AO4">
        <f t="shared" ref="AO4:AO14" si="20">(AM4 - AM3)/ (AK4 - AK3)</f>
        <v>293.51520000000073</v>
      </c>
      <c r="AP4">
        <f t="shared" si="8"/>
        <v>10.836506080748695</v>
      </c>
      <c r="AQ4">
        <f t="shared" ref="AQ4:AQ14" si="21">AO4* B$7 * AP4</f>
        <v>26431.444564110996</v>
      </c>
      <c r="AS4">
        <f t="shared" ref="AS4:AS14" si="22">(AQ4 - AR$2) ^2</f>
        <v>117985575.79750545</v>
      </c>
      <c r="AU4">
        <f t="shared" si="9"/>
        <v>66886239.645440646</v>
      </c>
      <c r="AV4">
        <f t="shared" si="10"/>
        <v>88625.29</v>
      </c>
      <c r="AW4">
        <f t="shared" si="11"/>
        <v>2434709.9181599999</v>
      </c>
      <c r="AX4">
        <f t="shared" si="12"/>
        <v>9.0092519092614438</v>
      </c>
      <c r="AY4">
        <f t="shared" si="13"/>
        <v>2.092519092614431</v>
      </c>
      <c r="AZ4">
        <f t="shared" si="14"/>
        <v>3.3590863285186431E-3</v>
      </c>
      <c r="BA4">
        <f t="shared" ref="BA4:BA14" si="23">(AZ4-0.0032) / (0.0034 - 0.0032)*16</f>
        <v>12.726906281491459</v>
      </c>
      <c r="BC4">
        <f t="shared" si="15"/>
        <v>81.166619964530966</v>
      </c>
      <c r="BD4">
        <f t="shared" si="16"/>
        <v>1.1283460962440858E-5</v>
      </c>
      <c r="BE4">
        <f t="shared" si="17"/>
        <v>3.0262854918580599E-2</v>
      </c>
    </row>
    <row r="5" spans="1:57" x14ac:dyDescent="0.3">
      <c r="B5">
        <v>13600</v>
      </c>
      <c r="J5">
        <f>25.8+273</f>
        <v>298.8</v>
      </c>
      <c r="K5">
        <f>110.7 - 47.1</f>
        <v>63.6</v>
      </c>
      <c r="L5">
        <f t="shared" si="0"/>
        <v>8485.2576000000008</v>
      </c>
      <c r="M5">
        <f t="shared" si="1"/>
        <v>1.3623650574712654</v>
      </c>
      <c r="N5">
        <f t="shared" si="18"/>
        <v>429.89599999998455</v>
      </c>
      <c r="O5">
        <f>N5 * B$7 *AD4</f>
        <v>39147.932209224295</v>
      </c>
      <c r="P5">
        <f t="shared" si="19"/>
        <v>1056083.5796556789</v>
      </c>
      <c r="R5">
        <f>L5^2</f>
        <v>71999596.538357779</v>
      </c>
      <c r="S5">
        <f>J5^2</f>
        <v>89281.44</v>
      </c>
      <c r="T5">
        <f>J5*L5</f>
        <v>2535394.9708800004</v>
      </c>
      <c r="U5">
        <f>LN(L5)</f>
        <v>9.0460855366653554</v>
      </c>
      <c r="V5">
        <f t="shared" si="2"/>
        <v>2.4608553666535471</v>
      </c>
      <c r="W5">
        <f>1/J5</f>
        <v>3.3467202141900937E-3</v>
      </c>
      <c r="X5">
        <f t="shared" si="3"/>
        <v>11.737617135207502</v>
      </c>
      <c r="Z5">
        <f t="shared" si="4"/>
        <v>81.831663536666127</v>
      </c>
      <c r="AA5">
        <f t="shared" si="5"/>
        <v>1.1200536192068587E-5</v>
      </c>
      <c r="AB5">
        <f t="shared" si="6"/>
        <v>3.0274717324850587E-2</v>
      </c>
      <c r="AD5">
        <f>J5^2 / L5</f>
        <v>10.521948090297222</v>
      </c>
      <c r="AK5">
        <f>AK4+0.9</f>
        <v>298.59999999999997</v>
      </c>
      <c r="AL5">
        <f>110.6 - 46.3</f>
        <v>64.3</v>
      </c>
      <c r="AM5">
        <f>AL5/1000*B$5*B$6</f>
        <v>8578.648799999999</v>
      </c>
      <c r="AN5">
        <f t="shared" si="7"/>
        <v>1.469711264367815</v>
      </c>
      <c r="AO5">
        <f t="shared" si="20"/>
        <v>444.72000000000975</v>
      </c>
      <c r="AP5">
        <f t="shared" si="8"/>
        <v>10.39347362022793</v>
      </c>
      <c r="AQ5">
        <f t="shared" si="21"/>
        <v>38410.362239503171</v>
      </c>
      <c r="AS5">
        <f t="shared" si="22"/>
        <v>1247244.7689226491</v>
      </c>
      <c r="AU5">
        <f t="shared" si="9"/>
        <v>73593215.233741418</v>
      </c>
      <c r="AV5">
        <f t="shared" si="10"/>
        <v>89161.959999999977</v>
      </c>
      <c r="AW5">
        <f t="shared" si="11"/>
        <v>2561584.5316799995</v>
      </c>
      <c r="AX5">
        <f t="shared" si="12"/>
        <v>9.0570316975628522</v>
      </c>
      <c r="AY5">
        <f t="shared" si="13"/>
        <v>2.5703169756285149</v>
      </c>
      <c r="AZ5">
        <f t="shared" si="14"/>
        <v>3.3489618218352315E-3</v>
      </c>
      <c r="BA5">
        <f t="shared" si="23"/>
        <v>11.916945746818529</v>
      </c>
      <c r="BC5">
        <f t="shared" si="15"/>
        <v>82.029823170658247</v>
      </c>
      <c r="BD5">
        <f t="shared" si="16"/>
        <v>1.1215545284109952E-5</v>
      </c>
      <c r="BE5">
        <f t="shared" si="17"/>
        <v>3.033165337428953E-2</v>
      </c>
    </row>
    <row r="6" spans="1:57" x14ac:dyDescent="0.3">
      <c r="B6">
        <v>9.81</v>
      </c>
      <c r="J6">
        <f>26.8+273</f>
        <v>299.8</v>
      </c>
      <c r="K6">
        <f>111.9 - 45.5</f>
        <v>66.400000000000006</v>
      </c>
      <c r="L6">
        <f t="shared" si="0"/>
        <v>8858.8224000000009</v>
      </c>
      <c r="M6">
        <f t="shared" si="1"/>
        <v>1.7917498850574722</v>
      </c>
      <c r="N6">
        <f t="shared" si="18"/>
        <v>373.5648000000001</v>
      </c>
      <c r="O6">
        <f>N6 * B$7 *AD5</f>
        <v>32663.530596226421</v>
      </c>
      <c r="P6">
        <f t="shared" si="19"/>
        <v>56431058.742313467</v>
      </c>
      <c r="R6">
        <f>L6^2</f>
        <v>78478734.314741775</v>
      </c>
      <c r="S6">
        <f>J6^2</f>
        <v>89880.040000000008</v>
      </c>
      <c r="T6">
        <f>J6*L6</f>
        <v>2655874.9555200003</v>
      </c>
      <c r="U6">
        <f>LN(L6)</f>
        <v>9.0891691228016658</v>
      </c>
      <c r="V6">
        <f t="shared" si="2"/>
        <v>2.8916912280166507</v>
      </c>
      <c r="W6">
        <f>1/J6</f>
        <v>3.3355570380253501E-3</v>
      </c>
      <c r="X6">
        <f t="shared" si="3"/>
        <v>10.844563042028012</v>
      </c>
      <c r="Z6">
        <f t="shared" si="4"/>
        <v>82.612995342891196</v>
      </c>
      <c r="AA6">
        <f t="shared" si="5"/>
        <v>1.1125940753920447E-5</v>
      </c>
      <c r="AB6">
        <f t="shared" si="6"/>
        <v>3.0317442037363793E-2</v>
      </c>
      <c r="AD6">
        <f>J6^2 / L6</f>
        <v>10.145822541831294</v>
      </c>
      <c r="AK6">
        <f>AK5+1</f>
        <v>299.59999999999997</v>
      </c>
      <c r="AL6">
        <f>112.9 - 44.3</f>
        <v>68.600000000000009</v>
      </c>
      <c r="AM6">
        <f>AL6/1000*B$5*B$6</f>
        <v>9152.3376000000026</v>
      </c>
      <c r="AN6">
        <f t="shared" si="7"/>
        <v>2.1291236781609224</v>
      </c>
      <c r="AO6">
        <f t="shared" si="20"/>
        <v>573.68880000000354</v>
      </c>
      <c r="AP6">
        <f t="shared" si="8"/>
        <v>9.8073480156588566</v>
      </c>
      <c r="AQ6">
        <f t="shared" si="21"/>
        <v>46755.099085714544</v>
      </c>
      <c r="AS6">
        <f t="shared" si="22"/>
        <v>89520700.917254984</v>
      </c>
      <c r="AU6">
        <f t="shared" si="9"/>
        <v>83765283.54437381</v>
      </c>
      <c r="AV6">
        <f t="shared" si="10"/>
        <v>89760.159999999974</v>
      </c>
      <c r="AW6">
        <f t="shared" si="11"/>
        <v>2742040.3449600004</v>
      </c>
      <c r="AX6">
        <f t="shared" si="12"/>
        <v>9.1217646010511171</v>
      </c>
      <c r="AY6">
        <f t="shared" si="13"/>
        <v>3.2176460105111637</v>
      </c>
      <c r="AZ6">
        <f t="shared" si="14"/>
        <v>3.3377837116154879E-3</v>
      </c>
      <c r="BA6">
        <f t="shared" si="23"/>
        <v>11.022696929239036</v>
      </c>
      <c r="BC6">
        <f t="shared" si="15"/>
        <v>83.206589436989248</v>
      </c>
      <c r="BD6">
        <f t="shared" si="16"/>
        <v>1.1140800105525662E-5</v>
      </c>
      <c r="BE6">
        <f t="shared" si="17"/>
        <v>3.0446477306579168E-2</v>
      </c>
    </row>
    <row r="7" spans="1:57" x14ac:dyDescent="0.3">
      <c r="B7">
        <f>8.31</f>
        <v>8.31</v>
      </c>
      <c r="J7">
        <f>27.8+273</f>
        <v>300.8</v>
      </c>
      <c r="K7">
        <f>113.7  - 43.6</f>
        <v>70.099999999999994</v>
      </c>
      <c r="L7">
        <f t="shared" si="0"/>
        <v>9352.4615999999987</v>
      </c>
      <c r="M7">
        <f t="shared" si="1"/>
        <v>2.3591512643678145</v>
      </c>
      <c r="N7">
        <f t="shared" si="18"/>
        <v>493.6391999999978</v>
      </c>
      <c r="O7">
        <f>N7 * B$7 *AD6</f>
        <v>41619.602257228733</v>
      </c>
      <c r="P7">
        <f t="shared" si="19"/>
        <v>2085167.1207558995</v>
      </c>
      <c r="R7">
        <f>L7^2</f>
        <v>87468537.97947453</v>
      </c>
      <c r="S7">
        <f>J7^2</f>
        <v>90480.640000000014</v>
      </c>
      <c r="T7">
        <f>J7*L7</f>
        <v>2813220.4492799998</v>
      </c>
      <c r="U7">
        <f>LN(L7)</f>
        <v>9.1433948603598232</v>
      </c>
      <c r="V7">
        <f t="shared" si="2"/>
        <v>3.4339486035982247</v>
      </c>
      <c r="W7">
        <f>1/J7</f>
        <v>3.324468085106383E-3</v>
      </c>
      <c r="X7">
        <f t="shared" si="3"/>
        <v>9.957446808510646</v>
      </c>
      <c r="Z7">
        <f t="shared" si="4"/>
        <v>83.601669572454426</v>
      </c>
      <c r="AA7">
        <f t="shared" si="5"/>
        <v>1.10520880488909E-5</v>
      </c>
      <c r="AB7">
        <f t="shared" si="6"/>
        <v>3.0396924402791965E-2</v>
      </c>
      <c r="AD7">
        <f>J7^2 / L7</f>
        <v>9.674526757746861</v>
      </c>
      <c r="AK7">
        <f>AK6+1</f>
        <v>300.59999999999997</v>
      </c>
      <c r="AL7">
        <f>114.1 - 42.9</f>
        <v>71.199999999999989</v>
      </c>
      <c r="AM7">
        <f>AL7/1000*B$5*B$6</f>
        <v>9499.2191999999995</v>
      </c>
      <c r="AN7">
        <f t="shared" si="7"/>
        <v>2.5278381609195395</v>
      </c>
      <c r="AO7">
        <f t="shared" si="20"/>
        <v>346.88159999999698</v>
      </c>
      <c r="AP7">
        <f t="shared" si="8"/>
        <v>9.5123986611446956</v>
      </c>
      <c r="AQ7">
        <f t="shared" si="21"/>
        <v>27420.308120224476</v>
      </c>
      <c r="AS7">
        <f t="shared" si="22"/>
        <v>97481124.546509638</v>
      </c>
      <c r="AU7">
        <f t="shared" si="9"/>
        <v>90235165.409648627</v>
      </c>
      <c r="AV7">
        <f t="shared" si="10"/>
        <v>90360.359999999986</v>
      </c>
      <c r="AW7">
        <f t="shared" si="11"/>
        <v>2855465.2915199995</v>
      </c>
      <c r="AX7">
        <f t="shared" si="12"/>
        <v>9.1589648847372089</v>
      </c>
      <c r="AY7">
        <f t="shared" si="13"/>
        <v>3.5896488473720822</v>
      </c>
      <c r="AZ7">
        <f t="shared" si="14"/>
        <v>3.3266799733865605E-3</v>
      </c>
      <c r="BA7">
        <f t="shared" si="23"/>
        <v>10.134397870924847</v>
      </c>
      <c r="BC7">
        <f t="shared" si="15"/>
        <v>83.886637759849279</v>
      </c>
      <c r="BD7">
        <f t="shared" si="16"/>
        <v>1.1066799645331207E-5</v>
      </c>
      <c r="BE7">
        <f t="shared" si="17"/>
        <v>3.046894505900602E-2</v>
      </c>
    </row>
    <row r="8" spans="1:57" x14ac:dyDescent="0.3">
      <c r="J8">
        <f>28.8+273</f>
        <v>301.8</v>
      </c>
      <c r="K8">
        <f>118 - 42</f>
        <v>76</v>
      </c>
      <c r="L8">
        <f t="shared" si="0"/>
        <v>10139.616</v>
      </c>
      <c r="M8">
        <f t="shared" si="1"/>
        <v>3.2639264367816092</v>
      </c>
      <c r="N8">
        <f t="shared" si="18"/>
        <v>787.15440000000126</v>
      </c>
      <c r="O8">
        <f>N8 * B$7 *AD7</f>
        <v>63283.527796861745</v>
      </c>
      <c r="P8">
        <f t="shared" si="19"/>
        <v>533976720.76017827</v>
      </c>
      <c r="R8">
        <f>L8^2</f>
        <v>102811812.62745599</v>
      </c>
      <c r="S8">
        <f>J8^2</f>
        <v>91083.24</v>
      </c>
      <c r="T8">
        <f>J8*L8</f>
        <v>3060136.1088</v>
      </c>
      <c r="U8">
        <f>LN(L8)</f>
        <v>9.2242054066056092</v>
      </c>
      <c r="V8">
        <f t="shared" si="2"/>
        <v>4.2420540660560846</v>
      </c>
      <c r="W8">
        <f>1/J8</f>
        <v>3.3134526176275677E-3</v>
      </c>
      <c r="X8">
        <f t="shared" si="3"/>
        <v>9.076209410205422</v>
      </c>
      <c r="Z8">
        <f t="shared" si="4"/>
        <v>85.085965383252145</v>
      </c>
      <c r="AA8">
        <f t="shared" si="5"/>
        <v>1.0978968249262981E-5</v>
      </c>
      <c r="AB8">
        <f t="shared" si="6"/>
        <v>3.0563967550051717E-2</v>
      </c>
      <c r="AD8">
        <f>J8^2 / L8</f>
        <v>8.9829082284772923</v>
      </c>
      <c r="AK8">
        <f>AK7+1</f>
        <v>301.59999999999997</v>
      </c>
      <c r="AL8">
        <f>116.8 - 40.5</f>
        <v>76.3</v>
      </c>
      <c r="AM8">
        <f>AL8/1000*B$5*B$6</f>
        <v>10179.640799999999</v>
      </c>
      <c r="AN8">
        <f t="shared" si="7"/>
        <v>3.3099319540229875</v>
      </c>
      <c r="AO8">
        <f t="shared" si="20"/>
        <v>680.42159999999967</v>
      </c>
      <c r="AP8">
        <f t="shared" si="8"/>
        <v>8.9357337638082459</v>
      </c>
      <c r="AQ8">
        <f t="shared" si="21"/>
        <v>50525.350660026183</v>
      </c>
      <c r="AS8">
        <f t="shared" si="22"/>
        <v>175080254.7680172</v>
      </c>
      <c r="AU8">
        <f t="shared" si="9"/>
        <v>103625086.81702462</v>
      </c>
      <c r="AV8">
        <f t="shared" si="10"/>
        <v>90962.559999999983</v>
      </c>
      <c r="AW8">
        <f t="shared" si="11"/>
        <v>3070179.6652799994</v>
      </c>
      <c r="AX8">
        <f t="shared" si="12"/>
        <v>9.22814500460969</v>
      </c>
      <c r="AY8">
        <f t="shared" si="13"/>
        <v>4.2814500460968929</v>
      </c>
      <c r="AZ8">
        <f t="shared" si="14"/>
        <v>3.3156498673740059E-3</v>
      </c>
      <c r="BA8">
        <f t="shared" si="23"/>
        <v>9.2519893899204746</v>
      </c>
      <c r="BC8">
        <f t="shared" si="15"/>
        <v>85.158660226102782</v>
      </c>
      <c r="BD8">
        <f t="shared" si="16"/>
        <v>1.0993534043017263E-5</v>
      </c>
      <c r="BE8">
        <f t="shared" si="17"/>
        <v>3.0597297760642215E-2</v>
      </c>
    </row>
    <row r="9" spans="1:57" x14ac:dyDescent="0.3">
      <c r="J9">
        <f>29.8+273</f>
        <v>302.8</v>
      </c>
      <c r="K9">
        <f>118.9 - 39.8</f>
        <v>79.100000000000009</v>
      </c>
      <c r="L9">
        <f t="shared" si="0"/>
        <v>10553.205600000001</v>
      </c>
      <c r="M9">
        <f t="shared" si="1"/>
        <v>3.7393167816091966</v>
      </c>
      <c r="N9">
        <f t="shared" si="18"/>
        <v>413.58960000000116</v>
      </c>
      <c r="O9">
        <f>N9 * B$7 *AD8</f>
        <v>30873.62296894746</v>
      </c>
      <c r="P9">
        <f t="shared" si="19"/>
        <v>86526618.20635961</v>
      </c>
      <c r="R9">
        <f>L9^2</f>
        <v>111370148.43587138</v>
      </c>
      <c r="S9">
        <f>J9^2</f>
        <v>91687.840000000011</v>
      </c>
      <c r="T9">
        <f>J9*L9</f>
        <v>3195510.6556800003</v>
      </c>
      <c r="U9">
        <f>LN(L9)</f>
        <v>9.2641849410928856</v>
      </c>
      <c r="V9">
        <f t="shared" si="2"/>
        <v>4.6418494109288488</v>
      </c>
      <c r="W9">
        <f>1/J9</f>
        <v>3.3025099075297223E-3</v>
      </c>
      <c r="X9">
        <f t="shared" si="3"/>
        <v>8.2007926023777848</v>
      </c>
      <c r="Z9">
        <f t="shared" si="4"/>
        <v>85.825122622772199</v>
      </c>
      <c r="AA9">
        <f t="shared" si="5"/>
        <v>1.0906571689331974E-5</v>
      </c>
      <c r="AB9">
        <f t="shared" si="6"/>
        <v>3.0595062553146913E-2</v>
      </c>
      <c r="AD9">
        <f>J9^2 / L9</f>
        <v>8.6881506411663203</v>
      </c>
      <c r="AK9">
        <f>AK8+1.1</f>
        <v>302.7</v>
      </c>
      <c r="AL9">
        <f>118.2 - 39</f>
        <v>79.2</v>
      </c>
      <c r="AM9">
        <f>AL9/1000*B$5*B$6</f>
        <v>10566.547200000001</v>
      </c>
      <c r="AN9">
        <f t="shared" si="7"/>
        <v>3.7546519540229895</v>
      </c>
      <c r="AO9">
        <f t="shared" si="20"/>
        <v>351.73309090908515</v>
      </c>
      <c r="AP9">
        <f t="shared" si="8"/>
        <v>8.6714504052941717</v>
      </c>
      <c r="AQ9">
        <f t="shared" si="21"/>
        <v>25345.799606404544</v>
      </c>
      <c r="AS9">
        <f t="shared" si="22"/>
        <v>142749004.88193339</v>
      </c>
      <c r="AU9">
        <f t="shared" si="9"/>
        <v>111651919.72982787</v>
      </c>
      <c r="AV9">
        <f t="shared" si="10"/>
        <v>91627.29</v>
      </c>
      <c r="AW9">
        <f t="shared" si="11"/>
        <v>3198493.8374399999</v>
      </c>
      <c r="AX9">
        <f t="shared" si="12"/>
        <v>9.2654483651396582</v>
      </c>
      <c r="AY9">
        <f t="shared" si="13"/>
        <v>4.6544836513965748</v>
      </c>
      <c r="AZ9">
        <f t="shared" si="14"/>
        <v>3.3036009250082591E-3</v>
      </c>
      <c r="BA9">
        <f t="shared" si="23"/>
        <v>8.2880740006607283</v>
      </c>
      <c r="BC9">
        <f t="shared" si="15"/>
        <v>85.848533407069169</v>
      </c>
      <c r="BD9">
        <f t="shared" si="16"/>
        <v>1.0913779071715425E-5</v>
      </c>
      <c r="BE9">
        <f t="shared" si="17"/>
        <v>3.0609343789691636E-2</v>
      </c>
    </row>
    <row r="10" spans="1:57" x14ac:dyDescent="0.3">
      <c r="J10">
        <f>30.8+273</f>
        <v>303.8</v>
      </c>
      <c r="K10">
        <f>120.8 - 37.7</f>
        <v>83.1</v>
      </c>
      <c r="L10">
        <f t="shared" si="0"/>
        <v>11086.8696</v>
      </c>
      <c r="M10">
        <f t="shared" si="1"/>
        <v>4.3527236781609195</v>
      </c>
      <c r="N10">
        <f t="shared" si="18"/>
        <v>533.66399999999885</v>
      </c>
      <c r="O10">
        <f>N10 * B$7 *AD9</f>
        <v>38529.757289506873</v>
      </c>
      <c r="P10">
        <f t="shared" si="19"/>
        <v>2708770.187151616</v>
      </c>
      <c r="R10">
        <f>L10^2</f>
        <v>122918677.52740416</v>
      </c>
      <c r="S10">
        <f>J10^2</f>
        <v>92294.44</v>
      </c>
      <c r="T10">
        <f>J10*L10</f>
        <v>3368190.9844800001</v>
      </c>
      <c r="U10">
        <f>LN(L10)</f>
        <v>9.3135167681806799</v>
      </c>
      <c r="V10">
        <f t="shared" si="2"/>
        <v>5.1351676818067915</v>
      </c>
      <c r="W10">
        <f>1/J10</f>
        <v>3.2916392363396972E-3</v>
      </c>
      <c r="X10">
        <f t="shared" si="3"/>
        <v>7.3311389071757782</v>
      </c>
      <c r="Z10">
        <f t="shared" si="4"/>
        <v>86.74159459118269</v>
      </c>
      <c r="AA10">
        <f t="shared" si="5"/>
        <v>1.0834888862210986E-5</v>
      </c>
      <c r="AB10">
        <f t="shared" si="6"/>
        <v>3.0656737222451217E-2</v>
      </c>
      <c r="AD10">
        <f>J10^2 / L10</f>
        <v>8.3246618143682323</v>
      </c>
      <c r="AK10">
        <f>AK9+0.9</f>
        <v>303.59999999999997</v>
      </c>
      <c r="AL10">
        <f>120.5 - 37.5</f>
        <v>83</v>
      </c>
      <c r="AM10">
        <f>AL10/1000*B$5*B$6</f>
        <v>11073.528</v>
      </c>
      <c r="AN10">
        <f t="shared" si="7"/>
        <v>4.3373885057471266</v>
      </c>
      <c r="AO10">
        <f t="shared" si="20"/>
        <v>563.31200000001354</v>
      </c>
      <c r="AP10">
        <f t="shared" si="8"/>
        <v>8.3237212205540985</v>
      </c>
      <c r="AQ10">
        <f t="shared" si="21"/>
        <v>38964.360520482864</v>
      </c>
      <c r="AS10">
        <f t="shared" si="22"/>
        <v>2791570.6791406213</v>
      </c>
      <c r="AU10">
        <f t="shared" si="9"/>
        <v>122623022.36678401</v>
      </c>
      <c r="AV10">
        <f t="shared" si="10"/>
        <v>92172.959999999977</v>
      </c>
      <c r="AW10">
        <f t="shared" si="11"/>
        <v>3361923.1007999997</v>
      </c>
      <c r="AX10">
        <f t="shared" si="12"/>
        <v>9.3123126741158764</v>
      </c>
      <c r="AY10">
        <f t="shared" si="13"/>
        <v>5.1231267411587567</v>
      </c>
      <c r="AZ10">
        <f t="shared" si="14"/>
        <v>3.2938076416337289E-3</v>
      </c>
      <c r="BA10">
        <f t="shared" si="23"/>
        <v>7.5046113306983164</v>
      </c>
      <c r="BC10">
        <f t="shared" si="15"/>
        <v>86.719167340499183</v>
      </c>
      <c r="BD10">
        <f t="shared" si="16"/>
        <v>1.0849168780084747E-5</v>
      </c>
      <c r="BE10">
        <f t="shared" si="17"/>
        <v>3.0672966647285499E-2</v>
      </c>
    </row>
    <row r="11" spans="1:57" x14ac:dyDescent="0.3">
      <c r="J11">
        <f>31.8+273</f>
        <v>304.8</v>
      </c>
      <c r="K11">
        <f>121.9 - 35.4</f>
        <v>86.5</v>
      </c>
      <c r="L11">
        <f t="shared" si="0"/>
        <v>11540.483999999999</v>
      </c>
      <c r="M11">
        <f t="shared" si="1"/>
        <v>4.8741195402298834</v>
      </c>
      <c r="N11">
        <f t="shared" si="18"/>
        <v>453.61439999999857</v>
      </c>
      <c r="O11">
        <f>N11 * B$7 *AD10</f>
        <v>31380.109599999902</v>
      </c>
      <c r="P11">
        <f t="shared" si="19"/>
        <v>77360501.525754794</v>
      </c>
      <c r="R11">
        <f>L11^2</f>
        <v>133182770.95425597</v>
      </c>
      <c r="S11">
        <f>J11^2</f>
        <v>92903.040000000008</v>
      </c>
      <c r="T11">
        <f>J11*L11</f>
        <v>3517539.5231999997</v>
      </c>
      <c r="U11">
        <f>LN(L11)</f>
        <v>9.3536164802571111</v>
      </c>
      <c r="V11">
        <f t="shared" si="2"/>
        <v>5.5361648025711041</v>
      </c>
      <c r="W11">
        <f>1/J11</f>
        <v>3.2808398950131233E-3</v>
      </c>
      <c r="X11">
        <f t="shared" si="3"/>
        <v>6.4671916010498638</v>
      </c>
      <c r="Z11">
        <f t="shared" si="4"/>
        <v>87.490141259737428</v>
      </c>
      <c r="AA11">
        <f t="shared" si="5"/>
        <v>1.0763910416709721E-5</v>
      </c>
      <c r="AB11">
        <f t="shared" si="6"/>
        <v>3.0687718111079759E-2</v>
      </c>
      <c r="AD11">
        <f>J11^2 / L11</f>
        <v>8.0501857634393854</v>
      </c>
      <c r="AK11">
        <f>AK10+1</f>
        <v>304.59999999999997</v>
      </c>
      <c r="AL11">
        <f>122.7 - 34.4</f>
        <v>88.300000000000011</v>
      </c>
      <c r="AM11">
        <f>AL11/1000*B$5*B$6</f>
        <v>11780.632800000003</v>
      </c>
      <c r="AN11">
        <f t="shared" si="7"/>
        <v>5.1501526436781644</v>
      </c>
      <c r="AO11">
        <f t="shared" si="20"/>
        <v>707.1048000000028</v>
      </c>
      <c r="AP11">
        <f t="shared" si="8"/>
        <v>7.8757365224048028</v>
      </c>
      <c r="AQ11">
        <f t="shared" si="21"/>
        <v>46278.14982876573</v>
      </c>
      <c r="AS11">
        <f t="shared" si="22"/>
        <v>80722834.494149581</v>
      </c>
      <c r="AU11">
        <f t="shared" si="9"/>
        <v>138783309.1684359</v>
      </c>
      <c r="AV11">
        <f t="shared" si="10"/>
        <v>92781.159999999974</v>
      </c>
      <c r="AW11">
        <f t="shared" si="11"/>
        <v>3588380.7508800006</v>
      </c>
      <c r="AX11">
        <f t="shared" si="12"/>
        <v>9.3742121739291928</v>
      </c>
      <c r="AY11">
        <f t="shared" si="13"/>
        <v>5.742121739291921</v>
      </c>
      <c r="AZ11">
        <f t="shared" si="14"/>
        <v>3.2829940906106371E-3</v>
      </c>
      <c r="BA11">
        <f t="shared" si="23"/>
        <v>6.639527248850964</v>
      </c>
      <c r="BC11">
        <f t="shared" si="15"/>
        <v>87.875853881842289</v>
      </c>
      <c r="BD11">
        <f t="shared" si="16"/>
        <v>1.0778050198984364E-5</v>
      </c>
      <c r="BE11">
        <f t="shared" si="17"/>
        <v>3.0775483171139834E-2</v>
      </c>
    </row>
    <row r="12" spans="1:57" x14ac:dyDescent="0.3">
      <c r="A12" t="s">
        <v>13</v>
      </c>
      <c r="B12" t="s">
        <v>11</v>
      </c>
      <c r="D12" t="s">
        <v>12</v>
      </c>
      <c r="E12" t="s">
        <v>14</v>
      </c>
      <c r="F12" t="s">
        <v>15</v>
      </c>
      <c r="G12" t="s">
        <v>16</v>
      </c>
      <c r="H12" t="s">
        <v>18</v>
      </c>
      <c r="J12">
        <f>32.8+273</f>
        <v>305.8</v>
      </c>
      <c r="K12">
        <f>124.7 - 33.5</f>
        <v>91.2</v>
      </c>
      <c r="L12">
        <f t="shared" si="0"/>
        <v>12167.539199999999</v>
      </c>
      <c r="M12">
        <f t="shared" si="1"/>
        <v>5.5948726436781602</v>
      </c>
      <c r="N12">
        <f t="shared" si="18"/>
        <v>627.0552000000007</v>
      </c>
      <c r="O12">
        <f>N12 * B$7 *AD11</f>
        <v>41948.13911306364</v>
      </c>
      <c r="P12">
        <f t="shared" si="19"/>
        <v>3141925.1065733372</v>
      </c>
      <c r="R12">
        <f>L12^2</f>
        <v>148049010.18353662</v>
      </c>
      <c r="S12">
        <f>J12^2</f>
        <v>93513.640000000014</v>
      </c>
      <c r="T12">
        <f>J12*L12</f>
        <v>3720833.4873599997</v>
      </c>
      <c r="U12">
        <f>LN(L12)</f>
        <v>9.4065269633995641</v>
      </c>
      <c r="V12">
        <f t="shared" si="2"/>
        <v>6.0652696339956336</v>
      </c>
      <c r="W12">
        <f>1/J12</f>
        <v>3.2701111837802484E-3</v>
      </c>
      <c r="X12">
        <f t="shared" si="3"/>
        <v>5.608894702419871</v>
      </c>
      <c r="Z12">
        <f t="shared" si="4"/>
        <v>88.482749513163029</v>
      </c>
      <c r="AA12">
        <f t="shared" si="5"/>
        <v>1.0693627154284657E-5</v>
      </c>
      <c r="AB12">
        <f t="shared" si="6"/>
        <v>3.0760389023543375E-2</v>
      </c>
      <c r="AD12">
        <f>J12^2 / L12</f>
        <v>7.6855014364778063</v>
      </c>
      <c r="AK12">
        <f>AK11+1</f>
        <v>305.59999999999997</v>
      </c>
      <c r="AL12">
        <f>125.1 - 33.1</f>
        <v>92</v>
      </c>
      <c r="AM12">
        <f>AL12/1000*B$5*B$6</f>
        <v>12274.272000000001</v>
      </c>
      <c r="AN12">
        <f t="shared" si="7"/>
        <v>5.7175540229885069</v>
      </c>
      <c r="AO12">
        <f t="shared" si="20"/>
        <v>493.6391999999978</v>
      </c>
      <c r="AP12">
        <f t="shared" si="8"/>
        <v>7.6087086875702266</v>
      </c>
      <c r="AQ12">
        <f t="shared" si="21"/>
        <v>31212.001586086815</v>
      </c>
      <c r="AS12">
        <f t="shared" si="22"/>
        <v>36985366.209882498</v>
      </c>
      <c r="AU12">
        <f t="shared" si="9"/>
        <v>150657753.12998402</v>
      </c>
      <c r="AV12">
        <f t="shared" si="10"/>
        <v>93391.359999999986</v>
      </c>
      <c r="AW12">
        <f t="shared" si="11"/>
        <v>3751017.5231999997</v>
      </c>
      <c r="AX12">
        <f t="shared" si="12"/>
        <v>9.4152606433683186</v>
      </c>
      <c r="AY12">
        <f t="shared" si="13"/>
        <v>6.1526064336831787</v>
      </c>
      <c r="AZ12">
        <f t="shared" si="14"/>
        <v>3.272251308900524E-3</v>
      </c>
      <c r="BA12">
        <f t="shared" si="23"/>
        <v>5.7801047120419158</v>
      </c>
      <c r="BC12">
        <f t="shared" si="15"/>
        <v>88.647132982560407</v>
      </c>
      <c r="BD12">
        <f t="shared" si="16"/>
        <v>1.0707628628601193E-5</v>
      </c>
      <c r="BE12">
        <f t="shared" si="17"/>
        <v>3.080909896390157E-2</v>
      </c>
    </row>
    <row r="13" spans="1:57" x14ac:dyDescent="0.3">
      <c r="A13" t="s">
        <v>20</v>
      </c>
      <c r="B13" t="s">
        <v>22</v>
      </c>
      <c r="C13" t="s">
        <v>23</v>
      </c>
      <c r="D13">
        <f>SUM(J2:J17)/16</f>
        <v>303.31250000000011</v>
      </c>
      <c r="E13">
        <f>SUM(L2:L17) / 16</f>
        <v>11046.01095</v>
      </c>
      <c r="F13">
        <f>SUM(S2:S17)/ 16</f>
        <v>92019.57375000001</v>
      </c>
      <c r="G13">
        <f>SUM(T2:T17)/16</f>
        <v>3362254.47279</v>
      </c>
      <c r="H13">
        <f>SUM(R2:R17) / 16</f>
        <v>128760392.30039965</v>
      </c>
      <c r="J13">
        <f>33.8+273</f>
        <v>306.8</v>
      </c>
      <c r="K13">
        <f>127.5 - 31</f>
        <v>96.5</v>
      </c>
      <c r="L13">
        <f t="shared" si="0"/>
        <v>12874.644000000002</v>
      </c>
      <c r="M13">
        <f t="shared" si="1"/>
        <v>6.4076367816091979</v>
      </c>
      <c r="N13">
        <f t="shared" si="18"/>
        <v>707.1048000000028</v>
      </c>
      <c r="O13">
        <f>N13 * B$7 *AD12</f>
        <v>45160.320685526502</v>
      </c>
      <c r="P13">
        <f t="shared" si="19"/>
        <v>24847525.2386318</v>
      </c>
      <c r="R13">
        <f>L13^2</f>
        <v>165756458.12673604</v>
      </c>
      <c r="S13">
        <f>J13^2</f>
        <v>94126.24</v>
      </c>
      <c r="T13">
        <f>J13*L13</f>
        <v>3949940.7792000007</v>
      </c>
      <c r="U13">
        <f>LN(L13)</f>
        <v>9.4630150746642183</v>
      </c>
      <c r="V13">
        <f t="shared" si="2"/>
        <v>6.6301507466421761</v>
      </c>
      <c r="W13">
        <f>1/J13</f>
        <v>3.2594524119947846E-3</v>
      </c>
      <c r="X13">
        <f t="shared" si="3"/>
        <v>4.7561929595827612</v>
      </c>
      <c r="Z13">
        <f t="shared" si="4"/>
        <v>89.548654303322238</v>
      </c>
      <c r="AA13">
        <f t="shared" si="5"/>
        <v>1.0624030026058619E-5</v>
      </c>
      <c r="AB13">
        <f t="shared" si="6"/>
        <v>3.0844247309857294E-2</v>
      </c>
      <c r="AD13">
        <f>J13^2 / L13</f>
        <v>7.3109780744228727</v>
      </c>
      <c r="AK13">
        <f>AK12+1.2</f>
        <v>306.79999999999995</v>
      </c>
      <c r="AL13">
        <f>128.3 - 30.5</f>
        <v>97.800000000000011</v>
      </c>
      <c r="AM13">
        <f>AL13/1000*B$5*B$6</f>
        <v>13048.084800000002</v>
      </c>
      <c r="AN13">
        <f t="shared" si="7"/>
        <v>6.6069940229885082</v>
      </c>
      <c r="AO13">
        <f t="shared" si="20"/>
        <v>644.84400000000733</v>
      </c>
      <c r="AP13">
        <f t="shared" si="8"/>
        <v>7.2137973842720546</v>
      </c>
      <c r="AQ13">
        <f t="shared" si="21"/>
        <v>38656.241611452366</v>
      </c>
      <c r="AS13">
        <f t="shared" si="22"/>
        <v>1856898.1564364363</v>
      </c>
      <c r="AU13">
        <f t="shared" si="9"/>
        <v>170252516.9479911</v>
      </c>
      <c r="AV13">
        <f t="shared" si="10"/>
        <v>94126.239999999976</v>
      </c>
      <c r="AW13">
        <f t="shared" si="11"/>
        <v>4003152.41664</v>
      </c>
      <c r="AX13">
        <f t="shared" si="12"/>
        <v>9.4763966433600491</v>
      </c>
      <c r="AY13">
        <f t="shared" si="13"/>
        <v>6.7639664336004834</v>
      </c>
      <c r="AZ13">
        <f t="shared" si="14"/>
        <v>3.2594524119947854E-3</v>
      </c>
      <c r="BA13">
        <f t="shared" si="23"/>
        <v>4.7561929595828305</v>
      </c>
      <c r="BC13">
        <f t="shared" si="15"/>
        <v>89.802093342285602</v>
      </c>
      <c r="BD13">
        <f t="shared" si="16"/>
        <v>1.0624030026058624E-5</v>
      </c>
      <c r="BE13">
        <f t="shared" si="17"/>
        <v>3.0887863896219201E-2</v>
      </c>
    </row>
    <row r="14" spans="1:57" x14ac:dyDescent="0.3">
      <c r="A14">
        <f>G13 / F13</f>
        <v>36.538470412008401</v>
      </c>
      <c r="B14">
        <f xml:space="preserve"> 1 / 4 *(H13 / F13 - A14^2)^0.5</f>
        <v>2.0033090594005483</v>
      </c>
      <c r="C14">
        <f>B14 / A14 * 100</f>
        <v>5.4827392521120943</v>
      </c>
      <c r="J14">
        <f>34.8+273</f>
        <v>307.8</v>
      </c>
      <c r="K14">
        <f>129.6 - 29.3</f>
        <v>100.3</v>
      </c>
      <c r="L14">
        <f t="shared" si="0"/>
        <v>13381.6248</v>
      </c>
      <c r="M14">
        <f t="shared" si="1"/>
        <v>6.9903733333333324</v>
      </c>
      <c r="N14">
        <f t="shared" si="18"/>
        <v>506.98079999999754</v>
      </c>
      <c r="O14">
        <f>N14 * B$7 *AD13</f>
        <v>30801.227012642339</v>
      </c>
      <c r="P14">
        <f t="shared" si="19"/>
        <v>87878709.192804873</v>
      </c>
      <c r="R14">
        <f>L14^2</f>
        <v>179067882.28797504</v>
      </c>
      <c r="S14">
        <f>J14^2</f>
        <v>94740.840000000011</v>
      </c>
      <c r="T14">
        <f>J14*L14</f>
        <v>4118864.11344</v>
      </c>
      <c r="U14">
        <f>LN(L14)</f>
        <v>9.5016377612871672</v>
      </c>
      <c r="V14">
        <f t="shared" si="2"/>
        <v>7.0163776128716648</v>
      </c>
      <c r="W14">
        <f>1/J14</f>
        <v>3.2488628979857048E-3</v>
      </c>
      <c r="X14">
        <f t="shared" si="3"/>
        <v>3.9090318388563801</v>
      </c>
      <c r="Z14">
        <f t="shared" si="4"/>
        <v>90.281120146718209</v>
      </c>
      <c r="AA14">
        <f t="shared" si="5"/>
        <v>1.0555110129908072E-5</v>
      </c>
      <c r="AB14">
        <f t="shared" si="6"/>
        <v>3.0869518392745831E-2</v>
      </c>
      <c r="AD14">
        <f>J14^2 / L14</f>
        <v>7.0799205190688062</v>
      </c>
      <c r="AK14">
        <f>AK13+1.6</f>
        <v>308.39999999999998</v>
      </c>
      <c r="AL14">
        <f>132.1 - 25.3</f>
        <v>106.8</v>
      </c>
      <c r="AM14">
        <f>AL14/1000*B$5*B$6</f>
        <v>14248.828799999999</v>
      </c>
      <c r="AN14">
        <f t="shared" si="7"/>
        <v>7.9871595402298841</v>
      </c>
      <c r="AO14">
        <f t="shared" si="20"/>
        <v>750.46499999998741</v>
      </c>
      <c r="AP14">
        <f t="shared" si="8"/>
        <v>6.6749738757475976</v>
      </c>
      <c r="AQ14">
        <f t="shared" si="21"/>
        <v>41627.567780898178</v>
      </c>
      <c r="AS14">
        <f t="shared" si="22"/>
        <v>18783613.846919145</v>
      </c>
      <c r="AU14">
        <f t="shared" si="9"/>
        <v>203029122.17170942</v>
      </c>
      <c r="AV14">
        <f t="shared" si="10"/>
        <v>95110.559999999983</v>
      </c>
      <c r="AW14">
        <f t="shared" si="11"/>
        <v>4394338.8019199995</v>
      </c>
      <c r="AX14">
        <f t="shared" si="12"/>
        <v>9.5644299928453727</v>
      </c>
      <c r="AY14">
        <f t="shared" si="13"/>
        <v>7.6442999284537194</v>
      </c>
      <c r="AZ14">
        <f t="shared" si="14"/>
        <v>3.2425421530479898E-3</v>
      </c>
      <c r="BA14">
        <f t="shared" si="23"/>
        <v>3.4033722438391787</v>
      </c>
      <c r="BC14">
        <f t="shared" si="15"/>
        <v>91.478321088040133</v>
      </c>
      <c r="BD14">
        <f t="shared" si="16"/>
        <v>1.0514079614293094E-5</v>
      </c>
      <c r="BE14">
        <f t="shared" si="17"/>
        <v>3.1013067421677604E-2</v>
      </c>
    </row>
    <row r="15" spans="1:57" x14ac:dyDescent="0.3">
      <c r="A15" t="s">
        <v>17</v>
      </c>
      <c r="B15" t="s">
        <v>11</v>
      </c>
      <c r="D15" t="s">
        <v>12</v>
      </c>
      <c r="E15" t="s">
        <v>14</v>
      </c>
      <c r="F15" t="s">
        <v>19</v>
      </c>
      <c r="G15" t="s">
        <v>16</v>
      </c>
      <c r="H15" t="s">
        <v>18</v>
      </c>
      <c r="J15">
        <f>35.8+273</f>
        <v>308.8</v>
      </c>
      <c r="K15">
        <f xml:space="preserve"> 133.4 - 26</f>
        <v>107.4</v>
      </c>
      <c r="L15">
        <f t="shared" si="0"/>
        <v>14328.878400000001</v>
      </c>
      <c r="M15">
        <f t="shared" si="1"/>
        <v>8.079170574712645</v>
      </c>
      <c r="N15">
        <f t="shared" si="18"/>
        <v>947.25360000000182</v>
      </c>
      <c r="O15">
        <f>N15 * B$7 *AD14</f>
        <v>55730.850457029032</v>
      </c>
      <c r="P15">
        <f t="shared" si="19"/>
        <v>241966081.7993874</v>
      </c>
      <c r="R15">
        <f>L15^2</f>
        <v>205316756.20198661</v>
      </c>
      <c r="S15">
        <f>J15^2</f>
        <v>95357.440000000002</v>
      </c>
      <c r="T15">
        <f>J15*L15</f>
        <v>4424757.6499200007</v>
      </c>
      <c r="U15">
        <f>LN(L15)</f>
        <v>9.5700322483940425</v>
      </c>
      <c r="V15">
        <f t="shared" si="2"/>
        <v>7.7003224839404183</v>
      </c>
      <c r="W15">
        <f>1/J15</f>
        <v>3.2383419689119169E-3</v>
      </c>
      <c r="X15">
        <f>(W15-0.0032) / (0.0034 - 0.0032)*16</f>
        <v>3.0673575129533446</v>
      </c>
      <c r="Z15">
        <f t="shared" si="4"/>
        <v>91.585517235301936</v>
      </c>
      <c r="AA15">
        <f t="shared" si="5"/>
        <v>1.0486858707616311E-5</v>
      </c>
      <c r="AB15">
        <f t="shared" si="6"/>
        <v>3.0991037073814901E-2</v>
      </c>
      <c r="AD15">
        <f>J15^2 / L15</f>
        <v>6.6549130600480213</v>
      </c>
    </row>
    <row r="16" spans="1:57" x14ac:dyDescent="0.3">
      <c r="A16" t="s">
        <v>20</v>
      </c>
      <c r="B16" t="s">
        <v>22</v>
      </c>
      <c r="C16" t="s">
        <v>23</v>
      </c>
      <c r="D16">
        <f>SUM(AK2:AK14) / 13</f>
        <v>301.70769230769224</v>
      </c>
      <c r="E16">
        <f>SUM(AM2:AM14)  / 13</f>
        <v>10304.846584615385</v>
      </c>
      <c r="F16">
        <f xml:space="preserve"> SUM(AV2:AV14) / 13</f>
        <v>91042.252307692295</v>
      </c>
      <c r="G16">
        <f>SUM(AW2:AW14) / 13</f>
        <v>3116760.3222646145</v>
      </c>
      <c r="H16">
        <f>SUM(AU2:AU14) / 13</f>
        <v>110268749.78259087</v>
      </c>
      <c r="J16">
        <f>36.8+273</f>
        <v>309.8</v>
      </c>
      <c r="K16">
        <f>135.5 - 23.2</f>
        <v>112.3</v>
      </c>
      <c r="L16">
        <f t="shared" si="0"/>
        <v>14982.6168</v>
      </c>
      <c r="M16">
        <f t="shared" si="1"/>
        <v>8.8305940229885049</v>
      </c>
      <c r="N16">
        <f t="shared" si="18"/>
        <v>653.73839999999836</v>
      </c>
      <c r="O16">
        <f>N16 * B$7 *AD15</f>
        <v>36153.25511508371</v>
      </c>
      <c r="P16">
        <f t="shared" si="19"/>
        <v>16179189.843661288</v>
      </c>
      <c r="R16">
        <f>L16^2</f>
        <v>224478806.17564222</v>
      </c>
      <c r="S16">
        <f>J16^2</f>
        <v>95976.040000000008</v>
      </c>
      <c r="T16">
        <f>J16*L16</f>
        <v>4641614.6846399996</v>
      </c>
      <c r="U16">
        <f>LN(L16)</f>
        <v>9.6146459280636751</v>
      </c>
      <c r="V16">
        <f t="shared" si="2"/>
        <v>8.1464592806367442</v>
      </c>
      <c r="W16">
        <f>1/J16</f>
        <v>3.2278889606197547E-3</v>
      </c>
      <c r="X16">
        <f t="shared" si="3"/>
        <v>2.2311168495803666</v>
      </c>
      <c r="Z16">
        <f t="shared" si="4"/>
        <v>92.441416322031415</v>
      </c>
      <c r="AA16">
        <f t="shared" si="5"/>
        <v>1.041926714209088E-5</v>
      </c>
      <c r="AB16">
        <f t="shared" si="6"/>
        <v>3.1035009451464413E-2</v>
      </c>
      <c r="AD16">
        <f>J16^2 / L16</f>
        <v>6.4058262505919537</v>
      </c>
      <c r="AR16" t="s">
        <v>32</v>
      </c>
      <c r="AS16" t="s">
        <v>31</v>
      </c>
    </row>
    <row r="17" spans="1:45" x14ac:dyDescent="0.3">
      <c r="A17">
        <f>G16 / F16</f>
        <v>34.234218104919123</v>
      </c>
      <c r="B17">
        <f xml:space="preserve"> 1 / 13^0.5 *(H16 / F16 - A17^2)^0.5</f>
        <v>1.7364962196586218</v>
      </c>
      <c r="C17">
        <f>B17 / A17 * 100</f>
        <v>5.0723992420002268</v>
      </c>
      <c r="J17">
        <f>37.8+273</f>
        <v>310.8</v>
      </c>
      <c r="K17">
        <f>138.7 - 20.2</f>
        <v>118.49999999999999</v>
      </c>
      <c r="L17">
        <f t="shared" si="0"/>
        <v>15809.795999999998</v>
      </c>
      <c r="M17">
        <f t="shared" si="1"/>
        <v>9.781374712643677</v>
      </c>
      <c r="N17">
        <f>(L17 - L16) / (J17 - J16)</f>
        <v>827.17919999999867</v>
      </c>
      <c r="O17">
        <f>N17 * B$7 *AD16</f>
        <v>44032.747398753279</v>
      </c>
      <c r="P17">
        <f t="shared" si="19"/>
        <v>14877651.770897361</v>
      </c>
      <c r="R17">
        <f>L17^2</f>
        <v>249949649.56161594</v>
      </c>
      <c r="S17">
        <f>J17^2</f>
        <v>96596.640000000014</v>
      </c>
      <c r="T17">
        <f>J17*L17</f>
        <v>4913684.5967999995</v>
      </c>
      <c r="U17">
        <f>LN(L17)</f>
        <v>9.6683850268944642</v>
      </c>
      <c r="V17">
        <f t="shared" si="2"/>
        <v>8.6838502689446351</v>
      </c>
      <c r="W17">
        <f>1/J17</f>
        <v>3.2175032175032173E-3</v>
      </c>
      <c r="X17">
        <f t="shared" si="3"/>
        <v>1.4002574002573733</v>
      </c>
      <c r="Z17">
        <f t="shared" si="4"/>
        <v>93.477669028277063</v>
      </c>
      <c r="AA17">
        <f t="shared" si="5"/>
        <v>1.0352326954643555E-5</v>
      </c>
      <c r="AB17">
        <f>W17*U17</f>
        <v>3.1108059932092869E-2</v>
      </c>
      <c r="AD17">
        <f>J17^2 / L17</f>
        <v>6.1099232399962675</v>
      </c>
      <c r="AR17">
        <f>1 / 12 * (SUM(AS3:AS14))^0.5</f>
        <v>2308.1336147590473</v>
      </c>
      <c r="AS17">
        <f>AR17 / AR2 * 100</f>
        <v>6.1890941659313414</v>
      </c>
    </row>
    <row r="19" spans="1:45" x14ac:dyDescent="0.3">
      <c r="K19">
        <f xml:space="preserve"> 1 / 15 *(SUM(P3:P17))^0.5</f>
        <v>2315.5827802912854</v>
      </c>
      <c r="L19">
        <f>K19 / P2 * 100</f>
        <v>5.763655729534813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Rogozin</dc:creator>
  <cp:lastModifiedBy>Vladimir Rogozin</cp:lastModifiedBy>
  <dcterms:created xsi:type="dcterms:W3CDTF">2015-06-05T18:19:34Z</dcterms:created>
  <dcterms:modified xsi:type="dcterms:W3CDTF">2022-02-17T09:11:56Z</dcterms:modified>
</cp:coreProperties>
</file>