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b8fc246640d213/Рабочий стол/Лабы/2 сем/"/>
    </mc:Choice>
  </mc:AlternateContent>
  <xr:revisionPtr revIDLastSave="380" documentId="8_{BCF581B2-4951-49B5-908C-967C771988F1}" xr6:coauthVersionLast="47" xr6:coauthVersionMax="47" xr10:uidLastSave="{CDC349C9-A289-4247-9879-F2F6F285DF67}"/>
  <bookViews>
    <workbookView xWindow="828" yWindow="-108" windowWidth="22320" windowHeight="13176" xr2:uid="{BF9DFE1E-B4C5-4773-BF4A-CC3EDBC571D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P27" i="1"/>
  <c r="P24" i="1"/>
  <c r="O32" i="1"/>
  <c r="O31" i="1"/>
  <c r="O30" i="1"/>
  <c r="P23" i="1"/>
  <c r="P26" i="1"/>
  <c r="A42" i="1"/>
  <c r="A41" i="1"/>
  <c r="A40" i="1"/>
  <c r="A52" i="1"/>
  <c r="A50" i="1"/>
  <c r="A51" i="1"/>
  <c r="C27" i="1"/>
  <c r="C26" i="1"/>
  <c r="D26" i="1" s="1"/>
  <c r="C25" i="1"/>
  <c r="D25" i="1" s="1"/>
  <c r="C15" i="1"/>
  <c r="C16" i="1"/>
  <c r="C17" i="1"/>
  <c r="C14" i="1"/>
  <c r="G14" i="1"/>
  <c r="G15" i="1"/>
  <c r="G16" i="1"/>
  <c r="G17" i="1"/>
  <c r="P3" i="1"/>
  <c r="P4" i="1"/>
  <c r="P5" i="1"/>
  <c r="P2" i="1"/>
  <c r="L3" i="1"/>
  <c r="L4" i="1"/>
  <c r="L2" i="1"/>
  <c r="B3" i="1"/>
  <c r="B4" i="1"/>
  <c r="B5" i="1"/>
  <c r="B7" i="1"/>
  <c r="B2" i="1"/>
  <c r="H19" i="1"/>
  <c r="I15" i="1" s="1"/>
  <c r="D19" i="1"/>
  <c r="D20" i="1" s="1"/>
  <c r="Q8" i="1"/>
  <c r="Q10" i="1" s="1"/>
  <c r="M8" i="1"/>
  <c r="N2" i="1" s="1"/>
  <c r="C10" i="1"/>
  <c r="D3" i="1" s="1"/>
  <c r="C41" i="1" l="1"/>
  <c r="C51" i="1" s="1"/>
  <c r="B30" i="1"/>
  <c r="C40" i="1"/>
  <c r="C50" i="1" s="1"/>
  <c r="C30" i="1"/>
  <c r="D27" i="1"/>
  <c r="C42" i="1"/>
  <c r="M9" i="1"/>
  <c r="H2" i="1"/>
  <c r="D10" i="1"/>
  <c r="H20" i="1"/>
  <c r="I14" i="1"/>
  <c r="I17" i="1"/>
  <c r="I16" i="1"/>
  <c r="E14" i="1"/>
  <c r="R8" i="1"/>
  <c r="S8" i="1" s="1"/>
  <c r="U8" i="1" s="1"/>
  <c r="R2" i="1"/>
  <c r="R4" i="1"/>
  <c r="R5" i="1"/>
  <c r="R3" i="1"/>
  <c r="E16" i="1"/>
  <c r="E17" i="1"/>
  <c r="E15" i="1"/>
  <c r="D2" i="1"/>
  <c r="N4" i="1"/>
  <c r="N3" i="1"/>
  <c r="D7" i="1"/>
  <c r="D4" i="1"/>
  <c r="D5" i="1"/>
  <c r="S2" i="1" l="1"/>
  <c r="S4" i="1" s="1"/>
  <c r="S5" i="1" s="1"/>
  <c r="S6" i="1" s="1"/>
  <c r="Q12" i="1"/>
  <c r="A25" i="1" s="1"/>
  <c r="B25" i="1" s="1"/>
  <c r="E19" i="1"/>
  <c r="E20" i="1" s="1"/>
  <c r="F20" i="1" s="1"/>
  <c r="C52" i="1"/>
  <c r="H22" i="1"/>
  <c r="A27" i="1" s="1"/>
  <c r="E2" i="1"/>
  <c r="F2" i="1" s="1"/>
  <c r="F4" i="1" s="1"/>
  <c r="D22" i="1"/>
  <c r="A26" i="1" s="1"/>
  <c r="I19" i="1"/>
  <c r="I20" i="1" s="1"/>
  <c r="J20" i="1" s="1"/>
  <c r="U2" i="1"/>
  <c r="U4" i="1" s="1"/>
  <c r="U5" i="1" s="1"/>
  <c r="U6" i="1" s="1"/>
  <c r="E22" i="1" l="1"/>
  <c r="F25" i="1"/>
  <c r="B27" i="1"/>
  <c r="F27" i="1"/>
  <c r="B26" i="1"/>
  <c r="F26" i="1"/>
  <c r="E30" i="1"/>
  <c r="R12" i="1"/>
  <c r="R14" i="1" s="1"/>
  <c r="F22" i="1"/>
  <c r="I22" i="1"/>
  <c r="J22" i="1" s="1"/>
  <c r="T8" i="1"/>
  <c r="T9" i="1" s="1"/>
  <c r="H4" i="1"/>
  <c r="H7" i="1" s="1"/>
  <c r="F7" i="1"/>
  <c r="D30" i="1" l="1"/>
  <c r="B33" i="1" s="1"/>
  <c r="F30" i="1"/>
  <c r="T11" i="1"/>
  <c r="T13" i="1" s="1"/>
  <c r="B34" i="1" l="1"/>
  <c r="B36" i="1"/>
  <c r="D36" i="1" s="1"/>
</calcChain>
</file>

<file path=xl/sharedStrings.xml><?xml version="1.0" encoding="utf-8"?>
<sst xmlns="http://schemas.openxmlformats.org/spreadsheetml/2006/main" count="53" uniqueCount="38">
  <si>
    <t>sigm</t>
  </si>
  <si>
    <t>спирт delt P</t>
  </si>
  <si>
    <t>avg</t>
  </si>
  <si>
    <t>sigm sluch</t>
  </si>
  <si>
    <t>delt h</t>
  </si>
  <si>
    <t>r</t>
  </si>
  <si>
    <t>sigm r</t>
  </si>
  <si>
    <t>вода h1</t>
  </si>
  <si>
    <t>вода h2</t>
  </si>
  <si>
    <t>dP</t>
  </si>
  <si>
    <t>dP Pa</t>
  </si>
  <si>
    <t>h</t>
  </si>
  <si>
    <t>sigm h</t>
  </si>
  <si>
    <t xml:space="preserve"> </t>
  </si>
  <si>
    <t>sigm h1</t>
  </si>
  <si>
    <t>sigm sluch h1</t>
  </si>
  <si>
    <t>sigm sluch h2</t>
  </si>
  <si>
    <t>sigm h2</t>
  </si>
  <si>
    <t>sigm dP</t>
  </si>
  <si>
    <t>P</t>
  </si>
  <si>
    <t>sigm P</t>
  </si>
  <si>
    <t>natyaj</t>
  </si>
  <si>
    <t>sigm natyaj</t>
  </si>
  <si>
    <t>T</t>
  </si>
  <si>
    <t>средние</t>
  </si>
  <si>
    <t xml:space="preserve">x </t>
  </si>
  <si>
    <t>x^2</t>
  </si>
  <si>
    <t>xy</t>
  </si>
  <si>
    <t>y</t>
  </si>
  <si>
    <t>^2</t>
  </si>
  <si>
    <t>k</t>
  </si>
  <si>
    <t xml:space="preserve">b </t>
  </si>
  <si>
    <t>sigm k</t>
  </si>
  <si>
    <t>y^2</t>
  </si>
  <si>
    <t>eps</t>
  </si>
  <si>
    <t>q</t>
  </si>
  <si>
    <t>U / 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</si>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</sst>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Лист1!$C$25:$C$27</c:f>
              <c:numCache>
                <c:formatCode>General</c:formatCode>
                <c:ptCount val="3"/>
                <c:pt idx="0">
                  <c:v>296</c:v>
                </c:pt>
                <c:pt idx="1">
                  <c:v>305.3</c:v>
                </c:pt>
                <c:pt idx="2">
                  <c:v>313.3</c:v>
                </c:pt>
              </c:numCache>
            </c:numRef>
          </c:cat>
          <c:val>
            <c:numRef>
              <c:f>Лист1!$A$25:$A$27</c:f>
              <c:numCache>
                <c:formatCode>General</c:formatCode>
                <c:ptCount val="3"/>
                <c:pt idx="0">
                  <c:v>6.6803652968036545E-2</c:v>
                </c:pt>
                <c:pt idx="1">
                  <c:v>6.4794520547945211E-2</c:v>
                </c:pt>
                <c:pt idx="2">
                  <c:v>6.2408675799086773E-2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0F-45B7-AF40-B1145BC44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725151"/>
        <c:axId val="1464710591"/>
      </c:lineChart>
      <c:catAx>
        <c:axId val="146472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710591"/>
        <c:crosses val="autoZero"/>
        <c:auto val="1"/>
        <c:lblAlgn val="ctr"/>
        <c:lblOffset val="100"/>
        <c:noMultiLvlLbl val="0"/>
      </c:catAx>
      <c:valAx>
        <c:axId val="14647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72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0603674540684"/>
          <c:y val="5.0925925925925923E-2"/>
          <c:w val="0.8712939632545931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o8y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Лист1!$C$40:$C$42</c:f>
              <c:numCache>
                <c:formatCode>General</c:formatCode>
                <c:ptCount val="3"/>
                <c:pt idx="0">
                  <c:v>296</c:v>
                </c:pt>
                <c:pt idx="1">
                  <c:v>305.3</c:v>
                </c:pt>
                <c:pt idx="2">
                  <c:v>313.3</c:v>
                </c:pt>
              </c:numCache>
            </c:numRef>
          </c:cat>
          <c:val>
            <c:numRef>
              <c:f>Лист1!$A$50:$A$52</c:f>
              <c:numCache>
                <c:formatCode>General</c:formatCode>
                <c:ptCount val="3"/>
                <c:pt idx="0">
                  <c:v>0.1416985330828503</c:v>
                </c:pt>
                <c:pt idx="1">
                  <c:v>0.14204251682852848</c:v>
                </c:pt>
                <c:pt idx="2">
                  <c:v>0.14168085802871905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8-4DAE-8CA4-5D997169218D}"/>
            </c:ext>
          </c:extLst>
        </c:ser>
        <c:ser>
          <c:idx val="1"/>
          <c:order val="1"/>
          <c:tx>
            <c:v>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Лист1!$C$40:$C$42</c:f>
              <c:numCache>
                <c:formatCode>General</c:formatCode>
                <c:ptCount val="3"/>
                <c:pt idx="0">
                  <c:v>296</c:v>
                </c:pt>
                <c:pt idx="1">
                  <c:v>305.3</c:v>
                </c:pt>
                <c:pt idx="2">
                  <c:v>313.3</c:v>
                </c:pt>
              </c:numCache>
            </c:numRef>
          </c:cat>
          <c:val>
            <c:numRef>
              <c:f>Лист1!$A$40:$A$42</c:f>
              <c:numCache>
                <c:formatCode>General</c:formatCode>
                <c:ptCount val="3"/>
                <c:pt idx="0">
                  <c:v>7.4894880114813767E-2</c:v>
                </c:pt>
                <c:pt idx="1">
                  <c:v>7.7247996280583264E-2</c:v>
                </c:pt>
                <c:pt idx="2">
                  <c:v>7.9272182229632282E-2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6-45F3-AFCA-4E15393B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708095"/>
        <c:axId val="1464724319"/>
      </c:lineChart>
      <c:catAx>
        <c:axId val="146470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724319"/>
        <c:crosses val="autoZero"/>
        <c:auto val="1"/>
        <c:lblAlgn val="ctr"/>
        <c:lblOffset val="100"/>
        <c:noMultiLvlLbl val="0"/>
      </c:catAx>
      <c:valAx>
        <c:axId val="14647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7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Лист1!$A$49</c:f>
              <c:strCache>
                <c:ptCount val="1"/>
                <c:pt idx="0">
                  <c:v>U /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Лист1!$C$50:$C$52</c:f>
              <c:numCache>
                <c:formatCode>General</c:formatCode>
                <c:ptCount val="3"/>
                <c:pt idx="0">
                  <c:v>296</c:v>
                </c:pt>
                <c:pt idx="1">
                  <c:v>305.3</c:v>
                </c:pt>
                <c:pt idx="2">
                  <c:v>313.3</c:v>
                </c:pt>
              </c:numCache>
            </c:numRef>
          </c:cat>
          <c:val>
            <c:numRef>
              <c:f>Лист1!$A$50:$A$52</c:f>
              <c:numCache>
                <c:formatCode>General</c:formatCode>
                <c:ptCount val="3"/>
                <c:pt idx="0">
                  <c:v>0.1416985330828503</c:v>
                </c:pt>
                <c:pt idx="1">
                  <c:v>0.14204251682852848</c:v>
                </c:pt>
                <c:pt idx="2">
                  <c:v>0.14168085802871905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8-4523-ABD0-033445E97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325183"/>
        <c:axId val="1458323935"/>
      </c:lineChart>
      <c:catAx>
        <c:axId val="145832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323935"/>
        <c:crosses val="autoZero"/>
        <c:auto val="1"/>
        <c:lblAlgn val="ctr"/>
        <c:lblOffset val="100"/>
        <c:noMultiLvlLbl val="0"/>
      </c:catAx>
      <c:valAx>
        <c:axId val="14583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32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22</xdr:row>
      <xdr:rowOff>106680</xdr:rowOff>
    </xdr:from>
    <xdr:to>
      <xdr:col>13</xdr:col>
      <xdr:colOff>457200</xdr:colOff>
      <xdr:row>37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282FF7-6DA1-4236-AB16-2A6FC441D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38</xdr:row>
      <xdr:rowOff>76200</xdr:rowOff>
    </xdr:from>
    <xdr:to>
      <xdr:col>14</xdr:col>
      <xdr:colOff>388620</xdr:colOff>
      <xdr:row>55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DA747A-68DF-43CD-AC66-2C33D119B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487680</xdr:colOff>
      <xdr:row>62</xdr:row>
      <xdr:rowOff>22860</xdr:rowOff>
    </xdr:from>
    <xdr:to>
      <xdr:col>11</xdr:col>
      <xdr:colOff>495300</xdr:colOff>
      <xdr:row>77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09C2CC-8C5E-4526-8B76-456C4538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488A-3F06-4829-AB1A-90778CDA122C}">
  <dimension ref="A1:U52"/>
  <sheetViews>
    <sheetView tabSelected="1" topLeftCell="A16" zoomScaleNormal="100" workbookViewId="0">
      <selection activeCell="P33" sqref="P33"/>
    </sheetView>
  </sheetViews>
  <sheetFormatPr defaultRowHeight="14.4" x14ac:dyDescent="0.3"/>
  <cols>
    <col min="2" max="2" width="12" bestFit="1" customWidth="1"/>
    <col min="3" max="3" width="11.44140625" customWidth="1"/>
    <col min="5" max="5" width="10.109375" customWidth="1"/>
    <col min="8" max="8" width="12" bestFit="1" customWidth="1"/>
    <col min="19" max="20" width="11.88671875" customWidth="1"/>
    <col min="21" max="21" width="11.21875" customWidth="1"/>
  </cols>
  <sheetData>
    <row r="1" spans="1:21" x14ac:dyDescent="0.3">
      <c r="C1" t="s">
        <v>1</v>
      </c>
      <c r="E1" t="s">
        <v>3</v>
      </c>
      <c r="F1" t="s">
        <v>0</v>
      </c>
      <c r="H1" t="s">
        <v>5</v>
      </c>
      <c r="J1" t="s">
        <v>4</v>
      </c>
      <c r="K1" t="s">
        <v>23</v>
      </c>
      <c r="L1">
        <v>23</v>
      </c>
      <c r="M1" t="s">
        <v>7</v>
      </c>
      <c r="Q1" t="s">
        <v>8</v>
      </c>
      <c r="S1" t="s">
        <v>15</v>
      </c>
      <c r="U1" t="s">
        <v>16</v>
      </c>
    </row>
    <row r="2" spans="1:21" x14ac:dyDescent="0.3">
      <c r="A2">
        <v>9.81</v>
      </c>
      <c r="B2">
        <f xml:space="preserve"> C2 * A$2*A$3</f>
        <v>88.29000000000002</v>
      </c>
      <c r="C2">
        <v>45</v>
      </c>
      <c r="D2">
        <f xml:space="preserve"> (C2 - C$10)^2</f>
        <v>1.4400000000000068</v>
      </c>
      <c r="E2">
        <f xml:space="preserve"> (SUM(D2:D7) / 5 / 4)^0.5</f>
        <v>0.58309518948452999</v>
      </c>
      <c r="F2">
        <f xml:space="preserve"> (E2^2 + 0.5^2)^0.5</f>
        <v>0.76811457478686074</v>
      </c>
      <c r="H2">
        <f>2*A4 / C10/ A2 / A3</f>
        <v>5.1201132010482268E-4</v>
      </c>
      <c r="J2">
        <v>1.55E-2</v>
      </c>
      <c r="L2">
        <f>M2 * A$2 * A$3</f>
        <v>274.68</v>
      </c>
      <c r="M2">
        <v>140</v>
      </c>
      <c r="N2">
        <f xml:space="preserve"> (M2 - M$8)^2</f>
        <v>49</v>
      </c>
      <c r="P2">
        <f xml:space="preserve"> Q2 * A$3 * A$2</f>
        <v>412.02000000000004</v>
      </c>
      <c r="Q2">
        <v>210</v>
      </c>
      <c r="R2">
        <f xml:space="preserve"> (Q2 - Q$8)^2</f>
        <v>2.25</v>
      </c>
      <c r="S2">
        <f xml:space="preserve"> (SUM(N2:N4) / 2 / 3)^0.5</f>
        <v>4.358898943540674</v>
      </c>
      <c r="U2">
        <f xml:space="preserve"> (SUM(R2:R4) / 4 / 3)^0.5</f>
        <v>0.47871355387816905</v>
      </c>
    </row>
    <row r="3" spans="1:21" x14ac:dyDescent="0.3">
      <c r="A3">
        <v>0.2</v>
      </c>
      <c r="B3">
        <f t="shared" ref="B3:B7" si="0" xml:space="preserve"> C3 * A$2*A$3</f>
        <v>88.29000000000002</v>
      </c>
      <c r="C3">
        <v>45</v>
      </c>
      <c r="D3">
        <f xml:space="preserve"> (C3 - C$10)^2</f>
        <v>1.4400000000000068</v>
      </c>
      <c r="F3" t="s">
        <v>13</v>
      </c>
      <c r="H3" t="s">
        <v>6</v>
      </c>
      <c r="J3" t="s">
        <v>12</v>
      </c>
      <c r="L3">
        <f t="shared" ref="L3:L4" si="1">M3 * A$2 * A$3</f>
        <v>262.90800000000002</v>
      </c>
      <c r="M3">
        <v>134</v>
      </c>
      <c r="N3">
        <f xml:space="preserve"> (M3 - M$8)^2</f>
        <v>1</v>
      </c>
      <c r="P3">
        <f t="shared" ref="P3:P5" si="2" xml:space="preserve"> Q3 * A$3 * A$2</f>
        <v>413.98200000000003</v>
      </c>
      <c r="Q3">
        <v>211</v>
      </c>
      <c r="R3">
        <f xml:space="preserve"> (Q3 - Q$8)^2</f>
        <v>0.25</v>
      </c>
      <c r="S3" t="s">
        <v>14</v>
      </c>
      <c r="U3" t="s">
        <v>17</v>
      </c>
    </row>
    <row r="4" spans="1:21" x14ac:dyDescent="0.3">
      <c r="A4">
        <v>2.1999999999999999E-2</v>
      </c>
      <c r="B4">
        <f t="shared" si="0"/>
        <v>82.404000000000011</v>
      </c>
      <c r="C4">
        <v>42</v>
      </c>
      <c r="D4">
        <f xml:space="preserve"> (C4 - C$10)^2</f>
        <v>3.2399999999999896</v>
      </c>
      <c r="F4">
        <f>A2*A3*F2</f>
        <v>1.5070407957318208</v>
      </c>
      <c r="H4">
        <f>2*A4 / C10/ A2 / A3 * F4 / C10 / A2 / A3</f>
        <v>8.9790720874058247E-6</v>
      </c>
      <c r="J4">
        <v>1E-3</v>
      </c>
      <c r="L4">
        <f t="shared" si="1"/>
        <v>245.25</v>
      </c>
      <c r="M4">
        <v>125</v>
      </c>
      <c r="N4">
        <f xml:space="preserve"> (M4 - M$8)^2</f>
        <v>64</v>
      </c>
      <c r="P4">
        <f t="shared" si="2"/>
        <v>415.94400000000007</v>
      </c>
      <c r="Q4">
        <v>212</v>
      </c>
      <c r="R4">
        <f xml:space="preserve"> (Q4 - Q$8)^2</f>
        <v>0.25</v>
      </c>
      <c r="S4">
        <f>(S2^2+0.5^2)^0.5</f>
        <v>4.3874821936960613</v>
      </c>
      <c r="U4">
        <f>(U2^2+0.5^2)^0.5</f>
        <v>0.69221865524317283</v>
      </c>
    </row>
    <row r="5" spans="1:21" x14ac:dyDescent="0.3">
      <c r="B5">
        <f t="shared" si="0"/>
        <v>86.328000000000017</v>
      </c>
      <c r="C5">
        <v>44</v>
      </c>
      <c r="D5">
        <f xml:space="preserve"> (C5 - C$10)^2</f>
        <v>4.0000000000001139E-2</v>
      </c>
      <c r="P5">
        <f t="shared" si="2"/>
        <v>417.90600000000006</v>
      </c>
      <c r="Q5">
        <v>213</v>
      </c>
      <c r="R5">
        <f xml:space="preserve"> (Q5 - Q$8)^2</f>
        <v>2.25</v>
      </c>
      <c r="S5">
        <f>A2*A3*S4</f>
        <v>8.6082400640316727</v>
      </c>
      <c r="U5">
        <f>A2*A3*U4</f>
        <v>1.3581330015871051</v>
      </c>
    </row>
    <row r="6" spans="1:21" x14ac:dyDescent="0.3">
      <c r="S6">
        <f>S5 / M9 *100</f>
        <v>3.2988587922526778</v>
      </c>
      <c r="U6">
        <f>U5 / Q10 * 100</f>
        <v>0.32729014432301307</v>
      </c>
    </row>
    <row r="7" spans="1:21" x14ac:dyDescent="0.3">
      <c r="B7">
        <f t="shared" si="0"/>
        <v>84.366000000000014</v>
      </c>
      <c r="C7">
        <v>43</v>
      </c>
      <c r="D7">
        <f xml:space="preserve"> (C7 - C$10)^2</f>
        <v>0.63999999999999546</v>
      </c>
      <c r="F7">
        <f>F4 / D10 * 100</f>
        <v>1.7536862438056178</v>
      </c>
      <c r="H7">
        <f>H4 / H2 * 100</f>
        <v>1.7536862438056182</v>
      </c>
      <c r="M7" t="s">
        <v>2</v>
      </c>
      <c r="Q7" t="s">
        <v>2</v>
      </c>
      <c r="R7" t="s">
        <v>9</v>
      </c>
      <c r="S7" t="s">
        <v>10</v>
      </c>
      <c r="T7" t="s">
        <v>18</v>
      </c>
      <c r="U7" t="s">
        <v>11</v>
      </c>
    </row>
    <row r="8" spans="1:21" x14ac:dyDescent="0.3">
      <c r="C8" t="s">
        <v>2</v>
      </c>
      <c r="M8">
        <f>SUM(M2:M4) / 3</f>
        <v>133</v>
      </c>
      <c r="Q8">
        <f xml:space="preserve"> SUM(Q2:Q5) / 4</f>
        <v>211.5</v>
      </c>
      <c r="R8">
        <f xml:space="preserve"> Q8 - M8</f>
        <v>78.5</v>
      </c>
      <c r="S8">
        <f>R8*A3*A2</f>
        <v>154.01700000000002</v>
      </c>
      <c r="T8">
        <f>(S5^2+U5^2)^0.5</f>
        <v>8.7147187131886259</v>
      </c>
      <c r="U8">
        <f>S8 / 1000 / 10</f>
        <v>1.5401700000000001E-2</v>
      </c>
    </row>
    <row r="9" spans="1:21" x14ac:dyDescent="0.3">
      <c r="M9">
        <f>M8 * A3 * A2</f>
        <v>260.94600000000003</v>
      </c>
      <c r="T9">
        <f xml:space="preserve"> T8 / S8 * 100</f>
        <v>5.6582836395908398</v>
      </c>
    </row>
    <row r="10" spans="1:21" x14ac:dyDescent="0.3">
      <c r="C10">
        <f>SUM(C2:C7) / 5</f>
        <v>43.8</v>
      </c>
      <c r="D10">
        <f>C10*A3*A2</f>
        <v>85.935600000000008</v>
      </c>
      <c r="Q10">
        <f>Q8*A3*A2</f>
        <v>414.96300000000008</v>
      </c>
      <c r="T10" t="s">
        <v>12</v>
      </c>
    </row>
    <row r="11" spans="1:21" x14ac:dyDescent="0.3">
      <c r="Q11" t="s">
        <v>21</v>
      </c>
      <c r="R11" t="s">
        <v>22</v>
      </c>
      <c r="T11">
        <f xml:space="preserve"> T8 / 10000</f>
        <v>8.7147187131886262E-4</v>
      </c>
    </row>
    <row r="12" spans="1:21" x14ac:dyDescent="0.3">
      <c r="Q12">
        <f xml:space="preserve"> 0.5*(Q10 - 10000*U8)*H2</f>
        <v>6.6803652968036545E-2</v>
      </c>
      <c r="R12">
        <f>H2 / 2 *U5</f>
        <v>3.4768973551026948E-4</v>
      </c>
    </row>
    <row r="13" spans="1:21" x14ac:dyDescent="0.3">
      <c r="B13" t="s">
        <v>23</v>
      </c>
      <c r="C13">
        <v>32.299999999999997</v>
      </c>
      <c r="D13" t="s">
        <v>19</v>
      </c>
      <c r="F13" t="s">
        <v>23</v>
      </c>
      <c r="G13">
        <v>40.299999999999997</v>
      </c>
      <c r="H13" t="s">
        <v>19</v>
      </c>
      <c r="T13">
        <f>T11 / U8 * 100</f>
        <v>5.6582836395908407</v>
      </c>
    </row>
    <row r="14" spans="1:21" x14ac:dyDescent="0.3">
      <c r="C14">
        <f>D14*A$2*A$3</f>
        <v>404.17200000000003</v>
      </c>
      <c r="D14">
        <v>206</v>
      </c>
      <c r="E14">
        <f>(D14-D$19)^2</f>
        <v>2.25</v>
      </c>
      <c r="G14">
        <f>H14*A$2*A$3</f>
        <v>392.40000000000003</v>
      </c>
      <c r="H14">
        <v>200</v>
      </c>
      <c r="I14">
        <f>(H14-H$19)^2</f>
        <v>7.5625</v>
      </c>
      <c r="R14">
        <f xml:space="preserve"> R12 / Q12* 100</f>
        <v>0.52046515431817497</v>
      </c>
    </row>
    <row r="15" spans="1:21" x14ac:dyDescent="0.3">
      <c r="C15">
        <f t="shared" ref="C15:C17" si="3">D15*A$2*A$3</f>
        <v>406.13400000000001</v>
      </c>
      <c r="D15">
        <v>207</v>
      </c>
      <c r="E15">
        <f t="shared" ref="E15:E17" si="4">(D15-D$19)^2</f>
        <v>0.25</v>
      </c>
      <c r="G15">
        <f t="shared" ref="G15:G17" si="5">H15*A$2*A$3</f>
        <v>394.36200000000008</v>
      </c>
      <c r="H15">
        <v>201</v>
      </c>
      <c r="I15">
        <f t="shared" ref="I15:I17" si="6">(H15-H$19)^2</f>
        <v>3.0625</v>
      </c>
    </row>
    <row r="16" spans="1:21" x14ac:dyDescent="0.3">
      <c r="C16">
        <f t="shared" si="3"/>
        <v>408.096</v>
      </c>
      <c r="D16">
        <v>208</v>
      </c>
      <c r="E16">
        <f t="shared" si="4"/>
        <v>0.25</v>
      </c>
      <c r="G16">
        <f t="shared" si="5"/>
        <v>402.21000000000004</v>
      </c>
      <c r="H16">
        <v>205</v>
      </c>
      <c r="I16">
        <f t="shared" si="6"/>
        <v>5.0625</v>
      </c>
    </row>
    <row r="17" spans="1:16" x14ac:dyDescent="0.3">
      <c r="C17">
        <f t="shared" si="3"/>
        <v>410.05799999999999</v>
      </c>
      <c r="D17">
        <v>209</v>
      </c>
      <c r="E17">
        <f t="shared" si="4"/>
        <v>2.25</v>
      </c>
      <c r="G17">
        <f t="shared" si="5"/>
        <v>402.21000000000004</v>
      </c>
      <c r="H17">
        <v>205</v>
      </c>
      <c r="I17">
        <f t="shared" si="6"/>
        <v>5.0625</v>
      </c>
    </row>
    <row r="18" spans="1:16" x14ac:dyDescent="0.3">
      <c r="D18" t="s">
        <v>2</v>
      </c>
      <c r="E18" t="s">
        <v>20</v>
      </c>
      <c r="H18" t="s">
        <v>2</v>
      </c>
      <c r="I18" t="s">
        <v>20</v>
      </c>
    </row>
    <row r="19" spans="1:16" x14ac:dyDescent="0.3">
      <c r="D19">
        <f>SUM(D14:D17) / 4</f>
        <v>207.5</v>
      </c>
      <c r="E19">
        <f>((SUM(E14:E17) / 3 / 4) + 0.5^2)^0.5</f>
        <v>0.81649658092772603</v>
      </c>
      <c r="H19">
        <f xml:space="preserve"> SUM(H14:H17) / 4</f>
        <v>202.75</v>
      </c>
      <c r="I19">
        <f>((SUM(I14:I17) / 3 / 4) + 0.5^2)^0.5</f>
        <v>1.4068285846778443</v>
      </c>
    </row>
    <row r="20" spans="1:16" x14ac:dyDescent="0.3">
      <c r="D20">
        <f>D19*A2*A3</f>
        <v>407.11500000000001</v>
      </c>
      <c r="E20">
        <f>E19*A3*A2</f>
        <v>1.6019662917801987</v>
      </c>
      <c r="F20">
        <f>E20 / D20 * 100</f>
        <v>0.39349232815794027</v>
      </c>
      <c r="H20">
        <f>H19*A3*A2</f>
        <v>397.79550000000006</v>
      </c>
      <c r="I20">
        <f>I19*A3*A2</f>
        <v>2.7601976831379309</v>
      </c>
      <c r="J20">
        <f xml:space="preserve"> I20 / H20 *100</f>
        <v>0.69387353128377038</v>
      </c>
    </row>
    <row r="21" spans="1:16" x14ac:dyDescent="0.3">
      <c r="D21" t="s">
        <v>21</v>
      </c>
      <c r="E21" t="s">
        <v>22</v>
      </c>
      <c r="H21" t="s">
        <v>21</v>
      </c>
    </row>
    <row r="22" spans="1:16" x14ac:dyDescent="0.3">
      <c r="D22">
        <f xml:space="preserve"> 0.5*(D20  - 10000*U8)*H2</f>
        <v>6.4794520547945211E-2</v>
      </c>
      <c r="E22">
        <f>H2 / 2 *E20</f>
        <v>4.1011243790890355E-4</v>
      </c>
      <c r="F22">
        <f xml:space="preserve"> E22 / D22 * 100</f>
        <v>0.63294308599048532</v>
      </c>
      <c r="H22">
        <f xml:space="preserve"> 0.5*(H20  - 10000*U8)*H2</f>
        <v>6.2408675799086773E-2</v>
      </c>
      <c r="I22">
        <f>H2 / 2 *I20</f>
        <v>7.0662622974686251E-4</v>
      </c>
      <c r="J22">
        <f xml:space="preserve"> I22 / H22 * 100</f>
        <v>1.1322564061793514</v>
      </c>
    </row>
    <row r="23" spans="1:16" x14ac:dyDescent="0.3">
      <c r="P23">
        <f>(67-62) / 4</f>
        <v>1.25</v>
      </c>
    </row>
    <row r="24" spans="1:16" x14ac:dyDescent="0.3">
      <c r="B24" t="s">
        <v>29</v>
      </c>
      <c r="D24" t="s">
        <v>29</v>
      </c>
      <c r="F24" t="s">
        <v>27</v>
      </c>
      <c r="P24">
        <f>2.5 /P23</f>
        <v>2</v>
      </c>
    </row>
    <row r="25" spans="1:16" x14ac:dyDescent="0.3">
      <c r="A25">
        <f>Q12</f>
        <v>6.6803652968036545E-2</v>
      </c>
      <c r="B25">
        <f>A25^2</f>
        <v>4.4627280498738577E-3</v>
      </c>
      <c r="C25">
        <f>L1 + 273</f>
        <v>296</v>
      </c>
      <c r="D25">
        <f>C25^2</f>
        <v>87616</v>
      </c>
      <c r="F25">
        <f>A25*C25</f>
        <v>19.773881278538816</v>
      </c>
    </row>
    <row r="26" spans="1:16" x14ac:dyDescent="0.3">
      <c r="A26">
        <f>D22</f>
        <v>6.4794520547945211E-2</v>
      </c>
      <c r="B26">
        <f t="shared" ref="B26:B27" si="7">A26^2</f>
        <v>4.1983298930380946E-3</v>
      </c>
      <c r="C26">
        <f>C13 + 273</f>
        <v>305.3</v>
      </c>
      <c r="D26">
        <f>C26^2</f>
        <v>93208.090000000011</v>
      </c>
      <c r="F26">
        <f t="shared" ref="F26:F27" si="8">A26*C26</f>
        <v>19.781767123287676</v>
      </c>
      <c r="P26">
        <f>17.3 / 7.5</f>
        <v>2.3066666666666666</v>
      </c>
    </row>
    <row r="27" spans="1:16" x14ac:dyDescent="0.3">
      <c r="A27">
        <f>H22</f>
        <v>6.2408675799086773E-2</v>
      </c>
      <c r="B27">
        <f t="shared" si="7"/>
        <v>3.8948428149955189E-3</v>
      </c>
      <c r="C27">
        <f>G13 + 273</f>
        <v>313.3</v>
      </c>
      <c r="D27">
        <f t="shared" ref="D27" si="9">C27^2</f>
        <v>98156.890000000014</v>
      </c>
      <c r="F27">
        <f t="shared" si="8"/>
        <v>19.552638127853886</v>
      </c>
      <c r="P27">
        <f>(305.3 - 296) / P26</f>
        <v>4.0317919075144557</v>
      </c>
    </row>
    <row r="28" spans="1:16" x14ac:dyDescent="0.3">
      <c r="P28">
        <f>(313.3-296)/P26</f>
        <v>7.5000000000000053</v>
      </c>
    </row>
    <row r="29" spans="1:16" x14ac:dyDescent="0.3">
      <c r="A29" t="s">
        <v>24</v>
      </c>
      <c r="B29" t="s">
        <v>25</v>
      </c>
      <c r="C29" t="s">
        <v>26</v>
      </c>
      <c r="D29" t="s">
        <v>27</v>
      </c>
      <c r="E29" t="s">
        <v>28</v>
      </c>
      <c r="F29" t="s">
        <v>33</v>
      </c>
    </row>
    <row r="30" spans="1:16" x14ac:dyDescent="0.3">
      <c r="B30">
        <f>SUM(C25:C27)/3</f>
        <v>304.86666666666662</v>
      </c>
      <c r="C30">
        <f>SUM(D25:D27) / 3</f>
        <v>92993.660000000018</v>
      </c>
      <c r="D30">
        <f>SUM(F25:F27) / 3</f>
        <v>19.702762176560125</v>
      </c>
      <c r="E30">
        <f>SUM(A25:A27 ) / 3</f>
        <v>6.4668949771689507E-2</v>
      </c>
      <c r="F30">
        <f>SUM(B25:B27)/3</f>
        <v>4.185300252635824E-3</v>
      </c>
      <c r="O30">
        <f>B33*296 + B34</f>
        <v>6.6912422531885507E-2</v>
      </c>
    </row>
    <row r="31" spans="1:16" x14ac:dyDescent="0.3">
      <c r="O31">
        <f>B33*305.3 + B34</f>
        <v>6.4559306366116009E-2</v>
      </c>
    </row>
    <row r="32" spans="1:16" x14ac:dyDescent="0.3">
      <c r="O32">
        <f>313.3*B33+B34</f>
        <v>6.2535120417066992E-2</v>
      </c>
    </row>
    <row r="33" spans="1:4" x14ac:dyDescent="0.3">
      <c r="A33" t="s">
        <v>30</v>
      </c>
      <c r="B33">
        <f>(D30-B30*E30) / (C30 - B30^2)</f>
        <v>-2.5302324363112759E-4</v>
      </c>
    </row>
    <row r="34" spans="1:4" x14ac:dyDescent="0.3">
      <c r="A34" t="s">
        <v>31</v>
      </c>
      <c r="B34">
        <f xml:space="preserve"> E30 - B33 * B30</f>
        <v>0.14180730264669927</v>
      </c>
    </row>
    <row r="36" spans="1:4" x14ac:dyDescent="0.3">
      <c r="A36" t="s">
        <v>32</v>
      </c>
      <c r="B36">
        <f>1/3^0.5*((F30-E30^2)/(C30-B30^2)-B33^2)^0.5</f>
        <v>1.3596195482769368E-5</v>
      </c>
      <c r="C36" t="s">
        <v>34</v>
      </c>
      <c r="D36">
        <f>B36 / B33 * (-1) *100</f>
        <v>5.3734966351908424</v>
      </c>
    </row>
    <row r="39" spans="1:4" x14ac:dyDescent="0.3">
      <c r="A39" t="s">
        <v>35</v>
      </c>
      <c r="C39" t="s">
        <v>23</v>
      </c>
    </row>
    <row r="40" spans="1:4" x14ac:dyDescent="0.3">
      <c r="A40">
        <f>-C40*B$33</f>
        <v>7.4894880114813767E-2</v>
      </c>
      <c r="C40">
        <f>C25</f>
        <v>296</v>
      </c>
    </row>
    <row r="41" spans="1:4" x14ac:dyDescent="0.3">
      <c r="A41">
        <f>-C41*B$33</f>
        <v>7.7247996280583264E-2</v>
      </c>
      <c r="C41">
        <f>C26</f>
        <v>305.3</v>
      </c>
    </row>
    <row r="42" spans="1:4" x14ac:dyDescent="0.3">
      <c r="A42">
        <f>-C42*B$33</f>
        <v>7.9272182229632282E-2</v>
      </c>
      <c r="C42">
        <f>C27</f>
        <v>313.3</v>
      </c>
    </row>
    <row r="49" spans="1:3" x14ac:dyDescent="0.3">
      <c r="A49" t="s">
        <v>36</v>
      </c>
      <c r="C49" t="s">
        <v>37</v>
      </c>
    </row>
    <row r="50" spans="1:3" x14ac:dyDescent="0.3">
      <c r="A50">
        <f>A25 +A40</f>
        <v>0.1416985330828503</v>
      </c>
      <c r="C50">
        <f>C40</f>
        <v>296</v>
      </c>
    </row>
    <row r="51" spans="1:3" x14ac:dyDescent="0.3">
      <c r="A51">
        <f t="shared" ref="A51" si="10">A26 +A41</f>
        <v>0.14204251682852848</v>
      </c>
      <c r="C51">
        <f>C41</f>
        <v>305.3</v>
      </c>
    </row>
    <row r="52" spans="1:3" x14ac:dyDescent="0.3">
      <c r="A52">
        <f>A27 +A42</f>
        <v>0.14168085802871905</v>
      </c>
      <c r="C52">
        <f>C42</f>
        <v>313.3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Rogozin</dc:creator>
  <cp:lastModifiedBy>Vladimir Rogozin</cp:lastModifiedBy>
  <dcterms:created xsi:type="dcterms:W3CDTF">2022-02-07T13:21:16Z</dcterms:created>
  <dcterms:modified xsi:type="dcterms:W3CDTF">2022-02-16T19:15:28Z</dcterms:modified>
</cp:coreProperties>
</file>