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bine Design" sheetId="1" r:id="rId4"/>
    <sheet state="visible" name="Turbine Heat exchanger" sheetId="2" r:id="rId5"/>
    <sheet state="visible" name="Hybrid Transfer Case" sheetId="3" r:id="rId6"/>
    <sheet state="visible" name="Axle Design" sheetId="4" r:id="rId7"/>
    <sheet state="visible" name="Electric Motors" sheetId="5" r:id="rId8"/>
    <sheet state="visible" name="Batteries" sheetId="6" r:id="rId9"/>
    <sheet state="visible" name="HVDC&amp;Rectifier" sheetId="7" r:id="rId10"/>
    <sheet state="visible" name="Weight Dist. and Assebly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2">
      <text>
        <t xml:space="preserve">this is just a holdover from the thermo2 version of this tabl
	-Vaughn Anderson</t>
      </text>
    </comment>
  </commentList>
</comments>
</file>

<file path=xl/sharedStrings.xml><?xml version="1.0" encoding="utf-8"?>
<sst xmlns="http://schemas.openxmlformats.org/spreadsheetml/2006/main" count="141" uniqueCount="101">
  <si>
    <t>Design Criteria</t>
  </si>
  <si>
    <t>Thermodynamic cycle</t>
  </si>
  <si>
    <t>Outer set</t>
  </si>
  <si>
    <t>(Imperial Units)</t>
  </si>
  <si>
    <t>Inner set</t>
  </si>
  <si>
    <t>Ideal Air table</t>
  </si>
  <si>
    <t>Imperial Units</t>
  </si>
  <si>
    <t>Units</t>
  </si>
  <si>
    <t>Intake</t>
  </si>
  <si>
    <t>T(R)</t>
  </si>
  <si>
    <t>h(BTU/lb)</t>
  </si>
  <si>
    <t>pr</t>
  </si>
  <si>
    <t>(in)</t>
  </si>
  <si>
    <t>turbine radius</t>
  </si>
  <si>
    <t>Temp</t>
  </si>
  <si>
    <t>R</t>
  </si>
  <si>
    <t>turbine Length</t>
  </si>
  <si>
    <t>h_a</t>
  </si>
  <si>
    <t>BTU/lbm</t>
  </si>
  <si>
    <t>(Hp)</t>
  </si>
  <si>
    <t>Output Power</t>
  </si>
  <si>
    <t>pr_a</t>
  </si>
  <si>
    <t>n/a</t>
  </si>
  <si>
    <t>(RPM)</t>
  </si>
  <si>
    <t>Rotation speed</t>
  </si>
  <si>
    <t>(BTU/lbm)</t>
  </si>
  <si>
    <t xml:space="preserve">diesel fuel: </t>
  </si>
  <si>
    <t>Pre outer Compressor</t>
  </si>
  <si>
    <t>(psi/psi)</t>
  </si>
  <si>
    <t>inner Compressrion</t>
  </si>
  <si>
    <t>h_1</t>
  </si>
  <si>
    <t>Compressor Eff.</t>
  </si>
  <si>
    <t>pr_1</t>
  </si>
  <si>
    <t>Turbine Eff.</t>
  </si>
  <si>
    <t>P_1</t>
  </si>
  <si>
    <t>psi</t>
  </si>
  <si>
    <t>(psi)</t>
  </si>
  <si>
    <t>ambient pressure</t>
  </si>
  <si>
    <t>(R)</t>
  </si>
  <si>
    <t>Exhaust Temp</t>
  </si>
  <si>
    <t>post outer Compressor</t>
  </si>
  <si>
    <t>Post inner Compressor</t>
  </si>
  <si>
    <t>outer Compression</t>
  </si>
  <si>
    <t>pr_2s</t>
  </si>
  <si>
    <t>pr_3s</t>
  </si>
  <si>
    <t xml:space="preserve">Compressor inlet temp: </t>
  </si>
  <si>
    <t>P_2</t>
  </si>
  <si>
    <t>P_3</t>
  </si>
  <si>
    <t>(ft/s)</t>
  </si>
  <si>
    <t>truck speed</t>
  </si>
  <si>
    <t>h_2s</t>
  </si>
  <si>
    <t>h_3s</t>
  </si>
  <si>
    <t>(lbm/s)</t>
  </si>
  <si>
    <t>Mass Flow rate(estimate)</t>
  </si>
  <si>
    <t>h_2</t>
  </si>
  <si>
    <t>cp</t>
  </si>
  <si>
    <t>post regen H_b</t>
  </si>
  <si>
    <t>k</t>
  </si>
  <si>
    <t>pre inner turbine</t>
  </si>
  <si>
    <t>Combustion temp.</t>
  </si>
  <si>
    <t>h_4</t>
  </si>
  <si>
    <t>Output turbine Work h</t>
  </si>
  <si>
    <t>lol looks like putting a turbine in front makes it more efficient due to the regen</t>
  </si>
  <si>
    <t>pr_4</t>
  </si>
  <si>
    <t>Hp out</t>
  </si>
  <si>
    <t>but for more power output a typical system is better.</t>
  </si>
  <si>
    <t>P_4</t>
  </si>
  <si>
    <t>post inner turbine</t>
  </si>
  <si>
    <t>post outer turbine</t>
  </si>
  <si>
    <t>h_5s</t>
  </si>
  <si>
    <t>h_6s</t>
  </si>
  <si>
    <t>pr_5s</t>
  </si>
  <si>
    <t>pr_6s</t>
  </si>
  <si>
    <t>P_5</t>
  </si>
  <si>
    <t>P_6</t>
  </si>
  <si>
    <t>h_5</t>
  </si>
  <si>
    <t>h_6</t>
  </si>
  <si>
    <t>pr_5</t>
  </si>
  <si>
    <t>pr_6</t>
  </si>
  <si>
    <t>state (5):</t>
  </si>
  <si>
    <t>pr_7</t>
  </si>
  <si>
    <t>h_7</t>
  </si>
  <si>
    <t>V_7</t>
  </si>
  <si>
    <t>ft/s</t>
  </si>
  <si>
    <t>Fuel Consumption</t>
  </si>
  <si>
    <t>Q_in</t>
  </si>
  <si>
    <t>m_dot_air</t>
  </si>
  <si>
    <t>lbm/s</t>
  </si>
  <si>
    <t>JF_heating</t>
  </si>
  <si>
    <t>m_dot_JF</t>
  </si>
  <si>
    <t>Applied Force</t>
  </si>
  <si>
    <t>(from exhaust gasses)</t>
  </si>
  <si>
    <t>(holdover, bad val)</t>
  </si>
  <si>
    <t>Force:</t>
  </si>
  <si>
    <t>lbf</t>
  </si>
  <si>
    <t>Work of Engine air</t>
  </si>
  <si>
    <t xml:space="preserve">Work </t>
  </si>
  <si>
    <t>hp</t>
  </si>
  <si>
    <t>Porpulsive efficiency</t>
  </si>
  <si>
    <t>ƞ</t>
  </si>
  <si>
    <t>Thermal Eff.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</si>
</sst>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name val="Arial"/>
    </font>
    <font>
      <sz val="11.0"/>
      <color rgb="FF000000"/>
      <name val="Inconsolata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2" fontId="2" numFmtId="0" xfId="0" applyAlignment="1" applyBorder="1" applyFill="1" applyFont="1">
      <alignment readingOrder="0"/>
    </xf>
    <xf borderId="3" fillId="2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4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7" fillId="0" fontId="2" numFmtId="0" xfId="0" applyAlignment="1" applyBorder="1" applyFont="1">
      <alignment vertical="bottom"/>
    </xf>
    <xf borderId="8" fillId="3" fontId="2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0" fillId="0" fontId="2" numFmtId="0" xfId="0" applyAlignment="1" applyFont="1">
      <alignment horizontal="right" readingOrder="0" vertical="bottom"/>
    </xf>
    <xf borderId="8" fillId="3" fontId="2" numFmtId="0" xfId="0" applyAlignment="1" applyBorder="1" applyFont="1">
      <alignment horizontal="right" vertical="bottom"/>
    </xf>
    <xf borderId="0" fillId="3" fontId="2" numFmtId="0" xfId="0" applyAlignment="1" applyFont="1">
      <alignment horizontal="right" vertical="bottom"/>
    </xf>
    <xf borderId="1" fillId="3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10" fillId="0" fontId="2" numFmtId="0" xfId="0" applyAlignment="1" applyBorder="1" applyFont="1">
      <alignment vertical="bottom"/>
    </xf>
    <xf borderId="11" fillId="0" fontId="2" numFmtId="0" xfId="0" applyAlignment="1" applyBorder="1" applyFont="1">
      <alignment horizontal="right" vertical="bottom"/>
    </xf>
    <xf borderId="12" fillId="0" fontId="2" numFmtId="0" xfId="0" applyAlignment="1" applyBorder="1" applyFont="1">
      <alignment vertical="bottom"/>
    </xf>
    <xf borderId="7" fillId="0" fontId="2" numFmtId="0" xfId="0" applyBorder="1" applyFont="1"/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9" fillId="0" fontId="2" numFmtId="0" xfId="0" applyAlignment="1" applyBorder="1" applyFont="1">
      <alignment readingOrder="0" vertical="bottom"/>
    </xf>
    <xf borderId="10" fillId="0" fontId="2" numFmtId="0" xfId="0" applyAlignment="1" applyBorder="1" applyFont="1">
      <alignment readingOrder="0" vertical="bottom"/>
    </xf>
    <xf borderId="0" fillId="2" fontId="2" numFmtId="0" xfId="0" applyFont="1"/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vertical="bottom"/>
    </xf>
    <xf borderId="0" fillId="4" fontId="6" numFmtId="0" xfId="0" applyFill="1" applyFont="1"/>
    <xf borderId="0" fillId="0" fontId="3" numFmtId="0" xfId="0" applyAlignment="1" applyFont="1">
      <alignment horizontal="left" readingOrder="0"/>
    </xf>
    <xf borderId="5" fillId="0" fontId="2" numFmtId="0" xfId="0" applyBorder="1" applyFont="1"/>
    <xf borderId="6" fillId="0" fontId="2" numFmtId="0" xfId="0" applyBorder="1" applyFont="1"/>
    <xf borderId="4" fillId="0" fontId="2" numFmtId="0" xfId="0" applyAlignment="1" applyBorder="1" applyFont="1">
      <alignment vertical="bottom"/>
    </xf>
    <xf borderId="11" fillId="4" fontId="6" numFmtId="0" xfId="0" applyAlignment="1" applyBorder="1" applyFont="1">
      <alignment horizontal="left"/>
    </xf>
    <xf borderId="11" fillId="0" fontId="2" numFmtId="0" xfId="0" applyAlignment="1" applyBorder="1" applyFont="1">
      <alignment vertical="bottom"/>
    </xf>
    <xf borderId="0" fillId="0" fontId="6" numFmtId="0" xfId="0" applyAlignment="1" applyFont="1">
      <alignment horizontal="left"/>
    </xf>
    <xf borderId="9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4" fontId="6" numFmtId="0" xfId="0" applyAlignment="1" applyFont="1">
      <alignment horizontal="left" readingOrder="0"/>
    </xf>
    <xf borderId="10" fillId="5" fontId="2" numFmtId="0" xfId="0" applyAlignment="1" applyBorder="1" applyFill="1" applyFont="1">
      <alignment vertical="bottom"/>
    </xf>
    <xf borderId="11" fillId="5" fontId="2" numFmtId="0" xfId="0" applyAlignment="1" applyBorder="1" applyFont="1">
      <alignment horizontal="right" vertical="bottom"/>
    </xf>
    <xf borderId="11" fillId="5" fontId="2" numFmtId="0" xfId="0" applyAlignment="1" applyBorder="1" applyFont="1">
      <alignment vertical="bottom"/>
    </xf>
    <xf borderId="4" fillId="6" fontId="2" numFmtId="0" xfId="0" applyAlignment="1" applyBorder="1" applyFill="1" applyFont="1">
      <alignment shrinkToFit="0" vertical="bottom" wrapText="0"/>
    </xf>
    <xf borderId="5" fillId="6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10" fillId="6" fontId="2" numFmtId="0" xfId="0" applyAlignment="1" applyBorder="1" applyFont="1">
      <alignment vertical="bottom"/>
    </xf>
    <xf borderId="11" fillId="6" fontId="2" numFmtId="0" xfId="0" applyAlignment="1" applyBorder="1" applyFont="1">
      <alignment horizontal="right" vertical="bottom"/>
    </xf>
    <xf borderId="11" fillId="6" fontId="2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4" fillId="0" fontId="2" numFmtId="0" xfId="0" applyAlignment="1" applyBorder="1" applyFont="1">
      <alignment readingOrder="0" shrinkToFit="0" vertical="bottom" wrapText="0"/>
    </xf>
    <xf borderId="5" fillId="6" fontId="2" numFmtId="0" xfId="0" applyAlignment="1" applyBorder="1" applyFont="1">
      <alignment vertical="bottom"/>
    </xf>
    <xf borderId="10" fillId="6" fontId="7" numFmtId="0" xfId="0" applyAlignment="1" applyBorder="1" applyFont="1">
      <alignment vertical="bottom"/>
    </xf>
    <xf borderId="4" fillId="0" fontId="2" numFmtId="0" xfId="0" applyAlignment="1" applyBorder="1" applyFont="1">
      <alignment readingOrder="0"/>
    </xf>
    <xf borderId="1" fillId="5" fontId="7" numFmtId="0" xfId="0" applyAlignment="1" applyBorder="1" applyFont="1">
      <alignment vertical="bottom"/>
    </xf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7.43"/>
    <col customWidth="1" min="4" max="9" width="21.14"/>
    <col customWidth="1" min="10" max="10" width="19.43"/>
  </cols>
  <sheetData>
    <row r="1">
      <c r="A1" s="1" t="s">
        <v>0</v>
      </c>
      <c r="B1" s="1"/>
      <c r="C1" s="1"/>
      <c r="D1" s="1" t="s">
        <v>1</v>
      </c>
      <c r="E1" s="2" t="s">
        <v>2</v>
      </c>
      <c r="F1" s="1" t="s">
        <v>3</v>
      </c>
      <c r="H1" s="1" t="s">
        <v>1</v>
      </c>
      <c r="I1" s="2" t="s">
        <v>4</v>
      </c>
      <c r="J1" s="1" t="s">
        <v>3</v>
      </c>
      <c r="K1" s="3" t="s">
        <v>5</v>
      </c>
      <c r="L1" s="3"/>
      <c r="M1" s="3"/>
    </row>
    <row r="2">
      <c r="A2" s="4" t="s">
        <v>6</v>
      </c>
      <c r="B2" s="5"/>
      <c r="C2" s="6" t="s">
        <v>7</v>
      </c>
      <c r="D2" s="7" t="s">
        <v>8</v>
      </c>
      <c r="E2" s="8"/>
      <c r="F2" s="9" t="s">
        <v>7</v>
      </c>
      <c r="H2" s="10"/>
      <c r="I2" s="10"/>
      <c r="J2" s="11"/>
      <c r="K2" s="12" t="s">
        <v>9</v>
      </c>
      <c r="L2" s="13" t="s">
        <v>10</v>
      </c>
      <c r="M2" s="13" t="s">
        <v>11</v>
      </c>
    </row>
    <row r="3">
      <c r="A3" s="6">
        <v>8.0</v>
      </c>
      <c r="B3" s="6" t="s">
        <v>12</v>
      </c>
      <c r="C3" s="6" t="s">
        <v>13</v>
      </c>
      <c r="D3" s="14" t="s">
        <v>14</v>
      </c>
      <c r="E3" s="15">
        <f>A14</f>
        <v>400</v>
      </c>
      <c r="F3" s="11" t="s">
        <v>15</v>
      </c>
      <c r="H3" s="10"/>
      <c r="I3" s="15"/>
      <c r="J3" s="11"/>
      <c r="K3" s="16">
        <v>0.0</v>
      </c>
      <c r="L3" s="17">
        <v>-0.07</v>
      </c>
      <c r="M3" s="18">
        <v>-0.921</v>
      </c>
    </row>
    <row r="4">
      <c r="A4" s="6">
        <v>24.0</v>
      </c>
      <c r="B4" s="6" t="s">
        <v>12</v>
      </c>
      <c r="C4" s="6" t="s">
        <v>16</v>
      </c>
      <c r="D4" s="14" t="s">
        <v>17</v>
      </c>
      <c r="E4" s="19">
        <f t="array" ref="E4">FORECAST(E3,
INDEX(L3:L79,MATCH(E3,K3:K79,1)):INDEX(L3:L79,MATCH(E3,K3:K79,1)+1),
INDEX(K3:K79,MATCH(E3,K3:K79,1)):INDEX(K3:K79,MATCH(E3,K3:K79,1)+1))</f>
        <v>95.53</v>
      </c>
      <c r="F4" s="11" t="s">
        <v>18</v>
      </c>
      <c r="H4" s="10"/>
      <c r="I4" s="19"/>
      <c r="J4" s="11"/>
      <c r="K4" s="16">
        <v>380.0</v>
      </c>
      <c r="L4" s="17">
        <v>90.75</v>
      </c>
      <c r="M4" s="18">
        <v>0.4061</v>
      </c>
    </row>
    <row r="5">
      <c r="A5" s="6">
        <v>0.0</v>
      </c>
      <c r="B5" s="6" t="s">
        <v>19</v>
      </c>
      <c r="C5" s="6" t="s">
        <v>20</v>
      </c>
      <c r="D5" s="20" t="s">
        <v>21</v>
      </c>
      <c r="E5" s="21">
        <f t="array" ref="E5">FORECAST(E3,
INDEX(M3:M79,MATCH(E3,K3:K79,1)):INDEX(M3:M79,MATCH(E3,K3:K79,1)+1),
INDEX(K3:K79,MATCH(E3,K3:K79,1)):INDEX(K3:K79,MATCH(E3,K3:K79,1)+1))</f>
        <v>0.4858</v>
      </c>
      <c r="F5" s="22" t="s">
        <v>22</v>
      </c>
      <c r="H5" s="10"/>
      <c r="I5" s="19"/>
      <c r="J5" s="11"/>
      <c r="K5" s="16">
        <v>400.0</v>
      </c>
      <c r="L5" s="17">
        <v>95.53</v>
      </c>
      <c r="M5" s="18">
        <v>0.4858</v>
      </c>
    </row>
    <row r="6">
      <c r="A6" s="6">
        <v>16000.0</v>
      </c>
      <c r="B6" s="6" t="s">
        <v>23</v>
      </c>
      <c r="C6" s="6" t="s">
        <v>24</v>
      </c>
      <c r="J6" s="23"/>
      <c r="K6" s="16">
        <v>420.0</v>
      </c>
      <c r="L6" s="17">
        <v>100.32</v>
      </c>
      <c r="M6" s="18">
        <v>0.576</v>
      </c>
    </row>
    <row r="7">
      <c r="A7" s="6">
        <v>18320.0</v>
      </c>
      <c r="B7" s="6" t="s">
        <v>25</v>
      </c>
      <c r="C7" s="6" t="s">
        <v>26</v>
      </c>
      <c r="D7" s="7" t="s">
        <v>27</v>
      </c>
      <c r="E7" s="8"/>
      <c r="F7" s="9"/>
      <c r="H7" s="10"/>
      <c r="I7" s="10"/>
      <c r="J7" s="11"/>
      <c r="K7" s="16">
        <v>440.0</v>
      </c>
      <c r="L7" s="17">
        <v>105.11</v>
      </c>
      <c r="M7" s="18">
        <v>0.6776</v>
      </c>
    </row>
    <row r="8">
      <c r="A8" s="6">
        <v>4.5</v>
      </c>
      <c r="B8" s="6" t="s">
        <v>28</v>
      </c>
      <c r="C8" s="24" t="s">
        <v>29</v>
      </c>
      <c r="D8" s="14" t="s">
        <v>30</v>
      </c>
      <c r="E8" s="19">
        <f>(E4 + (A15^2)/(2*32.2*778))</f>
        <v>95.68456099</v>
      </c>
      <c r="F8" s="11" t="s">
        <v>18</v>
      </c>
      <c r="H8" s="10"/>
      <c r="I8" s="19"/>
      <c r="J8" s="11"/>
      <c r="K8" s="16">
        <v>460.0</v>
      </c>
      <c r="L8" s="17">
        <v>109.9</v>
      </c>
      <c r="M8" s="18">
        <v>0.7913</v>
      </c>
    </row>
    <row r="9">
      <c r="A9" s="6">
        <v>0.8</v>
      </c>
      <c r="B9" s="6"/>
      <c r="C9" s="24" t="s">
        <v>31</v>
      </c>
      <c r="D9" s="14" t="s">
        <v>32</v>
      </c>
      <c r="E9" s="19">
        <f t="array" ref="E9">FORECAST(E8,
INDEX(M3:M79,MATCH(E8,L3:L79,1)):INDEX(M3:M79,MATCH(E8,L3:L79,1)+1),
INDEX(L3:L79,MATCH(E8,L3:L79,1)):INDEX(L3:L79,MATCH(E8,L3:L79,1)+1))</f>
        <v>0.4887105221</v>
      </c>
      <c r="F9" s="11"/>
      <c r="H9" s="10"/>
      <c r="I9" s="19"/>
      <c r="J9" s="11"/>
      <c r="K9" s="16">
        <v>480.0</v>
      </c>
      <c r="L9" s="17">
        <v>114.69</v>
      </c>
      <c r="M9" s="18">
        <v>0.9182</v>
      </c>
    </row>
    <row r="10">
      <c r="A10" s="24">
        <v>0.8</v>
      </c>
      <c r="B10" s="24"/>
      <c r="C10" s="24" t="s">
        <v>33</v>
      </c>
      <c r="D10" s="20" t="s">
        <v>34</v>
      </c>
      <c r="E10" s="21">
        <f>A11*(E9/E5)</f>
        <v>14.78807055</v>
      </c>
      <c r="F10" s="22" t="s">
        <v>35</v>
      </c>
      <c r="H10" s="10"/>
      <c r="I10" s="19"/>
      <c r="J10" s="11"/>
      <c r="K10" s="16">
        <v>500.0</v>
      </c>
      <c r="L10" s="17">
        <v>119.48</v>
      </c>
      <c r="M10" s="18">
        <v>1.059</v>
      </c>
    </row>
    <row r="11">
      <c r="A11" s="6">
        <v>14.7</v>
      </c>
      <c r="B11" s="6" t="s">
        <v>36</v>
      </c>
      <c r="C11" s="6" t="s">
        <v>37</v>
      </c>
      <c r="D11" s="10"/>
      <c r="E11" s="10"/>
      <c r="F11" s="10"/>
      <c r="H11" s="10"/>
      <c r="I11" s="10"/>
      <c r="J11" s="11"/>
      <c r="K11" s="16">
        <v>520.0</v>
      </c>
      <c r="L11" s="17">
        <v>124.27</v>
      </c>
      <c r="M11" s="18">
        <v>1.2147</v>
      </c>
    </row>
    <row r="12">
      <c r="A12" s="6">
        <v>1346.0</v>
      </c>
      <c r="B12" s="6" t="s">
        <v>38</v>
      </c>
      <c r="C12" s="6" t="s">
        <v>39</v>
      </c>
      <c r="D12" s="7" t="s">
        <v>40</v>
      </c>
      <c r="E12" s="8"/>
      <c r="F12" s="9" t="s">
        <v>7</v>
      </c>
      <c r="H12" s="7" t="s">
        <v>41</v>
      </c>
      <c r="I12" s="8"/>
      <c r="J12" s="9" t="s">
        <v>7</v>
      </c>
      <c r="K12" s="16">
        <v>537.0</v>
      </c>
      <c r="L12" s="17">
        <v>128.34</v>
      </c>
      <c r="M12" s="18">
        <v>1.3593</v>
      </c>
    </row>
    <row r="13">
      <c r="A13" s="25">
        <v>2.0</v>
      </c>
      <c r="B13" s="6" t="s">
        <v>28</v>
      </c>
      <c r="C13" s="6" t="s">
        <v>42</v>
      </c>
      <c r="D13" s="14" t="s">
        <v>43</v>
      </c>
      <c r="E13" s="19">
        <f>E9*A13</f>
        <v>0.9774210442</v>
      </c>
      <c r="F13" s="11"/>
      <c r="H13" s="26" t="s">
        <v>44</v>
      </c>
      <c r="I13" s="19">
        <f>E13*A8</f>
        <v>4.398394699</v>
      </c>
      <c r="J13" s="11"/>
      <c r="K13" s="16">
        <v>540.0</v>
      </c>
      <c r="L13" s="17">
        <v>129.06</v>
      </c>
      <c r="M13" s="18">
        <v>1.386</v>
      </c>
    </row>
    <row r="14">
      <c r="A14" s="6">
        <v>400.0</v>
      </c>
      <c r="B14" s="6" t="s">
        <v>38</v>
      </c>
      <c r="C14" s="6" t="s">
        <v>45</v>
      </c>
      <c r="D14" s="14" t="s">
        <v>46</v>
      </c>
      <c r="E14" s="19">
        <f>E10*A13</f>
        <v>29.57614111</v>
      </c>
      <c r="F14" s="11" t="s">
        <v>35</v>
      </c>
      <c r="H14" s="26" t="s">
        <v>47</v>
      </c>
      <c r="I14" s="19">
        <f>E14*A8</f>
        <v>133.092635</v>
      </c>
      <c r="J14" s="11" t="s">
        <v>35</v>
      </c>
      <c r="K14" s="16">
        <v>560.0</v>
      </c>
      <c r="L14" s="17">
        <v>133.86</v>
      </c>
      <c r="M14" s="18">
        <v>1.5742</v>
      </c>
    </row>
    <row r="15">
      <c r="A15" s="6">
        <v>88.0</v>
      </c>
      <c r="B15" s="6" t="s">
        <v>48</v>
      </c>
      <c r="C15" s="6" t="s">
        <v>49</v>
      </c>
      <c r="D15" s="14" t="s">
        <v>50</v>
      </c>
      <c r="E15" s="19">
        <f t="array" ref="E15">FORECAST(E13,
INDEX(L3:L79,MATCH(E13,M3:M79,1)):INDEX(L3:L79,MATCH(E13,M3:M79,1)+1),
INDEX(M3:M79,MATCH(E13,M3:M79,1)):INDEX(M3:M79,MATCH(E13,M3:M79,1)+1))</f>
        <v>116.7046932</v>
      </c>
      <c r="F15" s="11" t="s">
        <v>18</v>
      </c>
      <c r="H15" s="26" t="s">
        <v>51</v>
      </c>
      <c r="I15" s="19">
        <f t="array" ref="I15">FORECAST(I13,
INDEX(L3:L79,MATCH(I13,M3:M79,1)):INDEX(L3:L79,MATCH(I13,M3:M79,1)+1),
INDEX(M3:M79,MATCH(I13,M3:M79,1)):INDEX(M3:M79,MATCH(I13,M3:M79,1)+1))</f>
        <v>179.6361939</v>
      </c>
      <c r="J15" s="11" t="s">
        <v>18</v>
      </c>
      <c r="K15" s="16">
        <v>580.0</v>
      </c>
      <c r="L15" s="17">
        <v>138.66</v>
      </c>
      <c r="M15" s="18">
        <v>1.78</v>
      </c>
    </row>
    <row r="16">
      <c r="A16" s="6">
        <v>4.0</v>
      </c>
      <c r="B16" s="6" t="s">
        <v>52</v>
      </c>
      <c r="C16" s="6" t="s">
        <v>53</v>
      </c>
      <c r="D16" s="20" t="s">
        <v>54</v>
      </c>
      <c r="E16" s="21">
        <f>E8+((E15-E8)/A9)</f>
        <v>121.9597262</v>
      </c>
      <c r="F16" s="22" t="s">
        <v>18</v>
      </c>
      <c r="H16" s="27" t="s">
        <v>51</v>
      </c>
      <c r="I16" s="21">
        <f>E16+((I15-E16)/A9)</f>
        <v>194.0553109</v>
      </c>
      <c r="J16" s="22" t="s">
        <v>18</v>
      </c>
      <c r="K16" s="16">
        <v>600.0</v>
      </c>
      <c r="L16" s="17">
        <v>143.47</v>
      </c>
      <c r="M16" s="18">
        <v>2.005</v>
      </c>
    </row>
    <row r="17">
      <c r="A17" s="6">
        <v>0.24</v>
      </c>
      <c r="B17" s="6" t="s">
        <v>55</v>
      </c>
      <c r="C17" s="28"/>
      <c r="D17" s="29"/>
      <c r="E17" s="10"/>
      <c r="F17" s="11"/>
      <c r="H17" s="29" t="s">
        <v>56</v>
      </c>
      <c r="I17" s="10">
        <f t="array" ref="I17">FORECAST(E35,
INDEX(L3:L79,MATCH(E35,K3:K79,1)):INDEX(L3:L79,MATCH(E35,K3:K79,1)+1),
INDEX(K3:K79,MATCH(E35,K3:K79,1)):INDEX(K3:K79,MATCH(E35,K3:K79,1)+1))</f>
        <v>187.4326932</v>
      </c>
      <c r="J17" s="11" t="s">
        <v>18</v>
      </c>
      <c r="K17" s="16">
        <v>620.0</v>
      </c>
      <c r="L17" s="17">
        <v>148.28</v>
      </c>
      <c r="M17" s="18">
        <v>2.249</v>
      </c>
    </row>
    <row r="18">
      <c r="A18" s="6">
        <v>1.385</v>
      </c>
      <c r="B18" s="6" t="s">
        <v>57</v>
      </c>
      <c r="C18" s="28"/>
      <c r="D18" s="7" t="s">
        <v>58</v>
      </c>
      <c r="E18" s="8"/>
      <c r="F18" s="9" t="s">
        <v>7</v>
      </c>
      <c r="H18" s="10"/>
      <c r="I18" s="10"/>
      <c r="J18" s="11"/>
      <c r="K18" s="16">
        <v>640.0</v>
      </c>
      <c r="L18" s="17">
        <v>153.09</v>
      </c>
      <c r="M18" s="18">
        <v>2.514</v>
      </c>
    </row>
    <row r="19">
      <c r="A19" s="6">
        <v>1700.0</v>
      </c>
      <c r="B19" s="6" t="s">
        <v>15</v>
      </c>
      <c r="C19" s="6" t="s">
        <v>59</v>
      </c>
      <c r="D19" s="14" t="s">
        <v>14</v>
      </c>
      <c r="E19" s="19">
        <f>A19</f>
        <v>1700</v>
      </c>
      <c r="F19" s="11" t="s">
        <v>15</v>
      </c>
      <c r="H19" s="10"/>
      <c r="I19" s="19"/>
      <c r="J19" s="11"/>
      <c r="K19" s="16">
        <v>660.0</v>
      </c>
      <c r="L19" s="17">
        <v>157.92</v>
      </c>
      <c r="M19" s="18">
        <v>2.801</v>
      </c>
    </row>
    <row r="20">
      <c r="D20" s="26" t="s">
        <v>60</v>
      </c>
      <c r="E20" s="19">
        <f t="array" ref="E20">FORECAST(E19,
INDEX(L3:L79,MATCH(E19,K3:K79,1)):INDEX(L3:L79,MATCH(E19,K3:K79,1)+1),
INDEX(K3:K79,MATCH(E19,K3:K79,1)):INDEX(K3:K79,MATCH(E19,K3:K79,1)+1))</f>
        <v>422.59</v>
      </c>
      <c r="F20" s="11" t="s">
        <v>18</v>
      </c>
      <c r="H20" s="30" t="s">
        <v>61</v>
      </c>
      <c r="I20" s="31">
        <v>65.0</v>
      </c>
      <c r="J20" s="22" t="s">
        <v>18</v>
      </c>
      <c r="K20" s="16">
        <v>680.0</v>
      </c>
      <c r="L20" s="17">
        <v>162.73</v>
      </c>
      <c r="M20" s="18">
        <v>3.111</v>
      </c>
    </row>
    <row r="21">
      <c r="A21" s="2" t="s">
        <v>62</v>
      </c>
      <c r="D21" s="26" t="s">
        <v>63</v>
      </c>
      <c r="E21" s="19">
        <f t="array" ref="E21">FORECAST(E19,
INDEX(M3:M79,MATCH(E19,K3:K79,1)):INDEX(M3:M79,MATCH(E19,K3:K79,1)+1),
INDEX(K3:K79,MATCH(E19,K3:K79,1)):INDEX(K3:K79,MATCH(E19,K3:K79,1)+1))</f>
        <v>90.95</v>
      </c>
      <c r="F21" s="11"/>
      <c r="H21" s="29" t="s">
        <v>64</v>
      </c>
      <c r="I21" s="19">
        <f>I20*A16*1.73</f>
        <v>449.8</v>
      </c>
      <c r="J21" s="11"/>
      <c r="K21" s="16">
        <v>700.0</v>
      </c>
      <c r="L21" s="17">
        <v>167.56</v>
      </c>
      <c r="M21" s="18">
        <v>3.446</v>
      </c>
    </row>
    <row r="22">
      <c r="A22" s="2" t="s">
        <v>65</v>
      </c>
      <c r="D22" s="27" t="s">
        <v>66</v>
      </c>
      <c r="E22" s="21">
        <f>I14</f>
        <v>133.092635</v>
      </c>
      <c r="F22" s="22" t="s">
        <v>35</v>
      </c>
      <c r="H22" s="10"/>
      <c r="I22" s="19"/>
      <c r="J22" s="11"/>
      <c r="K22" s="16">
        <v>720.0</v>
      </c>
      <c r="L22" s="17">
        <v>172.39</v>
      </c>
      <c r="M22" s="18">
        <v>3.806</v>
      </c>
    </row>
    <row r="23">
      <c r="A23" s="2"/>
      <c r="B23" s="2"/>
      <c r="C23" s="2"/>
      <c r="D23" s="10"/>
      <c r="E23" s="19"/>
      <c r="F23" s="10"/>
      <c r="H23" s="10"/>
      <c r="I23" s="19"/>
      <c r="J23" s="10"/>
      <c r="K23" s="16">
        <v>740.0</v>
      </c>
      <c r="L23" s="17">
        <v>177.23</v>
      </c>
      <c r="M23" s="18">
        <v>4.193</v>
      </c>
    </row>
    <row r="24">
      <c r="A24" s="2"/>
      <c r="B24" s="2"/>
      <c r="C24" s="2"/>
      <c r="D24" s="7" t="s">
        <v>67</v>
      </c>
      <c r="E24" s="8"/>
      <c r="F24" s="9" t="s">
        <v>7</v>
      </c>
      <c r="H24" s="7" t="s">
        <v>68</v>
      </c>
      <c r="I24" s="8"/>
      <c r="J24" s="9" t="s">
        <v>7</v>
      </c>
      <c r="K24" s="16">
        <v>760.0</v>
      </c>
      <c r="L24" s="17">
        <v>182.08</v>
      </c>
      <c r="M24" s="18">
        <v>4.607</v>
      </c>
    </row>
    <row r="25">
      <c r="A25" s="2"/>
      <c r="B25" s="2"/>
      <c r="C25" s="2"/>
      <c r="D25" s="26" t="s">
        <v>69</v>
      </c>
      <c r="E25" s="19">
        <f>((-(I16-E16)/A9)+E20)</f>
        <v>332.4705192</v>
      </c>
      <c r="F25" s="11" t="s">
        <v>18</v>
      </c>
      <c r="H25" s="26" t="s">
        <v>70</v>
      </c>
      <c r="I25" s="32">
        <f>((-(E16-E8)/A9)+E28)-I20</f>
        <v>212.0966925</v>
      </c>
      <c r="J25" s="11" t="s">
        <v>18</v>
      </c>
      <c r="K25" s="18">
        <v>780.0</v>
      </c>
      <c r="L25" s="17">
        <v>186.94</v>
      </c>
      <c r="M25" s="18">
        <v>5.051</v>
      </c>
    </row>
    <row r="26">
      <c r="A26" s="2"/>
      <c r="B26" s="2"/>
      <c r="C26" s="2"/>
      <c r="D26" s="26" t="s">
        <v>71</v>
      </c>
      <c r="E26" s="19">
        <f t="array" ref="E26">FORECAST(E25,
INDEX(M3:M79,MATCH(E25,L3:L79,1)):INDEX(M3:M79,MATCH(E25,L3:L79,1)+1),
INDEX(L3:L79,MATCH(E25,L3:L79,1)):INDEX(L3:L79,MATCH(E25,L3:L79,1)+1))</f>
        <v>38.40625158</v>
      </c>
      <c r="F26" s="11"/>
      <c r="H26" s="26" t="s">
        <v>72</v>
      </c>
      <c r="I26" s="19">
        <f t="array" ref="I26">FORECAST(I25,
INDEX(M3:M79,MATCH(I25,L3:L79,1)):INDEX(M3:M79,MATCH(I25,L3:L79,1)+1),
INDEX(L3:L79,MATCH(I25,L3:L79,1)):INDEX(L3:L79,MATCH(I25,L3:L79,1)+1))</f>
        <v>7.859849308</v>
      </c>
      <c r="J26" s="11"/>
      <c r="K26" s="18">
        <v>800.0</v>
      </c>
      <c r="L26" s="17">
        <v>191.81</v>
      </c>
      <c r="M26" s="18">
        <v>5.526</v>
      </c>
    </row>
    <row r="27">
      <c r="B27" s="2"/>
      <c r="C27" s="2"/>
      <c r="D27" s="26" t="s">
        <v>73</v>
      </c>
      <c r="E27" s="19">
        <f>(E26/E21)*E22</f>
        <v>56.20219046</v>
      </c>
      <c r="F27" s="11" t="s">
        <v>35</v>
      </c>
      <c r="H27" s="26" t="s">
        <v>74</v>
      </c>
      <c r="I27" s="19">
        <f>(I26/E29)*E27</f>
        <v>14.75708343</v>
      </c>
      <c r="J27" s="11" t="s">
        <v>35</v>
      </c>
      <c r="K27" s="18">
        <v>820.0</v>
      </c>
      <c r="L27" s="17">
        <v>196.69</v>
      </c>
      <c r="M27" s="18">
        <v>6.033</v>
      </c>
    </row>
    <row r="28">
      <c r="B28" s="2"/>
      <c r="C28" s="2"/>
      <c r="D28" s="26" t="s">
        <v>75</v>
      </c>
      <c r="E28" s="19">
        <f>(E20-((E20-E25)/A10))</f>
        <v>309.940649</v>
      </c>
      <c r="F28" s="11" t="s">
        <v>18</v>
      </c>
      <c r="H28" s="26" t="s">
        <v>76</v>
      </c>
      <c r="I28" s="19">
        <f>(E28-((E28-I25)/A10))</f>
        <v>187.6357033</v>
      </c>
      <c r="J28" s="11" t="s">
        <v>18</v>
      </c>
      <c r="K28" s="18">
        <v>840.0</v>
      </c>
      <c r="L28" s="17">
        <v>201.56</v>
      </c>
      <c r="M28" s="18">
        <v>6.573</v>
      </c>
    </row>
    <row r="29">
      <c r="B29" s="2"/>
      <c r="C29" s="33"/>
      <c r="D29" s="27" t="s">
        <v>77</v>
      </c>
      <c r="E29" s="21">
        <f t="array" ref="E29">FORECAST(E28,
INDEX(M3:M79,MATCH(E28,L3:L79,1)):INDEX(M3:M79,MATCH(E28,L3:L79,1)+1),
INDEX(L3:L79,MATCH(E28,L3:L79,1)):INDEX(L3:L79,MATCH(E28,L3:L79,1)+1))</f>
        <v>29.93414992</v>
      </c>
      <c r="F29" s="22"/>
      <c r="H29" s="26" t="s">
        <v>78</v>
      </c>
      <c r="I29" s="19">
        <f t="array" ref="I29">FORECAST(I28,
INDEX(M3:M79,MATCH(I28,L3:L79,1)):INDEX(M3:M79,MATCH(I28,L3:L79,1)+1),
INDEX(L3:L79,MATCH(I28,L3:L79,1)):INDEX(L3:L79,MATCH(I28,L3:L79,1)+1))</f>
        <v>5.118856073</v>
      </c>
      <c r="J29" s="11"/>
      <c r="K29" s="18">
        <v>860.0</v>
      </c>
      <c r="L29" s="17">
        <v>206.46</v>
      </c>
      <c r="M29" s="18">
        <v>7.149</v>
      </c>
    </row>
    <row r="30">
      <c r="A30" s="2"/>
      <c r="B30" s="2"/>
      <c r="C30" s="33"/>
      <c r="H30" s="34"/>
      <c r="I30" s="34"/>
      <c r="J30" s="35"/>
      <c r="K30" s="16">
        <v>880.0</v>
      </c>
      <c r="L30" s="17">
        <v>211.35</v>
      </c>
      <c r="M30" s="18">
        <v>7.761</v>
      </c>
    </row>
    <row r="31">
      <c r="A31" s="33"/>
      <c r="B31" s="33"/>
      <c r="C31" s="33"/>
      <c r="D31" s="36" t="s">
        <v>79</v>
      </c>
      <c r="E31" s="8"/>
      <c r="F31" s="8" t="s">
        <v>7</v>
      </c>
      <c r="H31" s="10"/>
      <c r="I31" s="10"/>
      <c r="J31" s="11"/>
      <c r="K31" s="16">
        <v>900.0</v>
      </c>
      <c r="L31" s="17">
        <v>216.26</v>
      </c>
      <c r="M31" s="18">
        <v>8.411</v>
      </c>
    </row>
    <row r="32">
      <c r="A32" s="2"/>
      <c r="B32" s="2"/>
      <c r="C32" s="2"/>
      <c r="D32" s="26" t="s">
        <v>80</v>
      </c>
      <c r="E32" s="19">
        <f>(A11/I27)*I29</f>
        <v>5.099055287</v>
      </c>
      <c r="F32" s="10"/>
      <c r="H32" s="10"/>
      <c r="I32" s="19"/>
      <c r="J32" s="11"/>
      <c r="K32" s="16">
        <v>920.0</v>
      </c>
      <c r="L32" s="17">
        <v>221.18</v>
      </c>
      <c r="M32" s="18">
        <v>9.102</v>
      </c>
    </row>
    <row r="33">
      <c r="A33" s="2"/>
      <c r="B33" s="2"/>
      <c r="C33" s="2"/>
      <c r="D33" s="26" t="s">
        <v>81</v>
      </c>
      <c r="E33" s="19">
        <f t="array" ref="E33">FORECAST(E32,
INDEX(L3:L79,MATCH(E32,M3:M79,1)):INDEX(L3:L79,MATCH(E32,M3:M79,1)+1),
INDEX(M3:M79,MATCH(E32,M3:M79,1)):INDEX(M3:M79,MATCH(E32,M3:M79,1)+1))</f>
        <v>187.4326932</v>
      </c>
      <c r="F33" s="10" t="s">
        <v>18</v>
      </c>
      <c r="H33" s="10"/>
      <c r="I33" s="19"/>
      <c r="J33" s="11"/>
      <c r="K33" s="16">
        <v>940.0</v>
      </c>
      <c r="L33" s="17">
        <v>226.11</v>
      </c>
      <c r="M33" s="18">
        <v>9.834</v>
      </c>
    </row>
    <row r="34">
      <c r="A34" s="2"/>
      <c r="D34" s="26" t="s">
        <v>82</v>
      </c>
      <c r="E34" s="19">
        <f>((I28-E33)*2*32.2*778)^0.5</f>
        <v>100.8536513</v>
      </c>
      <c r="F34" s="10" t="s">
        <v>83</v>
      </c>
      <c r="H34" s="10"/>
      <c r="I34" s="19"/>
      <c r="J34" s="11"/>
      <c r="K34" s="16">
        <v>960.0</v>
      </c>
      <c r="L34" s="17">
        <v>231.06</v>
      </c>
      <c r="M34" s="18">
        <v>10.61</v>
      </c>
    </row>
    <row r="35">
      <c r="A35" s="2"/>
      <c r="D35" s="27" t="s">
        <v>14</v>
      </c>
      <c r="E35" s="37">
        <f t="array" ref="E35">FORECAST(E33,
INDEX(K3:K79,MATCH(E33,L3:L79,1)):INDEX(K3:K79,MATCH(E33,L3:L79,1)+1),
INDEX(L3:L79,MATCH(E33,L3:L79,1)):INDEX(L3:L79,MATCH(E33,L3:L79,1)+1))</f>
        <v>782.0233805</v>
      </c>
      <c r="F35" s="38"/>
      <c r="H35" s="29"/>
      <c r="I35" s="39"/>
      <c r="J35" s="11"/>
      <c r="K35" s="16">
        <v>980.0</v>
      </c>
      <c r="L35" s="17">
        <v>236.02</v>
      </c>
      <c r="M35" s="18">
        <v>11.43</v>
      </c>
    </row>
    <row r="36">
      <c r="A36" s="2"/>
      <c r="D36" s="40" t="s">
        <v>84</v>
      </c>
      <c r="E36" s="10"/>
      <c r="F36" s="10"/>
      <c r="H36" s="41"/>
      <c r="I36" s="10"/>
      <c r="J36" s="11"/>
      <c r="K36" s="16">
        <v>1000.0</v>
      </c>
      <c r="L36" s="17">
        <v>240.98</v>
      </c>
      <c r="M36" s="18">
        <v>12.3</v>
      </c>
    </row>
    <row r="37">
      <c r="A37" s="2"/>
      <c r="C37" s="42"/>
      <c r="D37" s="14" t="s">
        <v>85</v>
      </c>
      <c r="E37" s="19">
        <f>E20 -IF(I17&gt;I16,I17,I16)</f>
        <v>228.5346891</v>
      </c>
      <c r="F37" s="10" t="s">
        <v>18</v>
      </c>
      <c r="H37" s="10"/>
      <c r="I37" s="19"/>
      <c r="J37" s="11"/>
      <c r="K37" s="16">
        <v>1040.0</v>
      </c>
      <c r="L37" s="17">
        <v>250.95</v>
      </c>
      <c r="M37" s="18">
        <v>14.18</v>
      </c>
    </row>
    <row r="38">
      <c r="A38" s="2"/>
      <c r="D38" s="14" t="s">
        <v>86</v>
      </c>
      <c r="E38" s="19">
        <f>A16</f>
        <v>4</v>
      </c>
      <c r="F38" s="10" t="s">
        <v>87</v>
      </c>
      <c r="H38" s="10"/>
      <c r="I38" s="19"/>
      <c r="J38" s="11"/>
      <c r="K38" s="16">
        <v>1080.0</v>
      </c>
      <c r="L38" s="17">
        <v>260.97</v>
      </c>
      <c r="M38" s="18">
        <v>16.28</v>
      </c>
    </row>
    <row r="39">
      <c r="A39" s="2"/>
      <c r="B39" s="2"/>
      <c r="D39" s="14" t="s">
        <v>88</v>
      </c>
      <c r="E39" s="19">
        <f>A7</f>
        <v>18320</v>
      </c>
      <c r="F39" s="10" t="s">
        <v>18</v>
      </c>
      <c r="H39" s="10"/>
      <c r="I39" s="19"/>
      <c r="J39" s="11"/>
      <c r="K39" s="16">
        <v>1120.0</v>
      </c>
      <c r="L39" s="17">
        <v>271.03</v>
      </c>
      <c r="M39" s="18">
        <v>18.6</v>
      </c>
    </row>
    <row r="40">
      <c r="A40" s="2"/>
      <c r="B40" s="2">
        <f>E40*60/8.53</f>
        <v>0.3509852549</v>
      </c>
      <c r="C40" s="2">
        <f>2.5/B40</f>
        <v>7.122806343</v>
      </c>
      <c r="D40" s="43" t="s">
        <v>89</v>
      </c>
      <c r="E40" s="44">
        <f>(E37*E38)/E39</f>
        <v>0.04989840374</v>
      </c>
      <c r="F40" s="45" t="s">
        <v>87</v>
      </c>
      <c r="H40" s="10"/>
      <c r="I40" s="19"/>
      <c r="J40" s="11"/>
      <c r="K40" s="16">
        <v>1160.0</v>
      </c>
      <c r="L40" s="17">
        <v>281.14</v>
      </c>
      <c r="M40" s="18">
        <v>21.18</v>
      </c>
    </row>
    <row r="41">
      <c r="D41" s="10"/>
      <c r="E41" s="19"/>
      <c r="F41" s="10"/>
      <c r="H41" s="10"/>
      <c r="I41" s="19"/>
      <c r="J41" s="11"/>
      <c r="K41" s="16">
        <v>1200.0</v>
      </c>
      <c r="L41" s="17">
        <v>291.3</v>
      </c>
      <c r="M41" s="18">
        <v>24.01</v>
      </c>
    </row>
    <row r="42">
      <c r="D42" s="46" t="s">
        <v>90</v>
      </c>
      <c r="E42" s="47" t="s">
        <v>91</v>
      </c>
      <c r="F42" s="47" t="s">
        <v>92</v>
      </c>
      <c r="H42" s="41"/>
      <c r="I42" s="29"/>
      <c r="J42" s="48"/>
      <c r="K42" s="16">
        <v>1240.0</v>
      </c>
      <c r="L42" s="17">
        <v>301.52</v>
      </c>
      <c r="M42" s="18">
        <v>27.13</v>
      </c>
    </row>
    <row r="43">
      <c r="D43" s="49" t="s">
        <v>93</v>
      </c>
      <c r="E43" s="50">
        <f>(E38+E40)*(E34-A15)/32.2</f>
        <v>1.616645397</v>
      </c>
      <c r="F43" s="51" t="s">
        <v>94</v>
      </c>
      <c r="H43" s="10"/>
      <c r="I43" s="19"/>
      <c r="J43" s="11"/>
      <c r="K43" s="16">
        <v>1280.0</v>
      </c>
      <c r="L43" s="17">
        <v>311.79</v>
      </c>
      <c r="M43" s="18">
        <v>30.55</v>
      </c>
    </row>
    <row r="44">
      <c r="D44" s="52"/>
      <c r="E44" s="19"/>
      <c r="F44" s="10"/>
      <c r="H44" s="52"/>
      <c r="I44" s="19"/>
      <c r="J44" s="11"/>
      <c r="K44" s="16">
        <v>1320.0</v>
      </c>
      <c r="L44" s="17">
        <v>322.11</v>
      </c>
      <c r="M44" s="18">
        <v>34.31</v>
      </c>
    </row>
    <row r="45">
      <c r="D45" s="53" t="s">
        <v>95</v>
      </c>
      <c r="E45" s="8"/>
      <c r="F45" s="8"/>
      <c r="H45" s="41"/>
      <c r="I45" s="10"/>
      <c r="J45" s="11"/>
      <c r="K45" s="16">
        <v>1360.0</v>
      </c>
      <c r="L45" s="17">
        <v>332.48</v>
      </c>
      <c r="M45" s="18">
        <v>38.41</v>
      </c>
    </row>
    <row r="46">
      <c r="D46" s="43" t="s">
        <v>96</v>
      </c>
      <c r="E46" s="44">
        <f>(E43*A15/550 +A5)</f>
        <v>0.2586632634</v>
      </c>
      <c r="F46" s="45" t="s">
        <v>97</v>
      </c>
      <c r="H46" s="10"/>
      <c r="I46" s="19"/>
      <c r="J46" s="11"/>
      <c r="K46" s="16">
        <v>1400.0</v>
      </c>
      <c r="L46" s="17">
        <v>342.9</v>
      </c>
      <c r="M46" s="18">
        <v>42.88</v>
      </c>
    </row>
    <row r="47">
      <c r="J47" s="23"/>
      <c r="K47" s="16">
        <v>1440.0</v>
      </c>
      <c r="L47" s="17">
        <v>353.37</v>
      </c>
      <c r="M47" s="18">
        <v>47.75</v>
      </c>
    </row>
    <row r="48">
      <c r="D48" s="46" t="s">
        <v>98</v>
      </c>
      <c r="E48" s="54"/>
      <c r="F48" s="47" t="s">
        <v>92</v>
      </c>
      <c r="H48" s="41"/>
      <c r="I48" s="10"/>
      <c r="J48" s="48"/>
      <c r="K48" s="16">
        <v>1480.0</v>
      </c>
      <c r="L48" s="17">
        <v>363.89</v>
      </c>
      <c r="M48" s="18">
        <v>53.04</v>
      </c>
    </row>
    <row r="49">
      <c r="D49" s="55" t="s">
        <v>99</v>
      </c>
      <c r="E49" s="50">
        <f>(E43*A15/(778*E40*A7))</f>
        <v>0.0002000348768</v>
      </c>
      <c r="F49" s="51"/>
      <c r="H49" s="52"/>
      <c r="I49" s="19"/>
      <c r="J49" s="11"/>
      <c r="K49" s="16">
        <v>1520.0</v>
      </c>
      <c r="L49" s="17">
        <v>374.47</v>
      </c>
      <c r="M49" s="18">
        <v>58.78</v>
      </c>
    </row>
    <row r="50">
      <c r="J50" s="23"/>
      <c r="K50" s="16">
        <v>1560.0</v>
      </c>
      <c r="L50" s="17">
        <v>385.08</v>
      </c>
      <c r="M50" s="18">
        <v>65.0</v>
      </c>
    </row>
    <row r="51">
      <c r="D51" s="56" t="s">
        <v>100</v>
      </c>
      <c r="E51" s="34"/>
      <c r="F51" s="34"/>
      <c r="H51" s="2"/>
      <c r="J51" s="23"/>
      <c r="K51" s="16">
        <v>1600.0</v>
      </c>
      <c r="L51" s="17">
        <v>395.74</v>
      </c>
      <c r="M51" s="18">
        <v>71.73</v>
      </c>
    </row>
    <row r="52">
      <c r="D52" s="57" t="s">
        <v>99</v>
      </c>
      <c r="E52" s="58">
        <f>E46*0.7071/(A7*E40)</f>
        <v>0.0002000799028</v>
      </c>
      <c r="F52" s="58"/>
      <c r="H52" s="52"/>
      <c r="J52" s="23"/>
      <c r="K52" s="16">
        <v>1650.0</v>
      </c>
      <c r="L52" s="17">
        <v>409.13</v>
      </c>
      <c r="M52" s="18">
        <v>80.89</v>
      </c>
    </row>
    <row r="53">
      <c r="K53" s="18">
        <v>1700.0</v>
      </c>
      <c r="L53" s="17">
        <v>422.59</v>
      </c>
      <c r="M53" s="18">
        <v>90.95</v>
      </c>
    </row>
    <row r="54">
      <c r="K54" s="18">
        <v>1750.0</v>
      </c>
      <c r="L54" s="17">
        <v>436.12</v>
      </c>
      <c r="M54" s="18">
        <v>101.98</v>
      </c>
    </row>
    <row r="55">
      <c r="K55" s="18">
        <v>1800.0</v>
      </c>
      <c r="L55" s="17">
        <v>449.71</v>
      </c>
      <c r="M55" s="18">
        <v>114.0</v>
      </c>
    </row>
    <row r="56">
      <c r="K56" s="18">
        <v>1850.0</v>
      </c>
      <c r="L56" s="17">
        <v>463.37</v>
      </c>
      <c r="M56" s="18">
        <v>127.2</v>
      </c>
    </row>
    <row r="57">
      <c r="K57" s="18">
        <v>1900.0</v>
      </c>
      <c r="L57" s="17">
        <v>477.09</v>
      </c>
      <c r="M57" s="18">
        <v>141.5</v>
      </c>
    </row>
    <row r="58">
      <c r="K58" s="18">
        <v>1950.0</v>
      </c>
      <c r="L58" s="17">
        <v>490.88</v>
      </c>
      <c r="M58" s="18">
        <v>157.1</v>
      </c>
    </row>
    <row r="59">
      <c r="K59" s="18">
        <v>2000.0</v>
      </c>
      <c r="L59" s="17">
        <v>504.71</v>
      </c>
      <c r="M59" s="18">
        <v>174.0</v>
      </c>
    </row>
    <row r="60">
      <c r="K60" s="18">
        <v>2050.0</v>
      </c>
      <c r="L60" s="17">
        <v>518.61</v>
      </c>
      <c r="M60" s="18">
        <v>192.3</v>
      </c>
    </row>
    <row r="61">
      <c r="K61" s="18">
        <v>2100.0</v>
      </c>
      <c r="L61" s="17">
        <v>532.55</v>
      </c>
      <c r="M61" s="18">
        <v>212.1</v>
      </c>
    </row>
    <row r="62">
      <c r="K62" s="18">
        <v>2150.0</v>
      </c>
      <c r="L62" s="17">
        <v>546.54</v>
      </c>
      <c r="M62" s="18">
        <v>233.5</v>
      </c>
    </row>
    <row r="63">
      <c r="K63" s="18">
        <v>2200.0</v>
      </c>
      <c r="L63" s="17">
        <v>560.59</v>
      </c>
      <c r="M63" s="18">
        <v>256.6</v>
      </c>
    </row>
    <row r="64">
      <c r="K64" s="18">
        <v>2250.0</v>
      </c>
      <c r="L64" s="17">
        <v>574.69</v>
      </c>
      <c r="M64" s="18">
        <v>281.4</v>
      </c>
    </row>
    <row r="65">
      <c r="K65" s="18">
        <v>2300.0</v>
      </c>
      <c r="L65" s="17">
        <v>588.82</v>
      </c>
      <c r="M65" s="18">
        <v>308.1</v>
      </c>
    </row>
    <row r="66">
      <c r="K66" s="18">
        <v>2350.0</v>
      </c>
      <c r="L66" s="17">
        <v>603.0</v>
      </c>
      <c r="M66" s="18">
        <v>336.8</v>
      </c>
    </row>
    <row r="67">
      <c r="K67" s="18">
        <v>2400.0</v>
      </c>
      <c r="L67" s="17">
        <v>617.22</v>
      </c>
      <c r="M67" s="18">
        <v>367.6</v>
      </c>
    </row>
    <row r="68">
      <c r="K68" s="18">
        <v>2450.0</v>
      </c>
      <c r="L68" s="17">
        <v>631.48</v>
      </c>
      <c r="M68" s="18">
        <v>400.5</v>
      </c>
    </row>
    <row r="69">
      <c r="K69" s="18">
        <v>2500.0</v>
      </c>
      <c r="L69" s="17">
        <v>645.78</v>
      </c>
      <c r="M69" s="18">
        <v>435.7</v>
      </c>
    </row>
    <row r="70">
      <c r="K70" s="18">
        <v>2550.0</v>
      </c>
      <c r="L70" s="17">
        <v>660.12</v>
      </c>
      <c r="M70" s="18">
        <v>473.3</v>
      </c>
    </row>
    <row r="71">
      <c r="K71" s="18">
        <v>2600.0</v>
      </c>
      <c r="L71" s="17">
        <v>674.49</v>
      </c>
      <c r="M71" s="18">
        <v>513.5</v>
      </c>
    </row>
    <row r="72">
      <c r="K72" s="18">
        <v>2650.0</v>
      </c>
      <c r="L72" s="17">
        <v>688.9</v>
      </c>
      <c r="M72" s="18">
        <v>556.3</v>
      </c>
    </row>
    <row r="73">
      <c r="K73" s="18">
        <v>2700.0</v>
      </c>
      <c r="L73" s="17">
        <v>703.35</v>
      </c>
      <c r="M73" s="18">
        <v>601.9</v>
      </c>
    </row>
    <row r="74">
      <c r="K74" s="18">
        <v>2750.0</v>
      </c>
      <c r="L74" s="17">
        <v>717.83</v>
      </c>
      <c r="M74" s="18">
        <v>650.4</v>
      </c>
    </row>
    <row r="75">
      <c r="K75" s="18">
        <v>2800.0</v>
      </c>
      <c r="L75" s="17">
        <v>732.33</v>
      </c>
      <c r="M75" s="18">
        <v>702.0</v>
      </c>
    </row>
    <row r="76">
      <c r="K76" s="18">
        <v>2850.0</v>
      </c>
      <c r="L76" s="17">
        <v>746.88</v>
      </c>
      <c r="M76" s="18">
        <v>756.7</v>
      </c>
    </row>
    <row r="77">
      <c r="K77" s="18">
        <v>2900.0</v>
      </c>
      <c r="L77" s="17">
        <v>761.45</v>
      </c>
      <c r="M77" s="18">
        <v>814.8</v>
      </c>
    </row>
    <row r="78">
      <c r="K78" s="18">
        <v>2950.0</v>
      </c>
      <c r="L78" s="17">
        <v>776.05</v>
      </c>
      <c r="M78" s="18">
        <v>876.4</v>
      </c>
    </row>
    <row r="79">
      <c r="K79" s="18">
        <v>3000.0</v>
      </c>
      <c r="L79" s="18">
        <v>790.68</v>
      </c>
      <c r="M79" s="18">
        <v>941.4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