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b7d91c61a0f33f7/Desktop/VS_Code/automated_financial_model/"/>
    </mc:Choice>
  </mc:AlternateContent>
  <xr:revisionPtr revIDLastSave="3312" documentId="11_F25DC773A252ABDACC1048EDE15D42E05BDE58EC" xr6:coauthVersionLast="47" xr6:coauthVersionMax="47" xr10:uidLastSave="{2B213C1C-36C9-4A35-BB98-98CB390188F4}"/>
  <bookViews>
    <workbookView xWindow="-110" yWindow="-110" windowWidth="25820" windowHeight="13900" xr2:uid="{00000000-000D-0000-FFFF-FFFF00000000}"/>
  </bookViews>
  <sheets>
    <sheet name="Financial Model" sheetId="1" r:id="rId1"/>
    <sheet name="Performance Metrics" sheetId="9" r:id="rId2"/>
    <sheet name="Income Statement (Raw)" sheetId="3" state="hidden" r:id="rId3"/>
    <sheet name="CFS (Raw)" sheetId="5" state="hidden" r:id="rId4"/>
    <sheet name="Balance Sheet (Raw)" sheetId="7" state="hidden" r:id="rId5"/>
  </sheets>
  <definedNames>
    <definedName name="_xlnm._FilterDatabase" localSheetId="0" hidden="1">'Financial Model'!$K$8:$K$8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7" i="1" l="1"/>
  <c r="N347" i="1"/>
  <c r="M347" i="1"/>
  <c r="L347" i="1"/>
  <c r="K347" i="1"/>
  <c r="K98" i="1"/>
  <c r="L98" i="1" s="1"/>
  <c r="M98" i="1" s="1"/>
  <c r="N98" i="1" s="1"/>
  <c r="O98" i="1" s="1"/>
  <c r="K164" i="1"/>
  <c r="L164" i="1" s="1"/>
  <c r="M164" i="1" s="1"/>
  <c r="N164" i="1" s="1"/>
  <c r="O164" i="1" s="1"/>
  <c r="K149" i="1"/>
  <c r="L149" i="1" s="1"/>
  <c r="M149" i="1" s="1"/>
  <c r="N149" i="1" s="1"/>
  <c r="O149" i="1" s="1"/>
  <c r="K373" i="1"/>
  <c r="F367" i="1"/>
  <c r="J367" i="1"/>
  <c r="I367" i="1"/>
  <c r="H367" i="1"/>
  <c r="G367" i="1"/>
  <c r="J366" i="1"/>
  <c r="I366" i="1"/>
  <c r="H366" i="1"/>
  <c r="G366" i="1"/>
  <c r="F366" i="1"/>
  <c r="K355" i="1"/>
  <c r="J355" i="1"/>
  <c r="I355" i="1"/>
  <c r="H355" i="1"/>
  <c r="G355" i="1"/>
  <c r="F355" i="1"/>
  <c r="J349" i="1"/>
  <c r="J356" i="1" s="1"/>
  <c r="I349" i="1"/>
  <c r="I356" i="1" s="1"/>
  <c r="H349" i="1"/>
  <c r="H356" i="1" s="1"/>
  <c r="G349" i="1"/>
  <c r="G356" i="1" s="1"/>
  <c r="F349" i="1"/>
  <c r="F356" i="1" s="1"/>
  <c r="J348" i="1"/>
  <c r="I348" i="1"/>
  <c r="H348" i="1"/>
  <c r="G348" i="1"/>
  <c r="F348" i="1"/>
  <c r="Q144" i="1"/>
  <c r="J313" i="1"/>
  <c r="J325" i="1"/>
  <c r="J324" i="1"/>
  <c r="J323" i="1"/>
  <c r="J322" i="1"/>
  <c r="J321" i="1"/>
  <c r="J319" i="1"/>
  <c r="J318" i="1"/>
  <c r="J317" i="1"/>
  <c r="J311" i="1"/>
  <c r="J160" i="1"/>
  <c r="J166" i="1" s="1"/>
  <c r="J145" i="1"/>
  <c r="J151" i="1" s="1"/>
  <c r="I160" i="1"/>
  <c r="I166" i="1" s="1"/>
  <c r="H160" i="1"/>
  <c r="H166" i="1" s="1"/>
  <c r="G160" i="1"/>
  <c r="G166" i="1" s="1"/>
  <c r="F160" i="1"/>
  <c r="F166" i="1" s="1"/>
  <c r="I145" i="1"/>
  <c r="I151" i="1" s="1"/>
  <c r="H145" i="1"/>
  <c r="H151" i="1" s="1"/>
  <c r="G145" i="1"/>
  <c r="G151" i="1" s="1"/>
  <c r="F145" i="1"/>
  <c r="F151" i="1" s="1"/>
  <c r="J28" i="1"/>
  <c r="J301" i="1"/>
  <c r="I301" i="1"/>
  <c r="H301" i="1"/>
  <c r="G301" i="1"/>
  <c r="F301" i="1"/>
  <c r="J291" i="1"/>
  <c r="I291" i="1"/>
  <c r="H291" i="1"/>
  <c r="G291" i="1"/>
  <c r="F291" i="1"/>
  <c r="J286" i="1"/>
  <c r="I286" i="1"/>
  <c r="H286" i="1"/>
  <c r="G286" i="1"/>
  <c r="J285" i="1"/>
  <c r="I285" i="1"/>
  <c r="H285" i="1"/>
  <c r="G285" i="1"/>
  <c r="F286" i="1"/>
  <c r="F285" i="1"/>
  <c r="J273" i="1"/>
  <c r="J265" i="1"/>
  <c r="I265" i="1"/>
  <c r="H265" i="1"/>
  <c r="G265" i="1"/>
  <c r="F265" i="1"/>
  <c r="J253" i="1"/>
  <c r="I253" i="1"/>
  <c r="H253" i="1"/>
  <c r="G253" i="1"/>
  <c r="F253" i="1"/>
  <c r="E254" i="1"/>
  <c r="J248" i="1"/>
  <c r="I248" i="1"/>
  <c r="J244" i="1" s="1"/>
  <c r="J246" i="1" s="1"/>
  <c r="H248" i="1"/>
  <c r="G248" i="1"/>
  <c r="F248" i="1"/>
  <c r="G244" i="1" s="1"/>
  <c r="G246" i="1" s="1"/>
  <c r="E246" i="1"/>
  <c r="E249" i="1" s="1"/>
  <c r="F244" i="1"/>
  <c r="F246" i="1" s="1"/>
  <c r="E241" i="1"/>
  <c r="O6" i="1"/>
  <c r="O225" i="1" s="1"/>
  <c r="O226" i="1" s="1"/>
  <c r="N6" i="1"/>
  <c r="N225" i="1" s="1"/>
  <c r="N226" i="1" s="1"/>
  <c r="M6" i="1"/>
  <c r="M225" i="1" s="1"/>
  <c r="M226" i="1" s="1"/>
  <c r="L6" i="1"/>
  <c r="L225" i="1" s="1"/>
  <c r="K6" i="1"/>
  <c r="K225" i="1" s="1"/>
  <c r="J6" i="1"/>
  <c r="J225" i="1" s="1"/>
  <c r="I6" i="1"/>
  <c r="I225" i="1" s="1"/>
  <c r="H6" i="1"/>
  <c r="H225" i="1" s="1"/>
  <c r="G6" i="1"/>
  <c r="G225" i="1" s="1"/>
  <c r="F6" i="1"/>
  <c r="F225" i="1" s="1"/>
  <c r="F216" i="1"/>
  <c r="J198" i="1"/>
  <c r="J234" i="1" s="1"/>
  <c r="I198" i="1"/>
  <c r="H198" i="1"/>
  <c r="G198" i="1"/>
  <c r="F198" i="1"/>
  <c r="F199" i="1" s="1"/>
  <c r="J197" i="1"/>
  <c r="I197" i="1"/>
  <c r="H197" i="1"/>
  <c r="G197" i="1"/>
  <c r="F197" i="1"/>
  <c r="J194" i="1"/>
  <c r="J230" i="1" s="1"/>
  <c r="I194" i="1"/>
  <c r="H194" i="1"/>
  <c r="G194" i="1"/>
  <c r="F194" i="1"/>
  <c r="E194" i="1"/>
  <c r="J172" i="1"/>
  <c r="J174" i="1" s="1"/>
  <c r="I172" i="1"/>
  <c r="I174" i="1" s="1"/>
  <c r="H172" i="1"/>
  <c r="H174" i="1" s="1"/>
  <c r="G172" i="1"/>
  <c r="G174" i="1" s="1"/>
  <c r="F172" i="1"/>
  <c r="F174" i="1" s="1"/>
  <c r="AJ37" i="7"/>
  <c r="AI37" i="7"/>
  <c r="AH37" i="7"/>
  <c r="AG37" i="7"/>
  <c r="AF37" i="7"/>
  <c r="AJ35" i="7"/>
  <c r="AJ34" i="7"/>
  <c r="AI35" i="7"/>
  <c r="AI34" i="7"/>
  <c r="AH35" i="7"/>
  <c r="AH34" i="7"/>
  <c r="AG35" i="7"/>
  <c r="AG34" i="7"/>
  <c r="AJ33" i="7"/>
  <c r="AI33" i="7"/>
  <c r="AH33" i="7"/>
  <c r="AG33" i="7"/>
  <c r="AF33" i="7"/>
  <c r="AF35" i="7"/>
  <c r="AF34" i="7"/>
  <c r="AJ20" i="7"/>
  <c r="AI20" i="7"/>
  <c r="AJ19" i="7"/>
  <c r="AI19" i="7"/>
  <c r="AJ18" i="7"/>
  <c r="AI18" i="7"/>
  <c r="AJ17" i="7"/>
  <c r="AI17" i="7"/>
  <c r="AH20" i="7"/>
  <c r="AH19" i="7"/>
  <c r="AH18" i="7"/>
  <c r="AH17" i="7"/>
  <c r="AG20" i="7"/>
  <c r="AG19" i="7"/>
  <c r="AG18" i="7"/>
  <c r="AG17" i="7"/>
  <c r="AJ27" i="7"/>
  <c r="AJ26" i="7"/>
  <c r="AI27" i="7"/>
  <c r="AI26" i="7"/>
  <c r="AH27" i="7"/>
  <c r="AH26" i="7"/>
  <c r="AG27" i="7"/>
  <c r="AG26" i="7"/>
  <c r="AF27" i="7"/>
  <c r="AJ25" i="7"/>
  <c r="AI25" i="7"/>
  <c r="AH25" i="7"/>
  <c r="AG25" i="7"/>
  <c r="AF25" i="7"/>
  <c r="AF26" i="7"/>
  <c r="AF20" i="7"/>
  <c r="AF19" i="7"/>
  <c r="AF18" i="7"/>
  <c r="AF17" i="7"/>
  <c r="O118" i="1"/>
  <c r="N118" i="1"/>
  <c r="M118" i="1"/>
  <c r="L118" i="1"/>
  <c r="K118" i="1"/>
  <c r="J118" i="1"/>
  <c r="I118" i="1"/>
  <c r="H118" i="1"/>
  <c r="G118" i="1"/>
  <c r="F118" i="1"/>
  <c r="J110" i="1"/>
  <c r="I110" i="1"/>
  <c r="H110" i="1"/>
  <c r="G110" i="1"/>
  <c r="F110" i="1"/>
  <c r="J105" i="1"/>
  <c r="I105" i="1"/>
  <c r="H105" i="1"/>
  <c r="G105" i="1"/>
  <c r="F105" i="1"/>
  <c r="Q8" i="5"/>
  <c r="S8" i="5"/>
  <c r="H15" i="5"/>
  <c r="H14" i="5"/>
  <c r="H13" i="5"/>
  <c r="H12" i="5"/>
  <c r="H8" i="5"/>
  <c r="H7" i="5"/>
  <c r="H6" i="5"/>
  <c r="H5" i="5"/>
  <c r="H4" i="5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J63" i="1"/>
  <c r="J68" i="1" s="1"/>
  <c r="J73" i="1" s="1"/>
  <c r="J75" i="1" s="1"/>
  <c r="J77" i="1" s="1"/>
  <c r="J84" i="1" s="1"/>
  <c r="I63" i="1"/>
  <c r="I68" i="1" s="1"/>
  <c r="I73" i="1" s="1"/>
  <c r="I75" i="1" s="1"/>
  <c r="I77" i="1" s="1"/>
  <c r="I84" i="1" s="1"/>
  <c r="H63" i="1"/>
  <c r="H68" i="1" s="1"/>
  <c r="H73" i="1" s="1"/>
  <c r="H75" i="1" s="1"/>
  <c r="H77" i="1" s="1"/>
  <c r="H84" i="1" s="1"/>
  <c r="G63" i="1"/>
  <c r="G68" i="1" s="1"/>
  <c r="G73" i="1" s="1"/>
  <c r="G75" i="1" s="1"/>
  <c r="G77" i="1" s="1"/>
  <c r="G84" i="1" s="1"/>
  <c r="F63" i="1"/>
  <c r="F68" i="1" s="1"/>
  <c r="F73" i="1" s="1"/>
  <c r="F75" i="1" s="1"/>
  <c r="F77" i="1" s="1"/>
  <c r="F84" i="1" s="1"/>
  <c r="K18" i="1"/>
  <c r="L18" i="1"/>
  <c r="M18" i="1"/>
  <c r="N18" i="1"/>
  <c r="O18" i="1"/>
  <c r="J357" i="1" l="1"/>
  <c r="J361" i="1" s="1"/>
  <c r="J363" i="1" s="1"/>
  <c r="G368" i="1"/>
  <c r="H368" i="1"/>
  <c r="I368" i="1"/>
  <c r="J368" i="1"/>
  <c r="F368" i="1"/>
  <c r="I357" i="1"/>
  <c r="I361" i="1" s="1"/>
  <c r="I363" i="1" s="1"/>
  <c r="F357" i="1"/>
  <c r="F361" i="1" s="1"/>
  <c r="F363" i="1" s="1"/>
  <c r="G357" i="1"/>
  <c r="G361" i="1" s="1"/>
  <c r="G363" i="1" s="1"/>
  <c r="H357" i="1"/>
  <c r="H361" i="1" s="1"/>
  <c r="H363" i="1" s="1"/>
  <c r="H350" i="1"/>
  <c r="F350" i="1"/>
  <c r="I350" i="1"/>
  <c r="G350" i="1"/>
  <c r="J350" i="1"/>
  <c r="K46" i="1" s="1"/>
  <c r="L46" i="1" s="1"/>
  <c r="M46" i="1" s="1"/>
  <c r="N46" i="1" s="1"/>
  <c r="O46" i="1" s="1"/>
  <c r="O350" i="1" s="1"/>
  <c r="Q142" i="1"/>
  <c r="I287" i="1"/>
  <c r="J287" i="1"/>
  <c r="F292" i="1"/>
  <c r="G292" i="1"/>
  <c r="H292" i="1"/>
  <c r="I292" i="1"/>
  <c r="I302" i="1"/>
  <c r="G302" i="1"/>
  <c r="H302" i="1"/>
  <c r="J302" i="1"/>
  <c r="J294" i="1"/>
  <c r="G287" i="1"/>
  <c r="H287" i="1"/>
  <c r="J292" i="1"/>
  <c r="F287" i="1"/>
  <c r="F302" i="1"/>
  <c r="G251" i="1"/>
  <c r="G254" i="1" s="1"/>
  <c r="G266" i="1" s="1"/>
  <c r="H251" i="1"/>
  <c r="H254" i="1" s="1"/>
  <c r="H266" i="1" s="1"/>
  <c r="E256" i="1"/>
  <c r="J251" i="1"/>
  <c r="J254" i="1" s="1"/>
  <c r="J263" i="1" s="1"/>
  <c r="F251" i="1"/>
  <c r="F254" i="1" s="1"/>
  <c r="F266" i="1" s="1"/>
  <c r="H244" i="1"/>
  <c r="H246" i="1" s="1"/>
  <c r="H249" i="1" s="1"/>
  <c r="H268" i="1" s="1"/>
  <c r="I244" i="1"/>
  <c r="I246" i="1" s="1"/>
  <c r="I249" i="1" s="1"/>
  <c r="I268" i="1" s="1"/>
  <c r="I251" i="1"/>
  <c r="I254" i="1" s="1"/>
  <c r="I266" i="1" s="1"/>
  <c r="J272" i="1"/>
  <c r="J274" i="1" s="1"/>
  <c r="L226" i="1"/>
  <c r="F218" i="1"/>
  <c r="G216" i="1" s="1"/>
  <c r="G220" i="1" s="1"/>
  <c r="K226" i="1"/>
  <c r="J249" i="1"/>
  <c r="G249" i="1"/>
  <c r="G268" i="1" s="1"/>
  <c r="F249" i="1"/>
  <c r="F268" i="1" s="1"/>
  <c r="F207" i="1"/>
  <c r="F222" i="1" s="1"/>
  <c r="F220" i="1"/>
  <c r="H207" i="1"/>
  <c r="I207" i="1"/>
  <c r="J207" i="1"/>
  <c r="H199" i="1"/>
  <c r="H202" i="1" s="1"/>
  <c r="G207" i="1"/>
  <c r="F202" i="1"/>
  <c r="G199" i="1"/>
  <c r="G202" i="1" s="1"/>
  <c r="G204" i="1" s="1"/>
  <c r="I199" i="1"/>
  <c r="I202" i="1" s="1"/>
  <c r="J199" i="1"/>
  <c r="J202" i="1" s="1"/>
  <c r="J204" i="1" s="1"/>
  <c r="F175" i="1"/>
  <c r="F136" i="1" s="1"/>
  <c r="G175" i="1"/>
  <c r="G136" i="1" s="1"/>
  <c r="I175" i="1"/>
  <c r="I136" i="1" s="1"/>
  <c r="H175" i="1"/>
  <c r="H136" i="1" s="1"/>
  <c r="J175" i="1"/>
  <c r="J136" i="1" s="1"/>
  <c r="F121" i="1"/>
  <c r="F123" i="1" s="1"/>
  <c r="G122" i="1" s="1"/>
  <c r="H121" i="1"/>
  <c r="I121" i="1"/>
  <c r="J121" i="1"/>
  <c r="G121" i="1"/>
  <c r="J83" i="1"/>
  <c r="F83" i="1"/>
  <c r="G83" i="1"/>
  <c r="I83" i="1"/>
  <c r="H83" i="1"/>
  <c r="O352" i="1" l="1"/>
  <c r="N350" i="1"/>
  <c r="M350" i="1"/>
  <c r="K350" i="1"/>
  <c r="L350" i="1"/>
  <c r="J369" i="1"/>
  <c r="J364" i="1"/>
  <c r="J295" i="1"/>
  <c r="J293" i="1"/>
  <c r="J42" i="1" s="1"/>
  <c r="J303" i="1"/>
  <c r="N303" i="1" s="1"/>
  <c r="J288" i="1"/>
  <c r="J40" i="1" s="1"/>
  <c r="K40" i="1" s="1"/>
  <c r="K288" i="1" s="1"/>
  <c r="J266" i="1"/>
  <c r="K35" i="1" s="1"/>
  <c r="K266" i="1" s="1"/>
  <c r="F240" i="1"/>
  <c r="F241" i="1" s="1"/>
  <c r="F259" i="1" s="1"/>
  <c r="I222" i="1"/>
  <c r="G218" i="1"/>
  <c r="H216" i="1" s="1"/>
  <c r="H218" i="1" s="1"/>
  <c r="I216" i="1" s="1"/>
  <c r="F208" i="1"/>
  <c r="G222" i="1"/>
  <c r="G223" i="1" s="1"/>
  <c r="G226" i="1" s="1"/>
  <c r="H208" i="1"/>
  <c r="H204" i="1"/>
  <c r="F204" i="1"/>
  <c r="J275" i="1"/>
  <c r="J276" i="1" s="1"/>
  <c r="K272" i="1" s="1"/>
  <c r="J268" i="1"/>
  <c r="J269" i="1" s="1"/>
  <c r="J37" i="1" s="1"/>
  <c r="I208" i="1"/>
  <c r="G208" i="1"/>
  <c r="F223" i="1"/>
  <c r="F226" i="1" s="1"/>
  <c r="J222" i="1"/>
  <c r="H222" i="1"/>
  <c r="J208" i="1"/>
  <c r="I204" i="1"/>
  <c r="G123" i="1"/>
  <c r="H122" i="1" s="1"/>
  <c r="H123" i="1" s="1"/>
  <c r="I122" i="1" s="1"/>
  <c r="I123" i="1" s="1"/>
  <c r="J122" i="1" s="1"/>
  <c r="J123" i="1" s="1"/>
  <c r="K122" i="1" s="1"/>
  <c r="K12" i="1"/>
  <c r="K217" i="1" s="1"/>
  <c r="K348" i="1" s="1"/>
  <c r="L12" i="1"/>
  <c r="L217" i="1" s="1"/>
  <c r="L348" i="1" s="1"/>
  <c r="M12" i="1"/>
  <c r="M217" i="1" s="1"/>
  <c r="M348" i="1" s="1"/>
  <c r="N12" i="1"/>
  <c r="N217" i="1" s="1"/>
  <c r="N348" i="1" s="1"/>
  <c r="O12" i="1"/>
  <c r="O217" i="1" s="1"/>
  <c r="O348" i="1" s="1"/>
  <c r="O351" i="1" s="1"/>
  <c r="K8" i="1"/>
  <c r="K381" i="1" s="1"/>
  <c r="J381" i="1" s="1"/>
  <c r="I381" i="1" s="1"/>
  <c r="H381" i="1" s="1"/>
  <c r="G381" i="1" s="1"/>
  <c r="F381" i="1" s="1"/>
  <c r="O353" i="1" l="1"/>
  <c r="L351" i="1"/>
  <c r="L352" i="1"/>
  <c r="K351" i="1"/>
  <c r="K352" i="1"/>
  <c r="M351" i="1"/>
  <c r="M352" i="1"/>
  <c r="N351" i="1"/>
  <c r="N352" i="1"/>
  <c r="O358" i="1"/>
  <c r="N358" i="1"/>
  <c r="K358" i="1"/>
  <c r="M358" i="1"/>
  <c r="L358" i="1"/>
  <c r="L40" i="1"/>
  <c r="M40" i="1" s="1"/>
  <c r="K345" i="1"/>
  <c r="J345" i="1" s="1"/>
  <c r="I345" i="1" s="1"/>
  <c r="H345" i="1" s="1"/>
  <c r="G345" i="1" s="1"/>
  <c r="F345" i="1" s="1"/>
  <c r="G240" i="1"/>
  <c r="G241" i="1" s="1"/>
  <c r="G259" i="1" s="1"/>
  <c r="K303" i="1"/>
  <c r="L303" i="1"/>
  <c r="M303" i="1"/>
  <c r="O303" i="1"/>
  <c r="K284" i="1"/>
  <c r="J284" i="1" s="1"/>
  <c r="I284" i="1" s="1"/>
  <c r="H284" i="1" s="1"/>
  <c r="G284" i="1" s="1"/>
  <c r="F284" i="1" s="1"/>
  <c r="K309" i="1"/>
  <c r="J309" i="1" s="1"/>
  <c r="I309" i="1" s="1"/>
  <c r="H309" i="1" s="1"/>
  <c r="G309" i="1" s="1"/>
  <c r="F309" i="1" s="1"/>
  <c r="L35" i="1"/>
  <c r="L266" i="1" s="1"/>
  <c r="H220" i="1"/>
  <c r="H223" i="1" s="1"/>
  <c r="H226" i="1" s="1"/>
  <c r="G209" i="1"/>
  <c r="F256" i="1"/>
  <c r="F258" i="1" s="1"/>
  <c r="F261" i="1" s="1"/>
  <c r="J211" i="1"/>
  <c r="J27" i="1" s="1"/>
  <c r="K26" i="1" s="1"/>
  <c r="I209" i="1"/>
  <c r="J205" i="1"/>
  <c r="K30" i="1" s="1"/>
  <c r="H240" i="1"/>
  <c r="H241" i="1" s="1"/>
  <c r="H209" i="1"/>
  <c r="I218" i="1"/>
  <c r="J216" i="1" s="1"/>
  <c r="I220" i="1"/>
  <c r="I223" i="1" s="1"/>
  <c r="I226" i="1" s="1"/>
  <c r="J209" i="1"/>
  <c r="K138" i="1"/>
  <c r="J138" i="1" s="1"/>
  <c r="I138" i="1" s="1"/>
  <c r="H138" i="1" s="1"/>
  <c r="G138" i="1" s="1"/>
  <c r="F138" i="1" s="1"/>
  <c r="K191" i="1"/>
  <c r="J191" i="1" s="1"/>
  <c r="I191" i="1" s="1"/>
  <c r="H191" i="1" s="1"/>
  <c r="G191" i="1" s="1"/>
  <c r="F191" i="1" s="1"/>
  <c r="E191" i="1" s="1"/>
  <c r="K94" i="1"/>
  <c r="J94" i="1" s="1"/>
  <c r="I94" i="1" s="1"/>
  <c r="H94" i="1" s="1"/>
  <c r="G94" i="1" s="1"/>
  <c r="F94" i="1" s="1"/>
  <c r="K59" i="1"/>
  <c r="J59" i="1" s="1"/>
  <c r="I59" i="1" s="1"/>
  <c r="H59" i="1" s="1"/>
  <c r="G59" i="1" s="1"/>
  <c r="F59" i="1" s="1"/>
  <c r="L8" i="1"/>
  <c r="L288" i="1" l="1"/>
  <c r="N353" i="1"/>
  <c r="M353" i="1"/>
  <c r="K353" i="1"/>
  <c r="L353" i="1"/>
  <c r="L345" i="1"/>
  <c r="L381" i="1"/>
  <c r="M356" i="1"/>
  <c r="M374" i="1" s="1"/>
  <c r="M108" i="1"/>
  <c r="M110" i="1" s="1"/>
  <c r="G256" i="1"/>
  <c r="G258" i="1" s="1"/>
  <c r="G261" i="1" s="1"/>
  <c r="K213" i="1"/>
  <c r="K231" i="1" s="1"/>
  <c r="L26" i="1"/>
  <c r="L284" i="1"/>
  <c r="L309" i="1"/>
  <c r="N40" i="1"/>
  <c r="M288" i="1"/>
  <c r="M35" i="1"/>
  <c r="M266" i="1" s="1"/>
  <c r="I240" i="1"/>
  <c r="I241" i="1" s="1"/>
  <c r="H259" i="1"/>
  <c r="H256" i="1"/>
  <c r="J218" i="1"/>
  <c r="K216" i="1" s="1"/>
  <c r="J220" i="1"/>
  <c r="J223" i="1" s="1"/>
  <c r="J226" i="1" s="1"/>
  <c r="J227" i="1" s="1"/>
  <c r="L138" i="1"/>
  <c r="L191" i="1"/>
  <c r="L94" i="1"/>
  <c r="L59" i="1"/>
  <c r="M8" i="1"/>
  <c r="K108" i="1" l="1"/>
  <c r="K110" i="1" s="1"/>
  <c r="K356" i="1"/>
  <c r="M345" i="1"/>
  <c r="M381" i="1"/>
  <c r="L356" i="1"/>
  <c r="L108" i="1"/>
  <c r="L110" i="1" s="1"/>
  <c r="O356" i="1"/>
  <c r="O374" i="1" s="1"/>
  <c r="O108" i="1"/>
  <c r="O110" i="1" s="1"/>
  <c r="H258" i="1"/>
  <c r="H261" i="1" s="1"/>
  <c r="L213" i="1"/>
  <c r="L231" i="1" s="1"/>
  <c r="M26" i="1"/>
  <c r="N35" i="1"/>
  <c r="N266" i="1" s="1"/>
  <c r="M284" i="1"/>
  <c r="M309" i="1"/>
  <c r="O40" i="1"/>
  <c r="O288" i="1" s="1"/>
  <c r="N288" i="1"/>
  <c r="I259" i="1"/>
  <c r="I256" i="1"/>
  <c r="I258" i="1" s="1"/>
  <c r="J240" i="1"/>
  <c r="J241" i="1" s="1"/>
  <c r="K227" i="1"/>
  <c r="L227" i="1"/>
  <c r="M227" i="1"/>
  <c r="N227" i="1"/>
  <c r="O227" i="1"/>
  <c r="K218" i="1"/>
  <c r="L216" i="1" s="1"/>
  <c r="K220" i="1"/>
  <c r="M138" i="1"/>
  <c r="M191" i="1"/>
  <c r="M94" i="1"/>
  <c r="M59" i="1"/>
  <c r="N8" i="1"/>
  <c r="K357" i="1" l="1"/>
  <c r="K360" i="1" s="1"/>
  <c r="K374" i="1"/>
  <c r="N345" i="1"/>
  <c r="N381" i="1"/>
  <c r="N356" i="1"/>
  <c r="N374" i="1" s="1"/>
  <c r="N108" i="1"/>
  <c r="N110" i="1" s="1"/>
  <c r="L374" i="1"/>
  <c r="K228" i="1"/>
  <c r="O35" i="1"/>
  <c r="O266" i="1" s="1"/>
  <c r="M213" i="1"/>
  <c r="M231" i="1" s="1"/>
  <c r="N26" i="1"/>
  <c r="N284" i="1"/>
  <c r="N309" i="1"/>
  <c r="K230" i="1"/>
  <c r="K232" i="1" s="1"/>
  <c r="K29" i="1"/>
  <c r="J259" i="1"/>
  <c r="J256" i="1"/>
  <c r="J258" i="1" s="1"/>
  <c r="K258" i="1" s="1"/>
  <c r="K33" i="1" s="1"/>
  <c r="L33" i="1" s="1"/>
  <c r="I261" i="1"/>
  <c r="K240" i="1"/>
  <c r="K241" i="1" s="1"/>
  <c r="K259" i="1" s="1"/>
  <c r="L218" i="1"/>
  <c r="M216" i="1" s="1"/>
  <c r="L220" i="1"/>
  <c r="L228" i="1" s="1"/>
  <c r="N138" i="1"/>
  <c r="N191" i="1"/>
  <c r="N94" i="1"/>
  <c r="N59" i="1"/>
  <c r="O8" i="1"/>
  <c r="L355" i="1" l="1"/>
  <c r="L357" i="1" s="1"/>
  <c r="L360" i="1" s="1"/>
  <c r="L366" i="1" s="1"/>
  <c r="L371" i="1" s="1"/>
  <c r="K366" i="1"/>
  <c r="K371" i="1" s="1"/>
  <c r="O345" i="1"/>
  <c r="O381" i="1"/>
  <c r="N213" i="1"/>
  <c r="N231" i="1" s="1"/>
  <c r="O26" i="1"/>
  <c r="O213" i="1" s="1"/>
  <c r="O284" i="1"/>
  <c r="O309" i="1"/>
  <c r="J261" i="1"/>
  <c r="L230" i="1"/>
  <c r="L232" i="1" s="1"/>
  <c r="L29" i="1"/>
  <c r="L258" i="1"/>
  <c r="M33" i="1"/>
  <c r="K261" i="1"/>
  <c r="K263" i="1" s="1"/>
  <c r="L240" i="1"/>
  <c r="L241" i="1" s="1"/>
  <c r="L259" i="1" s="1"/>
  <c r="K234" i="1"/>
  <c r="M218" i="1"/>
  <c r="N216" i="1" s="1"/>
  <c r="M220" i="1"/>
  <c r="M228" i="1" s="1"/>
  <c r="O138" i="1"/>
  <c r="O191" i="1"/>
  <c r="O94" i="1"/>
  <c r="O59" i="1"/>
  <c r="M355" i="1" l="1"/>
  <c r="M357" i="1" s="1"/>
  <c r="M360" i="1" s="1"/>
  <c r="N355" i="1" s="1"/>
  <c r="N357" i="1" s="1"/>
  <c r="N360" i="1" s="1"/>
  <c r="O355" i="1" s="1"/>
  <c r="O357" i="1" s="1"/>
  <c r="O360" i="1" s="1"/>
  <c r="K375" i="1"/>
  <c r="K376" i="1" s="1"/>
  <c r="K97" i="1"/>
  <c r="L97" i="1"/>
  <c r="L375" i="1"/>
  <c r="M230" i="1"/>
  <c r="M29" i="1"/>
  <c r="O231" i="1"/>
  <c r="N33" i="1"/>
  <c r="M258" i="1"/>
  <c r="L261" i="1"/>
  <c r="L263" i="1" s="1"/>
  <c r="K273" i="1"/>
  <c r="K157" i="1"/>
  <c r="K324" i="1" s="1"/>
  <c r="K336" i="1" s="1"/>
  <c r="K235" i="1"/>
  <c r="K236" i="1" s="1"/>
  <c r="K62" i="1" s="1"/>
  <c r="M240" i="1"/>
  <c r="M241" i="1" s="1"/>
  <c r="M259" i="1" s="1"/>
  <c r="L234" i="1"/>
  <c r="N218" i="1"/>
  <c r="O216" i="1" s="1"/>
  <c r="N220" i="1"/>
  <c r="N228" i="1" s="1"/>
  <c r="N366" i="1" l="1"/>
  <c r="N371" i="1" s="1"/>
  <c r="N97" i="1" s="1"/>
  <c r="M366" i="1"/>
  <c r="M371" i="1" s="1"/>
  <c r="O366" i="1"/>
  <c r="O371" i="1" s="1"/>
  <c r="O375" i="1" s="1"/>
  <c r="K148" i="1"/>
  <c r="L373" i="1"/>
  <c r="L376" i="1" s="1"/>
  <c r="O97" i="1"/>
  <c r="N375" i="1"/>
  <c r="M97" i="1"/>
  <c r="M375" i="1"/>
  <c r="M232" i="1"/>
  <c r="M234" i="1" s="1"/>
  <c r="N230" i="1"/>
  <c r="N232" i="1" s="1"/>
  <c r="N29" i="1"/>
  <c r="N258" i="1"/>
  <c r="O33" i="1"/>
  <c r="O258" i="1" s="1"/>
  <c r="L235" i="1"/>
  <c r="L236" i="1" s="1"/>
  <c r="L62" i="1" s="1"/>
  <c r="L157" i="1"/>
  <c r="L324" i="1" s="1"/>
  <c r="L336" i="1" s="1"/>
  <c r="L273" i="1"/>
  <c r="L275" i="1" s="1"/>
  <c r="K275" i="1"/>
  <c r="K274" i="1"/>
  <c r="N240" i="1"/>
  <c r="N241" i="1" s="1"/>
  <c r="N259" i="1" s="1"/>
  <c r="M261" i="1"/>
  <c r="M263" i="1" s="1"/>
  <c r="O218" i="1"/>
  <c r="O240" i="1" s="1"/>
  <c r="O241" i="1" s="1"/>
  <c r="O220" i="1"/>
  <c r="O228" i="1" s="1"/>
  <c r="L148" i="1" l="1"/>
  <c r="M373" i="1"/>
  <c r="M376" i="1" s="1"/>
  <c r="M148" i="1" s="1"/>
  <c r="K276" i="1"/>
  <c r="K156" i="1" s="1"/>
  <c r="K323" i="1" s="1"/>
  <c r="K335" i="1" s="1"/>
  <c r="O259" i="1"/>
  <c r="O261" i="1" s="1"/>
  <c r="O230" i="1"/>
  <c r="O29" i="1"/>
  <c r="M273" i="1"/>
  <c r="M275" i="1" s="1"/>
  <c r="M157" i="1"/>
  <c r="M324" i="1" s="1"/>
  <c r="M336" i="1" s="1"/>
  <c r="M235" i="1"/>
  <c r="M236" i="1" s="1"/>
  <c r="M62" i="1" s="1"/>
  <c r="N261" i="1"/>
  <c r="N263" i="1" s="1"/>
  <c r="N234" i="1"/>
  <c r="N373" i="1" l="1"/>
  <c r="N376" i="1" s="1"/>
  <c r="N148" i="1" s="1"/>
  <c r="K278" i="1"/>
  <c r="K279" i="1" s="1"/>
  <c r="K61" i="1" s="1"/>
  <c r="K311" i="1" s="1"/>
  <c r="K312" i="1" s="1"/>
  <c r="K325" i="1" s="1"/>
  <c r="K337" i="1" s="1"/>
  <c r="L272" i="1"/>
  <c r="L274" i="1" s="1"/>
  <c r="L276" i="1" s="1"/>
  <c r="L156" i="1" s="1"/>
  <c r="L323" i="1" s="1"/>
  <c r="L335" i="1" s="1"/>
  <c r="O232" i="1"/>
  <c r="O234" i="1" s="1"/>
  <c r="O263" i="1"/>
  <c r="N273" i="1"/>
  <c r="N275" i="1" s="1"/>
  <c r="N235" i="1"/>
  <c r="N236" i="1" s="1"/>
  <c r="N62" i="1" s="1"/>
  <c r="N157" i="1"/>
  <c r="N324" i="1" s="1"/>
  <c r="N336" i="1" s="1"/>
  <c r="O373" i="1" l="1"/>
  <c r="O376" i="1" s="1"/>
  <c r="O148" i="1" s="1"/>
  <c r="L278" i="1"/>
  <c r="L279" i="1" s="1"/>
  <c r="L61" i="1" s="1"/>
  <c r="L311" i="1" s="1"/>
  <c r="L312" i="1" s="1"/>
  <c r="L325" i="1" s="1"/>
  <c r="L337" i="1" s="1"/>
  <c r="M272" i="1"/>
  <c r="M274" i="1" s="1"/>
  <c r="M276" i="1" s="1"/>
  <c r="M156" i="1" s="1"/>
  <c r="M323" i="1" s="1"/>
  <c r="M335" i="1" s="1"/>
  <c r="K285" i="1"/>
  <c r="K289" i="1" s="1"/>
  <c r="K66" i="1" s="1"/>
  <c r="K313" i="1" s="1"/>
  <c r="K314" i="1" s="1"/>
  <c r="K318" i="1" s="1"/>
  <c r="K63" i="1"/>
  <c r="K319" i="1"/>
  <c r="K144" i="1" s="1"/>
  <c r="K317" i="1"/>
  <c r="K142" i="1" s="1"/>
  <c r="K159" i="1"/>
  <c r="O235" i="1"/>
  <c r="O236" i="1" s="1"/>
  <c r="O62" i="1" s="1"/>
  <c r="O157" i="1"/>
  <c r="O324" i="1" s="1"/>
  <c r="O336" i="1" s="1"/>
  <c r="O273" i="1"/>
  <c r="O275" i="1" s="1"/>
  <c r="K331" i="1" l="1"/>
  <c r="K321" i="1"/>
  <c r="K328" i="1" s="1"/>
  <c r="K103" i="1" s="1"/>
  <c r="K330" i="1"/>
  <c r="N272" i="1"/>
  <c r="N274" i="1" s="1"/>
  <c r="N276" i="1" s="1"/>
  <c r="N156" i="1" s="1"/>
  <c r="N323" i="1" s="1"/>
  <c r="N335" i="1" s="1"/>
  <c r="L285" i="1"/>
  <c r="L289" i="1" s="1"/>
  <c r="L66" i="1" s="1"/>
  <c r="L313" i="1" s="1"/>
  <c r="L314" i="1" s="1"/>
  <c r="L318" i="1" s="1"/>
  <c r="L143" i="1" s="1"/>
  <c r="M278" i="1"/>
  <c r="M279" i="1" s="1"/>
  <c r="M61" i="1" s="1"/>
  <c r="M311" i="1" s="1"/>
  <c r="M312" i="1" s="1"/>
  <c r="M325" i="1" s="1"/>
  <c r="M337" i="1" s="1"/>
  <c r="L63" i="1"/>
  <c r="L317" i="1"/>
  <c r="L319" i="1"/>
  <c r="L331" i="1" s="1"/>
  <c r="L159" i="1"/>
  <c r="L142" i="1"/>
  <c r="L330" i="1"/>
  <c r="K143" i="1"/>
  <c r="K327" i="1"/>
  <c r="K102" i="1" s="1"/>
  <c r="M317" i="1"/>
  <c r="M330" i="1" s="1"/>
  <c r="M319" i="1"/>
  <c r="L332" i="1" l="1"/>
  <c r="L144" i="1"/>
  <c r="K332" i="1"/>
  <c r="K154" i="1"/>
  <c r="M159" i="1"/>
  <c r="L327" i="1"/>
  <c r="L102" i="1" s="1"/>
  <c r="N278" i="1"/>
  <c r="N279" i="1" s="1"/>
  <c r="N61" i="1" s="1"/>
  <c r="N311" i="1" s="1"/>
  <c r="N312" i="1" s="1"/>
  <c r="N325" i="1" s="1"/>
  <c r="L321" i="1"/>
  <c r="L328" i="1" s="1"/>
  <c r="L103" i="1" s="1"/>
  <c r="O272" i="1"/>
  <c r="O274" i="1" s="1"/>
  <c r="O276" i="1" s="1"/>
  <c r="O278" i="1" s="1"/>
  <c r="O279" i="1" s="1"/>
  <c r="O61" i="1" s="1"/>
  <c r="O311" i="1" s="1"/>
  <c r="M63" i="1"/>
  <c r="M285" i="1"/>
  <c r="M289" i="1" s="1"/>
  <c r="M66" i="1" s="1"/>
  <c r="M313" i="1" s="1"/>
  <c r="M314" i="1" s="1"/>
  <c r="M318" i="1" s="1"/>
  <c r="M143" i="1" s="1"/>
  <c r="M144" i="1"/>
  <c r="M142" i="1"/>
  <c r="M331" i="1"/>
  <c r="M332" i="1" s="1"/>
  <c r="L154" i="1"/>
  <c r="M321" i="1" l="1"/>
  <c r="M328" i="1" s="1"/>
  <c r="M103" i="1" s="1"/>
  <c r="M327" i="1"/>
  <c r="M102" i="1" s="1"/>
  <c r="N337" i="1"/>
  <c r="N159" i="1"/>
  <c r="N63" i="1"/>
  <c r="N285" i="1"/>
  <c r="N289" i="1" s="1"/>
  <c r="N66" i="1" s="1"/>
  <c r="N313" i="1" s="1"/>
  <c r="N314" i="1" s="1"/>
  <c r="N318" i="1" s="1"/>
  <c r="N327" i="1" s="1"/>
  <c r="N102" i="1" s="1"/>
  <c r="N317" i="1"/>
  <c r="N142" i="1" s="1"/>
  <c r="N319" i="1"/>
  <c r="N144" i="1" s="1"/>
  <c r="O312" i="1"/>
  <c r="O325" i="1" s="1"/>
  <c r="O159" i="1" s="1"/>
  <c r="O156" i="1"/>
  <c r="O323" i="1" s="1"/>
  <c r="O335" i="1" s="1"/>
  <c r="O63" i="1"/>
  <c r="O285" i="1"/>
  <c r="O337" i="1" l="1"/>
  <c r="M154" i="1"/>
  <c r="O317" i="1"/>
  <c r="O142" i="1" s="1"/>
  <c r="N330" i="1"/>
  <c r="O319" i="1"/>
  <c r="O144" i="1" s="1"/>
  <c r="N331" i="1"/>
  <c r="N321" i="1"/>
  <c r="N328" i="1" s="1"/>
  <c r="N103" i="1" s="1"/>
  <c r="N143" i="1"/>
  <c r="O330" i="1"/>
  <c r="N332" i="1"/>
  <c r="O331" i="1"/>
  <c r="N154" i="1"/>
  <c r="J296" i="1"/>
  <c r="J297" i="1" s="1"/>
  <c r="J298" i="1" s="1"/>
  <c r="J43" i="1" s="1"/>
  <c r="K42" i="1" s="1"/>
  <c r="O289" i="1"/>
  <c r="O66" i="1" s="1"/>
  <c r="O313" i="1" s="1"/>
  <c r="O314" i="1" s="1"/>
  <c r="O318" i="1" s="1"/>
  <c r="O332" i="1" l="1"/>
  <c r="O143" i="1"/>
  <c r="Q145" i="1" s="1"/>
  <c r="O327" i="1"/>
  <c r="O102" i="1" s="1"/>
  <c r="O321" i="1"/>
  <c r="L42" i="1"/>
  <c r="M42" i="1" s="1"/>
  <c r="K293" i="1"/>
  <c r="K299" i="1" s="1"/>
  <c r="O154" i="1" l="1"/>
  <c r="O328" i="1"/>
  <c r="O103" i="1" s="1"/>
  <c r="L293" i="1"/>
  <c r="L299" i="1" s="1"/>
  <c r="N42" i="1"/>
  <c r="M293" i="1"/>
  <c r="K67" i="1"/>
  <c r="K68" i="1" s="1"/>
  <c r="K73" i="1" s="1"/>
  <c r="K75" i="1" s="1"/>
  <c r="K304" i="1"/>
  <c r="K155" i="1" s="1"/>
  <c r="K160" i="1" l="1"/>
  <c r="K166" i="1" s="1"/>
  <c r="K322" i="1"/>
  <c r="K334" i="1" s="1"/>
  <c r="K338" i="1" s="1"/>
  <c r="K340" i="1" s="1"/>
  <c r="K104" i="1" s="1"/>
  <c r="O42" i="1"/>
  <c r="O293" i="1" s="1"/>
  <c r="N293" i="1"/>
  <c r="L67" i="1"/>
  <c r="L68" i="1" s="1"/>
  <c r="L73" i="1" s="1"/>
  <c r="L75" i="1" s="1"/>
  <c r="L304" i="1"/>
  <c r="L155" i="1" s="1"/>
  <c r="K77" i="1"/>
  <c r="K171" i="1" s="1"/>
  <c r="K96" i="1"/>
  <c r="M299" i="1"/>
  <c r="K105" i="1" l="1"/>
  <c r="K121" i="1" s="1"/>
  <c r="K123" i="1" s="1"/>
  <c r="L122" i="1" s="1"/>
  <c r="L160" i="1"/>
  <c r="L166" i="1" s="1"/>
  <c r="L322" i="1"/>
  <c r="L334" i="1" s="1"/>
  <c r="L338" i="1" s="1"/>
  <c r="L340" i="1" s="1"/>
  <c r="L104" i="1" s="1"/>
  <c r="M67" i="1"/>
  <c r="M68" i="1" s="1"/>
  <c r="M73" i="1" s="1"/>
  <c r="M75" i="1" s="1"/>
  <c r="M304" i="1"/>
  <c r="M155" i="1" s="1"/>
  <c r="K172" i="1"/>
  <c r="K174" i="1" s="1"/>
  <c r="K175" i="1" s="1"/>
  <c r="L77" i="1"/>
  <c r="L171" i="1" s="1"/>
  <c r="L96" i="1"/>
  <c r="O299" i="1"/>
  <c r="N299" i="1"/>
  <c r="L105" i="1" l="1"/>
  <c r="L121" i="1" s="1"/>
  <c r="L123" i="1" s="1"/>
  <c r="K140" i="1"/>
  <c r="K145" i="1" s="1"/>
  <c r="K151" i="1" s="1"/>
  <c r="K136" i="1" s="1"/>
  <c r="M160" i="1"/>
  <c r="M166" i="1" s="1"/>
  <c r="M322" i="1"/>
  <c r="M334" i="1" s="1"/>
  <c r="M338" i="1" s="1"/>
  <c r="M340" i="1" s="1"/>
  <c r="M104" i="1" s="1"/>
  <c r="L172" i="1"/>
  <c r="L174" i="1" s="1"/>
  <c r="L175" i="1" s="1"/>
  <c r="N67" i="1"/>
  <c r="N68" i="1" s="1"/>
  <c r="N73" i="1" s="1"/>
  <c r="N75" i="1" s="1"/>
  <c r="N304" i="1"/>
  <c r="N155" i="1" s="1"/>
  <c r="O67" i="1"/>
  <c r="O68" i="1" s="1"/>
  <c r="O73" i="1" s="1"/>
  <c r="O75" i="1" s="1"/>
  <c r="O304" i="1"/>
  <c r="O155" i="1" s="1"/>
  <c r="M77" i="1"/>
  <c r="M171" i="1" s="1"/>
  <c r="M96" i="1"/>
  <c r="M105" i="1" s="1"/>
  <c r="M121" i="1" s="1"/>
  <c r="O160" i="1" l="1"/>
  <c r="O166" i="1" s="1"/>
  <c r="O322" i="1"/>
  <c r="N160" i="1"/>
  <c r="N166" i="1" s="1"/>
  <c r="N322" i="1"/>
  <c r="N334" i="1" s="1"/>
  <c r="N338" i="1" s="1"/>
  <c r="N340" i="1" s="1"/>
  <c r="N104" i="1" s="1"/>
  <c r="M172" i="1"/>
  <c r="M174" i="1" s="1"/>
  <c r="M175" i="1" s="1"/>
  <c r="N77" i="1"/>
  <c r="N171" i="1" s="1"/>
  <c r="N96" i="1"/>
  <c r="M122" i="1"/>
  <c r="M123" i="1" s="1"/>
  <c r="L140" i="1"/>
  <c r="L145" i="1" s="1"/>
  <c r="L151" i="1" s="1"/>
  <c r="L136" i="1" s="1"/>
  <c r="O77" i="1"/>
  <c r="O96" i="1"/>
  <c r="N105" i="1" l="1"/>
  <c r="N121" i="1" s="1"/>
  <c r="O334" i="1"/>
  <c r="O338" i="1" s="1"/>
  <c r="O340" i="1" s="1"/>
  <c r="O104" i="1" s="1"/>
  <c r="O105" i="1" s="1"/>
  <c r="O121" i="1" s="1"/>
  <c r="N172" i="1"/>
  <c r="N174" i="1" s="1"/>
  <c r="N175" i="1" s="1"/>
  <c r="O171" i="1"/>
  <c r="O172" i="1" s="1"/>
  <c r="O174" i="1" s="1"/>
  <c r="O175" i="1" s="1"/>
  <c r="N122" i="1"/>
  <c r="M140" i="1"/>
  <c r="M145" i="1" s="1"/>
  <c r="M151" i="1" s="1"/>
  <c r="M136" i="1" s="1"/>
  <c r="N123" i="1" l="1"/>
  <c r="O122" i="1" s="1"/>
  <c r="O123" i="1" s="1"/>
  <c r="O140" i="1" s="1"/>
  <c r="O145" i="1" s="1"/>
  <c r="N140" i="1" l="1"/>
  <c r="N145" i="1" s="1"/>
  <c r="N151" i="1" s="1"/>
  <c r="N136" i="1" s="1"/>
  <c r="O151" i="1"/>
  <c r="O136" i="1" s="1"/>
  <c r="Q1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tc={603B89FB-D427-49C3-A4CD-6D873E5E11C3}</author>
    <author>tc={09595CBA-CF47-4D47-9DA0-07CB4727C94B}</author>
    <author>tc={EDAC56EA-9F4D-4961-8A42-58C0B17E2411}</author>
    <author>tc={87379581-145D-4850-A472-6CEEC181F31A}</author>
  </authors>
  <commentList>
    <comment ref="K26" authorId="0" shapeId="0" xr:uid="{603B89FB-D427-49C3-A4CD-6D873E5E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Adjustment to be made once the price has been adjusted.</t>
      </text>
    </comment>
    <comment ref="C46" authorId="1" shapeId="0" xr:uid="{09595CBA-CF47-4D47-9DA0-07CB4727C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Management’s guidance for the average CAPEX for the next 5 years (heading - Capital Expenditure Plans)</t>
      </text>
    </comment>
    <comment ref="K46" authorId="2" shapeId="0" xr:uid="{EDAC56EA-9F4D-4961-8A42-58C0B17E2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Mangement says it expects to spend a similar amount for 2025 as 2024, therefore, using 2024 as the base.
</t>
      </text>
    </comment>
    <comment ref="F122" authorId="3" shapeId="0" xr:uid="{87379581-145D-4850-A472-6CEEC181F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Cash and Cash Equivalent from PY B.S.
Others are being calculated, but should match the CCE of the B.S.
</t>
      </text>
    </comment>
  </commentList>
</comments>
</file>

<file path=xl/sharedStrings.xml><?xml version="1.0" encoding="utf-8"?>
<sst xmlns="http://schemas.openxmlformats.org/spreadsheetml/2006/main" count="761" uniqueCount="361">
  <si>
    <t xml:space="preserve"> </t>
  </si>
  <si>
    <t>Costco Wholesale</t>
  </si>
  <si>
    <t>Assumptions</t>
  </si>
  <si>
    <t>First year of forecast</t>
  </si>
  <si>
    <t>Scenarios</t>
  </si>
  <si>
    <t>Base Case</t>
  </si>
  <si>
    <t>Best Case</t>
  </si>
  <si>
    <t>Worst Case</t>
  </si>
  <si>
    <t>Variable 2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</si>
  <si>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</si>
  <si>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</si>
  <si>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</si>
  <si>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</si>
  <si>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</si>
  <si>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</si>
  <si>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</si>
  <si>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Merchandise Costs</t>
  </si>
  <si>
    <t>SG&amp;A</t>
  </si>
  <si>
    <t>Operating Income</t>
  </si>
  <si>
    <t>Other Income (Expenses)</t>
  </si>
  <si>
    <t>Interest Expenses</t>
  </si>
  <si>
    <t>Interest Income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</si>
  <si>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</si>
  <si>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</si>
  <si>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</si>
  <si>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</si>
  <si>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</si>
  <si>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</si>
  <si>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EPS</t>
  </si>
  <si>
    <t>Basic</t>
  </si>
  <si>
    <t>Diluted</t>
  </si>
  <si>
    <t>Weighted-average share count (diluted)</t>
  </si>
  <si>
    <t>REVENUE</t>
  </si>
  <si>
    <t>Net sales</t>
  </si>
  <si>
    <t>Total revenue</t>
  </si>
  <si>
    <t>OPERATING EXPENSES</t>
  </si>
  <si>
    <t>Merchandise costs</t>
  </si>
  <si>
    <t>Selling, general and administrative</t>
  </si>
  <si>
    <t>Operating income</t>
  </si>
  <si>
    <t>OTHER INCOME (EXPENSE)</t>
  </si>
  <si>
    <t>Interest expense</t>
  </si>
  <si>
    <t>Interest income and other, net</t>
  </si>
  <si>
    <t>INCOME BEFORE INCOME TAXES</t>
  </si>
  <si>
    <t>Provision for income taxes</t>
  </si>
  <si>
    <t>Net income including noncontrolling interests</t>
  </si>
  <si>
    <t>Net income attributable to noncontrolling interests</t>
  </si>
  <si>
    <t>NET INCOME ATTRIBUTABLE TO COSTCO</t>
  </si>
  <si>
    <t>NET INCOME PER COMMON SHARE ATTRIBUTABLE TO COSTCO:</t>
  </si>
  <si>
    <t>Shares used in calculation (000’s)</t>
  </si>
  <si>
    <r>
      <t>—</t>
    </r>
    <r>
      <rPr>
        <sz val="9"/>
        <color rgb="FF000000"/>
        <rFont val="Arial"/>
        <family val="2"/>
      </rPr>
      <t> </t>
    </r>
  </si>
  <si>
    <t>check</t>
  </si>
  <si>
    <t>— </t>
  </si>
  <si>
    <t>(000s)</t>
  </si>
  <si>
    <t>USD</t>
  </si>
  <si>
    <t>Cash Flow Statement</t>
  </si>
  <si>
    <t>Cash Flow Statement (in millions of USD)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</si>
  <si>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</si>
  <si>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</si>
  <si>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</si>
  <si>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</si>
  <si>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</si>
  <si>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</si>
  <si>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</si>
  <si>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</si>
  <si>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</si>
  <si>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 from Investing Activities</t>
  </si>
  <si>
    <t>Cash Flow from Operating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</si>
  <si>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</si>
  <si>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</si>
  <si>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</si>
  <si>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</si>
  <si>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</si>
  <si>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Shares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</si>
  <si>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</si>
  <si>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</si>
  <si>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</si>
  <si>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</si>
  <si>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</si>
  <si>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</si>
  <si>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</si>
  <si>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</si>
  <si>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</si>
  <si>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</si>
  <si>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</si>
  <si>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CASH FLOWS FROM OPERATING ACTIVITIES</t>
  </si>
  <si>
    <t>Adjustments to reconcile net income including noncontrolling interests to net cash provided by operating activities:</t>
  </si>
  <si>
    <t>Depreciation and amortization</t>
  </si>
  <si>
    <t>Impairment of assets and other non-cash operating activities, net</t>
  </si>
  <si>
    <t>Changes in operating assets and liabilities:</t>
  </si>
  <si>
    <t>Merchandise inventories</t>
  </si>
  <si>
    <t>Accounts payable</t>
  </si>
  <si>
    <t>Net cash provided by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</si>
  <si>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</si>
  <si>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</si>
  <si>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</si>
  <si>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</si>
  <si>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</si>
  <si>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</si>
  <si>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CASH FLOWS FROM FINANCING ACTIVITIES</t>
  </si>
  <si>
    <t>Repayments of short-term borrowings</t>
  </si>
  <si>
    <t>Proceeds from short-term borrowings</t>
  </si>
  <si>
    <t>Repayments of long-term debt</t>
  </si>
  <si>
    <t>Proceeds from issuance of long-term debt</t>
  </si>
  <si>
    <r>
      <t>—</t>
    </r>
    <r>
      <rPr>
        <sz val="8"/>
        <color rgb="FF000000"/>
        <rFont val="Arial"/>
        <family val="2"/>
      </rPr>
      <t> </t>
    </r>
  </si>
  <si>
    <t>Tax withholdings on stock-based awards</t>
  </si>
  <si>
    <t>Repurchases of common stock</t>
  </si>
  <si>
    <t>Cash dividend payments</t>
  </si>
  <si>
    <t>Financing lease payments and other financing activities, net</t>
  </si>
  <si>
    <t>Dividend to noncontrolling interest</t>
  </si>
  <si>
    <t>Acquisition of noncontrolling interest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</si>
  <si>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</si>
  <si>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</si>
  <si>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</si>
  <si>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</si>
  <si>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</si>
  <si>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</si>
  <si>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Income taxes, net</t>
  </si>
  <si>
    <t>SUPPLEMENTAL DISCLOSURE OF NON-CASH ACTIVITIES:</t>
  </si>
  <si>
    <t>Cash dividend declared, but not yet paid</t>
  </si>
  <si>
    <t>Capital expenditures included in liabilities</t>
  </si>
  <si>
    <t>Other non-cash operating activities, net</t>
  </si>
  <si>
    <t>Deferred income taxes</t>
  </si>
  <si>
    <t>Acquisitions</t>
  </si>
  <si>
    <t>Other financing activities, net</t>
  </si>
  <si>
    <t>Check</t>
  </si>
  <si>
    <t>ASSETS</t>
  </si>
  <si>
    <t>CURRENT ASSETS</t>
  </si>
  <si>
    <t>Cash and cash equivalents</t>
  </si>
  <si>
    <t>Short-term investments</t>
  </si>
  <si>
    <t>Receivables, net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</si>
  <si>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</si>
  <si>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</si>
  <si>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</si>
  <si>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</si>
  <si>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</si>
  <si>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</si>
  <si>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</si>
  <si>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LIABILITIES AND EQUITY</t>
  </si>
  <si>
    <t>CURRENT LIABILITIES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</si>
  <si>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</si>
  <si>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</si>
  <si>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</si>
  <si>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</si>
  <si>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</si>
  <si>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</si>
  <si>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</si>
  <si>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</si>
  <si>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</si>
  <si>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</si>
  <si>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</si>
  <si>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COMMITMENTS AND CONTINGENCIES</t>
  </si>
  <si>
    <t>EQUITY</t>
  </si>
  <si>
    <r>
      <t>Preferred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100,000,000</t>
    </r>
    <r>
      <rPr>
        <sz val="9"/>
        <color rgb="FF000000"/>
        <rFont val="Arial"/>
        <family val="2"/>
      </rPr>
      <t> shares authorized; no shares issued and outstanding</t>
    </r>
  </si>
  <si>
    <r>
      <t>—</t>
    </r>
    <r>
      <rPr>
        <sz val="10"/>
        <color rgb="FF000000"/>
        <rFont val="Arial"/>
        <family val="2"/>
      </rPr>
      <t> </t>
    </r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</si>
  <si>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443,126,000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442,793,000</t>
    </r>
    <r>
      <rPr>
        <sz val="9"/>
        <color rgb="FF000000"/>
        <rFont val="Arial"/>
        <family val="2"/>
      </rPr>
      <t> shares issued and outstanding</t>
    </r>
  </si>
  <si>
    <t>Additional paid-in capital</t>
  </si>
  <si>
    <t>Accumulated other comprehensive loss</t>
  </si>
  <si>
    <t>Retained earnings</t>
  </si>
  <si>
    <t>TOTAL EQUITY</t>
  </si>
  <si>
    <t>TOTAL LIABILITIES AND EQUITY</t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</si>
  <si>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442,664,000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441,825,000</t>
    </r>
    <r>
      <rPr>
        <sz val="9"/>
        <color rgb="FF000000"/>
        <rFont val="Arial"/>
        <family val="2"/>
      </rPr>
      <t> shares issued and outstanding</t>
    </r>
  </si>
  <si>
    <t>Total Costco stockholders’ equity</t>
  </si>
  <si>
    <t>Noncontrolling interests</t>
  </si>
  <si>
    <t>Preferred stock $0.01 par value; 100,000,000 shares authorized; no shares issued and outstanding</t>
  </si>
  <si>
    <t>Common stock $0.01 par value; 900,000,000 shares authorized; 441,255,000 and 439,625,000 shares issued and outstanding</t>
  </si>
  <si>
    <t>Total equity</t>
  </si>
  <si>
    <t>—</t>
  </si>
  <si>
    <t>Other</t>
  </si>
  <si>
    <t>Share Rep</t>
  </si>
  <si>
    <t>Div</t>
  </si>
  <si>
    <t>other</t>
  </si>
  <si>
    <t xml:space="preserve">Int </t>
  </si>
  <si>
    <t>Income Tax</t>
  </si>
  <si>
    <t>Balance Sheet</t>
  </si>
  <si>
    <t>Balance Sheet (in millions of USD)</t>
  </si>
  <si>
    <t>Current Assets</t>
  </si>
  <si>
    <t>Cash and Equivalents</t>
  </si>
  <si>
    <t>Short-term Investments</t>
  </si>
  <si>
    <t>Merchandise Inventories</t>
  </si>
  <si>
    <t>Total Current Assets</t>
  </si>
  <si>
    <t>Other Assets</t>
  </si>
  <si>
    <t>PPE</t>
  </si>
  <si>
    <t>Operating lease ROUs</t>
  </si>
  <si>
    <t>Total Assets</t>
  </si>
  <si>
    <t>Current Liabilities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</si>
  <si>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</si>
  <si>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</si>
  <si>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</si>
  <si>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</si>
  <si>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</si>
  <si>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</si>
  <si>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Debt</t>
  </si>
  <si>
    <t>Long-term Operating lease liabilties</t>
  </si>
  <si>
    <t>Total Liabilities</t>
  </si>
  <si>
    <t>Equity</t>
  </si>
  <si>
    <t>Common Stock/PIC</t>
  </si>
  <si>
    <t>AOCI</t>
  </si>
  <si>
    <t>Retained Earnings</t>
  </si>
  <si>
    <t>Total Costco Shareholder Equity</t>
  </si>
  <si>
    <t>Non-controlling interests</t>
  </si>
  <si>
    <t>Total Equity</t>
  </si>
  <si>
    <t>Total Liabilities and Equities</t>
  </si>
  <si>
    <t>Revenue Schedule</t>
  </si>
  <si>
    <t>Membership Revenue</t>
  </si>
  <si>
    <t>Price</t>
  </si>
  <si>
    <t>Gold Star members (notes)</t>
  </si>
  <si>
    <t>Executive members (notes)</t>
  </si>
  <si>
    <t>Gold Star Equivalents (GSEs)</t>
  </si>
  <si>
    <t>Membership Fee Revenue (IS)</t>
  </si>
  <si>
    <t>mm</t>
  </si>
  <si>
    <t>Deferred Revenue (BS)</t>
  </si>
  <si>
    <t>Change in Deferred Revenue</t>
  </si>
  <si>
    <t>Membership fee revenue (cash)</t>
  </si>
  <si>
    <t>Def. Revenue / Member fee Rev (cash)</t>
  </si>
  <si>
    <t>Average of the proportion</t>
  </si>
  <si>
    <t>Average GSEs</t>
  </si>
  <si>
    <t>Implied Fee Rev per GSE</t>
  </si>
  <si>
    <t>(%)</t>
  </si>
  <si>
    <t>Growth rate in GSE fees</t>
  </si>
  <si>
    <t>ROIC</t>
  </si>
  <si>
    <t>EV/EBITDA</t>
  </si>
  <si>
    <t>EV/Revenue</t>
  </si>
  <si>
    <t>ROA</t>
  </si>
  <si>
    <t>ROE</t>
  </si>
  <si>
    <t>ROCE</t>
  </si>
  <si>
    <t>Gross Margin</t>
  </si>
  <si>
    <t>Net Income Margin</t>
  </si>
  <si>
    <t>EBITDA Margin</t>
  </si>
  <si>
    <t>Forex Effect (notes: below membership schedule, not always provided)</t>
  </si>
  <si>
    <t>Average 5-year growth rate in GSE (2024 seems to be an outlier, therefore, exluded it from the calculation) For 2025, please recheck.</t>
  </si>
  <si>
    <t>FY 2025 price increase</t>
  </si>
  <si>
    <t>Forecast: Fee per GSE</t>
  </si>
  <si>
    <t>Quantity</t>
  </si>
  <si>
    <t>units</t>
  </si>
  <si>
    <t>Ending Warehouse count</t>
  </si>
  <si>
    <t>Warehouse count (beg) (notes: Warehouse Properties)</t>
  </si>
  <si>
    <t>Warehouse openings (notes: Highlights for "year")</t>
  </si>
  <si>
    <t>Growth Count in Warehouses per year</t>
  </si>
  <si>
    <t>Warehouse Growth (take average of openings as they are opened throughout the year)</t>
  </si>
  <si>
    <t>Growth in GSEs</t>
  </si>
  <si>
    <t>Comparable GSE growth</t>
  </si>
  <si>
    <t>Days in the period</t>
  </si>
  <si>
    <t>Comparable GSE growth (adjusted)</t>
  </si>
  <si>
    <t>Average Comp. growth rate</t>
  </si>
  <si>
    <t>Total forecast GSE growth rate</t>
  </si>
  <si>
    <t>Days</t>
  </si>
  <si>
    <t>GSE count</t>
  </si>
  <si>
    <t>Q</t>
  </si>
  <si>
    <t>P</t>
  </si>
  <si>
    <t>Membership revenue (cash)</t>
  </si>
  <si>
    <t>Deferred Membership revenue (for BS)</t>
  </si>
  <si>
    <t>Change in Def. revenue</t>
  </si>
  <si>
    <t>Membership revenue (accrual)</t>
  </si>
  <si>
    <t>Merchandise Revenue</t>
  </si>
  <si>
    <t>Average floor space/warehouse</t>
  </si>
  <si>
    <t>(000s ft2)</t>
  </si>
  <si>
    <t>Average warehouse count</t>
  </si>
  <si>
    <t>Average floor space (total)</t>
  </si>
  <si>
    <t>Beginning Liability</t>
  </si>
  <si>
    <t>Total rewards</t>
  </si>
  <si>
    <t>Ending Liability (BS)</t>
  </si>
  <si>
    <t>Rewards Used</t>
  </si>
  <si>
    <t>Beginning Liability (PY BS)</t>
  </si>
  <si>
    <t>Add: Members rewards earned (notes: Revenue Recognition or Sales)</t>
  </si>
  <si>
    <t>Change in Accrued rewards</t>
  </si>
  <si>
    <t>Merchandise Sales (accruals)</t>
  </si>
  <si>
    <t>Merchandise Sales (cash)</t>
  </si>
  <si>
    <t>Sales/ft2</t>
  </si>
  <si>
    <t>Growth in Sales/ft2</t>
  </si>
  <si>
    <t>Growth in Size</t>
  </si>
  <si>
    <t>Growth in Merchandise Sales</t>
  </si>
  <si>
    <t>Rewards Earned</t>
  </si>
  <si>
    <t>As a % of Merchandise Sales (cash)</t>
  </si>
  <si>
    <t>Ratio of Rewards Used/Earned</t>
  </si>
  <si>
    <t>Average Ratio</t>
  </si>
  <si>
    <t>Add: Member Rewards Earned</t>
  </si>
  <si>
    <t>Total Rewards</t>
  </si>
  <si>
    <t>Change in Acrrued Rewards</t>
  </si>
  <si>
    <t>Revenue Schedule (in millions of USD)</t>
  </si>
  <si>
    <t>Merchandise Sales (accrual) (goes to IS - Net Sales)</t>
  </si>
  <si>
    <t>Ending Liability (goes to BS - Accrued Rewards)</t>
  </si>
  <si>
    <t>Fee per GSE</t>
  </si>
  <si>
    <t>Deferred Rev/Membership Rev (cash)</t>
  </si>
  <si>
    <t>Increment per year</t>
  </si>
  <si>
    <t>Rewards earned as a % of Net Sales (cash)</t>
  </si>
  <si>
    <t>Average Ratio of Used/Earned Rewards</t>
  </si>
  <si>
    <t>Cost Schedule</t>
  </si>
  <si>
    <t>Merchandise Cost</t>
  </si>
  <si>
    <t>5-year Average GM</t>
  </si>
  <si>
    <t/>
  </si>
  <si>
    <t>Merchandise Cost (to the IS)</t>
  </si>
  <si>
    <t>SG&amp;A Expense</t>
  </si>
  <si>
    <t>Percent of sales</t>
  </si>
  <si>
    <t>Increase in Sales</t>
  </si>
  <si>
    <t>Decline in SG&amp;A as a % of Net Sales</t>
  </si>
  <si>
    <t>[Predicted] Decline in SG&amp;A</t>
  </si>
  <si>
    <t>[Predicted] Increase in Sales</t>
  </si>
  <si>
    <t>4-year Average (post Covid)</t>
  </si>
  <si>
    <t>[Predicted] Annual Decline in SG&amp;A</t>
  </si>
  <si>
    <t>SG&amp;A Expense (to the IS)</t>
  </si>
  <si>
    <t>Accrued Salaries and Benefits (historical)</t>
  </si>
  <si>
    <t>% of SG&amp;A</t>
  </si>
  <si>
    <t>5-year Average</t>
  </si>
  <si>
    <t>[Predicted] Accrued Salaries and Benefits (to the BS)</t>
  </si>
  <si>
    <t>Forecasted Gross Margin</t>
  </si>
  <si>
    <t>%Net Sales</t>
  </si>
  <si>
    <t>Decline/year</t>
  </si>
  <si>
    <t>SG&amp;A Costs</t>
  </si>
  <si>
    <t>Working Capital Schedule</t>
  </si>
  <si>
    <t>Price increase (over two years - 2025 and 2026)</t>
  </si>
  <si>
    <t>Other Current Assets</t>
  </si>
  <si>
    <t>Other Current Liabilities</t>
  </si>
  <si>
    <t>From IS</t>
  </si>
  <si>
    <t>Growth rate</t>
  </si>
  <si>
    <t>From BS</t>
  </si>
  <si>
    <t>Accounts Receivable</t>
  </si>
  <si>
    <t>Inventories</t>
  </si>
  <si>
    <t>Other Current Liabilites</t>
  </si>
  <si>
    <t>Change in Inventory (goes to CFS)</t>
  </si>
  <si>
    <t>Change in Payable (goes to CFS)</t>
  </si>
  <si>
    <t>Changes in Accounts Receivable</t>
  </si>
  <si>
    <t>Changes in Other Current Assets</t>
  </si>
  <si>
    <t>Other OA</t>
  </si>
  <si>
    <t>Changes in Accrued Salaries and Benefits</t>
  </si>
  <si>
    <t>Changes in Accrued Member Rewards</t>
  </si>
  <si>
    <t>Changes in Deferred Membership fees</t>
  </si>
  <si>
    <t>Changes in Other Current Liabilites</t>
  </si>
  <si>
    <t>Other OL</t>
  </si>
  <si>
    <t>Other OL/OA (goes to CFS)</t>
  </si>
  <si>
    <t>Working Capital</t>
  </si>
  <si>
    <t>Days of Inventory</t>
  </si>
  <si>
    <t>Days of Receivable</t>
  </si>
  <si>
    <t>Days of Payable</t>
  </si>
  <si>
    <t xml:space="preserve">Warehouse Openings </t>
  </si>
  <si>
    <t>CAPEX</t>
  </si>
  <si>
    <t>Average CAPEX/Warehouse Openings</t>
  </si>
  <si>
    <t>[Forecast] CAPEX (goes to CFI)</t>
  </si>
  <si>
    <t>PPE Gross (notes: property and equipment - ending)</t>
  </si>
  <si>
    <t>Variance</t>
  </si>
  <si>
    <t>Dispositions</t>
  </si>
  <si>
    <t>Average PPE</t>
  </si>
  <si>
    <t>Depreciation</t>
  </si>
  <si>
    <t>Depreciation/Average PPE</t>
  </si>
  <si>
    <t>[Forecast] Depreciation (goes to CFS)</t>
  </si>
  <si>
    <t>PPE (beginning)</t>
  </si>
  <si>
    <t>Add CAPEX</t>
  </si>
  <si>
    <t>Less Depreciation</t>
  </si>
  <si>
    <t>PPE Intermediate</t>
  </si>
  <si>
    <t>Less: Derecognitions</t>
  </si>
  <si>
    <t>Less: Impairments</t>
  </si>
  <si>
    <t>PPE (ending) (goes to BS)</t>
  </si>
  <si>
    <t>Average Dispositions</t>
  </si>
  <si>
    <t>Average Depreciation Rate</t>
  </si>
  <si>
    <t>Fixed Assets Schedule</t>
  </si>
  <si>
    <t>Fixed Assets</t>
  </si>
  <si>
    <t>Debt Schedule</t>
  </si>
  <si>
    <t>Long Term Debt</t>
  </si>
  <si>
    <t>CAPEX per warehouse</t>
  </si>
  <si>
    <t>Inflation</t>
  </si>
  <si>
    <t>Relocations</t>
  </si>
  <si>
    <t>New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</si>
</sst>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FY &quot;0&quot;E&quot;"/>
    <numFmt numFmtId="165" formatCode="&quot;FY &quot;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rgb="FF212529"/>
      <name val="Unset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Revert-layer"/>
    </font>
    <font>
      <sz val="11"/>
      <color theme="8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Revert-layer"/>
    </font>
    <font>
      <sz val="8"/>
      <color rgb="FF000000"/>
      <name val="Arial"/>
      <family val="2"/>
    </font>
    <font>
      <sz val="8"/>
      <color rgb="FF000000"/>
      <name val="Revert-layer"/>
    </font>
    <font>
      <sz val="10"/>
      <color rgb="FF000000"/>
      <name val="Arial"/>
      <family val="2"/>
    </font>
    <font>
      <sz val="10"/>
      <color rgb="FF000000"/>
      <name val="Revert-laye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164" fontId="0" fillId="4" borderId="2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8" fillId="5" borderId="0" xfId="0" applyFont="1" applyFill="1" applyAlignment="1">
      <alignment horizontal="right" wrapText="1"/>
    </xf>
    <xf numFmtId="3" fontId="0" fillId="0" borderId="0" xfId="0" applyNumberFormat="1"/>
    <xf numFmtId="0" fontId="8" fillId="6" borderId="6" xfId="0" applyFont="1" applyFill="1" applyBorder="1" applyAlignment="1">
      <alignment wrapText="1"/>
    </xf>
    <xf numFmtId="3" fontId="8" fillId="6" borderId="0" xfId="0" applyNumberFormat="1" applyFont="1" applyFill="1" applyAlignment="1">
      <alignment wrapText="1"/>
    </xf>
    <xf numFmtId="43" fontId="0" fillId="0" borderId="0" xfId="1" applyFont="1"/>
    <xf numFmtId="0" fontId="5" fillId="6" borderId="0" xfId="0" applyFont="1" applyFill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3" fontId="8" fillId="5" borderId="0" xfId="0" applyNumberFormat="1" applyFont="1" applyFill="1" applyAlignment="1">
      <alignment horizontal="right" wrapText="1"/>
    </xf>
    <xf numFmtId="3" fontId="8" fillId="6" borderId="6" xfId="0" applyNumberFormat="1" applyFont="1" applyFill="1" applyBorder="1" applyAlignment="1">
      <alignment wrapText="1"/>
    </xf>
    <xf numFmtId="3" fontId="8" fillId="5" borderId="4" xfId="0" applyNumberFormat="1" applyFont="1" applyFill="1" applyBorder="1" applyAlignment="1">
      <alignment wrapText="1"/>
    </xf>
    <xf numFmtId="3" fontId="8" fillId="5" borderId="0" xfId="0" applyNumberFormat="1" applyFont="1" applyFill="1" applyAlignment="1">
      <alignment wrapText="1"/>
    </xf>
    <xf numFmtId="3" fontId="8" fillId="5" borderId="4" xfId="0" applyNumberFormat="1" applyFont="1" applyFill="1" applyBorder="1" applyAlignment="1">
      <alignment horizontal="right" wrapText="1"/>
    </xf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9" fillId="0" borderId="0" xfId="1" applyNumberFormat="1" applyFont="1"/>
    <xf numFmtId="0" fontId="0" fillId="0" borderId="7" xfId="0" applyBorder="1"/>
    <xf numFmtId="0" fontId="5" fillId="5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3" fillId="5" borderId="0" xfId="0" applyFont="1" applyFill="1" applyAlignment="1">
      <alignment horizontal="right" wrapText="1"/>
    </xf>
    <xf numFmtId="0" fontId="13" fillId="6" borderId="0" xfId="0" applyFont="1" applyFill="1" applyAlignment="1">
      <alignment horizontal="right" wrapText="1"/>
    </xf>
    <xf numFmtId="0" fontId="13" fillId="6" borderId="6" xfId="0" applyFont="1" applyFill="1" applyBorder="1" applyAlignment="1">
      <alignment wrapText="1"/>
    </xf>
    <xf numFmtId="3" fontId="12" fillId="5" borderId="0" xfId="0" applyNumberFormat="1" applyFont="1" applyFill="1" applyAlignment="1">
      <alignment wrapText="1"/>
    </xf>
    <xf numFmtId="0" fontId="13" fillId="5" borderId="0" xfId="0" applyFont="1" applyFill="1" applyAlignment="1">
      <alignment wrapText="1"/>
    </xf>
    <xf numFmtId="3" fontId="12" fillId="5" borderId="8" xfId="0" applyNumberFormat="1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3" fontId="12" fillId="6" borderId="0" xfId="0" applyNumberFormat="1" applyFont="1" applyFill="1" applyAlignment="1">
      <alignment wrapText="1"/>
    </xf>
    <xf numFmtId="3" fontId="13" fillId="5" borderId="0" xfId="0" applyNumberFormat="1" applyFont="1" applyFill="1" applyAlignment="1">
      <alignment horizontal="right" wrapText="1"/>
    </xf>
    <xf numFmtId="3" fontId="13" fillId="5" borderId="0" xfId="0" applyNumberFormat="1" applyFont="1" applyFill="1" applyAlignment="1">
      <alignment wrapText="1"/>
    </xf>
    <xf numFmtId="3" fontId="13" fillId="5" borderId="8" xfId="0" applyNumberFormat="1" applyFont="1" applyFill="1" applyBorder="1" applyAlignment="1">
      <alignment wrapText="1"/>
    </xf>
    <xf numFmtId="3" fontId="13" fillId="6" borderId="0" xfId="0" applyNumberFormat="1" applyFont="1" applyFill="1" applyAlignment="1">
      <alignment wrapText="1"/>
    </xf>
    <xf numFmtId="3" fontId="13" fillId="6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horizontal="right" wrapText="1"/>
    </xf>
    <xf numFmtId="3" fontId="13" fillId="6" borderId="0" xfId="0" applyNumberFormat="1" applyFont="1" applyFill="1" applyAlignment="1">
      <alignment horizontal="right" wrapText="1"/>
    </xf>
    <xf numFmtId="0" fontId="5" fillId="5" borderId="6" xfId="0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5" borderId="6" xfId="0" applyFont="1" applyFill="1" applyBorder="1" applyAlignment="1">
      <alignment wrapText="1"/>
    </xf>
    <xf numFmtId="3" fontId="13" fillId="6" borderId="8" xfId="0" applyNumberFormat="1" applyFont="1" applyFill="1" applyBorder="1" applyAlignment="1">
      <alignment wrapText="1"/>
    </xf>
    <xf numFmtId="3" fontId="13" fillId="5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wrapText="1"/>
    </xf>
    <xf numFmtId="0" fontId="13" fillId="7" borderId="0" xfId="0" applyFont="1" applyFill="1" applyAlignment="1">
      <alignment wrapText="1"/>
    </xf>
    <xf numFmtId="3" fontId="12" fillId="7" borderId="0" xfId="0" applyNumberFormat="1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7" borderId="6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2" fillId="5" borderId="9" xfId="0" applyNumberFormat="1" applyFont="1" applyFill="1" applyBorder="1" applyAlignment="1">
      <alignment wrapText="1"/>
    </xf>
    <xf numFmtId="0" fontId="13" fillId="7" borderId="0" xfId="0" applyFont="1" applyFill="1" applyAlignment="1">
      <alignment horizontal="right" wrapText="1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5" borderId="0" xfId="0" applyFont="1" applyFill="1" applyAlignment="1">
      <alignment vertical="center"/>
    </xf>
    <xf numFmtId="0" fontId="5" fillId="5" borderId="0" xfId="0" applyFont="1" applyFill="1"/>
    <xf numFmtId="3" fontId="15" fillId="6" borderId="0" xfId="0" applyNumberFormat="1" applyFont="1" applyFill="1" applyAlignment="1">
      <alignment horizontal="right"/>
    </xf>
    <xf numFmtId="3" fontId="15" fillId="5" borderId="0" xfId="0" applyNumberFormat="1" applyFont="1" applyFill="1"/>
    <xf numFmtId="0" fontId="15" fillId="5" borderId="0" xfId="0" applyFont="1" applyFill="1"/>
    <xf numFmtId="3" fontId="15" fillId="6" borderId="0" xfId="0" applyNumberFormat="1" applyFont="1" applyFill="1"/>
    <xf numFmtId="3" fontId="15" fillId="6" borderId="6" xfId="0" applyNumberFormat="1" applyFont="1" applyFill="1" applyBorder="1"/>
    <xf numFmtId="3" fontId="15" fillId="5" borderId="4" xfId="0" applyNumberFormat="1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15" fillId="6" borderId="0" xfId="0" applyFont="1" applyFill="1"/>
    <xf numFmtId="3" fontId="15" fillId="5" borderId="6" xfId="0" applyNumberFormat="1" applyFont="1" applyFill="1" applyBorder="1"/>
    <xf numFmtId="3" fontId="15" fillId="6" borderId="4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/>
    <xf numFmtId="3" fontId="15" fillId="5" borderId="0" xfId="0" applyNumberFormat="1" applyFont="1" applyFill="1" applyAlignment="1">
      <alignment horizontal="right"/>
    </xf>
    <xf numFmtId="3" fontId="15" fillId="6" borderId="8" xfId="0" applyNumberFormat="1" applyFont="1" applyFill="1" applyBorder="1"/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3" fontId="14" fillId="6" borderId="0" xfId="0" applyNumberFormat="1" applyFont="1" applyFill="1"/>
    <xf numFmtId="0" fontId="0" fillId="7" borderId="0" xfId="0" applyFill="1"/>
    <xf numFmtId="3" fontId="15" fillId="6" borderId="4" xfId="0" applyNumberFormat="1" applyFont="1" applyFill="1" applyBorder="1"/>
    <xf numFmtId="0" fontId="15" fillId="5" borderId="6" xfId="0" applyFont="1" applyFill="1" applyBorder="1"/>
    <xf numFmtId="3" fontId="15" fillId="5" borderId="10" xfId="0" applyNumberFormat="1" applyFont="1" applyFill="1" applyBorder="1" applyAlignment="1">
      <alignment horizontal="right"/>
    </xf>
    <xf numFmtId="0" fontId="2" fillId="0" borderId="11" xfId="0" applyFont="1" applyBorder="1"/>
    <xf numFmtId="0" fontId="0" fillId="0" borderId="11" xfId="0" applyBorder="1"/>
    <xf numFmtId="166" fontId="0" fillId="0" borderId="11" xfId="1" applyNumberFormat="1" applyFont="1" applyBorder="1"/>
    <xf numFmtId="0" fontId="12" fillId="8" borderId="0" xfId="0" applyFont="1" applyFill="1" applyAlignment="1">
      <alignment wrapText="1"/>
    </xf>
    <xf numFmtId="3" fontId="12" fillId="8" borderId="0" xfId="0" applyNumberFormat="1" applyFont="1" applyFill="1" applyAlignment="1">
      <alignment wrapText="1"/>
    </xf>
    <xf numFmtId="166" fontId="0" fillId="0" borderId="7" xfId="1" applyNumberFormat="1" applyFont="1" applyBorder="1"/>
    <xf numFmtId="166" fontId="0" fillId="4" borderId="7" xfId="1" applyNumberFormat="1" applyFont="1" applyFill="1" applyBorder="1"/>
    <xf numFmtId="0" fontId="2" fillId="0" borderId="7" xfId="0" applyFont="1" applyBorder="1"/>
    <xf numFmtId="166" fontId="0" fillId="4" borderId="11" xfId="1" applyNumberFormat="1" applyFont="1" applyFill="1" applyBorder="1"/>
    <xf numFmtId="166" fontId="0" fillId="0" borderId="0" xfId="0" applyNumberFormat="1"/>
    <xf numFmtId="0" fontId="0" fillId="4" borderId="3" xfId="0" applyFill="1" applyBorder="1"/>
    <xf numFmtId="3" fontId="0" fillId="0" borderId="3" xfId="0" applyNumberFormat="1" applyBorder="1"/>
    <xf numFmtId="166" fontId="0" fillId="0" borderId="3" xfId="0" applyNumberFormat="1" applyBorder="1"/>
    <xf numFmtId="10" fontId="0" fillId="0" borderId="0" xfId="2" applyNumberFormat="1" applyFont="1"/>
    <xf numFmtId="10" fontId="0" fillId="0" borderId="0" xfId="0" applyNumberFormat="1"/>
    <xf numFmtId="2" fontId="0" fillId="0" borderId="3" xfId="0" applyNumberFormat="1" applyBorder="1"/>
    <xf numFmtId="43" fontId="0" fillId="0" borderId="0" xfId="0" applyNumberFormat="1"/>
    <xf numFmtId="10" fontId="0" fillId="0" borderId="0" xfId="2" applyNumberFormat="1" applyFont="1" applyBorder="1"/>
    <xf numFmtId="0" fontId="0" fillId="4" borderId="2" xfId="0" applyFill="1" applyBorder="1"/>
    <xf numFmtId="10" fontId="0" fillId="4" borderId="0" xfId="2" applyNumberFormat="1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 indent="4"/>
    </xf>
    <xf numFmtId="0" fontId="7" fillId="6" borderId="0" xfId="0" applyFont="1" applyFill="1" applyAlignment="1">
      <alignment horizontal="left" wrapText="1" indent="4"/>
    </xf>
    <xf numFmtId="0" fontId="7" fillId="5" borderId="0" xfId="0" applyFont="1" applyFill="1" applyAlignment="1">
      <alignment horizontal="left" wrapText="1" indent="2"/>
    </xf>
    <xf numFmtId="0" fontId="7" fillId="6" borderId="0" xfId="0" applyFont="1" applyFill="1" applyAlignment="1">
      <alignment horizontal="left" wrapText="1" indent="2"/>
    </xf>
    <xf numFmtId="0" fontId="6" fillId="6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3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 indent="3"/>
    </xf>
    <xf numFmtId="0" fontId="12" fillId="6" borderId="0" xfId="0" applyFont="1" applyFill="1" applyAlignment="1">
      <alignment horizontal="left" wrapText="1" indent="2"/>
    </xf>
    <xf numFmtId="0" fontId="10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 indent="1"/>
    </xf>
    <xf numFmtId="0" fontId="10" fillId="6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vertical="center" wrapText="1" indent="3"/>
    </xf>
    <xf numFmtId="0" fontId="12" fillId="5" borderId="0" xfId="0" applyFont="1" applyFill="1" applyAlignment="1">
      <alignment horizontal="left" wrapText="1" indent="1"/>
    </xf>
    <xf numFmtId="0" fontId="12" fillId="7" borderId="0" xfId="0" applyFont="1" applyFill="1" applyAlignment="1">
      <alignment horizontal="left" wrapText="1" indent="1"/>
    </xf>
    <xf numFmtId="0" fontId="12" fillId="5" borderId="0" xfId="0" applyFont="1" applyFill="1" applyAlignment="1">
      <alignment horizontal="left" wrapText="1" indent="2"/>
    </xf>
    <xf numFmtId="0" fontId="10" fillId="6" borderId="0" xfId="0" applyFont="1" applyFill="1" applyAlignment="1">
      <alignment horizontal="left" vertical="center" wrapText="1" indent="1"/>
    </xf>
    <xf numFmtId="0" fontId="12" fillId="6" borderId="0" xfId="0" applyFont="1" applyFill="1" applyAlignment="1">
      <alignment horizontal="left" vertical="center" wrapText="1" indent="2"/>
    </xf>
    <xf numFmtId="0" fontId="1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 indent="2"/>
    </xf>
    <xf numFmtId="0" fontId="6" fillId="6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9" fontId="0" fillId="0" borderId="0" xfId="2" applyFont="1"/>
    <xf numFmtId="10" fontId="0" fillId="0" borderId="3" xfId="2" applyNumberFormat="1" applyFont="1" applyBorder="1"/>
    <xf numFmtId="14" fontId="0" fillId="0" borderId="0" xfId="0" applyNumberFormat="1"/>
    <xf numFmtId="9" fontId="0" fillId="4" borderId="0" xfId="2" applyFont="1" applyFill="1"/>
    <xf numFmtId="10" fontId="0" fillId="4" borderId="0" xfId="0" applyNumberFormat="1" applyFill="1"/>
    <xf numFmtId="10" fontId="0" fillId="4" borderId="3" xfId="0" applyNumberFormat="1" applyFill="1" applyBorder="1"/>
    <xf numFmtId="10" fontId="0" fillId="4" borderId="3" xfId="2" applyNumberFormat="1" applyFont="1" applyFill="1" applyBorder="1"/>
    <xf numFmtId="2" fontId="0" fillId="4" borderId="0" xfId="0" applyNumberFormat="1" applyFill="1"/>
    <xf numFmtId="2" fontId="17" fillId="4" borderId="0" xfId="0" applyNumberFormat="1" applyFont="1" applyFill="1"/>
    <xf numFmtId="43" fontId="0" fillId="4" borderId="3" xfId="0" applyNumberFormat="1" applyFill="1" applyBorder="1"/>
    <xf numFmtId="43" fontId="0" fillId="4" borderId="0" xfId="0" applyNumberFormat="1" applyFill="1"/>
    <xf numFmtId="166" fontId="0" fillId="4" borderId="3" xfId="0" applyNumberFormat="1" applyFill="1" applyBorder="1"/>
    <xf numFmtId="3" fontId="9" fillId="0" borderId="0" xfId="0" applyNumberFormat="1" applyFont="1"/>
    <xf numFmtId="0" fontId="9" fillId="0" borderId="0" xfId="0" applyFont="1"/>
    <xf numFmtId="10" fontId="9" fillId="0" borderId="0" xfId="0" applyNumberFormat="1" applyFont="1"/>
    <xf numFmtId="14" fontId="0" fillId="0" borderId="3" xfId="0" applyNumberFormat="1" applyBorder="1"/>
    <xf numFmtId="0" fontId="0" fillId="0" borderId="0" xfId="0" applyFill="1" applyBorder="1"/>
    <xf numFmtId="166" fontId="9" fillId="0" borderId="3" xfId="1" applyNumberFormat="1" applyFont="1" applyBorder="1"/>
    <xf numFmtId="166" fontId="0" fillId="4" borderId="0" xfId="0" applyNumberFormat="1" applyFill="1"/>
    <xf numFmtId="0" fontId="2" fillId="0" borderId="12" xfId="0" applyFont="1" applyBorder="1"/>
    <xf numFmtId="0" fontId="0" fillId="0" borderId="14" xfId="0" applyBorder="1"/>
    <xf numFmtId="0" fontId="0" fillId="0" borderId="0" xfId="0" applyBorder="1"/>
    <xf numFmtId="10" fontId="0" fillId="0" borderId="0" xfId="0" applyNumberFormat="1" applyBorder="1"/>
    <xf numFmtId="0" fontId="0" fillId="0" borderId="16" xfId="0" applyBorder="1"/>
    <xf numFmtId="10" fontId="0" fillId="0" borderId="2" xfId="0" applyNumberFormat="1" applyBorder="1"/>
    <xf numFmtId="0" fontId="2" fillId="0" borderId="18" xfId="0" applyFont="1" applyBorder="1"/>
    <xf numFmtId="0" fontId="0" fillId="0" borderId="19" xfId="0" applyBorder="1"/>
    <xf numFmtId="10" fontId="18" fillId="4" borderId="0" xfId="0" applyNumberFormat="1" applyFont="1" applyFill="1"/>
    <xf numFmtId="10" fontId="17" fillId="4" borderId="0" xfId="0" applyNumberFormat="1" applyFont="1" applyFill="1"/>
    <xf numFmtId="10" fontId="17" fillId="4" borderId="0" xfId="2" applyNumberFormat="1" applyFont="1" applyFill="1"/>
    <xf numFmtId="10" fontId="0" fillId="0" borderId="2" xfId="2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quotePrefix="1"/>
    <xf numFmtId="0" fontId="2" fillId="0" borderId="14" xfId="0" applyFont="1" applyBorder="1"/>
    <xf numFmtId="166" fontId="0" fillId="4" borderId="7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0" xfId="0" applyNumberFormat="1" applyFill="1" applyBorder="1"/>
    <xf numFmtId="2" fontId="0" fillId="4" borderId="15" xfId="0" applyNumberFormat="1" applyFill="1" applyBorder="1"/>
    <xf numFmtId="10" fontId="0" fillId="4" borderId="0" xfId="0" applyNumberFormat="1" applyFill="1" applyBorder="1"/>
    <xf numFmtId="10" fontId="0" fillId="4" borderId="15" xfId="0" applyNumberFormat="1" applyFill="1" applyBorder="1"/>
    <xf numFmtId="10" fontId="0" fillId="4" borderId="2" xfId="0" applyNumberFormat="1" applyFill="1" applyBorder="1"/>
    <xf numFmtId="10" fontId="0" fillId="4" borderId="13" xfId="0" applyNumberFormat="1" applyFill="1" applyBorder="1"/>
    <xf numFmtId="10" fontId="0" fillId="4" borderId="17" xfId="0" applyNumberFormat="1" applyFill="1" applyBorder="1"/>
    <xf numFmtId="0" fontId="0" fillId="0" borderId="0" xfId="0" applyAlignment="1">
      <alignment horizontal="center"/>
    </xf>
    <xf numFmtId="166" fontId="0" fillId="4" borderId="0" xfId="1" applyNumberFormat="1" applyFont="1" applyFill="1" applyBorder="1"/>
    <xf numFmtId="9" fontId="0" fillId="4" borderId="0" xfId="2" applyFont="1" applyFill="1" applyBorder="1"/>
    <xf numFmtId="166" fontId="0" fillId="0" borderId="0" xfId="1" applyNumberFormat="1" applyFont="1" applyBorder="1"/>
    <xf numFmtId="10" fontId="17" fillId="0" borderId="3" xfId="2" applyNumberFormat="1" applyFont="1" applyBorder="1"/>
    <xf numFmtId="166" fontId="19" fillId="0" borderId="0" xfId="1" applyNumberFormat="1" applyFont="1"/>
    <xf numFmtId="166" fontId="19" fillId="0" borderId="3" xfId="1" applyNumberFormat="1" applyFont="1" applyBorder="1"/>
    <xf numFmtId="9" fontId="0" fillId="0" borderId="0" xfId="0" applyNumberFormat="1" applyBorder="1"/>
    <xf numFmtId="43" fontId="0" fillId="4" borderId="0" xfId="0" applyNumberFormat="1" applyFill="1" applyBorder="1"/>
    <xf numFmtId="43" fontId="0" fillId="4" borderId="15" xfId="0" applyNumberFormat="1" applyFill="1" applyBorder="1"/>
    <xf numFmtId="0" fontId="2" fillId="0" borderId="0" xfId="0" applyFont="1" applyBorder="1"/>
    <xf numFmtId="165" fontId="0" fillId="0" borderId="0" xfId="0" applyNumberFormat="1" applyBorder="1"/>
    <xf numFmtId="164" fontId="0" fillId="4" borderId="0" xfId="0" applyNumberFormat="1" applyFill="1" applyBorder="1"/>
    <xf numFmtId="10" fontId="17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b val="0"/>
        <i val="0"/>
        <color theme="0"/>
      </font>
      <fill>
        <patternFill patternType="darkUp">
          <bgColor rgb="FFFF0000"/>
        </patternFill>
      </fill>
    </dxf>
  </dxfs>
  <tableStyles count="1" defaultTableStyle="TableStyleMedium2" defaultPivotStyle="PivotStyleLight16">
    <tableStyle name="Invisible" pivot="0" table="0" count="0" xr9:uid="{B0D5754A-1577-41A6-B110-E1F8164B0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Drop" dropLines="3" dropStyle="combo" dx="31" fmlaLink="$D$10" fmlaRange="$B$14:$B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177800</xdr:rowOff>
        </xdr:from>
        <xdr:to>
          <xdr:col>4</xdr:col>
          <xdr:colOff>203200</xdr:colOff>
          <xdr:row>10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shav Aggarwal" id="{43DD08BC-4567-44A5-ADCC-A9C6F634F65D}" userId="fb7d91c61a0f33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6" dT="2025-07-17T18:58:00.74" personId="{43DD08BC-4567-44A5-ADCC-A9C6F634F65D}" id="{603B89FB-D427-49C3-A4CD-6D873E5E11C3}">
    <text>Adjustment to be made once the price has been adjusted.</text>
  </threadedComment>
  <threadedComment ref="C46" dT="2025-07-19T05:39:11.20" personId="{43DD08BC-4567-44A5-ADCC-A9C6F634F65D}" id="{09595CBA-CF47-4D47-9DA0-07CB4727C94B}">
    <text>Check Management’s guidance for the average CAPEX for the next 5 years (heading - Capital Expenditure Plans)</text>
  </threadedComment>
  <threadedComment ref="K46" dT="2025-07-19T05:42:05.86" personId="{43DD08BC-4567-44A5-ADCC-A9C6F634F65D}" id="{EDAC56EA-9F4D-4961-8A42-58C0B17E2411}">
    <text xml:space="preserve">Mangement says it expects to spend a similar amount for 2025 as 2024, therefore, using 2024 as the base.
</text>
  </threadedComment>
  <threadedComment ref="F122" dT="2025-07-13T19:39:44.27" personId="{43DD08BC-4567-44A5-ADCC-A9C6F634F65D}" id="{87379581-145D-4850-A472-6CEEC181F31A}">
    <text xml:space="preserve">Cash and Cash Equivalent from PY B.S.
Others are being calculated, but should match the CCE of the B.S.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81"/>
  <sheetViews>
    <sheetView tabSelected="1" workbookViewId="0">
      <selection activeCell="H42" sqref="H42"/>
    </sheetView>
  </sheetViews>
  <sheetFormatPr defaultRowHeight="14.5" outlineLevelRow="1"/>
  <cols>
    <col min="1" max="1" width="4.453125" customWidth="1"/>
    <col min="2" max="2" width="4.7265625" customWidth="1"/>
    <col min="3" max="3" width="30.54296875" customWidth="1"/>
    <col min="4" max="4" width="10.08984375" bestFit="1" customWidth="1"/>
    <col min="5" max="15" width="13.1796875" customWidth="1"/>
  </cols>
  <sheetData>
    <row r="2" spans="1:15" ht="21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5">
      <c r="A3" s="115" t="s">
        <v>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5" spans="1:15">
      <c r="E5" s="159">
        <v>43709</v>
      </c>
      <c r="F5" s="159">
        <v>44073</v>
      </c>
      <c r="G5" s="159">
        <v>44437</v>
      </c>
      <c r="H5" s="159">
        <v>44801</v>
      </c>
      <c r="I5" s="159">
        <v>45172</v>
      </c>
      <c r="J5" s="159">
        <v>45536</v>
      </c>
      <c r="K5" s="159">
        <v>45900</v>
      </c>
      <c r="L5" s="159">
        <v>46264</v>
      </c>
      <c r="M5" s="159">
        <v>46628</v>
      </c>
      <c r="N5" s="159">
        <v>46999</v>
      </c>
      <c r="O5" s="159">
        <v>47363</v>
      </c>
    </row>
    <row r="6" spans="1:15">
      <c r="F6">
        <f>F5-E5</f>
        <v>364</v>
      </c>
      <c r="G6">
        <f>G5-F5</f>
        <v>364</v>
      </c>
      <c r="H6">
        <f>H5-G5</f>
        <v>364</v>
      </c>
      <c r="I6">
        <f>I5-H5</f>
        <v>371</v>
      </c>
      <c r="J6">
        <f>J5-I5</f>
        <v>364</v>
      </c>
      <c r="K6">
        <f>K5-J5</f>
        <v>364</v>
      </c>
      <c r="L6">
        <f>L5-K5</f>
        <v>364</v>
      </c>
      <c r="M6">
        <f>M5-L5</f>
        <v>364</v>
      </c>
      <c r="N6">
        <f>N5-M5</f>
        <v>371</v>
      </c>
      <c r="O6">
        <f>O5-N5</f>
        <v>364</v>
      </c>
    </row>
    <row r="8" spans="1:15">
      <c r="B8" t="s">
        <v>3</v>
      </c>
      <c r="D8">
        <v>2025</v>
      </c>
      <c r="K8" s="9">
        <f>$D$8</f>
        <v>2025</v>
      </c>
      <c r="L8" s="9">
        <f>K8+1</f>
        <v>2026</v>
      </c>
      <c r="M8" s="9">
        <f>L8+1</f>
        <v>2027</v>
      </c>
      <c r="N8" s="9">
        <f>M8+1</f>
        <v>2028</v>
      </c>
      <c r="O8" s="9">
        <f>N8+1</f>
        <v>2029</v>
      </c>
    </row>
    <row r="9" spans="1:15">
      <c r="K9" s="8"/>
      <c r="L9" s="8"/>
      <c r="M9" s="8"/>
      <c r="N9" s="8"/>
      <c r="O9" s="8"/>
    </row>
    <row r="10" spans="1:15">
      <c r="B10" t="s">
        <v>4</v>
      </c>
      <c r="D10">
        <v>1</v>
      </c>
      <c r="K10" s="8"/>
      <c r="L10" s="8"/>
      <c r="M10" s="8"/>
      <c r="N10" s="8"/>
      <c r="O10" s="8"/>
    </row>
    <row r="11" spans="1:15">
      <c r="K11" s="8"/>
      <c r="L11" s="10"/>
      <c r="M11" s="8"/>
      <c r="N11" s="8"/>
      <c r="O11" s="8"/>
    </row>
    <row r="12" spans="1:15" outlineLevel="1">
      <c r="B12" s="182" t="s">
        <v>237</v>
      </c>
      <c r="C12" s="183"/>
      <c r="D12" s="183"/>
      <c r="E12" s="183"/>
      <c r="F12" s="183"/>
      <c r="G12" s="183"/>
      <c r="H12" s="183"/>
      <c r="I12" s="183"/>
      <c r="J12" s="183"/>
      <c r="K12" s="197">
        <f>CHOOSE($D$10,K14,K15,K16)</f>
        <v>26</v>
      </c>
      <c r="L12" s="197">
        <f>CHOOSE($D$10,L14,L15,L16)</f>
        <v>27</v>
      </c>
      <c r="M12" s="197">
        <f>CHOOSE($D$10,M14,M15,M16)</f>
        <v>27</v>
      </c>
      <c r="N12" s="197">
        <f>CHOOSE($D$10,N14,N15,N16)</f>
        <v>27</v>
      </c>
      <c r="O12" s="198">
        <f>CHOOSE($D$10,O14,O15,O16)</f>
        <v>27</v>
      </c>
    </row>
    <row r="13" spans="1:15" outlineLevel="1">
      <c r="B13" s="177"/>
      <c r="C13" s="178"/>
      <c r="D13" s="178"/>
      <c r="E13" s="178"/>
      <c r="F13" s="178"/>
      <c r="G13" s="178"/>
      <c r="H13" s="178"/>
      <c r="I13" s="178"/>
      <c r="J13" s="178"/>
      <c r="K13" s="194"/>
      <c r="L13" s="194"/>
      <c r="M13" s="194"/>
      <c r="N13" s="194"/>
      <c r="O13" s="195"/>
    </row>
    <row r="14" spans="1:15" outlineLevel="1">
      <c r="B14" s="177" t="s">
        <v>5</v>
      </c>
      <c r="C14" s="178"/>
      <c r="D14" s="178"/>
      <c r="E14" s="178"/>
      <c r="F14" s="178"/>
      <c r="G14" s="178"/>
      <c r="H14" s="178"/>
      <c r="I14" s="178"/>
      <c r="J14" s="178"/>
      <c r="K14" s="194">
        <v>26</v>
      </c>
      <c r="L14" s="194">
        <v>27</v>
      </c>
      <c r="M14" s="194">
        <v>27</v>
      </c>
      <c r="N14" s="194">
        <v>27</v>
      </c>
      <c r="O14" s="195">
        <v>27</v>
      </c>
    </row>
    <row r="15" spans="1:15" outlineLevel="1">
      <c r="B15" s="177" t="s">
        <v>6</v>
      </c>
      <c r="C15" s="178"/>
      <c r="D15" s="178"/>
      <c r="E15" s="178"/>
      <c r="F15" s="178"/>
      <c r="G15" s="178"/>
      <c r="H15" s="178"/>
      <c r="I15" s="178"/>
      <c r="J15" s="178"/>
      <c r="K15" s="194">
        <v>30</v>
      </c>
      <c r="L15" s="194">
        <v>30</v>
      </c>
      <c r="M15" s="194">
        <v>30</v>
      </c>
      <c r="N15" s="194">
        <v>30</v>
      </c>
      <c r="O15" s="195">
        <v>30</v>
      </c>
    </row>
    <row r="16" spans="1:15" outlineLevel="1">
      <c r="B16" s="180" t="s">
        <v>7</v>
      </c>
      <c r="C16" s="3"/>
      <c r="D16" s="3"/>
      <c r="E16" s="3"/>
      <c r="F16" s="3"/>
      <c r="G16" s="3"/>
      <c r="H16" s="3"/>
      <c r="I16" s="3"/>
      <c r="J16" s="3"/>
      <c r="K16" s="113">
        <v>22</v>
      </c>
      <c r="L16" s="113">
        <v>22</v>
      </c>
      <c r="M16" s="113">
        <v>22</v>
      </c>
      <c r="N16" s="113">
        <v>22</v>
      </c>
      <c r="O16" s="196">
        <v>22</v>
      </c>
    </row>
    <row r="17" spans="2:15" outlineLevel="1">
      <c r="K17" s="8"/>
      <c r="L17" s="8"/>
      <c r="M17" s="8"/>
      <c r="N17" s="8"/>
      <c r="O17" s="8"/>
    </row>
    <row r="18" spans="2:15" outlineLevel="1">
      <c r="B18" s="182" t="s">
        <v>8</v>
      </c>
      <c r="C18" s="183"/>
      <c r="D18" s="183"/>
      <c r="E18" s="183"/>
      <c r="F18" s="183"/>
      <c r="G18" s="183"/>
      <c r="H18" s="183"/>
      <c r="I18" s="183"/>
      <c r="J18" s="183"/>
      <c r="K18" s="197">
        <f>CHOOSE($D$10,K20,K21,K22)</f>
        <v>21</v>
      </c>
      <c r="L18" s="197">
        <f>CHOOSE($D$10,L20,L21,L22)</f>
        <v>24</v>
      </c>
      <c r="M18" s="197">
        <f>CHOOSE($D$10,M20,M21,M22)</f>
        <v>27</v>
      </c>
      <c r="N18" s="197">
        <f>CHOOSE($D$10,N20,N21,N22)</f>
        <v>30</v>
      </c>
      <c r="O18" s="198">
        <f>CHOOSE($D$10,O20,O21,O22)</f>
        <v>33</v>
      </c>
    </row>
    <row r="19" spans="2:15" outlineLevel="1">
      <c r="B19" s="177"/>
      <c r="C19" s="178"/>
      <c r="D19" s="178"/>
      <c r="E19" s="178"/>
      <c r="F19" s="178"/>
      <c r="G19" s="178"/>
      <c r="H19" s="178"/>
      <c r="I19" s="178"/>
      <c r="J19" s="178"/>
      <c r="K19" s="194"/>
      <c r="L19" s="194"/>
      <c r="M19" s="194"/>
      <c r="N19" s="194"/>
      <c r="O19" s="195"/>
    </row>
    <row r="20" spans="2:15" outlineLevel="1">
      <c r="B20" s="177" t="s">
        <v>5</v>
      </c>
      <c r="C20" s="178"/>
      <c r="D20" s="178"/>
      <c r="E20" s="178"/>
      <c r="F20" s="178"/>
      <c r="G20" s="178"/>
      <c r="H20" s="178"/>
      <c r="I20" s="178"/>
      <c r="J20" s="178"/>
      <c r="K20" s="194">
        <v>21</v>
      </c>
      <c r="L20" s="194">
        <v>24</v>
      </c>
      <c r="M20" s="194">
        <v>27</v>
      </c>
      <c r="N20" s="194">
        <v>30</v>
      </c>
      <c r="O20" s="195">
        <v>33</v>
      </c>
    </row>
    <row r="21" spans="2:15" outlineLevel="1">
      <c r="B21" s="177" t="s">
        <v>6</v>
      </c>
      <c r="C21" s="178"/>
      <c r="D21" s="178"/>
      <c r="E21" s="178"/>
      <c r="F21" s="178"/>
      <c r="G21" s="178"/>
      <c r="H21" s="178"/>
      <c r="I21" s="178"/>
      <c r="J21" s="178"/>
      <c r="K21" s="194">
        <v>22</v>
      </c>
      <c r="L21" s="194">
        <v>25</v>
      </c>
      <c r="M21" s="194">
        <v>28</v>
      </c>
      <c r="N21" s="194">
        <v>31</v>
      </c>
      <c r="O21" s="195">
        <v>34</v>
      </c>
    </row>
    <row r="22" spans="2:15" outlineLevel="1">
      <c r="B22" s="180" t="s">
        <v>7</v>
      </c>
      <c r="C22" s="3"/>
      <c r="D22" s="3"/>
      <c r="E22" s="3"/>
      <c r="F22" s="3"/>
      <c r="G22" s="3"/>
      <c r="H22" s="3"/>
      <c r="I22" s="3"/>
      <c r="J22" s="3"/>
      <c r="K22" s="113">
        <v>23</v>
      </c>
      <c r="L22" s="113">
        <v>26</v>
      </c>
      <c r="M22" s="113">
        <v>29</v>
      </c>
      <c r="N22" s="113">
        <v>32</v>
      </c>
      <c r="O22" s="196">
        <v>35</v>
      </c>
    </row>
    <row r="23" spans="2:15" outlineLevel="1">
      <c r="K23" s="8"/>
      <c r="L23" s="8"/>
      <c r="M23" s="8"/>
      <c r="N23" s="8"/>
      <c r="O23" s="8"/>
    </row>
    <row r="24" spans="2:15" outlineLevel="1">
      <c r="K24" s="8"/>
      <c r="L24" s="8"/>
      <c r="M24" s="8"/>
      <c r="N24" s="8"/>
      <c r="O24" s="8"/>
    </row>
    <row r="25" spans="2:15" outlineLevel="1">
      <c r="B25" s="182" t="s">
        <v>203</v>
      </c>
      <c r="C25" s="183"/>
      <c r="D25" s="183"/>
      <c r="E25" s="183"/>
      <c r="F25" s="183"/>
      <c r="G25" s="183"/>
      <c r="H25" s="183"/>
      <c r="I25" s="183"/>
      <c r="J25" s="183"/>
      <c r="K25" s="197"/>
      <c r="L25" s="197"/>
      <c r="M25" s="197"/>
      <c r="N25" s="197"/>
      <c r="O25" s="198"/>
    </row>
    <row r="26" spans="2:15" outlineLevel="1">
      <c r="B26" s="192"/>
      <c r="C26" s="5" t="s">
        <v>281</v>
      </c>
      <c r="D26" s="5" t="s">
        <v>53</v>
      </c>
      <c r="E26" s="5"/>
      <c r="F26" s="5"/>
      <c r="G26" s="5"/>
      <c r="H26" s="5"/>
      <c r="I26" s="5"/>
      <c r="J26" s="5"/>
      <c r="K26" s="202">
        <f>J208*(1+$J$27)*(1+$J$28/2)</f>
        <v>48.435957154090985</v>
      </c>
      <c r="L26" s="202">
        <f>K26*(1+$J$27)*(1+$J$28/2)</f>
        <v>50.497236986532279</v>
      </c>
      <c r="M26" s="202">
        <f>L26*(1+$J$27)</f>
        <v>50.541197440064622</v>
      </c>
      <c r="N26" s="202">
        <f>M26*(1+$J$27)</f>
        <v>50.585196163442809</v>
      </c>
      <c r="O26" s="203">
        <f>N26*(1+$J$27)</f>
        <v>50.629233189982713</v>
      </c>
    </row>
    <row r="27" spans="2:15" outlineLevel="1">
      <c r="B27" s="177"/>
      <c r="C27" s="178" t="s">
        <v>229</v>
      </c>
      <c r="D27" s="178" t="s">
        <v>217</v>
      </c>
      <c r="E27" s="178"/>
      <c r="F27" s="178"/>
      <c r="G27" s="178"/>
      <c r="H27" s="178"/>
      <c r="I27" s="178"/>
      <c r="J27" s="179">
        <f>J211</f>
        <v>8.7055166095661995E-4</v>
      </c>
      <c r="K27" s="204"/>
      <c r="L27" s="204"/>
      <c r="M27" s="204"/>
      <c r="N27" s="204"/>
      <c r="O27" s="205"/>
    </row>
    <row r="28" spans="2:15" outlineLevel="1">
      <c r="B28" s="177"/>
      <c r="C28" s="178" t="s">
        <v>309</v>
      </c>
      <c r="D28" s="178" t="s">
        <v>217</v>
      </c>
      <c r="E28" s="178"/>
      <c r="F28" s="178"/>
      <c r="G28" s="178"/>
      <c r="H28" s="178"/>
      <c r="I28" s="178"/>
      <c r="J28" s="179">
        <f>J212</f>
        <v>8.3299999999999999E-2</v>
      </c>
      <c r="K28" s="204"/>
      <c r="L28" s="204"/>
      <c r="M28" s="204"/>
      <c r="N28" s="204"/>
      <c r="O28" s="205"/>
    </row>
    <row r="29" spans="2:15" outlineLevel="1">
      <c r="B29" s="177"/>
      <c r="C29" s="178" t="s">
        <v>239</v>
      </c>
      <c r="D29" s="178" t="s">
        <v>217</v>
      </c>
      <c r="E29" s="178"/>
      <c r="F29" s="178"/>
      <c r="G29" s="178"/>
      <c r="H29" s="178"/>
      <c r="I29" s="178"/>
      <c r="J29" s="178"/>
      <c r="K29" s="206">
        <f>K228</f>
        <v>8.3380840348610277E-2</v>
      </c>
      <c r="L29" s="206">
        <f t="shared" ref="L29:O29" si="0">L228</f>
        <v>8.3512090041952119E-2</v>
      </c>
      <c r="M29" s="206">
        <f t="shared" si="0"/>
        <v>8.3090111500921215E-2</v>
      </c>
      <c r="N29" s="206">
        <f t="shared" si="0"/>
        <v>8.4014203371379687E-2</v>
      </c>
      <c r="O29" s="207">
        <f t="shared" si="0"/>
        <v>8.2314720641173358E-2</v>
      </c>
    </row>
    <row r="30" spans="2:15" outlineLevel="1">
      <c r="B30" s="180"/>
      <c r="C30" s="3" t="s">
        <v>282</v>
      </c>
      <c r="D30" s="3" t="s">
        <v>217</v>
      </c>
      <c r="E30" s="3"/>
      <c r="F30" s="3"/>
      <c r="G30" s="3"/>
      <c r="H30" s="3"/>
      <c r="I30" s="3"/>
      <c r="J30" s="3"/>
      <c r="K30" s="208">
        <f>J205</f>
        <v>0.49701832791472961</v>
      </c>
      <c r="L30" s="113"/>
      <c r="M30" s="113"/>
      <c r="N30" s="113"/>
      <c r="O30" s="196"/>
    </row>
    <row r="31" spans="2:15" outlineLevel="1">
      <c r="K31" s="8"/>
      <c r="L31" s="8"/>
      <c r="M31" s="8"/>
      <c r="N31" s="8"/>
      <c r="O31" s="8"/>
    </row>
    <row r="32" spans="2:15" outlineLevel="1">
      <c r="B32" s="182" t="s">
        <v>253</v>
      </c>
      <c r="C32" s="183"/>
      <c r="D32" s="183"/>
      <c r="E32" s="183"/>
      <c r="F32" s="183"/>
      <c r="G32" s="183"/>
      <c r="H32" s="183"/>
      <c r="I32" s="183"/>
      <c r="J32" s="183"/>
      <c r="K32" s="197"/>
      <c r="L32" s="197"/>
      <c r="M32" s="197"/>
      <c r="N32" s="197"/>
      <c r="O32" s="198"/>
    </row>
    <row r="33" spans="2:15" outlineLevel="1">
      <c r="B33" s="189"/>
      <c r="C33" s="178" t="s">
        <v>268</v>
      </c>
      <c r="D33" s="178" t="s">
        <v>217</v>
      </c>
      <c r="E33" s="178"/>
      <c r="F33" s="178"/>
      <c r="G33" s="178"/>
      <c r="H33" s="178"/>
      <c r="I33" s="178"/>
      <c r="J33" s="178"/>
      <c r="K33" s="206">
        <f>K258</f>
        <v>4.2623415857288606E-2</v>
      </c>
      <c r="L33" s="206">
        <f>K33+$J$34</f>
        <v>4.5623415857288609E-2</v>
      </c>
      <c r="M33" s="206">
        <f>L33+$J$34</f>
        <v>4.8623415857288611E-2</v>
      </c>
      <c r="N33" s="206">
        <f>M33+$J$34</f>
        <v>5.1623415857288614E-2</v>
      </c>
      <c r="O33" s="207">
        <f>N33+$J$34</f>
        <v>5.4623415857288617E-2</v>
      </c>
    </row>
    <row r="34" spans="2:15" outlineLevel="1">
      <c r="B34" s="188"/>
      <c r="C34" s="178" t="s">
        <v>283</v>
      </c>
      <c r="D34" s="178" t="s">
        <v>217</v>
      </c>
      <c r="E34" s="178"/>
      <c r="F34" s="178"/>
      <c r="G34" s="178"/>
      <c r="H34" s="178"/>
      <c r="I34" s="178"/>
      <c r="J34" s="112">
        <v>3.0000000000000001E-3</v>
      </c>
      <c r="K34" s="194"/>
      <c r="L34" s="194"/>
      <c r="M34" s="194"/>
      <c r="N34" s="194"/>
      <c r="O34" s="195"/>
    </row>
    <row r="35" spans="2:15" outlineLevel="1">
      <c r="B35" s="189"/>
      <c r="C35" s="5" t="s">
        <v>284</v>
      </c>
      <c r="D35" s="5" t="s">
        <v>217</v>
      </c>
      <c r="E35" s="5"/>
      <c r="F35" s="5"/>
      <c r="G35" s="5"/>
      <c r="H35" s="5"/>
      <c r="I35" s="5"/>
      <c r="J35" s="5"/>
      <c r="K35" s="162">
        <f>J266+J36</f>
        <v>1.1420039214117083E-2</v>
      </c>
      <c r="L35" s="162">
        <f>K35+$J$36</f>
        <v>1.1620039214117084E-2</v>
      </c>
      <c r="M35" s="162">
        <f>L35+$J$36</f>
        <v>1.1820039214117084E-2</v>
      </c>
      <c r="N35" s="162">
        <f>M35+$J$36</f>
        <v>1.2020039214117085E-2</v>
      </c>
      <c r="O35" s="209">
        <f>N35+$J$36</f>
        <v>1.2220039214117085E-2</v>
      </c>
    </row>
    <row r="36" spans="2:15" outlineLevel="1">
      <c r="B36" s="190"/>
      <c r="C36" s="191" t="s">
        <v>283</v>
      </c>
      <c r="D36" s="3" t="s">
        <v>217</v>
      </c>
      <c r="E36" s="3"/>
      <c r="F36" s="3"/>
      <c r="G36" s="3"/>
      <c r="H36" s="3"/>
      <c r="I36" s="3"/>
      <c r="J36" s="187">
        <v>2.0000000000000001E-4</v>
      </c>
      <c r="K36" s="208"/>
      <c r="L36" s="208"/>
      <c r="M36" s="208"/>
      <c r="N36" s="208"/>
      <c r="O36" s="210"/>
    </row>
    <row r="37" spans="2:15" outlineLevel="1">
      <c r="B37" s="180"/>
      <c r="C37" s="3" t="s">
        <v>285</v>
      </c>
      <c r="D37" s="3" t="s">
        <v>217</v>
      </c>
      <c r="E37" s="3"/>
      <c r="F37" s="3"/>
      <c r="G37" s="3"/>
      <c r="H37" s="3"/>
      <c r="I37" s="3"/>
      <c r="J37" s="181">
        <f>J269</f>
        <v>0.88819199147816175</v>
      </c>
      <c r="K37" s="113"/>
      <c r="L37" s="113"/>
      <c r="M37" s="113"/>
      <c r="N37" s="113"/>
      <c r="O37" s="196"/>
    </row>
    <row r="38" spans="2:15" outlineLevel="1">
      <c r="K38" s="8"/>
      <c r="L38" s="8"/>
      <c r="M38" s="8"/>
      <c r="N38" s="8"/>
      <c r="O38" s="8"/>
    </row>
    <row r="39" spans="2:15" outlineLevel="1">
      <c r="B39" s="176" t="s">
        <v>16</v>
      </c>
      <c r="C39" s="5"/>
      <c r="D39" s="5"/>
      <c r="E39" s="5"/>
      <c r="F39" s="5"/>
      <c r="G39" s="5"/>
      <c r="H39" s="5"/>
      <c r="I39" s="5"/>
      <c r="J39" s="5"/>
      <c r="K39" s="105"/>
      <c r="L39" s="105"/>
      <c r="M39" s="105"/>
      <c r="N39" s="105"/>
      <c r="O39" s="193"/>
    </row>
    <row r="40" spans="2:15" outlineLevel="1">
      <c r="B40" s="180"/>
      <c r="C40" s="3" t="s">
        <v>304</v>
      </c>
      <c r="D40" s="3" t="s">
        <v>217</v>
      </c>
      <c r="E40" s="3"/>
      <c r="F40" s="3"/>
      <c r="G40" s="3"/>
      <c r="H40" s="3"/>
      <c r="I40" s="3"/>
      <c r="J40" s="181">
        <f>J288</f>
        <v>0.10860277351571095</v>
      </c>
      <c r="K40" s="208">
        <f>J40</f>
        <v>0.10860277351571095</v>
      </c>
      <c r="L40" s="208">
        <f t="shared" ref="L40:O40" si="1">K40</f>
        <v>0.10860277351571095</v>
      </c>
      <c r="M40" s="208">
        <f t="shared" si="1"/>
        <v>0.10860277351571095</v>
      </c>
      <c r="N40" s="208">
        <f t="shared" si="1"/>
        <v>0.10860277351571095</v>
      </c>
      <c r="O40" s="210">
        <f t="shared" si="1"/>
        <v>0.10860277351571095</v>
      </c>
    </row>
    <row r="41" spans="2:15" outlineLevel="1">
      <c r="B41" s="200" t="s">
        <v>307</v>
      </c>
      <c r="C41" s="178"/>
      <c r="D41" s="178"/>
      <c r="E41" s="178"/>
      <c r="F41" s="178"/>
      <c r="G41" s="178"/>
      <c r="H41" s="178"/>
      <c r="I41" s="178"/>
      <c r="J41" s="178"/>
      <c r="K41" s="194"/>
      <c r="L41" s="194"/>
      <c r="M41" s="194"/>
      <c r="N41" s="194"/>
      <c r="O41" s="195"/>
    </row>
    <row r="42" spans="2:15" outlineLevel="1">
      <c r="B42" s="177"/>
      <c r="C42" s="178" t="s">
        <v>305</v>
      </c>
      <c r="D42" s="178" t="s">
        <v>217</v>
      </c>
      <c r="E42" s="178"/>
      <c r="F42" s="178"/>
      <c r="G42" s="178"/>
      <c r="H42" s="178"/>
      <c r="I42" s="178"/>
      <c r="J42" s="179">
        <f>J293</f>
        <v>9.1881335108473183E-2</v>
      </c>
      <c r="K42" s="206">
        <f>J42-$J$43</f>
        <v>9.0297304168993064E-2</v>
      </c>
      <c r="L42" s="206">
        <f t="shared" ref="L42:O42" si="2">K42-$J$43</f>
        <v>8.8713273229512946E-2</v>
      </c>
      <c r="M42" s="206">
        <f t="shared" si="2"/>
        <v>8.7129242290032827E-2</v>
      </c>
      <c r="N42" s="206">
        <f t="shared" si="2"/>
        <v>8.5545211350552708E-2</v>
      </c>
      <c r="O42" s="207">
        <f t="shared" si="2"/>
        <v>8.3961180411072589E-2</v>
      </c>
    </row>
    <row r="43" spans="2:15" outlineLevel="1">
      <c r="B43" s="180"/>
      <c r="C43" s="3" t="s">
        <v>306</v>
      </c>
      <c r="D43" s="3" t="s">
        <v>217</v>
      </c>
      <c r="E43" s="3"/>
      <c r="F43" s="3"/>
      <c r="G43" s="3"/>
      <c r="H43" s="3"/>
      <c r="I43" s="3"/>
      <c r="J43" s="181">
        <f>J298</f>
        <v>1.5840309394801189E-3</v>
      </c>
      <c r="K43" s="113"/>
      <c r="L43" s="113"/>
      <c r="M43" s="113"/>
      <c r="N43" s="113"/>
      <c r="O43" s="196"/>
    </row>
    <row r="44" spans="2:15" outlineLevel="1">
      <c r="K44" s="8"/>
      <c r="L44" s="8"/>
      <c r="M44" s="8"/>
      <c r="N44" s="8"/>
      <c r="O44" s="8"/>
    </row>
    <row r="45" spans="2:15" outlineLevel="1">
      <c r="B45" s="182" t="s">
        <v>334</v>
      </c>
      <c r="C45" s="183"/>
      <c r="D45" s="183"/>
      <c r="E45" s="183"/>
      <c r="F45" s="183"/>
      <c r="G45" s="183"/>
      <c r="H45" s="183"/>
      <c r="I45" s="183"/>
      <c r="J45" s="183"/>
      <c r="K45" s="197"/>
      <c r="L45" s="197"/>
      <c r="M45" s="197"/>
      <c r="N45" s="197"/>
      <c r="O45" s="198"/>
    </row>
    <row r="46" spans="2:15" outlineLevel="1">
      <c r="B46" s="177"/>
      <c r="C46" s="178" t="s">
        <v>357</v>
      </c>
      <c r="D46" s="178" t="s">
        <v>209</v>
      </c>
      <c r="E46" s="178"/>
      <c r="F46" s="178"/>
      <c r="G46" s="178"/>
      <c r="H46" s="178"/>
      <c r="I46" s="178"/>
      <c r="J46" s="178"/>
      <c r="K46" s="219">
        <f>J350*(1+$J$47)</f>
        <v>165.66206896551725</v>
      </c>
      <c r="L46" s="219">
        <f>K46*(1+$J$47)</f>
        <v>168.97531034482759</v>
      </c>
      <c r="M46" s="219">
        <f>L46*(1+$J$47)</f>
        <v>172.35481655172416</v>
      </c>
      <c r="N46" s="219">
        <f>M46*(1+$J$47)</f>
        <v>175.80191288275864</v>
      </c>
      <c r="O46" s="220">
        <f>N46*(1+$J$47)</f>
        <v>179.31795114041381</v>
      </c>
    </row>
    <row r="47" spans="2:15" outlineLevel="1">
      <c r="B47" s="177"/>
      <c r="C47" s="178" t="s">
        <v>358</v>
      </c>
      <c r="D47" s="178" t="s">
        <v>217</v>
      </c>
      <c r="E47" s="178"/>
      <c r="F47" s="178"/>
      <c r="G47" s="178"/>
      <c r="H47" s="178"/>
      <c r="I47" s="178"/>
      <c r="J47" s="218">
        <v>0.02</v>
      </c>
      <c r="K47" s="194"/>
      <c r="L47" s="194"/>
      <c r="M47" s="194"/>
      <c r="N47" s="194"/>
      <c r="O47" s="195"/>
    </row>
    <row r="48" spans="2:15" outlineLevel="1">
      <c r="B48" s="180"/>
      <c r="C48" s="3" t="s">
        <v>359</v>
      </c>
      <c r="D48" s="3" t="s">
        <v>233</v>
      </c>
      <c r="E48" s="3"/>
      <c r="F48" s="3"/>
      <c r="G48" s="3"/>
      <c r="H48" s="3"/>
      <c r="I48" s="3"/>
      <c r="J48" s="3"/>
      <c r="K48" s="113">
        <v>3</v>
      </c>
      <c r="L48" s="113">
        <v>2</v>
      </c>
      <c r="M48" s="113">
        <v>2</v>
      </c>
      <c r="N48" s="113">
        <v>2</v>
      </c>
      <c r="O48" s="196">
        <v>2</v>
      </c>
    </row>
    <row r="49" spans="1:15" outlineLevel="1"/>
    <row r="50" spans="1:15" outlineLevel="1"/>
    <row r="51" spans="1:15" outlineLevel="1"/>
    <row r="52" spans="1:15" outlineLevel="1"/>
    <row r="53" spans="1:15" outlineLevel="1"/>
    <row r="54" spans="1:15" outlineLevel="1"/>
    <row r="55" spans="1:15" outlineLevel="1"/>
    <row r="57" spans="1:15">
      <c r="A57" s="115" t="s">
        <v>9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</row>
    <row r="58" spans="1:15" hidden="1" outlineLevel="1"/>
    <row r="59" spans="1:15" hidden="1" outlineLevel="1">
      <c r="A59" s="1" t="s">
        <v>10</v>
      </c>
      <c r="B59" s="3"/>
      <c r="C59" s="3"/>
      <c r="D59" s="3"/>
      <c r="E59" s="3"/>
      <c r="F59" s="4">
        <f>G59-1</f>
        <v>2020</v>
      </c>
      <c r="G59" s="4">
        <f>H59-1</f>
        <v>2021</v>
      </c>
      <c r="H59" s="4">
        <f>I59-1</f>
        <v>2022</v>
      </c>
      <c r="I59" s="4">
        <f>J59-1</f>
        <v>2023</v>
      </c>
      <c r="J59" s="4">
        <f>K59-1</f>
        <v>2024</v>
      </c>
      <c r="K59" s="7">
        <f>K$8</f>
        <v>2025</v>
      </c>
      <c r="L59" s="7">
        <f>L$8</f>
        <v>2026</v>
      </c>
      <c r="M59" s="7">
        <f>M$8</f>
        <v>2027</v>
      </c>
      <c r="N59" s="7">
        <f>N$8</f>
        <v>2028</v>
      </c>
      <c r="O59" s="7">
        <f>O$8</f>
        <v>2029</v>
      </c>
    </row>
    <row r="60" spans="1:15" hidden="1" outlineLevel="1">
      <c r="B60" s="1" t="s">
        <v>11</v>
      </c>
      <c r="K60" s="8"/>
      <c r="L60" s="8"/>
      <c r="M60" s="8"/>
      <c r="N60" s="8"/>
      <c r="O60" s="8"/>
    </row>
    <row r="61" spans="1:15" hidden="1" outlineLevel="1">
      <c r="C61" t="s">
        <v>12</v>
      </c>
      <c r="F61" s="32">
        <v>163220</v>
      </c>
      <c r="G61" s="32">
        <v>192052</v>
      </c>
      <c r="H61" s="32">
        <v>222730</v>
      </c>
      <c r="I61" s="32">
        <v>237710</v>
      </c>
      <c r="J61" s="32">
        <v>249625</v>
      </c>
      <c r="K61" s="29">
        <f>K279</f>
        <v>268403.2836600141</v>
      </c>
      <c r="L61" s="29">
        <f t="shared" ref="L61:O61" si="3">L279</f>
        <v>288878.38322904473</v>
      </c>
      <c r="M61" s="29">
        <f t="shared" si="3"/>
        <v>311716.97432471259</v>
      </c>
      <c r="N61" s="29">
        <f t="shared" si="3"/>
        <v>337054.68275485904</v>
      </c>
      <c r="O61" s="29">
        <f t="shared" si="3"/>
        <v>365216.17518177838</v>
      </c>
    </row>
    <row r="62" spans="1:15" hidden="1" outlineLevel="1">
      <c r="C62" t="s">
        <v>13</v>
      </c>
      <c r="F62" s="32">
        <v>3541</v>
      </c>
      <c r="G62" s="32">
        <v>3877</v>
      </c>
      <c r="H62" s="32">
        <v>4224</v>
      </c>
      <c r="I62" s="32">
        <v>4580</v>
      </c>
      <c r="J62" s="32">
        <v>4828</v>
      </c>
      <c r="K62" s="29">
        <f>K236</f>
        <v>5333.1934330902905</v>
      </c>
      <c r="L62" s="29">
        <f t="shared" ref="L62:O62" si="4">L236</f>
        <v>5997.7395505613586</v>
      </c>
      <c r="M62" s="29">
        <f t="shared" si="4"/>
        <v>6629.8008692559415</v>
      </c>
      <c r="N62" s="29">
        <f t="shared" si="4"/>
        <v>7189.2317424077373</v>
      </c>
      <c r="O62" s="29">
        <f t="shared" si="4"/>
        <v>7795.1636469940922</v>
      </c>
    </row>
    <row r="63" spans="1:15" hidden="1" outlineLevel="1">
      <c r="B63" s="5" t="s">
        <v>14</v>
      </c>
      <c r="C63" s="5"/>
      <c r="D63" s="5"/>
      <c r="E63" s="5"/>
      <c r="F63" s="30">
        <f>SUM(F61:F62)</f>
        <v>166761</v>
      </c>
      <c r="G63" s="30">
        <f>SUM(G61:G62)</f>
        <v>195929</v>
      </c>
      <c r="H63" s="30">
        <f>SUM(H61:H62)</f>
        <v>226954</v>
      </c>
      <c r="I63" s="30">
        <f t="shared" ref="I63:O63" si="5">SUM(I61:I62)</f>
        <v>242290</v>
      </c>
      <c r="J63" s="30">
        <f t="shared" si="5"/>
        <v>254453</v>
      </c>
      <c r="K63" s="31">
        <f t="shared" si="5"/>
        <v>273736.47709310439</v>
      </c>
      <c r="L63" s="31">
        <f t="shared" si="5"/>
        <v>294876.12277960608</v>
      </c>
      <c r="M63" s="31">
        <f t="shared" si="5"/>
        <v>318346.77519396855</v>
      </c>
      <c r="N63" s="31">
        <f t="shared" si="5"/>
        <v>344243.91449726676</v>
      </c>
      <c r="O63" s="31">
        <f t="shared" si="5"/>
        <v>373011.33882877248</v>
      </c>
    </row>
    <row r="64" spans="1:15" hidden="1" outlineLevel="1">
      <c r="F64" s="108"/>
      <c r="G64" s="108"/>
      <c r="H64" s="108"/>
      <c r="I64" s="108"/>
      <c r="J64" s="108"/>
      <c r="K64" s="29"/>
      <c r="L64" s="29"/>
      <c r="M64" s="29"/>
      <c r="N64" s="29"/>
      <c r="O64" s="29"/>
    </row>
    <row r="65" spans="2:15" hidden="1" outlineLevel="1">
      <c r="B65" s="1" t="s">
        <v>15</v>
      </c>
      <c r="F65" s="108"/>
      <c r="G65" s="108"/>
      <c r="H65" s="108"/>
      <c r="I65" s="108"/>
      <c r="J65" s="108"/>
      <c r="K65" s="29"/>
      <c r="L65" s="29"/>
      <c r="M65" s="29"/>
      <c r="N65" s="29"/>
      <c r="O65" s="29"/>
    </row>
    <row r="66" spans="2:15" hidden="1" outlineLevel="1">
      <c r="C66" t="s">
        <v>16</v>
      </c>
      <c r="F66" s="32">
        <v>-144939</v>
      </c>
      <c r="G66" s="32">
        <v>-170684</v>
      </c>
      <c r="H66" s="32">
        <v>-199382</v>
      </c>
      <c r="I66" s="32">
        <v>-212586</v>
      </c>
      <c r="J66" s="32">
        <v>-222358</v>
      </c>
      <c r="K66" s="29">
        <f>-K289</f>
        <v>-239253.94263381249</v>
      </c>
      <c r="L66" s="29">
        <f t="shared" ref="L66:O66" si="6">-L289</f>
        <v>-257505.38960163604</v>
      </c>
      <c r="M66" s="29">
        <f t="shared" si="6"/>
        <v>-277863.64636112313</v>
      </c>
      <c r="N66" s="29">
        <f t="shared" si="6"/>
        <v>-300449.60938122327</v>
      </c>
      <c r="O66" s="29">
        <f t="shared" si="6"/>
        <v>-325552.68562423752</v>
      </c>
    </row>
    <row r="67" spans="2:15" hidden="1" outlineLevel="1">
      <c r="C67" t="s">
        <v>17</v>
      </c>
      <c r="F67" s="32">
        <v>-16387</v>
      </c>
      <c r="G67" s="32">
        <v>-18537</v>
      </c>
      <c r="H67" s="32">
        <v>-19779</v>
      </c>
      <c r="I67" s="32">
        <v>-21590</v>
      </c>
      <c r="J67" s="32">
        <v>-22810</v>
      </c>
      <c r="K67" s="29">
        <f>-K299</f>
        <v>-24236.092944604818</v>
      </c>
      <c r="L67" s="29">
        <f t="shared" ref="L67:O67" si="7">-L299</f>
        <v>-25627.346941498196</v>
      </c>
      <c r="M67" s="29">
        <f t="shared" si="7"/>
        <v>-27159.663781853826</v>
      </c>
      <c r="N67" s="29">
        <f t="shared" si="7"/>
        <v>-28833.414072957909</v>
      </c>
      <c r="O67" s="29">
        <f t="shared" si="7"/>
        <v>-30663.981173479187</v>
      </c>
    </row>
    <row r="68" spans="2:15" hidden="1" outlineLevel="1">
      <c r="B68" s="5" t="s">
        <v>18</v>
      </c>
      <c r="C68" s="5"/>
      <c r="D68" s="5"/>
      <c r="E68" s="5"/>
      <c r="F68" s="30">
        <f>SUM(F63,F66,F67)</f>
        <v>5435</v>
      </c>
      <c r="G68" s="30">
        <f t="shared" ref="G68:O68" si="8">SUM(G63,G66,G67)</f>
        <v>6708</v>
      </c>
      <c r="H68" s="30">
        <f t="shared" si="8"/>
        <v>7793</v>
      </c>
      <c r="I68" s="30">
        <f t="shared" si="8"/>
        <v>8114</v>
      </c>
      <c r="J68" s="30">
        <f t="shared" si="8"/>
        <v>9285</v>
      </c>
      <c r="K68" s="31">
        <f t="shared" si="8"/>
        <v>10246.441514687082</v>
      </c>
      <c r="L68" s="31">
        <f t="shared" si="8"/>
        <v>11743.386236471852</v>
      </c>
      <c r="M68" s="31">
        <f t="shared" si="8"/>
        <v>13323.465050991599</v>
      </c>
      <c r="N68" s="31">
        <f t="shared" si="8"/>
        <v>14960.891043085576</v>
      </c>
      <c r="O68" s="31">
        <f t="shared" si="8"/>
        <v>16794.672031055772</v>
      </c>
    </row>
    <row r="69" spans="2:15" hidden="1" outlineLevel="1">
      <c r="F69" s="28"/>
      <c r="G69" s="28"/>
      <c r="H69" s="28"/>
      <c r="I69" s="28"/>
      <c r="J69" s="28"/>
      <c r="K69" s="29"/>
      <c r="L69" s="29"/>
      <c r="M69" s="29"/>
      <c r="N69" s="29"/>
      <c r="O69" s="29"/>
    </row>
    <row r="70" spans="2:15" hidden="1" outlineLevel="1">
      <c r="B70" s="1" t="s">
        <v>19</v>
      </c>
      <c r="F70" s="28"/>
      <c r="G70" s="28"/>
      <c r="H70" s="28"/>
      <c r="I70" s="28"/>
      <c r="J70" s="28"/>
      <c r="K70" s="29"/>
      <c r="L70" s="29"/>
      <c r="M70" s="29"/>
      <c r="N70" s="29"/>
      <c r="O70" s="29"/>
    </row>
    <row r="71" spans="2:15" hidden="1" outlineLevel="1">
      <c r="C71" t="s">
        <v>20</v>
      </c>
      <c r="F71" s="32">
        <v>-160</v>
      </c>
      <c r="G71" s="32">
        <v>-171</v>
      </c>
      <c r="H71" s="32">
        <v>-158</v>
      </c>
      <c r="I71" s="32">
        <v>-160</v>
      </c>
      <c r="J71" s="32">
        <v>-169</v>
      </c>
      <c r="K71" s="29"/>
      <c r="L71" s="29"/>
      <c r="M71" s="29"/>
      <c r="N71" s="29"/>
      <c r="O71" s="29"/>
    </row>
    <row r="72" spans="2:15" hidden="1" outlineLevel="1">
      <c r="C72" t="s">
        <v>21</v>
      </c>
      <c r="F72" s="32">
        <v>92</v>
      </c>
      <c r="G72" s="32">
        <v>143</v>
      </c>
      <c r="H72" s="32">
        <v>205</v>
      </c>
      <c r="I72" s="32">
        <v>533</v>
      </c>
      <c r="J72" s="32">
        <v>624</v>
      </c>
      <c r="K72" s="29"/>
      <c r="L72" s="29"/>
      <c r="M72" s="29"/>
      <c r="N72" s="29"/>
      <c r="O72" s="29"/>
    </row>
    <row r="73" spans="2:15" hidden="1" outlineLevel="1">
      <c r="B73" s="6" t="s">
        <v>22</v>
      </c>
      <c r="C73" s="5"/>
      <c r="D73" s="5"/>
      <c r="E73" s="5"/>
      <c r="F73" s="30">
        <f>SUM(F68,F71,F72)</f>
        <v>5367</v>
      </c>
      <c r="G73" s="30">
        <f t="shared" ref="G73:O73" si="9">SUM(G68,G71,G72)</f>
        <v>6680</v>
      </c>
      <c r="H73" s="30">
        <f t="shared" si="9"/>
        <v>7840</v>
      </c>
      <c r="I73" s="30">
        <f t="shared" si="9"/>
        <v>8487</v>
      </c>
      <c r="J73" s="30">
        <f t="shared" si="9"/>
        <v>9740</v>
      </c>
      <c r="K73" s="31">
        <f t="shared" si="9"/>
        <v>10246.441514687082</v>
      </c>
      <c r="L73" s="31">
        <f t="shared" si="9"/>
        <v>11743.386236471852</v>
      </c>
      <c r="M73" s="31">
        <f t="shared" si="9"/>
        <v>13323.465050991599</v>
      </c>
      <c r="N73" s="31">
        <f t="shared" si="9"/>
        <v>14960.891043085576</v>
      </c>
      <c r="O73" s="31">
        <f t="shared" si="9"/>
        <v>16794.672031055772</v>
      </c>
    </row>
    <row r="74" spans="2:15" hidden="1" outlineLevel="1">
      <c r="C74" t="s">
        <v>23</v>
      </c>
      <c r="F74" s="32">
        <v>-1308</v>
      </c>
      <c r="G74" s="32">
        <v>-1601</v>
      </c>
      <c r="H74" s="32">
        <v>-1925</v>
      </c>
      <c r="I74" s="32">
        <v>-2195</v>
      </c>
      <c r="J74" s="32">
        <v>-2373</v>
      </c>
      <c r="K74" s="29"/>
      <c r="L74" s="29"/>
      <c r="M74" s="29"/>
      <c r="N74" s="29"/>
      <c r="O74" s="29"/>
    </row>
    <row r="75" spans="2:15" hidden="1" outlineLevel="1">
      <c r="B75" s="5" t="s">
        <v>24</v>
      </c>
      <c r="C75" s="5"/>
      <c r="D75" s="5"/>
      <c r="E75" s="5"/>
      <c r="F75" s="30">
        <f>SUM(F74,F73)</f>
        <v>4059</v>
      </c>
      <c r="G75" s="30">
        <f t="shared" ref="G75:O75" si="10">SUM(G74,G73)</f>
        <v>5079</v>
      </c>
      <c r="H75" s="30">
        <f t="shared" si="10"/>
        <v>5915</v>
      </c>
      <c r="I75" s="30">
        <f t="shared" si="10"/>
        <v>6292</v>
      </c>
      <c r="J75" s="30">
        <f t="shared" si="10"/>
        <v>7367</v>
      </c>
      <c r="K75" s="31">
        <f t="shared" si="10"/>
        <v>10246.441514687082</v>
      </c>
      <c r="L75" s="31">
        <f t="shared" si="10"/>
        <v>11743.386236471852</v>
      </c>
      <c r="M75" s="31">
        <f t="shared" si="10"/>
        <v>13323.465050991599</v>
      </c>
      <c r="N75" s="31">
        <f t="shared" si="10"/>
        <v>14960.891043085576</v>
      </c>
      <c r="O75" s="31">
        <f t="shared" si="10"/>
        <v>16794.672031055772</v>
      </c>
    </row>
    <row r="76" spans="2:15" hidden="1" outlineLevel="1">
      <c r="B76" t="s">
        <v>25</v>
      </c>
      <c r="F76" s="32">
        <v>-57</v>
      </c>
      <c r="G76" s="32">
        <v>-72</v>
      </c>
      <c r="H76" s="32">
        <v>-71</v>
      </c>
      <c r="I76" s="32">
        <v>0</v>
      </c>
      <c r="J76" s="32">
        <v>0</v>
      </c>
      <c r="K76" s="29"/>
      <c r="L76" s="29"/>
      <c r="M76" s="29"/>
      <c r="N76" s="29"/>
      <c r="O76" s="29"/>
    </row>
    <row r="77" spans="2:15" hidden="1" outlineLevel="1">
      <c r="B77" s="6" t="s">
        <v>26</v>
      </c>
      <c r="C77" s="5"/>
      <c r="D77" s="5"/>
      <c r="E77" s="5"/>
      <c r="F77" s="30">
        <f>SUM(F76,F75)</f>
        <v>4002</v>
      </c>
      <c r="G77" s="30">
        <f t="shared" ref="G77:O77" si="11">SUM(G76,G75)</f>
        <v>5007</v>
      </c>
      <c r="H77" s="30">
        <f t="shared" si="11"/>
        <v>5844</v>
      </c>
      <c r="I77" s="30">
        <f t="shared" si="11"/>
        <v>6292</v>
      </c>
      <c r="J77" s="30">
        <f t="shared" si="11"/>
        <v>7367</v>
      </c>
      <c r="K77" s="31">
        <f t="shared" si="11"/>
        <v>10246.441514687082</v>
      </c>
      <c r="L77" s="31">
        <f t="shared" si="11"/>
        <v>11743.386236471852</v>
      </c>
      <c r="M77" s="31">
        <f t="shared" si="11"/>
        <v>13323.465050991599</v>
      </c>
      <c r="N77" s="31">
        <f t="shared" si="11"/>
        <v>14960.891043085576</v>
      </c>
      <c r="O77" s="31">
        <f t="shared" si="11"/>
        <v>16794.672031055772</v>
      </c>
    </row>
    <row r="78" spans="2:15" hidden="1" outlineLevel="1">
      <c r="F78" s="28"/>
      <c r="G78" s="28"/>
      <c r="H78" s="28"/>
      <c r="I78" s="28"/>
      <c r="J78" s="28"/>
      <c r="K78" s="29"/>
      <c r="L78" s="29"/>
      <c r="M78" s="29"/>
      <c r="N78" s="29"/>
      <c r="O78" s="29"/>
    </row>
    <row r="79" spans="2:15" hidden="1" outlineLevel="1">
      <c r="F79" s="28"/>
      <c r="G79" s="28"/>
      <c r="H79" s="28"/>
      <c r="I79" s="28"/>
      <c r="J79" s="28"/>
      <c r="K79" s="29"/>
      <c r="L79" s="29"/>
      <c r="M79" s="29"/>
      <c r="N79" s="29"/>
      <c r="O79" s="29"/>
    </row>
    <row r="80" spans="2:15" hidden="1" outlineLevel="1">
      <c r="B80" t="s">
        <v>27</v>
      </c>
      <c r="D80" t="s">
        <v>52</v>
      </c>
      <c r="F80" s="32">
        <v>442297</v>
      </c>
      <c r="G80" s="32">
        <v>443089</v>
      </c>
      <c r="H80" s="32">
        <v>443651</v>
      </c>
      <c r="I80" s="32">
        <v>443854</v>
      </c>
      <c r="J80" s="32">
        <v>443914</v>
      </c>
      <c r="K80" s="29"/>
      <c r="L80" s="29"/>
      <c r="M80" s="29"/>
      <c r="N80" s="29"/>
      <c r="O80" s="29"/>
    </row>
    <row r="81" spans="1:15" hidden="1" outlineLevel="1">
      <c r="B81" t="s">
        <v>31</v>
      </c>
      <c r="D81" t="s">
        <v>52</v>
      </c>
      <c r="F81" s="32">
        <v>443901</v>
      </c>
      <c r="G81" s="32">
        <v>444346</v>
      </c>
      <c r="H81" s="32">
        <v>444757</v>
      </c>
      <c r="I81" s="32">
        <v>444452</v>
      </c>
      <c r="J81" s="32">
        <v>444759</v>
      </c>
      <c r="K81" s="29"/>
      <c r="L81" s="29"/>
      <c r="M81" s="29"/>
      <c r="N81" s="29"/>
      <c r="O81" s="29"/>
    </row>
    <row r="82" spans="1:15" hidden="1" outlineLevel="1">
      <c r="B82" t="s">
        <v>28</v>
      </c>
      <c r="F82" s="28"/>
      <c r="G82" s="28"/>
      <c r="H82" s="28"/>
      <c r="I82" s="28"/>
      <c r="J82" s="28"/>
      <c r="K82" s="29"/>
      <c r="L82" s="29"/>
      <c r="M82" s="29"/>
      <c r="N82" s="29"/>
      <c r="O82" s="29"/>
    </row>
    <row r="83" spans="1:15" hidden="1" outlineLevel="1">
      <c r="C83" t="s">
        <v>29</v>
      </c>
      <c r="D83" t="s">
        <v>53</v>
      </c>
      <c r="F83" s="15">
        <f>(F77*1000)/F80</f>
        <v>9.0482187308527973</v>
      </c>
      <c r="G83" s="15">
        <f>(G77*1000)/G80</f>
        <v>11.300212824060177</v>
      </c>
      <c r="H83" s="15">
        <f>(H77*1000)/H80</f>
        <v>13.172516234607833</v>
      </c>
      <c r="I83" s="15">
        <f>(I77*1000)/I80</f>
        <v>14.175832593600598</v>
      </c>
      <c r="J83" s="15">
        <f>(J77*1000)/J80</f>
        <v>16.595556797037265</v>
      </c>
      <c r="K83" s="29"/>
      <c r="L83" s="29"/>
      <c r="M83" s="29"/>
      <c r="N83" s="29"/>
      <c r="O83" s="29"/>
    </row>
    <row r="84" spans="1:15" hidden="1" outlineLevel="1">
      <c r="C84" t="s">
        <v>30</v>
      </c>
      <c r="D84" t="s">
        <v>53</v>
      </c>
      <c r="F84" s="15">
        <f>(F77*1000)/F81</f>
        <v>9.0155237316428671</v>
      </c>
      <c r="G84" s="15">
        <f>(G77*1000)/G81</f>
        <v>11.268245916470498</v>
      </c>
      <c r="H84" s="15">
        <f>(H77*1000)/H81</f>
        <v>13.139759464156832</v>
      </c>
      <c r="I84" s="15">
        <f>(I77*1000)/I81</f>
        <v>14.156759335091303</v>
      </c>
      <c r="J84" s="15">
        <f>(J77*1000)/J81</f>
        <v>16.564026810025204</v>
      </c>
      <c r="K84" s="29"/>
      <c r="L84" s="29"/>
      <c r="M84" s="29"/>
      <c r="N84" s="29"/>
      <c r="O84" s="29"/>
    </row>
    <row r="85" spans="1:15" hidden="1" outlineLevel="1"/>
    <row r="86" spans="1:15" hidden="1" outlineLevel="1">
      <c r="H86" t="s">
        <v>0</v>
      </c>
    </row>
    <row r="87" spans="1:15" hidden="1" outlineLevel="1"/>
    <row r="88" spans="1:15" hidden="1" outlineLevel="1"/>
    <row r="89" spans="1:15" hidden="1" outlineLevel="1"/>
    <row r="90" spans="1:15" hidden="1" outlineLevel="1"/>
    <row r="91" spans="1:15" collapsed="1"/>
    <row r="92" spans="1:15">
      <c r="A92" s="115" t="s">
        <v>54</v>
      </c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</row>
    <row r="93" spans="1:15" hidden="1" outlineLevel="1"/>
    <row r="94" spans="1:15" hidden="1" outlineLevel="1">
      <c r="A94" s="2" t="s">
        <v>55</v>
      </c>
      <c r="B94" s="3"/>
      <c r="C94" s="3"/>
      <c r="D94" s="3"/>
      <c r="E94" s="3"/>
      <c r="F94" s="4">
        <f>G94-1</f>
        <v>2020</v>
      </c>
      <c r="G94" s="4">
        <f>H94-1</f>
        <v>2021</v>
      </c>
      <c r="H94" s="4">
        <f>I94-1</f>
        <v>2022</v>
      </c>
      <c r="I94" s="4">
        <f>J94-1</f>
        <v>2023</v>
      </c>
      <c r="J94" s="4">
        <f>K94-1</f>
        <v>2024</v>
      </c>
      <c r="K94" s="7">
        <f>K$8</f>
        <v>2025</v>
      </c>
      <c r="L94" s="7">
        <f>L$8</f>
        <v>2026</v>
      </c>
      <c r="M94" s="7">
        <f>M$8</f>
        <v>2027</v>
      </c>
      <c r="N94" s="7">
        <f>N$8</f>
        <v>2028</v>
      </c>
      <c r="O94" s="7">
        <f>O$8</f>
        <v>2029</v>
      </c>
    </row>
    <row r="95" spans="1:15" hidden="1" outlineLevel="1">
      <c r="B95" s="1" t="s">
        <v>66</v>
      </c>
      <c r="K95" s="8"/>
      <c r="L95" s="8"/>
      <c r="M95" s="8"/>
      <c r="N95" s="8"/>
      <c r="O95" s="8"/>
    </row>
    <row r="96" spans="1:15" hidden="1" outlineLevel="1">
      <c r="C96" t="s">
        <v>24</v>
      </c>
      <c r="F96" s="32">
        <v>4059</v>
      </c>
      <c r="G96" s="32">
        <v>5079</v>
      </c>
      <c r="H96" s="32">
        <v>5915</v>
      </c>
      <c r="I96" s="32">
        <v>6292</v>
      </c>
      <c r="J96" s="32">
        <v>7367</v>
      </c>
      <c r="K96" s="29">
        <f>K75</f>
        <v>10246.441514687082</v>
      </c>
      <c r="L96" s="29">
        <f t="shared" ref="L96:O96" si="12">L75</f>
        <v>11743.386236471852</v>
      </c>
      <c r="M96" s="29">
        <f t="shared" si="12"/>
        <v>13323.465050991599</v>
      </c>
      <c r="N96" s="29">
        <f t="shared" si="12"/>
        <v>14960.891043085576</v>
      </c>
      <c r="O96" s="29">
        <f t="shared" si="12"/>
        <v>16794.672031055772</v>
      </c>
    </row>
    <row r="97" spans="2:15" hidden="1" outlineLevel="1">
      <c r="C97" t="s">
        <v>56</v>
      </c>
      <c r="F97" s="32">
        <v>1645</v>
      </c>
      <c r="G97" s="32">
        <v>1781</v>
      </c>
      <c r="H97" s="32">
        <v>1900</v>
      </c>
      <c r="I97" s="32">
        <v>2077</v>
      </c>
      <c r="J97" s="32">
        <v>2237</v>
      </c>
      <c r="K97" s="29">
        <f>-K371</f>
        <v>2409.1035135608377</v>
      </c>
      <c r="L97" s="29">
        <f>-L371</f>
        <v>2601.0057317948117</v>
      </c>
      <c r="M97" s="29">
        <f>-M371</f>
        <v>2797.6916436195984</v>
      </c>
      <c r="N97" s="29">
        <f>-N371</f>
        <v>2999.2569229070127</v>
      </c>
      <c r="O97" s="29">
        <f>-O371</f>
        <v>3205.7991570063077</v>
      </c>
    </row>
    <row r="98" spans="2:15" hidden="1" outlineLevel="1">
      <c r="C98" t="s">
        <v>57</v>
      </c>
      <c r="F98" s="32">
        <v>194</v>
      </c>
      <c r="G98" s="32">
        <v>286</v>
      </c>
      <c r="H98" s="32">
        <v>377</v>
      </c>
      <c r="I98" s="32">
        <v>412</v>
      </c>
      <c r="J98" s="32">
        <v>315</v>
      </c>
      <c r="K98" s="29">
        <f>AVERAGE(H98:J98)</f>
        <v>368</v>
      </c>
      <c r="L98" s="29">
        <f>K98</f>
        <v>368</v>
      </c>
      <c r="M98" s="29">
        <f t="shared" ref="M98:O98" si="13">L98</f>
        <v>368</v>
      </c>
      <c r="N98" s="29">
        <f t="shared" si="13"/>
        <v>368</v>
      </c>
      <c r="O98" s="29">
        <f t="shared" si="13"/>
        <v>368</v>
      </c>
    </row>
    <row r="99" spans="2:15" hidden="1" outlineLevel="1">
      <c r="C99" t="s">
        <v>58</v>
      </c>
      <c r="F99" s="32">
        <v>619</v>
      </c>
      <c r="G99" s="32">
        <v>665</v>
      </c>
      <c r="H99" s="32">
        <v>724</v>
      </c>
      <c r="I99" s="32">
        <v>774</v>
      </c>
      <c r="J99" s="32">
        <v>818</v>
      </c>
      <c r="K99" s="29"/>
      <c r="L99" s="29"/>
      <c r="M99" s="29"/>
      <c r="N99" s="29"/>
      <c r="O99" s="29"/>
    </row>
    <row r="100" spans="2:15" hidden="1" outlineLevel="1">
      <c r="C100" t="s">
        <v>59</v>
      </c>
      <c r="F100" s="32">
        <v>146</v>
      </c>
      <c r="G100" s="32">
        <v>144</v>
      </c>
      <c r="H100" s="32">
        <v>39</v>
      </c>
      <c r="I100" s="32">
        <v>495</v>
      </c>
      <c r="J100" s="32">
        <v>-9</v>
      </c>
      <c r="K100" s="29"/>
      <c r="L100" s="29"/>
      <c r="M100" s="29"/>
      <c r="N100" s="29"/>
      <c r="O100" s="29"/>
    </row>
    <row r="101" spans="2:15" hidden="1" outlineLevel="1">
      <c r="C101" t="s">
        <v>60</v>
      </c>
      <c r="F101" s="28"/>
      <c r="G101" s="28"/>
      <c r="H101" s="28"/>
      <c r="I101" s="28"/>
      <c r="J101" s="28"/>
      <c r="K101" s="29"/>
      <c r="L101" s="29"/>
      <c r="M101" s="29"/>
      <c r="N101" s="29"/>
      <c r="O101" s="29"/>
    </row>
    <row r="102" spans="2:15" hidden="1" outlineLevel="1">
      <c r="C102" t="s">
        <v>61</v>
      </c>
      <c r="F102" s="32">
        <v>-791</v>
      </c>
      <c r="G102" s="32">
        <v>-1892</v>
      </c>
      <c r="H102" s="32">
        <v>-4003</v>
      </c>
      <c r="I102" s="32">
        <v>1228</v>
      </c>
      <c r="J102" s="32">
        <v>-2068</v>
      </c>
      <c r="K102" s="29">
        <f>K327</f>
        <v>-1416.8981655380121</v>
      </c>
      <c r="L102" s="29">
        <f t="shared" ref="L102:O102" si="14">L327</f>
        <v>-1530.5711132903052</v>
      </c>
      <c r="M102" s="29">
        <f t="shared" si="14"/>
        <v>-1707.2487330977783</v>
      </c>
      <c r="N102" s="29">
        <f t="shared" si="14"/>
        <v>-1894.0647623913101</v>
      </c>
      <c r="O102" s="29">
        <f t="shared" si="14"/>
        <v>-2105.1505351886917</v>
      </c>
    </row>
    <row r="103" spans="2:15" hidden="1" outlineLevel="1">
      <c r="C103" t="s">
        <v>62</v>
      </c>
      <c r="F103" s="32">
        <v>2261</v>
      </c>
      <c r="G103" s="32">
        <v>1838</v>
      </c>
      <c r="H103" s="32">
        <v>1891</v>
      </c>
      <c r="I103" s="32">
        <v>-382</v>
      </c>
      <c r="J103" s="32">
        <v>1938</v>
      </c>
      <c r="K103" s="29">
        <f>K328</f>
        <v>1475.7107992124074</v>
      </c>
      <c r="L103" s="29">
        <f t="shared" ref="L103:O103" si="15">L328</f>
        <v>1594.1020856551186</v>
      </c>
      <c r="M103" s="29">
        <f t="shared" si="15"/>
        <v>1778.1132431754122</v>
      </c>
      <c r="N103" s="29">
        <f t="shared" si="15"/>
        <v>1972.6836354588741</v>
      </c>
      <c r="O103" s="29">
        <f t="shared" si="15"/>
        <v>2192.5311601812391</v>
      </c>
    </row>
    <row r="104" spans="2:15" hidden="1" outlineLevel="1">
      <c r="C104" t="s">
        <v>63</v>
      </c>
      <c r="F104" s="32">
        <v>728</v>
      </c>
      <c r="G104" s="32">
        <v>1057</v>
      </c>
      <c r="H104" s="32">
        <v>549</v>
      </c>
      <c r="I104" s="32">
        <v>172</v>
      </c>
      <c r="J104" s="32">
        <v>741</v>
      </c>
      <c r="K104" s="29">
        <f>K340</f>
        <v>1167.4769021301263</v>
      </c>
      <c r="L104" s="29">
        <f t="shared" ref="L104:O104" si="16">L340</f>
        <v>1180.1876091418103</v>
      </c>
      <c r="M104" s="29">
        <f t="shared" si="16"/>
        <v>1167.4086632739532</v>
      </c>
      <c r="N104" s="29">
        <f t="shared" si="16"/>
        <v>1279.7296635687121</v>
      </c>
      <c r="O104" s="29">
        <f t="shared" si="16"/>
        <v>1402.085148300102</v>
      </c>
    </row>
    <row r="105" spans="2:15" hidden="1" outlineLevel="1">
      <c r="B105" s="5" t="s">
        <v>64</v>
      </c>
      <c r="C105" s="5"/>
      <c r="D105" s="5"/>
      <c r="E105" s="5"/>
      <c r="F105" s="30">
        <f>SUM(F102:F104,F96:F100)</f>
        <v>8861</v>
      </c>
      <c r="G105" s="30">
        <f>SUM(G102:G104,G96:G100)</f>
        <v>8958</v>
      </c>
      <c r="H105" s="30">
        <f>SUM(H102:H104,H96:H100)</f>
        <v>7392</v>
      </c>
      <c r="I105" s="30">
        <f>SUM(I102:I104,I96:I100)</f>
        <v>11068</v>
      </c>
      <c r="J105" s="30">
        <f>SUM(J102:J104,J96:J100)</f>
        <v>11339</v>
      </c>
      <c r="K105" s="31">
        <f t="shared" ref="K105:O105" si="17">SUM(K102:K104,K96:K100)</f>
        <v>14249.83456405244</v>
      </c>
      <c r="L105" s="31">
        <f t="shared" si="17"/>
        <v>15956.110549773288</v>
      </c>
      <c r="M105" s="31">
        <f t="shared" si="17"/>
        <v>17727.429867962783</v>
      </c>
      <c r="N105" s="31">
        <f t="shared" si="17"/>
        <v>19686.496502628866</v>
      </c>
      <c r="O105" s="31">
        <f t="shared" si="17"/>
        <v>21857.936961354731</v>
      </c>
    </row>
    <row r="106" spans="2:15" hidden="1" outlineLevel="1">
      <c r="F106" s="28"/>
      <c r="G106" s="28"/>
      <c r="H106" s="28"/>
      <c r="I106" s="28"/>
      <c r="J106" s="28"/>
      <c r="K106" s="8"/>
      <c r="L106" s="8"/>
      <c r="M106" s="8"/>
      <c r="N106" s="8"/>
      <c r="O106" s="8"/>
    </row>
    <row r="107" spans="2:15" hidden="1" outlineLevel="1">
      <c r="B107" s="1" t="s">
        <v>65</v>
      </c>
      <c r="F107" s="28"/>
      <c r="G107" s="28"/>
      <c r="H107" s="28"/>
      <c r="I107" s="28"/>
      <c r="J107" s="28"/>
      <c r="K107" s="8"/>
      <c r="L107" s="8"/>
      <c r="M107" s="8"/>
      <c r="N107" s="8"/>
      <c r="O107" s="8"/>
    </row>
    <row r="108" spans="2:15" hidden="1" outlineLevel="1">
      <c r="C108" t="s">
        <v>67</v>
      </c>
      <c r="F108" s="32">
        <v>-2810</v>
      </c>
      <c r="G108" s="32">
        <v>-3588</v>
      </c>
      <c r="H108" s="32">
        <v>-3891</v>
      </c>
      <c r="I108" s="32">
        <v>-4323</v>
      </c>
      <c r="J108" s="32">
        <v>-4710</v>
      </c>
      <c r="K108" s="29">
        <f>K353</f>
        <v>4804.2000000000007</v>
      </c>
      <c r="L108" s="29">
        <f t="shared" ref="L108:O108" si="18">L353</f>
        <v>4900.2839999999997</v>
      </c>
      <c r="M108" s="29">
        <f t="shared" si="18"/>
        <v>4998.2896800000008</v>
      </c>
      <c r="N108" s="29">
        <f t="shared" si="18"/>
        <v>5098.2554736000011</v>
      </c>
      <c r="O108" s="29">
        <f t="shared" si="18"/>
        <v>5200.2205830720004</v>
      </c>
    </row>
    <row r="109" spans="2:15" hidden="1" outlineLevel="1">
      <c r="C109" t="s">
        <v>68</v>
      </c>
      <c r="F109" s="32">
        <v>-1081</v>
      </c>
      <c r="G109" s="32">
        <v>53</v>
      </c>
      <c r="H109" s="32">
        <v>-24</v>
      </c>
      <c r="I109" s="32">
        <v>-649</v>
      </c>
      <c r="J109" s="32">
        <v>301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</row>
    <row r="110" spans="2:15" hidden="1" outlineLevel="1">
      <c r="B110" s="5" t="s">
        <v>69</v>
      </c>
      <c r="C110" s="5"/>
      <c r="D110" s="5"/>
      <c r="E110" s="5"/>
      <c r="F110" s="30">
        <f>SUM(F108:F109)</f>
        <v>-3891</v>
      </c>
      <c r="G110" s="30">
        <f>SUM(G108:G109)</f>
        <v>-3535</v>
      </c>
      <c r="H110" s="30">
        <f>SUM(H108:H109)</f>
        <v>-3915</v>
      </c>
      <c r="I110" s="30">
        <f>SUM(I108:I109)</f>
        <v>-4972</v>
      </c>
      <c r="J110" s="30">
        <f>SUM(J108:J109)</f>
        <v>-4409</v>
      </c>
      <c r="K110" s="31">
        <f t="shared" ref="K110:O110" si="19">SUM(K108:K109)</f>
        <v>4804.2000000000007</v>
      </c>
      <c r="L110" s="31">
        <f t="shared" si="19"/>
        <v>4900.2839999999997</v>
      </c>
      <c r="M110" s="31">
        <f t="shared" si="19"/>
        <v>4998.2896800000008</v>
      </c>
      <c r="N110" s="31">
        <f t="shared" si="19"/>
        <v>5098.2554736000011</v>
      </c>
      <c r="O110" s="31">
        <f t="shared" si="19"/>
        <v>5200.2205830720004</v>
      </c>
    </row>
    <row r="111" spans="2:15" hidden="1" outlineLevel="1">
      <c r="F111" s="28"/>
      <c r="G111" s="28"/>
      <c r="H111" s="28"/>
      <c r="I111" s="28"/>
      <c r="J111" s="28"/>
      <c r="K111" s="8"/>
      <c r="L111" s="8"/>
      <c r="M111" s="8"/>
      <c r="N111" s="8"/>
      <c r="O111" s="8"/>
    </row>
    <row r="112" spans="2:15" hidden="1" outlineLevel="1">
      <c r="B112" s="1" t="s">
        <v>70</v>
      </c>
      <c r="F112" s="28"/>
      <c r="G112" s="28"/>
      <c r="H112" s="28"/>
      <c r="I112" s="28"/>
      <c r="J112" s="28"/>
      <c r="K112" s="8"/>
      <c r="L112" s="8"/>
      <c r="M112" s="8"/>
      <c r="N112" s="8"/>
      <c r="O112" s="8"/>
    </row>
    <row r="113" spans="2:15" hidden="1" outlineLevel="1">
      <c r="C113" t="s">
        <v>71</v>
      </c>
      <c r="F113" s="32">
        <v>929</v>
      </c>
      <c r="G113" s="32">
        <v>-53</v>
      </c>
      <c r="H113" s="32">
        <v>-753</v>
      </c>
      <c r="I113" s="32">
        <v>-93</v>
      </c>
      <c r="J113" s="32">
        <v>-571</v>
      </c>
      <c r="K113" s="8"/>
      <c r="L113" s="8"/>
      <c r="M113" s="8"/>
      <c r="N113" s="8"/>
      <c r="O113" s="8"/>
    </row>
    <row r="114" spans="2:15" hidden="1" outlineLevel="1">
      <c r="C114" t="s">
        <v>72</v>
      </c>
      <c r="F114" s="32">
        <v>-196</v>
      </c>
      <c r="G114" s="32">
        <v>-496</v>
      </c>
      <c r="H114" s="32">
        <v>-439</v>
      </c>
      <c r="I114" s="32">
        <v>-676</v>
      </c>
      <c r="J114" s="32">
        <v>-700</v>
      </c>
      <c r="K114" s="8"/>
      <c r="L114" s="8"/>
      <c r="M114" s="8"/>
      <c r="N114" s="8"/>
      <c r="O114" s="8"/>
    </row>
    <row r="115" spans="2:15" hidden="1" outlineLevel="1">
      <c r="C115" t="s">
        <v>73</v>
      </c>
      <c r="F115" s="32">
        <v>-1479</v>
      </c>
      <c r="G115" s="32">
        <v>-5748</v>
      </c>
      <c r="H115" s="32">
        <v>-1498</v>
      </c>
      <c r="I115" s="32">
        <v>-1251</v>
      </c>
      <c r="J115" s="32">
        <v>-9041</v>
      </c>
      <c r="K115" s="8"/>
      <c r="L115" s="8"/>
      <c r="M115" s="8"/>
      <c r="N115" s="8"/>
      <c r="O115" s="8"/>
    </row>
    <row r="116" spans="2:15" hidden="1" outlineLevel="1">
      <c r="C116" t="s">
        <v>74</v>
      </c>
      <c r="F116" s="28"/>
      <c r="G116" s="32">
        <v>-67</v>
      </c>
      <c r="H116" s="32">
        <v>-180</v>
      </c>
      <c r="I116" s="32">
        <v>-291</v>
      </c>
      <c r="J116" s="32">
        <v>-137</v>
      </c>
      <c r="K116" s="8"/>
      <c r="L116" s="8"/>
      <c r="M116" s="8"/>
      <c r="N116" s="8"/>
      <c r="O116" s="8"/>
    </row>
    <row r="117" spans="2:15" hidden="1" outlineLevel="1">
      <c r="C117" t="s">
        <v>75</v>
      </c>
      <c r="F117" s="32">
        <v>-401</v>
      </c>
      <c r="G117" s="32">
        <v>-124</v>
      </c>
      <c r="H117" s="32">
        <v>-1413</v>
      </c>
      <c r="I117" s="32">
        <v>-303</v>
      </c>
      <c r="J117" s="32">
        <v>-315</v>
      </c>
      <c r="K117" s="8"/>
      <c r="L117" s="8"/>
      <c r="M117" s="8"/>
      <c r="N117" s="8"/>
      <c r="O117" s="8"/>
    </row>
    <row r="118" spans="2:15" hidden="1" outlineLevel="1">
      <c r="B118" s="5" t="s">
        <v>76</v>
      </c>
      <c r="C118" s="5"/>
      <c r="D118" s="5"/>
      <c r="E118" s="5"/>
      <c r="F118" s="30">
        <f>SUM(F113:F117)</f>
        <v>-1147</v>
      </c>
      <c r="G118" s="30">
        <f>SUM(G113:G117)</f>
        <v>-6488</v>
      </c>
      <c r="H118" s="30">
        <f>SUM(H113:H117)</f>
        <v>-4283</v>
      </c>
      <c r="I118" s="30">
        <f>SUM(I113:I117)</f>
        <v>-2614</v>
      </c>
      <c r="J118" s="30">
        <f>SUM(J113:J117)</f>
        <v>-10764</v>
      </c>
      <c r="K118" s="31">
        <f t="shared" ref="K118:O118" si="20">SUM(K113:K117)</f>
        <v>0</v>
      </c>
      <c r="L118" s="31">
        <f t="shared" si="20"/>
        <v>0</v>
      </c>
      <c r="M118" s="31">
        <f t="shared" si="20"/>
        <v>0</v>
      </c>
      <c r="N118" s="31">
        <f t="shared" si="20"/>
        <v>0</v>
      </c>
      <c r="O118" s="31">
        <f t="shared" si="20"/>
        <v>0</v>
      </c>
    </row>
    <row r="119" spans="2:15" hidden="1" outlineLevel="1">
      <c r="F119" s="28"/>
      <c r="G119" s="28"/>
      <c r="H119" s="28"/>
      <c r="I119" s="28"/>
      <c r="J119" s="28"/>
      <c r="K119" s="8"/>
      <c r="L119" s="8"/>
      <c r="M119" s="8"/>
      <c r="N119" s="8"/>
      <c r="O119" s="8"/>
    </row>
    <row r="120" spans="2:15" hidden="1" outlineLevel="1">
      <c r="B120" t="s">
        <v>77</v>
      </c>
      <c r="F120" s="32">
        <v>70</v>
      </c>
      <c r="G120" s="32">
        <v>46</v>
      </c>
      <c r="H120" s="32">
        <v>-249</v>
      </c>
      <c r="I120" s="32">
        <v>15</v>
      </c>
      <c r="J120" s="32">
        <v>40</v>
      </c>
      <c r="K120" s="8"/>
      <c r="L120" s="8"/>
      <c r="M120" s="8"/>
      <c r="N120" s="8"/>
      <c r="O120" s="8"/>
    </row>
    <row r="121" spans="2:15" hidden="1" outlineLevel="1">
      <c r="B121" s="5" t="s">
        <v>78</v>
      </c>
      <c r="C121" s="5"/>
      <c r="D121" s="5"/>
      <c r="E121" s="5"/>
      <c r="F121" s="30">
        <f t="shared" ref="F121:K121" si="21">F105+F110+F118+F120</f>
        <v>3893</v>
      </c>
      <c r="G121" s="30">
        <f t="shared" si="21"/>
        <v>-1019</v>
      </c>
      <c r="H121" s="30">
        <f t="shared" si="21"/>
        <v>-1055</v>
      </c>
      <c r="I121" s="30">
        <f t="shared" si="21"/>
        <v>3497</v>
      </c>
      <c r="J121" s="30">
        <f t="shared" si="21"/>
        <v>-3794</v>
      </c>
      <c r="K121" s="31">
        <f t="shared" si="21"/>
        <v>19054.034564052439</v>
      </c>
      <c r="L121" s="31">
        <f t="shared" ref="L121:O121" si="22">L105+L110+L118+L120</f>
        <v>20856.394549773286</v>
      </c>
      <c r="M121" s="31">
        <f t="shared" si="22"/>
        <v>22725.719547962784</v>
      </c>
      <c r="N121" s="31">
        <f t="shared" si="22"/>
        <v>24784.751976228868</v>
      </c>
      <c r="O121" s="31">
        <f t="shared" si="22"/>
        <v>27058.157544426733</v>
      </c>
    </row>
    <row r="122" spans="2:15" hidden="1" outlineLevel="1">
      <c r="B122" t="s">
        <v>79</v>
      </c>
      <c r="F122" s="32">
        <v>8384</v>
      </c>
      <c r="G122" s="28">
        <f>F123</f>
        <v>12277</v>
      </c>
      <c r="H122" s="28">
        <f t="shared" ref="H122:O122" si="23">G123</f>
        <v>11258</v>
      </c>
      <c r="I122" s="28">
        <f t="shared" si="23"/>
        <v>10203</v>
      </c>
      <c r="J122" s="28">
        <f t="shared" si="23"/>
        <v>13700</v>
      </c>
      <c r="K122" s="29">
        <f t="shared" si="23"/>
        <v>9906</v>
      </c>
      <c r="L122" s="29">
        <f t="shared" si="23"/>
        <v>28960.034564052439</v>
      </c>
      <c r="M122" s="29">
        <f t="shared" si="23"/>
        <v>49816.429113825725</v>
      </c>
      <c r="N122" s="29">
        <f t="shared" si="23"/>
        <v>72542.148661788509</v>
      </c>
      <c r="O122" s="29">
        <f t="shared" si="23"/>
        <v>97326.900638017381</v>
      </c>
    </row>
    <row r="123" spans="2:15" ht="15" hidden="1" outlineLevel="1" thickBot="1">
      <c r="B123" s="33" t="s">
        <v>80</v>
      </c>
      <c r="C123" s="33"/>
      <c r="D123" s="33"/>
      <c r="E123" s="33"/>
      <c r="F123" s="100">
        <f t="shared" ref="F123:O123" si="24">F122+F121</f>
        <v>12277</v>
      </c>
      <c r="G123" s="100">
        <f t="shared" si="24"/>
        <v>11258</v>
      </c>
      <c r="H123" s="100">
        <f t="shared" si="24"/>
        <v>10203</v>
      </c>
      <c r="I123" s="100">
        <f t="shared" si="24"/>
        <v>13700</v>
      </c>
      <c r="J123" s="100">
        <f t="shared" si="24"/>
        <v>9906</v>
      </c>
      <c r="K123" s="101">
        <f t="shared" si="24"/>
        <v>28960.034564052439</v>
      </c>
      <c r="L123" s="101">
        <f t="shared" si="24"/>
        <v>49816.429113825725</v>
      </c>
      <c r="M123" s="101">
        <f t="shared" si="24"/>
        <v>72542.148661788509</v>
      </c>
      <c r="N123" s="101">
        <f t="shared" si="24"/>
        <v>97326.900638017381</v>
      </c>
      <c r="O123" s="101">
        <f t="shared" si="24"/>
        <v>124385.05818244412</v>
      </c>
    </row>
    <row r="124" spans="2:15" ht="15" hidden="1" outlineLevel="1" thickTop="1">
      <c r="F124" s="28"/>
      <c r="G124" s="28"/>
      <c r="H124" s="28"/>
      <c r="I124" s="28"/>
      <c r="J124" s="28"/>
      <c r="K124" s="8"/>
      <c r="L124" s="8"/>
      <c r="M124" s="8"/>
      <c r="N124" s="8"/>
      <c r="O124" s="8"/>
    </row>
    <row r="125" spans="2:15" hidden="1" outlineLevel="1">
      <c r="B125" t="s">
        <v>81</v>
      </c>
      <c r="F125" s="28"/>
      <c r="G125" s="28"/>
      <c r="H125" s="28"/>
      <c r="I125" s="28"/>
      <c r="J125" s="28"/>
      <c r="K125" s="8"/>
      <c r="L125" s="8"/>
      <c r="M125" s="8"/>
      <c r="N125" s="8"/>
      <c r="O125" s="8"/>
    </row>
    <row r="126" spans="2:15" hidden="1" outlineLevel="1">
      <c r="B126" t="s">
        <v>82</v>
      </c>
      <c r="F126" s="28">
        <v>124</v>
      </c>
      <c r="G126" s="28">
        <v>149</v>
      </c>
      <c r="H126" s="28">
        <v>145</v>
      </c>
      <c r="I126" s="28">
        <v>125</v>
      </c>
      <c r="J126" s="28">
        <v>129</v>
      </c>
      <c r="K126" s="8"/>
      <c r="L126" s="8"/>
      <c r="M126" s="8"/>
      <c r="N126" s="8"/>
      <c r="O126" s="8"/>
    </row>
    <row r="127" spans="2:15" hidden="1" outlineLevel="1">
      <c r="B127" t="s">
        <v>83</v>
      </c>
      <c r="F127" s="28">
        <v>1052</v>
      </c>
      <c r="G127" s="28">
        <v>1527</v>
      </c>
      <c r="H127" s="28">
        <v>1940</v>
      </c>
      <c r="I127" s="28">
        <v>2234</v>
      </c>
      <c r="J127" s="28">
        <v>2319</v>
      </c>
      <c r="K127" s="8"/>
      <c r="L127" s="8"/>
      <c r="M127" s="8"/>
      <c r="N127" s="8"/>
      <c r="O127" s="8"/>
    </row>
    <row r="128" spans="2:15" hidden="1" outlineLevel="1"/>
    <row r="129" spans="1:17" hidden="1" outlineLevel="1"/>
    <row r="130" spans="1:17" hidden="1" outlineLevel="1"/>
    <row r="131" spans="1:17" hidden="1" outlineLevel="1"/>
    <row r="132" spans="1:17" hidden="1" outlineLevel="1"/>
    <row r="133" spans="1:17" hidden="1" outlineLevel="1"/>
    <row r="134" spans="1:17" collapsed="1"/>
    <row r="135" spans="1:17">
      <c r="A135" s="115" t="s">
        <v>173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</row>
    <row r="136" spans="1:17" hidden="1" outlineLevel="1">
      <c r="F136" s="211" t="str">
        <f>IF(F151=F175,"CHECK", "ERROR")</f>
        <v>CHECK</v>
      </c>
      <c r="G136" s="211" t="str">
        <f>IF(G151=G175,"CHECK", "ERROR")</f>
        <v>CHECK</v>
      </c>
      <c r="H136" s="211" t="str">
        <f>IF(H151=H175,"CHECK", "ERROR")</f>
        <v>CHECK</v>
      </c>
      <c r="I136" s="211" t="str">
        <f>IF(I151=I175,"CHECK", "ERROR")</f>
        <v>CHECK</v>
      </c>
      <c r="J136" s="211" t="str">
        <f>IF(J151=J175,"CHECK", "ERROR")</f>
        <v>CHECK</v>
      </c>
      <c r="K136" s="211" t="str">
        <f>IF(K151=K175,"CHECK", "ERROR")</f>
        <v>ERROR</v>
      </c>
      <c r="L136" s="211" t="str">
        <f>IF(L151=L175,"CHECK", "ERROR")</f>
        <v>ERROR</v>
      </c>
      <c r="M136" s="211" t="str">
        <f>IF(M151=M175,"CHECK", "ERROR")</f>
        <v>ERROR</v>
      </c>
      <c r="N136" s="211" t="str">
        <f>IF(N151=N175,"CHECK", "ERROR")</f>
        <v>ERROR</v>
      </c>
      <c r="O136" s="211" t="str">
        <f>IF(O151=O175,"CHECK", "ERROR")</f>
        <v>ERROR</v>
      </c>
    </row>
    <row r="137" spans="1:17" hidden="1" outlineLevel="1"/>
    <row r="138" spans="1:17" hidden="1" outlineLevel="1">
      <c r="A138" s="2" t="s">
        <v>174</v>
      </c>
      <c r="B138" s="3"/>
      <c r="C138" s="3"/>
      <c r="D138" s="3"/>
      <c r="E138" s="3"/>
      <c r="F138" s="4">
        <f>G138-1</f>
        <v>2020</v>
      </c>
      <c r="G138" s="4">
        <f>H138-1</f>
        <v>2021</v>
      </c>
      <c r="H138" s="4">
        <f>I138-1</f>
        <v>2022</v>
      </c>
      <c r="I138" s="4">
        <f>J138-1</f>
        <v>2023</v>
      </c>
      <c r="J138" s="4">
        <f>K138-1</f>
        <v>2024</v>
      </c>
      <c r="K138" s="7">
        <f>K$8</f>
        <v>2025</v>
      </c>
      <c r="L138" s="7">
        <f>L$8</f>
        <v>2026</v>
      </c>
      <c r="M138" s="7">
        <f>M$8</f>
        <v>2027</v>
      </c>
      <c r="N138" s="7">
        <f>N$8</f>
        <v>2028</v>
      </c>
      <c r="O138" s="7">
        <f>O$8</f>
        <v>2029</v>
      </c>
    </row>
    <row r="139" spans="1:17" hidden="1" outlineLevel="1">
      <c r="B139" s="1" t="s">
        <v>175</v>
      </c>
      <c r="F139" s="28"/>
      <c r="G139" s="28"/>
      <c r="H139" s="28"/>
      <c r="I139" s="28"/>
      <c r="J139" s="28"/>
      <c r="K139" s="29"/>
      <c r="L139" s="29"/>
      <c r="M139" s="29"/>
      <c r="N139" s="29"/>
      <c r="O139" s="29"/>
    </row>
    <row r="140" spans="1:17" hidden="1" outlineLevel="1">
      <c r="C140" t="s">
        <v>176</v>
      </c>
      <c r="F140" s="32">
        <v>12277</v>
      </c>
      <c r="G140" s="32">
        <v>11258</v>
      </c>
      <c r="H140" s="32">
        <v>10203</v>
      </c>
      <c r="I140" s="32">
        <v>13700</v>
      </c>
      <c r="J140" s="32">
        <v>9906</v>
      </c>
      <c r="K140" s="29">
        <f>K123</f>
        <v>28960.034564052439</v>
      </c>
      <c r="L140" s="29">
        <f t="shared" ref="L140:O140" si="25">L123</f>
        <v>49816.429113825725</v>
      </c>
      <c r="M140" s="29">
        <f t="shared" si="25"/>
        <v>72542.148661788509</v>
      </c>
      <c r="N140" s="29">
        <f t="shared" si="25"/>
        <v>97326.900638017381</v>
      </c>
      <c r="O140" s="29">
        <f t="shared" si="25"/>
        <v>124385.05818244412</v>
      </c>
    </row>
    <row r="141" spans="1:17" hidden="1" outlineLevel="1">
      <c r="C141" t="s">
        <v>177</v>
      </c>
      <c r="F141" s="32">
        <v>1028</v>
      </c>
      <c r="G141" s="32">
        <v>917</v>
      </c>
      <c r="H141" s="32">
        <v>846</v>
      </c>
      <c r="I141" s="32">
        <v>1534</v>
      </c>
      <c r="J141" s="32">
        <v>1238</v>
      </c>
      <c r="K141" s="29"/>
      <c r="L141" s="29"/>
      <c r="M141" s="29"/>
      <c r="N141" s="29"/>
      <c r="O141" s="29"/>
      <c r="Q141" s="157">
        <f>O145/K145-1</f>
        <v>1.9398247887029587</v>
      </c>
    </row>
    <row r="142" spans="1:17" hidden="1" outlineLevel="1">
      <c r="C142" t="s">
        <v>129</v>
      </c>
      <c r="F142" s="32">
        <v>1550</v>
      </c>
      <c r="G142" s="32">
        <v>1803</v>
      </c>
      <c r="H142" s="32">
        <v>2241</v>
      </c>
      <c r="I142" s="32">
        <v>2285</v>
      </c>
      <c r="J142" s="32">
        <v>2721</v>
      </c>
      <c r="K142" s="29">
        <f>K317</f>
        <v>2925.6898741668438</v>
      </c>
      <c r="L142" s="29">
        <f t="shared" ref="L142:O142" si="26">L317</f>
        <v>3148.8756365197028</v>
      </c>
      <c r="M142" s="29">
        <f t="shared" si="26"/>
        <v>3397.8242849776389</v>
      </c>
      <c r="N142" s="29">
        <f t="shared" si="26"/>
        <v>3674.0141883864658</v>
      </c>
      <c r="O142" s="29">
        <f t="shared" si="26"/>
        <v>3980.9843271692303</v>
      </c>
      <c r="Q142" s="160">
        <f>J145/F145-1</f>
        <v>0.21785206258890466</v>
      </c>
    </row>
    <row r="143" spans="1:17" hidden="1" outlineLevel="1">
      <c r="C143" t="s">
        <v>178</v>
      </c>
      <c r="F143" s="32">
        <v>12242</v>
      </c>
      <c r="G143" s="32">
        <v>14215</v>
      </c>
      <c r="H143" s="32">
        <v>17907</v>
      </c>
      <c r="I143" s="32">
        <v>16651</v>
      </c>
      <c r="J143" s="32">
        <v>18647</v>
      </c>
      <c r="K143" s="29">
        <f>K318</f>
        <v>20063.898165538012</v>
      </c>
      <c r="L143" s="29">
        <f t="shared" ref="L143:O143" si="27">L318</f>
        <v>21594.469278828317</v>
      </c>
      <c r="M143" s="29">
        <f t="shared" si="27"/>
        <v>23301.718011926096</v>
      </c>
      <c r="N143" s="29">
        <f t="shared" si="27"/>
        <v>25195.782774317406</v>
      </c>
      <c r="O143" s="29">
        <f t="shared" si="27"/>
        <v>27300.933309506097</v>
      </c>
    </row>
    <row r="144" spans="1:17" hidden="1" outlineLevel="1">
      <c r="C144" t="s">
        <v>310</v>
      </c>
      <c r="F144" s="32">
        <v>1023</v>
      </c>
      <c r="G144" s="32">
        <v>1312</v>
      </c>
      <c r="H144" s="32">
        <v>1499</v>
      </c>
      <c r="I144" s="32">
        <v>1709</v>
      </c>
      <c r="J144" s="32">
        <v>1734</v>
      </c>
      <c r="K144" s="29">
        <f>K319</f>
        <v>1864.4418382231925</v>
      </c>
      <c r="L144" s="29">
        <f t="shared" ref="L144:O144" si="28">L319</f>
        <v>2006.6704717843309</v>
      </c>
      <c r="M144" s="29">
        <f t="shared" si="28"/>
        <v>2165.3169092801268</v>
      </c>
      <c r="N144" s="29">
        <f t="shared" si="28"/>
        <v>2341.3232644844288</v>
      </c>
      <c r="O144" s="29">
        <f t="shared" si="28"/>
        <v>2536.9448082732247</v>
      </c>
      <c r="Q144" s="160">
        <f>J143/F143-1</f>
        <v>0.52319882372161408</v>
      </c>
    </row>
    <row r="145" spans="2:17" hidden="1" outlineLevel="1">
      <c r="B145" s="5" t="s">
        <v>179</v>
      </c>
      <c r="C145" s="5"/>
      <c r="D145" s="5"/>
      <c r="E145" s="5"/>
      <c r="F145" s="30">
        <f>SUM(F140:F144)</f>
        <v>28120</v>
      </c>
      <c r="G145" s="30">
        <f>SUM(G140:G144)</f>
        <v>29505</v>
      </c>
      <c r="H145" s="30">
        <f>SUM(H140:H144)</f>
        <v>32696</v>
      </c>
      <c r="I145" s="30">
        <f>SUM(I140:I144)</f>
        <v>35879</v>
      </c>
      <c r="J145" s="30">
        <f>SUM(J140:J144)</f>
        <v>34246</v>
      </c>
      <c r="K145" s="31">
        <f t="shared" ref="K145:O145" si="29">SUM(K140:K144)</f>
        <v>53814.064441980488</v>
      </c>
      <c r="L145" s="31">
        <f t="shared" si="29"/>
        <v>76566.444500958067</v>
      </c>
      <c r="M145" s="31">
        <f t="shared" si="29"/>
        <v>101407.00786797238</v>
      </c>
      <c r="N145" s="31">
        <f t="shared" si="29"/>
        <v>128538.02086520569</v>
      </c>
      <c r="O145" s="31">
        <f t="shared" si="29"/>
        <v>158203.92062739268</v>
      </c>
      <c r="Q145" s="213">
        <f>O143/K143-1</f>
        <v>0.36069935584095525</v>
      </c>
    </row>
    <row r="146" spans="2:17" hidden="1" outlineLevel="1">
      <c r="F146" s="28"/>
      <c r="G146" s="28"/>
      <c r="H146" s="28"/>
      <c r="I146" s="28"/>
      <c r="J146" s="28"/>
      <c r="K146" s="29"/>
      <c r="L146" s="29"/>
      <c r="M146" s="29"/>
      <c r="N146" s="29"/>
      <c r="O146" s="29"/>
    </row>
    <row r="147" spans="2:17" hidden="1" outlineLevel="1">
      <c r="B147" s="1" t="s">
        <v>180</v>
      </c>
      <c r="F147" s="28"/>
      <c r="G147" s="28"/>
      <c r="H147" s="28"/>
      <c r="I147" s="28"/>
      <c r="J147" s="28"/>
      <c r="K147" s="29"/>
      <c r="L147" s="29"/>
      <c r="M147" s="29"/>
      <c r="N147" s="29"/>
      <c r="O147" s="29"/>
    </row>
    <row r="148" spans="2:17" hidden="1" outlineLevel="1">
      <c r="C148" t="s">
        <v>181</v>
      </c>
      <c r="F148" s="32">
        <v>21807</v>
      </c>
      <c r="G148" s="32">
        <v>23492</v>
      </c>
      <c r="H148" s="32">
        <v>24646</v>
      </c>
      <c r="I148" s="32">
        <v>26684</v>
      </c>
      <c r="J148" s="32">
        <v>29032</v>
      </c>
      <c r="K148" s="29">
        <f>K376</f>
        <v>31427.096486439161</v>
      </c>
      <c r="L148" s="29">
        <f t="shared" ref="L148:O148" si="30">L376</f>
        <v>33726.374754644348</v>
      </c>
      <c r="M148" s="29">
        <f t="shared" si="30"/>
        <v>35926.972791024753</v>
      </c>
      <c r="N148" s="29">
        <f t="shared" si="30"/>
        <v>38025.971341717741</v>
      </c>
      <c r="O148" s="29">
        <f t="shared" si="30"/>
        <v>40020.392767783429</v>
      </c>
    </row>
    <row r="149" spans="2:17" hidden="1" outlineLevel="1">
      <c r="C149" t="s">
        <v>182</v>
      </c>
      <c r="F149" s="32">
        <v>2788</v>
      </c>
      <c r="G149" s="32">
        <v>2890</v>
      </c>
      <c r="H149" s="32">
        <v>2774</v>
      </c>
      <c r="I149" s="32">
        <v>2713</v>
      </c>
      <c r="J149" s="32">
        <v>2617</v>
      </c>
      <c r="K149" s="29">
        <f>AVERAGE(F149:J149)</f>
        <v>2756.4</v>
      </c>
      <c r="L149" s="29">
        <f t="shared" ref="L149:O149" si="31">K149</f>
        <v>2756.4</v>
      </c>
      <c r="M149" s="29">
        <f t="shared" si="31"/>
        <v>2756.4</v>
      </c>
      <c r="N149" s="29">
        <f t="shared" si="31"/>
        <v>2756.4</v>
      </c>
      <c r="O149" s="29">
        <f t="shared" si="31"/>
        <v>2756.4</v>
      </c>
    </row>
    <row r="150" spans="2:17" hidden="1" outlineLevel="1">
      <c r="C150" t="s">
        <v>135</v>
      </c>
      <c r="F150" s="32">
        <v>2841</v>
      </c>
      <c r="G150" s="32">
        <v>3381</v>
      </c>
      <c r="H150" s="32">
        <v>4050</v>
      </c>
      <c r="I150" s="32">
        <v>3718</v>
      </c>
      <c r="J150" s="32">
        <v>3936</v>
      </c>
      <c r="K150" s="29"/>
      <c r="L150" s="29"/>
      <c r="M150" s="29"/>
      <c r="N150" s="29"/>
      <c r="O150" s="29"/>
    </row>
    <row r="151" spans="2:17" ht="15" hidden="1" outlineLevel="1" thickBot="1">
      <c r="B151" s="102" t="s">
        <v>183</v>
      </c>
      <c r="C151" s="33"/>
      <c r="D151" s="33"/>
      <c r="E151" s="33"/>
      <c r="F151" s="100">
        <f>SUM(F148:F150,F145)</f>
        <v>55556</v>
      </c>
      <c r="G151" s="100">
        <f>SUM(G148:G150,G145)</f>
        <v>59268</v>
      </c>
      <c r="H151" s="100">
        <f>SUM(H148:H150,H145)</f>
        <v>64166</v>
      </c>
      <c r="I151" s="100">
        <f>SUM(I148:I150,I145)</f>
        <v>68994</v>
      </c>
      <c r="J151" s="100">
        <f>SUM(J148:J150,J145)</f>
        <v>69831</v>
      </c>
      <c r="K151" s="101">
        <f>SUM(K148:K150,K145)</f>
        <v>87997.56092841964</v>
      </c>
      <c r="L151" s="101">
        <f>SUM(L148:L150,L145)</f>
        <v>113049.21925560242</v>
      </c>
      <c r="M151" s="101">
        <f>SUM(M148:M150,M145)</f>
        <v>140090.38065899714</v>
      </c>
      <c r="N151" s="101">
        <f>SUM(N148:N150,N145)</f>
        <v>169320.39220692342</v>
      </c>
      <c r="O151" s="101">
        <f>SUM(O148:O150,O145)</f>
        <v>200980.71339517611</v>
      </c>
    </row>
    <row r="152" spans="2:17" ht="15" hidden="1" outlineLevel="1" thickTop="1">
      <c r="F152" s="28"/>
      <c r="G152" s="28"/>
      <c r="H152" s="28"/>
      <c r="I152" s="28"/>
      <c r="J152" s="28"/>
      <c r="K152" s="29"/>
      <c r="L152" s="29"/>
      <c r="M152" s="29"/>
      <c r="N152" s="29"/>
      <c r="O152" s="29"/>
    </row>
    <row r="153" spans="2:17" hidden="1" outlineLevel="1">
      <c r="B153" s="1" t="s">
        <v>184</v>
      </c>
      <c r="F153" s="28"/>
      <c r="G153" s="28"/>
      <c r="H153" s="28"/>
      <c r="I153" s="28"/>
      <c r="J153" s="28"/>
      <c r="K153" s="29"/>
      <c r="L153" s="29"/>
      <c r="M153" s="29"/>
      <c r="N153" s="29"/>
      <c r="O153" s="29"/>
    </row>
    <row r="154" spans="2:17" hidden="1" outlineLevel="1">
      <c r="C154" t="s">
        <v>62</v>
      </c>
      <c r="F154" s="32">
        <v>14172</v>
      </c>
      <c r="G154" s="32">
        <v>16278</v>
      </c>
      <c r="H154" s="32">
        <v>17848</v>
      </c>
      <c r="I154" s="32">
        <v>17483</v>
      </c>
      <c r="J154" s="32">
        <v>19421</v>
      </c>
      <c r="K154" s="29">
        <f>K321</f>
        <v>20896.710799212407</v>
      </c>
      <c r="L154" s="29">
        <f t="shared" ref="L154:O154" si="32">L321</f>
        <v>22490.812884867526</v>
      </c>
      <c r="M154" s="29">
        <f t="shared" si="32"/>
        <v>24268.926128042938</v>
      </c>
      <c r="N154" s="29">
        <f t="shared" si="32"/>
        <v>26241.609763501812</v>
      </c>
      <c r="O154" s="29">
        <f t="shared" si="32"/>
        <v>28434.140923683051</v>
      </c>
    </row>
    <row r="155" spans="2:17" hidden="1" outlineLevel="1">
      <c r="C155" t="s">
        <v>185</v>
      </c>
      <c r="F155" s="32">
        <v>3605</v>
      </c>
      <c r="G155" s="32">
        <v>4090</v>
      </c>
      <c r="H155" s="32">
        <v>4381</v>
      </c>
      <c r="I155" s="32">
        <v>4278</v>
      </c>
      <c r="J155" s="32">
        <v>4794</v>
      </c>
      <c r="K155" s="29">
        <f>K304</f>
        <v>5188.6909559295627</v>
      </c>
      <c r="L155" s="29">
        <f t="shared" ref="L155:O155" si="33">L304</f>
        <v>5486.5437099844812</v>
      </c>
      <c r="M155" s="29">
        <f t="shared" si="33"/>
        <v>5814.5965256484733</v>
      </c>
      <c r="N155" s="29">
        <f t="shared" si="33"/>
        <v>6172.9287460185678</v>
      </c>
      <c r="O155" s="29">
        <f t="shared" si="33"/>
        <v>6564.833785350057</v>
      </c>
    </row>
    <row r="156" spans="2:17" hidden="1" outlineLevel="1">
      <c r="C156" t="s">
        <v>186</v>
      </c>
      <c r="F156" s="32">
        <v>1393</v>
      </c>
      <c r="G156" s="32">
        <v>1671</v>
      </c>
      <c r="H156" s="32">
        <v>1911</v>
      </c>
      <c r="I156" s="32">
        <v>2150</v>
      </c>
      <c r="J156" s="32">
        <v>2435</v>
      </c>
      <c r="K156" s="29">
        <f>K276</f>
        <v>2778.1493779941638</v>
      </c>
      <c r="L156" s="29">
        <f t="shared" ref="L156:O156" si="34">L276</f>
        <v>3153.9523052301415</v>
      </c>
      <c r="M156" s="29">
        <f t="shared" si="34"/>
        <v>3566.4548327032235</v>
      </c>
      <c r="N156" s="29">
        <f t="shared" si="34"/>
        <v>4020.0445687305178</v>
      </c>
      <c r="O156" s="29">
        <f t="shared" si="34"/>
        <v>4519.7214969497145</v>
      </c>
    </row>
    <row r="157" spans="2:17" hidden="1" outlineLevel="1">
      <c r="C157" t="s">
        <v>187</v>
      </c>
      <c r="F157" s="32">
        <v>1851</v>
      </c>
      <c r="G157" s="32">
        <v>2042</v>
      </c>
      <c r="H157" s="32">
        <v>2174</v>
      </c>
      <c r="I157" s="32">
        <v>2337</v>
      </c>
      <c r="J157" s="32">
        <v>2501</v>
      </c>
      <c r="K157" s="29">
        <f>K234</f>
        <v>2798.6149845375976</v>
      </c>
      <c r="L157" s="29">
        <f t="shared" ref="L157:O157" si="35">L234</f>
        <v>3161.1957867254223</v>
      </c>
      <c r="M157" s="29">
        <f t="shared" si="35"/>
        <v>3427.4813457290124</v>
      </c>
      <c r="N157" s="29">
        <f t="shared" si="35"/>
        <v>3717.1511328406177</v>
      </c>
      <c r="O157" s="29">
        <f t="shared" si="35"/>
        <v>4029.6636507588128</v>
      </c>
    </row>
    <row r="158" spans="2:17" hidden="1" outlineLevel="1">
      <c r="C158" t="s">
        <v>188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29"/>
      <c r="L158" s="29"/>
      <c r="M158" s="29"/>
      <c r="N158" s="29"/>
      <c r="O158" s="29"/>
    </row>
    <row r="159" spans="2:17" hidden="1" outlineLevel="1">
      <c r="C159" t="s">
        <v>311</v>
      </c>
      <c r="F159" s="32">
        <v>3728</v>
      </c>
      <c r="G159" s="32">
        <v>4561</v>
      </c>
      <c r="H159" s="32">
        <v>5611</v>
      </c>
      <c r="I159" s="32">
        <v>6254</v>
      </c>
      <c r="J159" s="32">
        <v>6210</v>
      </c>
      <c r="K159" s="29">
        <f>K325</f>
        <v>6677.1532960588384</v>
      </c>
      <c r="L159" s="29">
        <f t="shared" ref="L159:O159" si="36">L325</f>
        <v>7186.5188176359252</v>
      </c>
      <c r="M159" s="29">
        <f t="shared" si="36"/>
        <v>7754.6816647229462</v>
      </c>
      <c r="N159" s="29">
        <f t="shared" si="36"/>
        <v>8385.0158433957931</v>
      </c>
      <c r="O159" s="29">
        <f t="shared" si="36"/>
        <v>9085.5981887985745</v>
      </c>
    </row>
    <row r="160" spans="2:17" hidden="1" outlineLevel="1">
      <c r="B160" s="5" t="s">
        <v>189</v>
      </c>
      <c r="C160" s="5"/>
      <c r="D160" s="5"/>
      <c r="E160" s="5"/>
      <c r="F160" s="30">
        <f>SUM(F154:F159)</f>
        <v>24749</v>
      </c>
      <c r="G160" s="30">
        <f>SUM(G154:G159)</f>
        <v>28642</v>
      </c>
      <c r="H160" s="30">
        <f>SUM(H154:H159)</f>
        <v>31925</v>
      </c>
      <c r="I160" s="30">
        <f>SUM(I154:I159)</f>
        <v>32502</v>
      </c>
      <c r="J160" s="30">
        <f>SUM(J154:J159)</f>
        <v>35361</v>
      </c>
      <c r="K160" s="31">
        <f t="shared" ref="K160:O160" si="37">SUM(K154:K159)</f>
        <v>38339.31941373257</v>
      </c>
      <c r="L160" s="31">
        <f t="shared" si="37"/>
        <v>41479.023504443496</v>
      </c>
      <c r="M160" s="31">
        <f t="shared" si="37"/>
        <v>44832.140496846594</v>
      </c>
      <c r="N160" s="31">
        <f t="shared" si="37"/>
        <v>48536.750054487311</v>
      </c>
      <c r="O160" s="31">
        <f t="shared" si="37"/>
        <v>52633.95804554021</v>
      </c>
    </row>
    <row r="161" spans="2:15" hidden="1" outlineLevel="1">
      <c r="F161" s="28"/>
      <c r="G161" s="28"/>
      <c r="H161" s="28"/>
      <c r="I161" s="28"/>
      <c r="J161" s="28"/>
      <c r="K161" s="29"/>
      <c r="L161" s="29"/>
      <c r="M161" s="29"/>
      <c r="N161" s="29"/>
      <c r="O161" s="29"/>
    </row>
    <row r="162" spans="2:15" hidden="1" outlineLevel="1">
      <c r="B162" s="1" t="s">
        <v>190</v>
      </c>
      <c r="F162" s="28"/>
      <c r="G162" s="28"/>
      <c r="H162" s="28"/>
      <c r="I162" s="28"/>
      <c r="J162" s="28"/>
      <c r="K162" s="29"/>
      <c r="L162" s="29"/>
      <c r="M162" s="29"/>
      <c r="N162" s="29"/>
      <c r="O162" s="29"/>
    </row>
    <row r="163" spans="2:15" hidden="1" outlineLevel="1">
      <c r="C163" t="s">
        <v>191</v>
      </c>
      <c r="F163" s="32">
        <v>7609</v>
      </c>
      <c r="G163" s="32">
        <v>7491</v>
      </c>
      <c r="H163" s="32">
        <v>6557</v>
      </c>
      <c r="I163" s="32">
        <v>6458</v>
      </c>
      <c r="J163" s="32">
        <v>5897</v>
      </c>
      <c r="K163" s="29"/>
      <c r="L163" s="29"/>
      <c r="M163" s="29"/>
      <c r="N163" s="29"/>
      <c r="O163" s="29"/>
    </row>
    <row r="164" spans="2:15" hidden="1" outlineLevel="1">
      <c r="C164" t="s">
        <v>192</v>
      </c>
      <c r="F164" s="32">
        <v>2558</v>
      </c>
      <c r="G164" s="32">
        <v>2642</v>
      </c>
      <c r="H164" s="32">
        <v>2482</v>
      </c>
      <c r="I164" s="32">
        <v>2426</v>
      </c>
      <c r="J164" s="32">
        <v>2375</v>
      </c>
      <c r="K164" s="29">
        <f>AVERAGE(F164:J164)</f>
        <v>2496.6</v>
      </c>
      <c r="L164" s="29">
        <f>K164</f>
        <v>2496.6</v>
      </c>
      <c r="M164" s="29">
        <f t="shared" ref="M164:O164" si="38">L164</f>
        <v>2496.6</v>
      </c>
      <c r="N164" s="29">
        <f t="shared" si="38"/>
        <v>2496.6</v>
      </c>
      <c r="O164" s="29">
        <f t="shared" si="38"/>
        <v>2496.6</v>
      </c>
    </row>
    <row r="165" spans="2:15" hidden="1" outlineLevel="1">
      <c r="C165" t="s">
        <v>148</v>
      </c>
      <c r="F165" s="32">
        <v>1935</v>
      </c>
      <c r="G165" s="32">
        <v>2415</v>
      </c>
      <c r="H165" s="32">
        <v>2555</v>
      </c>
      <c r="I165" s="32">
        <v>2550</v>
      </c>
      <c r="J165" s="32">
        <v>2576</v>
      </c>
      <c r="K165" s="29"/>
      <c r="L165" s="29"/>
      <c r="M165" s="29"/>
      <c r="N165" s="29"/>
      <c r="O165" s="29"/>
    </row>
    <row r="166" spans="2:15" hidden="1" outlineLevel="1">
      <c r="B166" s="5" t="s">
        <v>193</v>
      </c>
      <c r="C166" s="5"/>
      <c r="D166" s="5"/>
      <c r="E166" s="5"/>
      <c r="F166" s="30">
        <f>SUM(F163:F165,F160)</f>
        <v>36851</v>
      </c>
      <c r="G166" s="30">
        <f>SUM(G163:G165,G160)</f>
        <v>41190</v>
      </c>
      <c r="H166" s="30">
        <f>SUM(H163:H165,H160)</f>
        <v>43519</v>
      </c>
      <c r="I166" s="30">
        <f>SUM(I163:I165,I160)</f>
        <v>43936</v>
      </c>
      <c r="J166" s="30">
        <f>SUM(J163:J165,J160)</f>
        <v>46209</v>
      </c>
      <c r="K166" s="31">
        <f>SUM(K163:K165,K160)</f>
        <v>40835.919413732569</v>
      </c>
      <c r="L166" s="31">
        <f>SUM(L163:L165,L160)</f>
        <v>43975.623504443494</v>
      </c>
      <c r="M166" s="31">
        <f>SUM(M163:M165,M160)</f>
        <v>47328.740496846593</v>
      </c>
      <c r="N166" s="31">
        <f>SUM(N163:N165,N160)</f>
        <v>51033.35005448731</v>
      </c>
      <c r="O166" s="31">
        <f>SUM(O163:O165,O160)</f>
        <v>55130.558045540209</v>
      </c>
    </row>
    <row r="167" spans="2:15" hidden="1" outlineLevel="1">
      <c r="F167" s="28"/>
      <c r="G167" s="28"/>
      <c r="H167" s="28"/>
      <c r="I167" s="28"/>
      <c r="J167" s="28"/>
      <c r="K167" s="29"/>
      <c r="L167" s="29"/>
      <c r="M167" s="29"/>
      <c r="N167" s="29"/>
      <c r="O167" s="29"/>
    </row>
    <row r="168" spans="2:15" hidden="1" outlineLevel="1">
      <c r="B168" s="1" t="s">
        <v>194</v>
      </c>
      <c r="F168" s="28"/>
      <c r="G168" s="28"/>
      <c r="H168" s="28"/>
      <c r="I168" s="28"/>
      <c r="J168" s="28"/>
      <c r="K168" s="29"/>
      <c r="L168" s="29"/>
      <c r="M168" s="29"/>
      <c r="N168" s="29"/>
      <c r="O168" s="29"/>
    </row>
    <row r="169" spans="2:15" hidden="1" outlineLevel="1">
      <c r="B169" s="1"/>
      <c r="C169" t="s">
        <v>195</v>
      </c>
      <c r="F169" s="32">
        <v>6702</v>
      </c>
      <c r="G169" s="32">
        <v>7035</v>
      </c>
      <c r="H169" s="32">
        <v>6886</v>
      </c>
      <c r="I169" s="32">
        <v>7342</v>
      </c>
      <c r="J169" s="32">
        <v>7831</v>
      </c>
      <c r="K169" s="29"/>
      <c r="L169" s="29"/>
      <c r="M169" s="29"/>
      <c r="N169" s="29"/>
      <c r="O169" s="29"/>
    </row>
    <row r="170" spans="2:15" hidden="1" outlineLevel="1">
      <c r="C170" t="s">
        <v>196</v>
      </c>
      <c r="F170" s="32">
        <v>-1297</v>
      </c>
      <c r="G170" s="32">
        <v>-1137</v>
      </c>
      <c r="H170" s="32">
        <v>-1829</v>
      </c>
      <c r="I170" s="32">
        <v>-1805</v>
      </c>
      <c r="J170" s="32">
        <v>-1828</v>
      </c>
      <c r="K170" s="29"/>
      <c r="L170" s="29"/>
      <c r="M170" s="29"/>
      <c r="N170" s="29"/>
      <c r="O170" s="29"/>
    </row>
    <row r="171" spans="2:15" hidden="1" outlineLevel="1">
      <c r="C171" t="s">
        <v>197</v>
      </c>
      <c r="F171" s="32">
        <v>12879</v>
      </c>
      <c r="G171" s="32">
        <v>11666</v>
      </c>
      <c r="H171" s="32">
        <v>15585</v>
      </c>
      <c r="I171" s="32">
        <v>19521</v>
      </c>
      <c r="J171" s="32">
        <v>17619</v>
      </c>
      <c r="K171" s="29">
        <f>J171+K77+K115</f>
        <v>27865.441514687082</v>
      </c>
      <c r="L171" s="29">
        <f>K171+L77+L115</f>
        <v>39608.827751158933</v>
      </c>
      <c r="M171" s="29">
        <f>L171+M77+M115</f>
        <v>52932.292802150536</v>
      </c>
      <c r="N171" s="29">
        <f>M171+N77+N115</f>
        <v>67893.183845236112</v>
      </c>
      <c r="O171" s="29">
        <f>N171+O77+O115</f>
        <v>84687.855876291884</v>
      </c>
    </row>
    <row r="172" spans="2:15" hidden="1" outlineLevel="1">
      <c r="B172" s="5" t="s">
        <v>198</v>
      </c>
      <c r="C172" s="5"/>
      <c r="D172" s="5"/>
      <c r="E172" s="5"/>
      <c r="F172" s="30">
        <f>SUM(F169:F171)</f>
        <v>18284</v>
      </c>
      <c r="G172" s="30">
        <f>SUM(G169:G171)</f>
        <v>17564</v>
      </c>
      <c r="H172" s="30">
        <f>SUM(H169:H171)</f>
        <v>20642</v>
      </c>
      <c r="I172" s="30">
        <f t="shared" ref="I172:O172" si="39">SUM(I169:I171)</f>
        <v>25058</v>
      </c>
      <c r="J172" s="30">
        <f t="shared" si="39"/>
        <v>23622</v>
      </c>
      <c r="K172" s="31">
        <f t="shared" si="39"/>
        <v>27865.441514687082</v>
      </c>
      <c r="L172" s="31">
        <f t="shared" si="39"/>
        <v>39608.827751158933</v>
      </c>
      <c r="M172" s="31">
        <f t="shared" si="39"/>
        <v>52932.292802150536</v>
      </c>
      <c r="N172" s="31">
        <f t="shared" si="39"/>
        <v>67893.183845236112</v>
      </c>
      <c r="O172" s="31">
        <f t="shared" si="39"/>
        <v>84687.855876291884</v>
      </c>
    </row>
    <row r="173" spans="2:15" hidden="1" outlineLevel="1">
      <c r="C173" t="s">
        <v>199</v>
      </c>
      <c r="F173" s="32">
        <v>421</v>
      </c>
      <c r="G173" s="32">
        <v>514</v>
      </c>
      <c r="H173" s="32">
        <v>5</v>
      </c>
      <c r="I173" s="32">
        <v>0</v>
      </c>
      <c r="J173" s="32">
        <v>0</v>
      </c>
      <c r="K173" s="29"/>
      <c r="L173" s="29"/>
      <c r="M173" s="29"/>
      <c r="N173" s="29"/>
      <c r="O173" s="29"/>
    </row>
    <row r="174" spans="2:15" hidden="1" outlineLevel="1">
      <c r="B174" s="5" t="s">
        <v>200</v>
      </c>
      <c r="C174" s="5"/>
      <c r="D174" s="5"/>
      <c r="E174" s="5"/>
      <c r="F174" s="30">
        <f>SUM(F172:F173)</f>
        <v>18705</v>
      </c>
      <c r="G174" s="30">
        <f t="shared" ref="G174:O174" si="40">SUM(G172:G173)</f>
        <v>18078</v>
      </c>
      <c r="H174" s="30">
        <f t="shared" si="40"/>
        <v>20647</v>
      </c>
      <c r="I174" s="30">
        <f t="shared" si="40"/>
        <v>25058</v>
      </c>
      <c r="J174" s="30">
        <f t="shared" si="40"/>
        <v>23622</v>
      </c>
      <c r="K174" s="31">
        <f t="shared" si="40"/>
        <v>27865.441514687082</v>
      </c>
      <c r="L174" s="31">
        <f t="shared" si="40"/>
        <v>39608.827751158933</v>
      </c>
      <c r="M174" s="31">
        <f t="shared" si="40"/>
        <v>52932.292802150536</v>
      </c>
      <c r="N174" s="31">
        <f t="shared" si="40"/>
        <v>67893.183845236112</v>
      </c>
      <c r="O174" s="31">
        <f t="shared" si="40"/>
        <v>84687.855876291884</v>
      </c>
    </row>
    <row r="175" spans="2:15" ht="15" hidden="1" outlineLevel="1" thickBot="1">
      <c r="B175" s="102" t="s">
        <v>201</v>
      </c>
      <c r="C175" s="33"/>
      <c r="D175" s="33"/>
      <c r="E175" s="33"/>
      <c r="F175" s="100">
        <f>SUM(F174,F166)</f>
        <v>55556</v>
      </c>
      <c r="G175" s="100">
        <f t="shared" ref="G175:O175" si="41">SUM(G174,G166)</f>
        <v>59268</v>
      </c>
      <c r="H175" s="100">
        <f t="shared" si="41"/>
        <v>64166</v>
      </c>
      <c r="I175" s="100">
        <f t="shared" si="41"/>
        <v>68994</v>
      </c>
      <c r="J175" s="100">
        <f t="shared" si="41"/>
        <v>69831</v>
      </c>
      <c r="K175" s="101">
        <f t="shared" si="41"/>
        <v>68701.360928419657</v>
      </c>
      <c r="L175" s="101">
        <f t="shared" si="41"/>
        <v>83584.451255602427</v>
      </c>
      <c r="M175" s="101">
        <f t="shared" si="41"/>
        <v>100261.03329899712</v>
      </c>
      <c r="N175" s="101">
        <f t="shared" si="41"/>
        <v>118926.53389972342</v>
      </c>
      <c r="O175" s="101">
        <f t="shared" si="41"/>
        <v>139818.41392183211</v>
      </c>
    </row>
    <row r="176" spans="2:15" ht="15" hidden="1" outlineLevel="1" thickTop="1"/>
    <row r="177" spans="1:15" hidden="1" outlineLevel="1"/>
    <row r="178" spans="1:15" hidden="1" outlineLevel="1"/>
    <row r="179" spans="1:15" hidden="1" outlineLevel="1"/>
    <row r="180" spans="1:15" hidden="1" outlineLevel="1"/>
    <row r="181" spans="1:15" hidden="1" outlineLevel="1"/>
    <row r="182" spans="1:15" hidden="1" outlineLevel="1"/>
    <row r="183" spans="1:15" hidden="1" outlineLevel="1"/>
    <row r="184" spans="1:15" hidden="1" outlineLevel="1"/>
    <row r="185" spans="1:15" hidden="1" outlineLevel="1"/>
    <row r="186" spans="1:15" collapsed="1"/>
    <row r="187" spans="1:15">
      <c r="A187" s="115" t="s">
        <v>202</v>
      </c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</row>
    <row r="188" spans="1:15" hidden="1" outlineLevel="1"/>
    <row r="189" spans="1:15" hidden="1" outlineLevel="1">
      <c r="A189" s="2" t="s">
        <v>278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idden="1" outlineLevel="1">
      <c r="B190" s="1" t="s">
        <v>203</v>
      </c>
    </row>
    <row r="191" spans="1:15" hidden="1" outlineLevel="1">
      <c r="B191" s="2" t="s">
        <v>204</v>
      </c>
      <c r="C191" s="3"/>
      <c r="D191" s="3"/>
      <c r="E191" s="4">
        <f t="shared" ref="E191:J191" si="42">F191-1</f>
        <v>2019</v>
      </c>
      <c r="F191" s="4">
        <f t="shared" si="42"/>
        <v>2020</v>
      </c>
      <c r="G191" s="4">
        <f t="shared" si="42"/>
        <v>2021</v>
      </c>
      <c r="H191" s="4">
        <f t="shared" si="42"/>
        <v>2022</v>
      </c>
      <c r="I191" s="4">
        <f t="shared" si="42"/>
        <v>2023</v>
      </c>
      <c r="J191" s="4">
        <f t="shared" si="42"/>
        <v>2024</v>
      </c>
      <c r="K191" s="7">
        <f>K$8</f>
        <v>2025</v>
      </c>
      <c r="L191" s="7">
        <f>L$8</f>
        <v>2026</v>
      </c>
      <c r="M191" s="7">
        <f>M$8</f>
        <v>2027</v>
      </c>
      <c r="N191" s="7">
        <f>N$8</f>
        <v>2028</v>
      </c>
      <c r="O191" s="7">
        <f>O$8</f>
        <v>2029</v>
      </c>
    </row>
    <row r="192" spans="1:15" hidden="1" outlineLevel="1">
      <c r="C192" t="s">
        <v>205</v>
      </c>
      <c r="D192" t="s">
        <v>52</v>
      </c>
      <c r="E192" s="169">
        <v>53900</v>
      </c>
      <c r="F192" s="169">
        <v>58100</v>
      </c>
      <c r="G192" s="169">
        <v>61700</v>
      </c>
      <c r="H192" s="169">
        <v>65800</v>
      </c>
      <c r="I192" s="170">
        <v>71000</v>
      </c>
      <c r="J192" s="169">
        <v>76200</v>
      </c>
      <c r="K192" s="8"/>
      <c r="L192" s="8"/>
      <c r="M192" s="8"/>
      <c r="N192" s="8"/>
      <c r="O192" s="8"/>
    </row>
    <row r="193" spans="2:15" hidden="1" outlineLevel="1">
      <c r="C193" t="s">
        <v>206</v>
      </c>
      <c r="D193" t="s">
        <v>52</v>
      </c>
      <c r="E193" s="170">
        <v>20800</v>
      </c>
      <c r="F193" s="170">
        <v>22600</v>
      </c>
      <c r="G193" s="170">
        <v>25600</v>
      </c>
      <c r="H193" s="169">
        <v>29100</v>
      </c>
      <c r="I193" s="169">
        <v>32300</v>
      </c>
      <c r="J193" s="169">
        <v>35400</v>
      </c>
      <c r="K193" s="8"/>
      <c r="L193" s="8"/>
      <c r="M193" s="8"/>
      <c r="N193" s="8"/>
      <c r="O193" s="8"/>
    </row>
    <row r="194" spans="2:15" hidden="1" outlineLevel="1">
      <c r="B194" s="5"/>
      <c r="C194" s="5" t="s">
        <v>207</v>
      </c>
      <c r="D194" s="5" t="s">
        <v>52</v>
      </c>
      <c r="E194" s="106">
        <f t="shared" ref="E194:J194" si="43">SUM(E192:E193)</f>
        <v>74700</v>
      </c>
      <c r="F194" s="106">
        <f t="shared" si="43"/>
        <v>80700</v>
      </c>
      <c r="G194" s="106">
        <f t="shared" si="43"/>
        <v>87300</v>
      </c>
      <c r="H194" s="106">
        <f t="shared" si="43"/>
        <v>94900</v>
      </c>
      <c r="I194" s="106">
        <f t="shared" si="43"/>
        <v>103300</v>
      </c>
      <c r="J194" s="106">
        <f t="shared" si="43"/>
        <v>111600</v>
      </c>
      <c r="K194" s="105"/>
      <c r="L194" s="105"/>
      <c r="M194" s="105"/>
      <c r="N194" s="105"/>
      <c r="O194" s="105"/>
    </row>
    <row r="195" spans="2:15" hidden="1" outlineLevel="1">
      <c r="E195" s="112"/>
      <c r="F195" s="112"/>
      <c r="G195" s="112"/>
      <c r="H195" s="112"/>
      <c r="I195" s="112"/>
      <c r="J195" s="112"/>
      <c r="K195" s="8"/>
      <c r="L195" s="8"/>
      <c r="M195" s="8"/>
      <c r="N195" s="8"/>
      <c r="O195" s="8"/>
    </row>
    <row r="196" spans="2:15" hidden="1" outlineLevel="1">
      <c r="F196" s="111"/>
      <c r="G196" s="111"/>
      <c r="H196" s="111"/>
      <c r="I196" s="111"/>
      <c r="J196" s="111"/>
      <c r="K196" s="8"/>
      <c r="L196" s="8"/>
      <c r="M196" s="8"/>
      <c r="N196" s="8"/>
      <c r="O196" s="8"/>
    </row>
    <row r="197" spans="2:15" hidden="1" outlineLevel="1">
      <c r="C197" t="s">
        <v>208</v>
      </c>
      <c r="D197" t="s">
        <v>209</v>
      </c>
      <c r="E197" s="32">
        <v>3352</v>
      </c>
      <c r="F197" s="28">
        <f>F62</f>
        <v>3541</v>
      </c>
      <c r="G197" s="28">
        <f>G62</f>
        <v>3877</v>
      </c>
      <c r="H197" s="28">
        <f>H62</f>
        <v>4224</v>
      </c>
      <c r="I197" s="28">
        <f>I62</f>
        <v>4580</v>
      </c>
      <c r="J197" s="28">
        <f>J62</f>
        <v>4828</v>
      </c>
      <c r="K197" s="8"/>
      <c r="L197" s="8"/>
      <c r="M197" s="8"/>
      <c r="N197" s="8"/>
      <c r="O197" s="8"/>
    </row>
    <row r="198" spans="2:15" hidden="1" outlineLevel="1">
      <c r="C198" t="s">
        <v>210</v>
      </c>
      <c r="D198" t="s">
        <v>209</v>
      </c>
      <c r="E198" s="32">
        <v>1711</v>
      </c>
      <c r="F198" s="28">
        <f>F157</f>
        <v>1851</v>
      </c>
      <c r="G198" s="28">
        <f>G157</f>
        <v>2042</v>
      </c>
      <c r="H198" s="28">
        <f>H157</f>
        <v>2174</v>
      </c>
      <c r="I198" s="28">
        <f>I157</f>
        <v>2337</v>
      </c>
      <c r="J198" s="28">
        <f>J157</f>
        <v>2501</v>
      </c>
      <c r="K198" s="8"/>
      <c r="L198" s="8"/>
      <c r="M198" s="8"/>
      <c r="N198" s="8"/>
      <c r="O198" s="8"/>
    </row>
    <row r="199" spans="2:15" hidden="1" outlineLevel="1">
      <c r="C199" t="s">
        <v>211</v>
      </c>
      <c r="D199" t="s">
        <v>209</v>
      </c>
      <c r="E199" s="28"/>
      <c r="F199" s="28">
        <f>F198-E198</f>
        <v>140</v>
      </c>
      <c r="G199" s="28">
        <f t="shared" ref="G199:J199" si="44">G198-F198</f>
        <v>191</v>
      </c>
      <c r="H199" s="28">
        <f t="shared" si="44"/>
        <v>132</v>
      </c>
      <c r="I199" s="28">
        <f t="shared" si="44"/>
        <v>163</v>
      </c>
      <c r="J199" s="28">
        <f t="shared" si="44"/>
        <v>164</v>
      </c>
      <c r="K199" s="8"/>
      <c r="L199" s="8"/>
      <c r="M199" s="8"/>
      <c r="N199" s="8"/>
      <c r="O199" s="8"/>
    </row>
    <row r="200" spans="2:15" hidden="1" outlineLevel="1">
      <c r="K200" s="8"/>
      <c r="L200" s="8"/>
      <c r="M200" s="8"/>
      <c r="N200" s="8"/>
      <c r="O200" s="8"/>
    </row>
    <row r="201" spans="2:15" hidden="1" outlineLevel="1">
      <c r="C201" t="s">
        <v>228</v>
      </c>
      <c r="D201" t="s">
        <v>209</v>
      </c>
      <c r="F201" s="170">
        <v>0</v>
      </c>
      <c r="G201" s="170">
        <v>0</v>
      </c>
      <c r="H201" s="170">
        <v>42</v>
      </c>
      <c r="I201" s="170">
        <v>76</v>
      </c>
      <c r="J201" s="170">
        <v>0</v>
      </c>
      <c r="K201" s="8"/>
      <c r="L201" s="8"/>
      <c r="M201" s="8"/>
      <c r="N201" s="8"/>
      <c r="O201" s="8"/>
    </row>
    <row r="202" spans="2:15" hidden="1" outlineLevel="1">
      <c r="B202" s="5"/>
      <c r="C202" s="5" t="s">
        <v>212</v>
      </c>
      <c r="D202" s="5" t="s">
        <v>209</v>
      </c>
      <c r="E202" s="107"/>
      <c r="F202" s="107">
        <f>SUM(F201,F199,F197)</f>
        <v>3681</v>
      </c>
      <c r="G202" s="107">
        <f t="shared" ref="G202:J202" si="45">SUM(G201,G199,G197)</f>
        <v>4068</v>
      </c>
      <c r="H202" s="107">
        <f t="shared" si="45"/>
        <v>4398</v>
      </c>
      <c r="I202" s="107">
        <f t="shared" si="45"/>
        <v>4819</v>
      </c>
      <c r="J202" s="107">
        <f t="shared" si="45"/>
        <v>4992</v>
      </c>
      <c r="K202" s="105"/>
      <c r="L202" s="105"/>
      <c r="M202" s="105"/>
      <c r="N202" s="105"/>
      <c r="O202" s="105"/>
    </row>
    <row r="203" spans="2:15" hidden="1" outlineLevel="1">
      <c r="K203" s="8"/>
      <c r="L203" s="8"/>
      <c r="M203" s="8"/>
      <c r="N203" s="8"/>
      <c r="O203" s="8"/>
    </row>
    <row r="204" spans="2:15" hidden="1" outlineLevel="1">
      <c r="C204" t="s">
        <v>213</v>
      </c>
      <c r="D204" t="s">
        <v>217</v>
      </c>
      <c r="F204" s="108">
        <f>F198/F202</f>
        <v>0.50285248573757135</v>
      </c>
      <c r="G204" s="108">
        <f>G198/G202</f>
        <v>0.50196656833824971</v>
      </c>
      <c r="H204" s="108">
        <f>H198/H202</f>
        <v>0.49431559799909047</v>
      </c>
      <c r="I204" s="108">
        <f>I198/I202</f>
        <v>0.48495538493463375</v>
      </c>
      <c r="J204" s="108">
        <f>J198/J202</f>
        <v>0.50100160256410253</v>
      </c>
      <c r="K204" s="8"/>
      <c r="L204" s="8"/>
      <c r="M204" s="8"/>
      <c r="N204" s="8"/>
      <c r="O204" s="8"/>
    </row>
    <row r="205" spans="2:15" hidden="1" outlineLevel="1">
      <c r="C205" t="s">
        <v>214</v>
      </c>
      <c r="D205" t="s">
        <v>217</v>
      </c>
      <c r="J205" s="109">
        <f>AVERAGE(F204:J204)</f>
        <v>0.49701832791472961</v>
      </c>
      <c r="K205" s="8"/>
      <c r="L205" s="8"/>
      <c r="M205" s="8"/>
      <c r="N205" s="8"/>
      <c r="O205" s="8"/>
    </row>
    <row r="206" spans="2:15" hidden="1" outlineLevel="1">
      <c r="F206" s="108"/>
      <c r="G206" s="108"/>
      <c r="H206" s="108"/>
      <c r="I206" s="108"/>
      <c r="J206" s="108"/>
      <c r="K206" s="8"/>
      <c r="L206" s="8"/>
      <c r="M206" s="8"/>
      <c r="N206" s="8"/>
      <c r="O206" s="8"/>
    </row>
    <row r="207" spans="2:15" hidden="1" outlineLevel="1">
      <c r="C207" t="s">
        <v>215</v>
      </c>
      <c r="D207" t="s">
        <v>52</v>
      </c>
      <c r="E207" s="32">
        <v>72800</v>
      </c>
      <c r="F207" s="28">
        <f>(F194+E194)/2</f>
        <v>77700</v>
      </c>
      <c r="G207" s="28">
        <f t="shared" ref="G207:J207" si="46">(G194+F194)/2</f>
        <v>84000</v>
      </c>
      <c r="H207" s="28">
        <f t="shared" si="46"/>
        <v>91100</v>
      </c>
      <c r="I207" s="28">
        <f t="shared" si="46"/>
        <v>99100</v>
      </c>
      <c r="J207" s="28">
        <f t="shared" si="46"/>
        <v>107450</v>
      </c>
      <c r="K207" s="8"/>
      <c r="L207" s="8"/>
      <c r="M207" s="8"/>
      <c r="N207" s="8"/>
      <c r="O207" s="8"/>
    </row>
    <row r="208" spans="2:15" hidden="1" outlineLevel="1">
      <c r="B208" s="5"/>
      <c r="C208" s="5" t="s">
        <v>216</v>
      </c>
      <c r="D208" s="5" t="s">
        <v>53</v>
      </c>
      <c r="E208" s="110"/>
      <c r="F208" s="110">
        <f>(F202*1000)/F207</f>
        <v>47.374517374517374</v>
      </c>
      <c r="G208" s="110">
        <f>(G202*1000)/G207</f>
        <v>48.428571428571431</v>
      </c>
      <c r="H208" s="110">
        <f>(H202*1000)/H207</f>
        <v>48.276619099890233</v>
      </c>
      <c r="I208" s="110">
        <f>(I202*1000)/I207</f>
        <v>48.627648839556002</v>
      </c>
      <c r="J208" s="110">
        <f>(J202*1000)/J207</f>
        <v>46.458818054909258</v>
      </c>
      <c r="K208" s="105"/>
      <c r="L208" s="105"/>
      <c r="M208" s="105"/>
      <c r="N208" s="105"/>
      <c r="O208" s="105"/>
    </row>
    <row r="209" spans="2:16" hidden="1" outlineLevel="1">
      <c r="C209" t="s">
        <v>218</v>
      </c>
      <c r="D209" t="s">
        <v>217</v>
      </c>
      <c r="E209" s="108"/>
      <c r="F209" s="108"/>
      <c r="G209" s="108">
        <f>(G208/F208)-1</f>
        <v>2.2249388753056376E-2</v>
      </c>
      <c r="H209" s="108">
        <f>(H208/G208)-1</f>
        <v>-3.1376587043314697E-3</v>
      </c>
      <c r="I209" s="108">
        <f>(I208/H208)-1</f>
        <v>7.2712162991248608E-3</v>
      </c>
      <c r="J209" s="108">
        <f>(J208/I208)-1</f>
        <v>-4.4600774176902336E-2</v>
      </c>
      <c r="K209" s="8"/>
      <c r="L209" s="8"/>
      <c r="M209" s="8"/>
      <c r="N209" s="8"/>
      <c r="O209" s="8"/>
    </row>
    <row r="210" spans="2:16" hidden="1" outlineLevel="1">
      <c r="K210" s="8"/>
      <c r="L210" s="8"/>
      <c r="M210" s="8"/>
      <c r="N210" s="8"/>
      <c r="O210" s="8"/>
    </row>
    <row r="211" spans="2:16" hidden="1" outlineLevel="1">
      <c r="C211" t="s">
        <v>229</v>
      </c>
      <c r="D211" t="s">
        <v>217</v>
      </c>
      <c r="I211" s="108"/>
      <c r="J211" s="108">
        <f>(I208/F208)^0.03333 -1</f>
        <v>8.7055166095661995E-4</v>
      </c>
      <c r="K211" s="8"/>
      <c r="L211" s="8"/>
      <c r="M211" s="8"/>
      <c r="N211" s="8"/>
      <c r="O211" s="8"/>
    </row>
    <row r="212" spans="2:16" hidden="1" outlineLevel="1">
      <c r="C212" t="s">
        <v>230</v>
      </c>
      <c r="D212" t="s">
        <v>217</v>
      </c>
      <c r="J212" s="171">
        <v>8.3299999999999999E-2</v>
      </c>
      <c r="K212" s="8"/>
      <c r="L212" s="8"/>
      <c r="M212" s="8"/>
      <c r="N212" s="8"/>
      <c r="O212" s="8"/>
    </row>
    <row r="213" spans="2:16" hidden="1" outlineLevel="1">
      <c r="C213" t="s">
        <v>231</v>
      </c>
      <c r="D213" t="s">
        <v>53</v>
      </c>
      <c r="I213" s="109"/>
      <c r="K213" s="165">
        <f>K26</f>
        <v>48.435957154090985</v>
      </c>
      <c r="L213" s="164">
        <f t="shared" ref="L213:O213" si="47">L26</f>
        <v>50.497236986532279</v>
      </c>
      <c r="M213" s="164">
        <f t="shared" si="47"/>
        <v>50.541197440064622</v>
      </c>
      <c r="N213" s="164">
        <f t="shared" si="47"/>
        <v>50.585196163442809</v>
      </c>
      <c r="O213" s="164">
        <f t="shared" si="47"/>
        <v>50.629233189982713</v>
      </c>
    </row>
    <row r="214" spans="2:16" hidden="1" outlineLevel="1">
      <c r="K214" s="8"/>
      <c r="L214" s="8"/>
      <c r="M214" s="8"/>
      <c r="N214" s="8"/>
      <c r="O214" s="8"/>
    </row>
    <row r="215" spans="2:16" hidden="1" outlineLevel="1">
      <c r="B215" s="2" t="s">
        <v>232</v>
      </c>
      <c r="C215" s="3"/>
      <c r="D215" s="3"/>
      <c r="E215" s="3"/>
      <c r="F215" s="3"/>
      <c r="G215" s="3"/>
      <c r="H215" s="3"/>
      <c r="I215" s="3"/>
      <c r="J215" s="3"/>
      <c r="K215" s="113"/>
      <c r="L215" s="113"/>
      <c r="M215" s="113"/>
      <c r="N215" s="113"/>
      <c r="O215" s="113"/>
    </row>
    <row r="216" spans="2:16" hidden="1" outlineLevel="1">
      <c r="C216" t="s">
        <v>235</v>
      </c>
      <c r="D216" t="s">
        <v>233</v>
      </c>
      <c r="E216" s="28"/>
      <c r="F216" s="28">
        <f>E218</f>
        <v>782</v>
      </c>
      <c r="G216" s="28">
        <f t="shared" ref="G216:O216" si="48">F218</f>
        <v>795</v>
      </c>
      <c r="H216" s="28">
        <f t="shared" si="48"/>
        <v>815</v>
      </c>
      <c r="I216" s="28">
        <f t="shared" si="48"/>
        <v>838</v>
      </c>
      <c r="J216" s="28">
        <f t="shared" si="48"/>
        <v>861</v>
      </c>
      <c r="K216" s="29">
        <f t="shared" si="48"/>
        <v>890</v>
      </c>
      <c r="L216" s="29">
        <f t="shared" si="48"/>
        <v>916</v>
      </c>
      <c r="M216" s="29">
        <f t="shared" si="48"/>
        <v>943</v>
      </c>
      <c r="N216" s="29">
        <f t="shared" si="48"/>
        <v>970</v>
      </c>
      <c r="O216" s="29">
        <f t="shared" si="48"/>
        <v>997</v>
      </c>
      <c r="P216" s="28"/>
    </row>
    <row r="217" spans="2:16" hidden="1" outlineLevel="1">
      <c r="C217" t="s">
        <v>236</v>
      </c>
      <c r="D217" t="s">
        <v>233</v>
      </c>
      <c r="E217" s="28"/>
      <c r="F217" s="32">
        <v>13</v>
      </c>
      <c r="G217" s="32">
        <v>20</v>
      </c>
      <c r="H217" s="32">
        <v>23</v>
      </c>
      <c r="I217" s="32">
        <v>23</v>
      </c>
      <c r="J217" s="32">
        <v>29</v>
      </c>
      <c r="K217" s="29">
        <f>K12</f>
        <v>26</v>
      </c>
      <c r="L217" s="29">
        <f>L12</f>
        <v>27</v>
      </c>
      <c r="M217" s="29">
        <f>M12</f>
        <v>27</v>
      </c>
      <c r="N217" s="29">
        <f>N12</f>
        <v>27</v>
      </c>
      <c r="O217" s="29">
        <f>O12</f>
        <v>27</v>
      </c>
      <c r="P217" s="28"/>
    </row>
    <row r="218" spans="2:16" hidden="1" outlineLevel="1">
      <c r="B218" s="5"/>
      <c r="C218" s="5" t="s">
        <v>234</v>
      </c>
      <c r="D218" s="5" t="s">
        <v>233</v>
      </c>
      <c r="E218" s="174">
        <v>782</v>
      </c>
      <c r="F218" s="30">
        <f>F217+F216</f>
        <v>795</v>
      </c>
      <c r="G218" s="30">
        <f t="shared" ref="G218:O218" si="49">G217+G216</f>
        <v>815</v>
      </c>
      <c r="H218" s="30">
        <f t="shared" si="49"/>
        <v>838</v>
      </c>
      <c r="I218" s="30">
        <f t="shared" si="49"/>
        <v>861</v>
      </c>
      <c r="J218" s="30">
        <f t="shared" si="49"/>
        <v>890</v>
      </c>
      <c r="K218" s="31">
        <f t="shared" si="49"/>
        <v>916</v>
      </c>
      <c r="L218" s="31">
        <f t="shared" si="49"/>
        <v>943</v>
      </c>
      <c r="M218" s="31">
        <f t="shared" si="49"/>
        <v>970</v>
      </c>
      <c r="N218" s="31">
        <f t="shared" si="49"/>
        <v>997</v>
      </c>
      <c r="O218" s="31">
        <f t="shared" si="49"/>
        <v>1024</v>
      </c>
      <c r="P218" s="28"/>
    </row>
    <row r="219" spans="2:16" hidden="1" outlineLevel="1">
      <c r="K219" s="8"/>
      <c r="L219" s="8"/>
      <c r="M219" s="8"/>
      <c r="N219" s="8"/>
      <c r="O219" s="8"/>
    </row>
    <row r="220" spans="2:16" hidden="1" outlineLevel="1">
      <c r="C220" t="s">
        <v>238</v>
      </c>
      <c r="D220" t="s">
        <v>217</v>
      </c>
      <c r="F220" s="108">
        <f>F217/F216/2</f>
        <v>8.3120204603580571E-3</v>
      </c>
      <c r="G220" s="108">
        <f t="shared" ref="G220:O220" si="50">G217/G216/2</f>
        <v>1.2578616352201259E-2</v>
      </c>
      <c r="H220" s="108">
        <f t="shared" si="50"/>
        <v>1.4110429447852761E-2</v>
      </c>
      <c r="I220" s="108">
        <f t="shared" si="50"/>
        <v>1.3723150357995227E-2</v>
      </c>
      <c r="J220" s="108">
        <f t="shared" si="50"/>
        <v>1.6840882694541232E-2</v>
      </c>
      <c r="K220" s="114">
        <f t="shared" si="50"/>
        <v>1.4606741573033709E-2</v>
      </c>
      <c r="L220" s="114">
        <f t="shared" si="50"/>
        <v>1.4737991266375546E-2</v>
      </c>
      <c r="M220" s="114">
        <f t="shared" si="50"/>
        <v>1.4316012725344645E-2</v>
      </c>
      <c r="N220" s="114">
        <f t="shared" si="50"/>
        <v>1.3917525773195877E-2</v>
      </c>
      <c r="O220" s="114">
        <f t="shared" si="50"/>
        <v>1.354062186559679E-2</v>
      </c>
    </row>
    <row r="221" spans="2:16" hidden="1" outlineLevel="1">
      <c r="K221" s="8"/>
      <c r="L221" s="8"/>
      <c r="M221" s="8"/>
      <c r="N221" s="8"/>
      <c r="O221" s="8"/>
    </row>
    <row r="222" spans="2:16" hidden="1" outlineLevel="1">
      <c r="C222" t="s">
        <v>239</v>
      </c>
      <c r="D222" t="s">
        <v>217</v>
      </c>
      <c r="F222" s="108">
        <f>F207/E207-1</f>
        <v>6.7307692307692291E-2</v>
      </c>
      <c r="G222" s="108">
        <f t="shared" ref="G222:J222" si="51">G207/F207-1</f>
        <v>8.1081081081081141E-2</v>
      </c>
      <c r="H222" s="108">
        <f t="shared" si="51"/>
        <v>8.4523809523809446E-2</v>
      </c>
      <c r="I222" s="108">
        <f t="shared" si="51"/>
        <v>8.7815587266739881E-2</v>
      </c>
      <c r="J222" s="108">
        <f t="shared" si="51"/>
        <v>8.425832492431895E-2</v>
      </c>
      <c r="K222" s="8"/>
      <c r="L222" s="8"/>
      <c r="M222" s="8"/>
      <c r="N222" s="8"/>
      <c r="O222" s="8"/>
    </row>
    <row r="223" spans="2:16" hidden="1" outlineLevel="1">
      <c r="B223" s="5"/>
      <c r="C223" s="5" t="s">
        <v>240</v>
      </c>
      <c r="D223" s="5" t="s">
        <v>217</v>
      </c>
      <c r="E223" s="5"/>
      <c r="F223" s="158">
        <f>(1+F222)/(1+F220) -1</f>
        <v>5.8509341007755733E-2</v>
      </c>
      <c r="G223" s="158">
        <f t="shared" ref="G223:J223" si="52">(1+G222)/(1+G220) -1</f>
        <v>6.765150243411111E-2</v>
      </c>
      <c r="H223" s="158">
        <f t="shared" si="52"/>
        <v>6.9433641575202376E-2</v>
      </c>
      <c r="I223" s="158">
        <f t="shared" si="52"/>
        <v>7.3089419811098288E-2</v>
      </c>
      <c r="J223" s="158">
        <f t="shared" si="52"/>
        <v>6.6300876938707676E-2</v>
      </c>
      <c r="K223" s="105"/>
      <c r="L223" s="105"/>
      <c r="M223" s="105"/>
      <c r="N223" s="105"/>
      <c r="O223" s="105"/>
    </row>
    <row r="224" spans="2:16" hidden="1" outlineLevel="1">
      <c r="K224" s="8"/>
      <c r="L224" s="8"/>
      <c r="M224" s="8"/>
      <c r="N224" s="8"/>
      <c r="O224" s="8"/>
    </row>
    <row r="225" spans="1:15" hidden="1" outlineLevel="1">
      <c r="C225" t="s">
        <v>241</v>
      </c>
      <c r="D225" t="s">
        <v>245</v>
      </c>
      <c r="F225">
        <f>F6</f>
        <v>364</v>
      </c>
      <c r="G225">
        <f>G6</f>
        <v>364</v>
      </c>
      <c r="H225">
        <f>H6</f>
        <v>364</v>
      </c>
      <c r="I225">
        <f>I6</f>
        <v>371</v>
      </c>
      <c r="J225">
        <f>J6</f>
        <v>364</v>
      </c>
      <c r="K225" s="8">
        <f>K6</f>
        <v>364</v>
      </c>
      <c r="L225" s="8">
        <f>L6</f>
        <v>364</v>
      </c>
      <c r="M225" s="8">
        <f>M6</f>
        <v>364</v>
      </c>
      <c r="N225" s="8">
        <f>N6</f>
        <v>371</v>
      </c>
      <c r="O225" s="8">
        <f>O6</f>
        <v>364</v>
      </c>
    </row>
    <row r="226" spans="1:15" hidden="1" outlineLevel="1">
      <c r="C226" t="s">
        <v>242</v>
      </c>
      <c r="D226" t="s">
        <v>217</v>
      </c>
      <c r="F226" s="108">
        <f>IF(F225=364,F223,(F223/371)*364)</f>
        <v>5.8509341007755733E-2</v>
      </c>
      <c r="G226" s="108">
        <f t="shared" ref="G226:O226" si="53">IF(G225=364,G223,(G223/371)*364)</f>
        <v>6.765150243411111E-2</v>
      </c>
      <c r="H226" s="108">
        <f t="shared" si="53"/>
        <v>6.9433641575202376E-2</v>
      </c>
      <c r="I226" s="108">
        <f t="shared" si="53"/>
        <v>7.1710374154285106E-2</v>
      </c>
      <c r="J226" s="108">
        <f t="shared" si="53"/>
        <v>6.6300876938707676E-2</v>
      </c>
      <c r="K226" s="114">
        <f t="shared" si="53"/>
        <v>0</v>
      </c>
      <c r="L226" s="114">
        <f t="shared" si="53"/>
        <v>0</v>
      </c>
      <c r="M226" s="114">
        <f t="shared" si="53"/>
        <v>0</v>
      </c>
      <c r="N226" s="114">
        <f t="shared" si="53"/>
        <v>0</v>
      </c>
      <c r="O226" s="114">
        <f t="shared" si="53"/>
        <v>0</v>
      </c>
    </row>
    <row r="227" spans="1:15" hidden="1" outlineLevel="1">
      <c r="C227" t="s">
        <v>243</v>
      </c>
      <c r="D227" t="s">
        <v>217</v>
      </c>
      <c r="J227" s="109">
        <f>AVERAGE(G226:J226)</f>
        <v>6.8774098775576567E-2</v>
      </c>
      <c r="K227" s="161">
        <f>IF(K225=364,$J$227,($J$227*371)/364)</f>
        <v>6.8774098775576567E-2</v>
      </c>
      <c r="L227" s="161">
        <f t="shared" ref="L227:O227" si="54">IF(L225=364,$J$227,($J$227*371)/364)</f>
        <v>6.8774098775576567E-2</v>
      </c>
      <c r="M227" s="161">
        <f t="shared" si="54"/>
        <v>6.8774098775576567E-2</v>
      </c>
      <c r="N227" s="161">
        <f t="shared" si="54"/>
        <v>7.0096677598183804E-2</v>
      </c>
      <c r="O227" s="161">
        <f t="shared" si="54"/>
        <v>6.8774098775576567E-2</v>
      </c>
    </row>
    <row r="228" spans="1:15" hidden="1" outlineLevel="1">
      <c r="B228" s="5"/>
      <c r="C228" s="5" t="s">
        <v>244</v>
      </c>
      <c r="D228" s="5" t="s">
        <v>217</v>
      </c>
      <c r="E228" s="5"/>
      <c r="F228" s="5"/>
      <c r="G228" s="5"/>
      <c r="H228" s="5"/>
      <c r="I228" s="5"/>
      <c r="J228" s="5"/>
      <c r="K228" s="163">
        <f>K220+K227</f>
        <v>8.3380840348610277E-2</v>
      </c>
      <c r="L228" s="163">
        <f t="shared" ref="L228:O228" si="55">L220+L227</f>
        <v>8.3512090041952119E-2</v>
      </c>
      <c r="M228" s="163">
        <f t="shared" si="55"/>
        <v>8.3090111500921215E-2</v>
      </c>
      <c r="N228" s="163">
        <f t="shared" si="55"/>
        <v>8.4014203371379687E-2</v>
      </c>
      <c r="O228" s="163">
        <f t="shared" si="55"/>
        <v>8.2314720641173358E-2</v>
      </c>
    </row>
    <row r="229" spans="1:15" hidden="1" outlineLevel="1">
      <c r="K229" s="8"/>
      <c r="L229" s="8"/>
      <c r="M229" s="8"/>
      <c r="N229" s="8"/>
      <c r="O229" s="8"/>
    </row>
    <row r="230" spans="1:15" hidden="1" outlineLevel="1">
      <c r="B230" t="s">
        <v>247</v>
      </c>
      <c r="C230" t="s">
        <v>246</v>
      </c>
      <c r="D230" t="s">
        <v>52</v>
      </c>
      <c r="J230" s="12">
        <f>J194</f>
        <v>111600</v>
      </c>
      <c r="K230" s="29">
        <f>J230*(1+K228)</f>
        <v>120905.30178290491</v>
      </c>
      <c r="L230" s="29">
        <f t="shared" ref="L230:O230" si="56">K230*(1+L228)</f>
        <v>131002.35623194826</v>
      </c>
      <c r="M230" s="29">
        <f t="shared" si="56"/>
        <v>141887.35661814426</v>
      </c>
      <c r="N230" s="29">
        <f t="shared" si="56"/>
        <v>153807.90985288852</v>
      </c>
      <c r="O230" s="29">
        <f t="shared" si="56"/>
        <v>166468.56498483181</v>
      </c>
    </row>
    <row r="231" spans="1:15" hidden="1" outlineLevel="1">
      <c r="B231" t="s">
        <v>248</v>
      </c>
      <c r="C231" t="s">
        <v>281</v>
      </c>
      <c r="D231" t="s">
        <v>53</v>
      </c>
      <c r="K231" s="164">
        <f>K213</f>
        <v>48.435957154090985</v>
      </c>
      <c r="L231" s="164">
        <f t="shared" ref="L231:O231" si="57">L213</f>
        <v>50.497236986532279</v>
      </c>
      <c r="M231" s="164">
        <f t="shared" si="57"/>
        <v>50.541197440064622</v>
      </c>
      <c r="N231" s="164">
        <f t="shared" si="57"/>
        <v>50.585196163442809</v>
      </c>
      <c r="O231" s="164">
        <f t="shared" si="57"/>
        <v>50.629233189982713</v>
      </c>
    </row>
    <row r="232" spans="1:15" hidden="1" outlineLevel="1">
      <c r="B232" s="5"/>
      <c r="C232" s="5" t="s">
        <v>249</v>
      </c>
      <c r="D232" s="5" t="s">
        <v>209</v>
      </c>
      <c r="E232" s="5"/>
      <c r="F232" s="5"/>
      <c r="G232" s="5"/>
      <c r="H232" s="5"/>
      <c r="I232" s="5"/>
      <c r="J232" s="5"/>
      <c r="K232" s="168">
        <f>K231*(AVERAGE(J230:K230)/1000)</f>
        <v>5630.808417627888</v>
      </c>
      <c r="L232" s="168">
        <f t="shared" ref="L232:O232" si="58">L231*(AVERAGE(K230:L230)/1000)</f>
        <v>6360.3203527491833</v>
      </c>
      <c r="M232" s="168">
        <f t="shared" si="58"/>
        <v>6896.0864282595321</v>
      </c>
      <c r="N232" s="168">
        <f t="shared" si="58"/>
        <v>7478.9015295193431</v>
      </c>
      <c r="O232" s="168">
        <f t="shared" si="58"/>
        <v>8107.6761649122873</v>
      </c>
    </row>
    <row r="233" spans="1:15" hidden="1" outlineLevel="1">
      <c r="K233" s="175"/>
      <c r="L233" s="175"/>
      <c r="M233" s="175"/>
      <c r="N233" s="175"/>
      <c r="O233" s="175"/>
    </row>
    <row r="234" spans="1:15" hidden="1" outlineLevel="1">
      <c r="C234" t="s">
        <v>250</v>
      </c>
      <c r="D234" t="s">
        <v>209</v>
      </c>
      <c r="J234" s="104">
        <f>J198</f>
        <v>2501</v>
      </c>
      <c r="K234" s="175">
        <f>K232*$J$205</f>
        <v>2798.6149845375976</v>
      </c>
      <c r="L234" s="175">
        <f t="shared" ref="L234:O234" si="59">L232*$J$205</f>
        <v>3161.1957867254223</v>
      </c>
      <c r="M234" s="175">
        <f t="shared" si="59"/>
        <v>3427.4813457290124</v>
      </c>
      <c r="N234" s="175">
        <f t="shared" si="59"/>
        <v>3717.1511328406177</v>
      </c>
      <c r="O234" s="175">
        <f t="shared" si="59"/>
        <v>4029.6636507588128</v>
      </c>
    </row>
    <row r="235" spans="1:15" hidden="1" outlineLevel="1">
      <c r="C235" t="s">
        <v>251</v>
      </c>
      <c r="D235" t="s">
        <v>209</v>
      </c>
      <c r="K235" s="175">
        <f>K234-J234</f>
        <v>297.61498453759759</v>
      </c>
      <c r="L235" s="175">
        <f t="shared" ref="L235:O235" si="60">L234-K234</f>
        <v>362.5808021878247</v>
      </c>
      <c r="M235" s="175">
        <f t="shared" si="60"/>
        <v>266.28555900359015</v>
      </c>
      <c r="N235" s="175">
        <f t="shared" si="60"/>
        <v>289.66978711160527</v>
      </c>
      <c r="O235" s="175">
        <f t="shared" si="60"/>
        <v>312.51251791819504</v>
      </c>
    </row>
    <row r="236" spans="1:15" ht="15" hidden="1" outlineLevel="1" thickBot="1">
      <c r="B236" s="33" t="s">
        <v>252</v>
      </c>
      <c r="C236" s="33"/>
      <c r="D236" s="33" t="s">
        <v>209</v>
      </c>
      <c r="E236" s="33"/>
      <c r="F236" s="33"/>
      <c r="G236" s="33"/>
      <c r="H236" s="33"/>
      <c r="I236" s="33"/>
      <c r="J236" s="33"/>
      <c r="K236" s="201">
        <f>K232-K235</f>
        <v>5333.1934330902905</v>
      </c>
      <c r="L236" s="201">
        <f t="shared" ref="L236:O236" si="61">L232-L235</f>
        <v>5997.7395505613586</v>
      </c>
      <c r="M236" s="201">
        <f t="shared" si="61"/>
        <v>6629.8008692559415</v>
      </c>
      <c r="N236" s="201">
        <f t="shared" si="61"/>
        <v>7189.2317424077373</v>
      </c>
      <c r="O236" s="201">
        <f t="shared" si="61"/>
        <v>7795.1636469940922</v>
      </c>
    </row>
    <row r="237" spans="1:15" ht="15" hidden="1" outlineLevel="1" thickTop="1">
      <c r="K237" s="8"/>
      <c r="L237" s="8"/>
      <c r="M237" s="8"/>
      <c r="N237" s="8"/>
      <c r="O237" s="8"/>
    </row>
    <row r="238" spans="1:15" hidden="1" outlineLevel="1">
      <c r="B238" s="1" t="s">
        <v>253</v>
      </c>
      <c r="K238" s="8"/>
      <c r="L238" s="8"/>
      <c r="M238" s="8"/>
      <c r="N238" s="8"/>
      <c r="O238" s="8"/>
    </row>
    <row r="239" spans="1:15" hidden="1" outlineLevel="1">
      <c r="A239" s="5"/>
      <c r="B239" s="5"/>
      <c r="C239" s="5" t="s">
        <v>254</v>
      </c>
      <c r="D239" s="5" t="s">
        <v>255</v>
      </c>
      <c r="E239" s="30"/>
      <c r="F239" s="174">
        <v>147</v>
      </c>
      <c r="G239" s="30"/>
      <c r="H239" s="30"/>
      <c r="I239" s="30"/>
      <c r="J239" s="30"/>
      <c r="K239" s="31"/>
      <c r="L239" s="31"/>
      <c r="M239" s="31"/>
      <c r="N239" s="31"/>
      <c r="O239" s="31"/>
    </row>
    <row r="240" spans="1:15" hidden="1" outlineLevel="1">
      <c r="C240" t="s">
        <v>256</v>
      </c>
      <c r="D240" s="173" t="s">
        <v>233</v>
      </c>
      <c r="E240" s="32">
        <v>772</v>
      </c>
      <c r="F240" s="28">
        <f>(F216+F218)/2</f>
        <v>788.5</v>
      </c>
      <c r="G240" s="28">
        <f t="shared" ref="G240:O240" si="62">(G216+G218)/2</f>
        <v>805</v>
      </c>
      <c r="H240" s="28">
        <f t="shared" si="62"/>
        <v>826.5</v>
      </c>
      <c r="I240" s="28">
        <f t="shared" si="62"/>
        <v>849.5</v>
      </c>
      <c r="J240" s="28">
        <f t="shared" si="62"/>
        <v>875.5</v>
      </c>
      <c r="K240" s="29">
        <f t="shared" si="62"/>
        <v>903</v>
      </c>
      <c r="L240" s="29">
        <f t="shared" si="62"/>
        <v>929.5</v>
      </c>
      <c r="M240" s="29">
        <f t="shared" si="62"/>
        <v>956.5</v>
      </c>
      <c r="N240" s="29">
        <f t="shared" si="62"/>
        <v>983.5</v>
      </c>
      <c r="O240" s="29">
        <f t="shared" si="62"/>
        <v>1010.5</v>
      </c>
    </row>
    <row r="241" spans="2:15" hidden="1" outlineLevel="1">
      <c r="B241" s="5"/>
      <c r="C241" s="5" t="s">
        <v>257</v>
      </c>
      <c r="D241" s="172" t="s">
        <v>209</v>
      </c>
      <c r="E241" s="30">
        <f>(E240*$F$239)/1000</f>
        <v>113.48399999999999</v>
      </c>
      <c r="F241" s="30">
        <f t="shared" ref="F241:O241" si="63">(F240*$F$239)/1000</f>
        <v>115.90949999999999</v>
      </c>
      <c r="G241" s="30">
        <f t="shared" si="63"/>
        <v>118.33499999999999</v>
      </c>
      <c r="H241" s="30">
        <f t="shared" si="63"/>
        <v>121.49550000000001</v>
      </c>
      <c r="I241" s="30">
        <f t="shared" si="63"/>
        <v>124.87649999999999</v>
      </c>
      <c r="J241" s="30">
        <f t="shared" si="63"/>
        <v>128.6985</v>
      </c>
      <c r="K241" s="31">
        <f t="shared" si="63"/>
        <v>132.74100000000001</v>
      </c>
      <c r="L241" s="31">
        <f t="shared" si="63"/>
        <v>136.63650000000001</v>
      </c>
      <c r="M241" s="31">
        <f t="shared" si="63"/>
        <v>140.60550000000001</v>
      </c>
      <c r="N241" s="31">
        <f t="shared" si="63"/>
        <v>144.5745</v>
      </c>
      <c r="O241" s="31">
        <f t="shared" si="63"/>
        <v>148.54349999999999</v>
      </c>
    </row>
    <row r="242" spans="2:15" hidden="1" outlineLevel="1">
      <c r="E242" s="28"/>
      <c r="F242" s="28"/>
      <c r="G242" s="28"/>
      <c r="H242" s="28"/>
      <c r="I242" s="28"/>
      <c r="J242" s="28"/>
      <c r="K242" s="29"/>
      <c r="L242" s="29"/>
      <c r="M242" s="29"/>
      <c r="N242" s="29"/>
      <c r="O242" s="29"/>
    </row>
    <row r="243" spans="2:15" hidden="1" outlineLevel="1">
      <c r="C243" t="s">
        <v>186</v>
      </c>
      <c r="D243" t="s">
        <v>209</v>
      </c>
      <c r="E243" s="28"/>
      <c r="F243" s="28"/>
      <c r="G243" s="28"/>
      <c r="H243" s="28"/>
      <c r="I243" s="28"/>
      <c r="J243" s="28"/>
      <c r="K243" s="29"/>
      <c r="L243" s="29"/>
      <c r="M243" s="29"/>
      <c r="N243" s="29"/>
      <c r="O243" s="29"/>
    </row>
    <row r="244" spans="2:15" hidden="1" outlineLevel="1">
      <c r="C244" t="s">
        <v>262</v>
      </c>
      <c r="D244" t="s">
        <v>209</v>
      </c>
      <c r="E244" s="28"/>
      <c r="F244" s="28">
        <f>E248</f>
        <v>1180</v>
      </c>
      <c r="G244" s="28">
        <f t="shared" ref="G244:J244" si="64">F248</f>
        <v>1393</v>
      </c>
      <c r="H244" s="28">
        <f t="shared" si="64"/>
        <v>1671</v>
      </c>
      <c r="I244" s="28">
        <f t="shared" si="64"/>
        <v>1911</v>
      </c>
      <c r="J244" s="28">
        <f t="shared" si="64"/>
        <v>2150</v>
      </c>
      <c r="K244" s="29"/>
      <c r="L244" s="29"/>
      <c r="M244" s="29"/>
      <c r="N244" s="29"/>
      <c r="O244" s="29"/>
    </row>
    <row r="245" spans="2:15" hidden="1" outlineLevel="1">
      <c r="C245" t="s">
        <v>263</v>
      </c>
      <c r="D245" t="s">
        <v>209</v>
      </c>
      <c r="E245" s="28"/>
      <c r="F245" s="32">
        <v>1707</v>
      </c>
      <c r="G245" s="32">
        <v>2047</v>
      </c>
      <c r="H245" s="32">
        <v>2307</v>
      </c>
      <c r="I245" s="32">
        <v>2576</v>
      </c>
      <c r="J245" s="32">
        <v>2804</v>
      </c>
      <c r="K245" s="29"/>
      <c r="L245" s="29"/>
      <c r="M245" s="29"/>
      <c r="N245" s="29"/>
      <c r="O245" s="29"/>
    </row>
    <row r="246" spans="2:15" hidden="1" outlineLevel="1">
      <c r="B246" s="5"/>
      <c r="C246" s="5" t="s">
        <v>259</v>
      </c>
      <c r="D246" s="5" t="s">
        <v>209</v>
      </c>
      <c r="E246" s="30">
        <f>E244+E245</f>
        <v>0</v>
      </c>
      <c r="F246" s="30">
        <f t="shared" ref="F246:J246" si="65">F244+F245</f>
        <v>2887</v>
      </c>
      <c r="G246" s="30">
        <f t="shared" si="65"/>
        <v>3440</v>
      </c>
      <c r="H246" s="30">
        <f t="shared" si="65"/>
        <v>3978</v>
      </c>
      <c r="I246" s="30">
        <f t="shared" si="65"/>
        <v>4487</v>
      </c>
      <c r="J246" s="30">
        <f t="shared" si="65"/>
        <v>4954</v>
      </c>
      <c r="K246" s="31"/>
      <c r="L246" s="31"/>
      <c r="M246" s="31"/>
      <c r="N246" s="31"/>
      <c r="O246" s="31"/>
    </row>
    <row r="247" spans="2:15" hidden="1" outlineLevel="1">
      <c r="E247" s="28"/>
      <c r="F247" s="28"/>
      <c r="G247" s="28"/>
      <c r="H247" s="28"/>
      <c r="I247" s="28"/>
      <c r="J247" s="28"/>
      <c r="K247" s="29"/>
      <c r="L247" s="29"/>
      <c r="M247" s="29"/>
      <c r="N247" s="29"/>
      <c r="O247" s="29"/>
    </row>
    <row r="248" spans="2:15" hidden="1" outlineLevel="1">
      <c r="C248" t="s">
        <v>260</v>
      </c>
      <c r="D248" t="s">
        <v>209</v>
      </c>
      <c r="E248" s="32">
        <v>1180</v>
      </c>
      <c r="F248" s="28">
        <f>F156</f>
        <v>1393</v>
      </c>
      <c r="G248" s="28">
        <f>G156</f>
        <v>1671</v>
      </c>
      <c r="H248" s="28">
        <f>H156</f>
        <v>1911</v>
      </c>
      <c r="I248" s="28">
        <f>I156</f>
        <v>2150</v>
      </c>
      <c r="J248" s="28">
        <f>J156</f>
        <v>2435</v>
      </c>
      <c r="K248" s="29"/>
      <c r="L248" s="29"/>
      <c r="M248" s="29"/>
      <c r="N248" s="29"/>
      <c r="O248" s="29"/>
    </row>
    <row r="249" spans="2:15" hidden="1" outlineLevel="1">
      <c r="B249" s="5"/>
      <c r="C249" s="5" t="s">
        <v>261</v>
      </c>
      <c r="D249" s="5" t="s">
        <v>209</v>
      </c>
      <c r="E249" s="30">
        <f>E246-E248</f>
        <v>-1180</v>
      </c>
      <c r="F249" s="30">
        <f t="shared" ref="F249:J249" si="66">F246-F248</f>
        <v>1494</v>
      </c>
      <c r="G249" s="30">
        <f t="shared" si="66"/>
        <v>1769</v>
      </c>
      <c r="H249" s="30">
        <f t="shared" si="66"/>
        <v>2067</v>
      </c>
      <c r="I249" s="30">
        <f t="shared" si="66"/>
        <v>2337</v>
      </c>
      <c r="J249" s="30">
        <f t="shared" si="66"/>
        <v>2519</v>
      </c>
      <c r="K249" s="31"/>
      <c r="L249" s="31"/>
      <c r="M249" s="31"/>
      <c r="N249" s="31"/>
      <c r="O249" s="31"/>
    </row>
    <row r="250" spans="2:15" hidden="1" outlineLevel="1">
      <c r="E250" s="28"/>
      <c r="F250" s="28"/>
      <c r="G250" s="28"/>
      <c r="H250" s="28"/>
      <c r="I250" s="28"/>
      <c r="J250" s="28"/>
      <c r="K250" s="29"/>
      <c r="L250" s="29"/>
      <c r="M250" s="29"/>
      <c r="N250" s="29"/>
      <c r="O250" s="29"/>
    </row>
    <row r="251" spans="2:15" hidden="1" outlineLevel="1">
      <c r="C251" t="s">
        <v>264</v>
      </c>
      <c r="D251" t="s">
        <v>209</v>
      </c>
      <c r="E251" s="32">
        <v>123</v>
      </c>
      <c r="F251" s="28">
        <f>F248-E248</f>
        <v>213</v>
      </c>
      <c r="G251" s="28">
        <f>G248-F248</f>
        <v>278</v>
      </c>
      <c r="H251" s="28">
        <f t="shared" ref="H251:J251" si="67">H248-G248</f>
        <v>240</v>
      </c>
      <c r="I251" s="28">
        <f t="shared" si="67"/>
        <v>239</v>
      </c>
      <c r="J251" s="28">
        <f t="shared" si="67"/>
        <v>285</v>
      </c>
      <c r="K251" s="29"/>
      <c r="L251" s="29"/>
      <c r="M251" s="29"/>
      <c r="N251" s="29"/>
      <c r="O251" s="29"/>
    </row>
    <row r="252" spans="2:15" hidden="1" outlineLevel="1">
      <c r="E252" s="28"/>
      <c r="F252" s="28"/>
      <c r="G252" s="28"/>
      <c r="H252" s="28"/>
      <c r="I252" s="28"/>
      <c r="J252" s="28"/>
      <c r="K252" s="29"/>
      <c r="L252" s="29"/>
      <c r="M252" s="29"/>
      <c r="N252" s="29"/>
      <c r="O252" s="29"/>
    </row>
    <row r="253" spans="2:15" hidden="1" outlineLevel="1">
      <c r="C253" t="s">
        <v>265</v>
      </c>
      <c r="D253" t="s">
        <v>209</v>
      </c>
      <c r="E253" s="32">
        <v>149351</v>
      </c>
      <c r="F253" s="28">
        <f>F61</f>
        <v>163220</v>
      </c>
      <c r="G253" s="28">
        <f>G61</f>
        <v>192052</v>
      </c>
      <c r="H253" s="28">
        <f>H61</f>
        <v>222730</v>
      </c>
      <c r="I253" s="28">
        <f>I61</f>
        <v>237710</v>
      </c>
      <c r="J253" s="28">
        <f>J61</f>
        <v>249625</v>
      </c>
      <c r="K253" s="29"/>
      <c r="L253" s="29"/>
      <c r="M253" s="29"/>
      <c r="N253" s="29"/>
      <c r="O253" s="29"/>
    </row>
    <row r="254" spans="2:15" hidden="1" outlineLevel="1">
      <c r="B254" s="5"/>
      <c r="C254" s="5" t="s">
        <v>266</v>
      </c>
      <c r="D254" s="5" t="s">
        <v>209</v>
      </c>
      <c r="E254" s="30">
        <f>SUM(E253,E251)</f>
        <v>149474</v>
      </c>
      <c r="F254" s="30">
        <f t="shared" ref="F254:J254" si="68">SUM(F253,F251)</f>
        <v>163433</v>
      </c>
      <c r="G254" s="30">
        <f t="shared" si="68"/>
        <v>192330</v>
      </c>
      <c r="H254" s="30">
        <f t="shared" si="68"/>
        <v>222970</v>
      </c>
      <c r="I254" s="30">
        <f t="shared" si="68"/>
        <v>237949</v>
      </c>
      <c r="J254" s="30">
        <f t="shared" si="68"/>
        <v>249910</v>
      </c>
      <c r="K254" s="31"/>
      <c r="L254" s="31"/>
      <c r="M254" s="31"/>
      <c r="N254" s="31"/>
      <c r="O254" s="31"/>
    </row>
    <row r="255" spans="2:15" hidden="1" outlineLevel="1">
      <c r="K255" s="8"/>
      <c r="L255" s="8"/>
      <c r="M255" s="8"/>
      <c r="N255" s="8"/>
      <c r="O255" s="8"/>
    </row>
    <row r="256" spans="2:15" hidden="1" outlineLevel="1">
      <c r="C256" t="s">
        <v>267</v>
      </c>
      <c r="D256" t="s">
        <v>53</v>
      </c>
      <c r="E256" s="28">
        <f>E254/E241</f>
        <v>1317.1372175813331</v>
      </c>
      <c r="F256" s="28">
        <f t="shared" ref="F256:J256" si="69">F254/F241</f>
        <v>1410.0052195894211</v>
      </c>
      <c r="G256" s="28">
        <f t="shared" si="69"/>
        <v>1625.3010520978578</v>
      </c>
      <c r="H256" s="28">
        <f t="shared" si="69"/>
        <v>1835.2120037367638</v>
      </c>
      <c r="I256" s="28">
        <f t="shared" si="69"/>
        <v>1905.4746089136067</v>
      </c>
      <c r="J256" s="28">
        <f t="shared" si="69"/>
        <v>1941.82527379884</v>
      </c>
      <c r="K256" s="8"/>
      <c r="L256" s="8"/>
      <c r="M256" s="8"/>
      <c r="N256" s="8"/>
      <c r="O256" s="8"/>
    </row>
    <row r="257" spans="3:15" hidden="1" outlineLevel="1">
      <c r="K257" s="8"/>
      <c r="L257" s="8"/>
      <c r="M257" s="8"/>
      <c r="N257" s="8"/>
      <c r="O257" s="8"/>
    </row>
    <row r="258" spans="3:15" hidden="1" outlineLevel="1">
      <c r="C258" t="s">
        <v>268</v>
      </c>
      <c r="D258" t="s">
        <v>217</v>
      </c>
      <c r="F258" s="108">
        <f>(F256/E256)-1</f>
        <v>7.0507461765162205E-2</v>
      </c>
      <c r="G258" s="108">
        <f t="shared" ref="G258:J258" si="70">(G256/F256)-1</f>
        <v>0.15269151455420049</v>
      </c>
      <c r="H258" s="108">
        <f t="shared" si="70"/>
        <v>0.1291520431663804</v>
      </c>
      <c r="I258" s="108">
        <f t="shared" si="70"/>
        <v>3.8285824762358756E-2</v>
      </c>
      <c r="J258" s="108">
        <f t="shared" si="70"/>
        <v>1.9076961044344865E-2</v>
      </c>
      <c r="K258" s="186">
        <f>AVERAGE(I258:J258,F258)</f>
        <v>4.2623415857288606E-2</v>
      </c>
      <c r="L258" s="114">
        <f>L33</f>
        <v>4.5623415857288609E-2</v>
      </c>
      <c r="M258" s="114">
        <f>M33</f>
        <v>4.8623415857288611E-2</v>
      </c>
      <c r="N258" s="114">
        <f>N33</f>
        <v>5.1623415857288614E-2</v>
      </c>
      <c r="O258" s="114">
        <f>O33</f>
        <v>5.4623415857288617E-2</v>
      </c>
    </row>
    <row r="259" spans="3:15" hidden="1" outlineLevel="1">
      <c r="C259" t="s">
        <v>269</v>
      </c>
      <c r="D259" t="s">
        <v>217</v>
      </c>
      <c r="F259" s="108">
        <f>(F241/E241)-1</f>
        <v>2.1373056994818729E-2</v>
      </c>
      <c r="G259" s="108">
        <f t="shared" ref="G259:O259" si="71">(G241/F241)-1</f>
        <v>2.0925808497146425E-2</v>
      </c>
      <c r="H259" s="108">
        <f t="shared" si="71"/>
        <v>2.6708074534161685E-2</v>
      </c>
      <c r="I259" s="108">
        <f t="shared" si="71"/>
        <v>2.7828191167573957E-2</v>
      </c>
      <c r="J259" s="108">
        <f t="shared" si="71"/>
        <v>3.0606238964096644E-2</v>
      </c>
      <c r="K259" s="114">
        <f t="shared" si="71"/>
        <v>3.1410622501427898E-2</v>
      </c>
      <c r="L259" s="114">
        <f t="shared" si="71"/>
        <v>2.9346622369878173E-2</v>
      </c>
      <c r="M259" s="114">
        <f t="shared" si="71"/>
        <v>2.9047875201721363E-2</v>
      </c>
      <c r="N259" s="114">
        <f t="shared" si="71"/>
        <v>2.8227914270778864E-2</v>
      </c>
      <c r="O259" s="114">
        <f t="shared" si="71"/>
        <v>2.7452974072191161E-2</v>
      </c>
    </row>
    <row r="260" spans="3:15" hidden="1" outlineLevel="1">
      <c r="K260" s="8"/>
      <c r="L260" s="8"/>
      <c r="M260" s="8"/>
      <c r="N260" s="8"/>
      <c r="O260" s="8"/>
    </row>
    <row r="261" spans="3:15" hidden="1" outlineLevel="1">
      <c r="C261" t="s">
        <v>270</v>
      </c>
      <c r="D261" t="s">
        <v>217</v>
      </c>
      <c r="F261" s="108">
        <f>(1+F258)*(1+F259)-1</f>
        <v>9.3387478758847786E-2</v>
      </c>
      <c r="G261" s="108">
        <f t="shared" ref="G261:O261" si="72">(1+G258)*(1+G259)-1</f>
        <v>0.17681251644404727</v>
      </c>
      <c r="H261" s="108">
        <f t="shared" si="72"/>
        <v>0.15930952009566912</v>
      </c>
      <c r="I261" s="108">
        <f t="shared" si="72"/>
        <v>6.7179441180427846E-2</v>
      </c>
      <c r="J261" s="108">
        <f t="shared" si="72"/>
        <v>5.0267074036873582E-2</v>
      </c>
      <c r="K261" s="114">
        <f t="shared" si="72"/>
        <v>7.5372866383931258E-2</v>
      </c>
      <c r="L261" s="114">
        <f t="shared" si="72"/>
        <v>7.6308931383554546E-2</v>
      </c>
      <c r="M261" s="114">
        <f t="shared" si="72"/>
        <v>7.908369797471404E-2</v>
      </c>
      <c r="N261" s="114">
        <f t="shared" si="72"/>
        <v>8.1308551485251845E-2</v>
      </c>
      <c r="O261" s="114">
        <f t="shared" si="72"/>
        <v>8.3575965148744435E-2</v>
      </c>
    </row>
    <row r="262" spans="3:15" hidden="1" outlineLevel="1">
      <c r="K262" s="8"/>
      <c r="L262" s="8"/>
      <c r="M262" s="8"/>
      <c r="N262" s="8"/>
      <c r="O262" s="8"/>
    </row>
    <row r="263" spans="3:15" hidden="1" outlineLevel="1">
      <c r="C263" t="s">
        <v>266</v>
      </c>
      <c r="D263" t="s">
        <v>209</v>
      </c>
      <c r="J263" s="104">
        <f>J254</f>
        <v>249910</v>
      </c>
      <c r="K263" s="167">
        <f>J263*(1+K261)</f>
        <v>268746.43303800828</v>
      </c>
      <c r="L263" s="167">
        <f>K263*(1+L261)</f>
        <v>289254.18615628069</v>
      </c>
      <c r="M263" s="167">
        <f>L263*(1+M261)</f>
        <v>312129.47685218567</v>
      </c>
      <c r="N263" s="167">
        <f>M263*(1+N261)</f>
        <v>337508.27249088633</v>
      </c>
      <c r="O263" s="167">
        <f>N263*(1+O261)</f>
        <v>365715.85210999759</v>
      </c>
    </row>
    <row r="264" spans="3:15" hidden="1" outlineLevel="1">
      <c r="K264" s="8"/>
      <c r="L264" s="8"/>
      <c r="M264" s="8"/>
      <c r="N264" s="8"/>
      <c r="O264" s="8"/>
    </row>
    <row r="265" spans="3:15" hidden="1" outlineLevel="1">
      <c r="C265" t="s">
        <v>271</v>
      </c>
      <c r="D265" t="s">
        <v>209</v>
      </c>
      <c r="F265" s="104">
        <f>F245</f>
        <v>1707</v>
      </c>
      <c r="G265" s="104">
        <f t="shared" ref="G265:J265" si="73">G245</f>
        <v>2047</v>
      </c>
      <c r="H265" s="104">
        <f t="shared" si="73"/>
        <v>2307</v>
      </c>
      <c r="I265" s="104">
        <f t="shared" si="73"/>
        <v>2576</v>
      </c>
      <c r="J265" s="104">
        <f t="shared" si="73"/>
        <v>2804</v>
      </c>
      <c r="K265" s="8"/>
      <c r="L265" s="8"/>
      <c r="M265" s="8"/>
      <c r="N265" s="8"/>
      <c r="O265" s="8"/>
    </row>
    <row r="266" spans="3:15" hidden="1" outlineLevel="1">
      <c r="C266" t="s">
        <v>272</v>
      </c>
      <c r="D266" t="s">
        <v>217</v>
      </c>
      <c r="F266" s="108">
        <f>F265/F254</f>
        <v>1.0444647041907082E-2</v>
      </c>
      <c r="G266" s="108">
        <f t="shared" ref="G266:J266" si="74">G265/G254</f>
        <v>1.0643165392814433E-2</v>
      </c>
      <c r="H266" s="108">
        <f t="shared" si="74"/>
        <v>1.034668341032426E-2</v>
      </c>
      <c r="I266" s="108">
        <f t="shared" si="74"/>
        <v>1.0825849236601121E-2</v>
      </c>
      <c r="J266" s="108">
        <f t="shared" si="74"/>
        <v>1.1220039214117083E-2</v>
      </c>
      <c r="K266" s="185">
        <f>K35</f>
        <v>1.1420039214117083E-2</v>
      </c>
      <c r="L266" s="184">
        <f>L35</f>
        <v>1.1620039214117084E-2</v>
      </c>
      <c r="M266" s="184">
        <f>M35</f>
        <v>1.1820039214117084E-2</v>
      </c>
      <c r="N266" s="184">
        <f>N35</f>
        <v>1.2020039214117085E-2</v>
      </c>
      <c r="O266" s="184">
        <f>O35</f>
        <v>1.2220039214117085E-2</v>
      </c>
    </row>
    <row r="267" spans="3:15" hidden="1" outlineLevel="1">
      <c r="J267" s="109"/>
      <c r="K267" s="8"/>
      <c r="L267" s="8"/>
      <c r="M267" s="8"/>
      <c r="N267" s="8"/>
      <c r="O267" s="8"/>
    </row>
    <row r="268" spans="3:15" hidden="1" outlineLevel="1">
      <c r="C268" t="s">
        <v>273</v>
      </c>
      <c r="D268" t="s">
        <v>217</v>
      </c>
      <c r="F268" s="108">
        <f>F249/F245</f>
        <v>0.87521968365553604</v>
      </c>
      <c r="G268" s="108">
        <f t="shared" ref="G268:J268" si="75">G249/G245</f>
        <v>0.86419149975574006</v>
      </c>
      <c r="H268" s="108">
        <f t="shared" si="75"/>
        <v>0.89596879063719115</v>
      </c>
      <c r="I268" s="108">
        <f t="shared" si="75"/>
        <v>0.90722049689440998</v>
      </c>
      <c r="J268" s="108">
        <f t="shared" si="75"/>
        <v>0.89835948644793151</v>
      </c>
      <c r="K268" s="8"/>
      <c r="L268" s="8"/>
      <c r="M268" s="8"/>
      <c r="N268" s="8"/>
      <c r="O268" s="8"/>
    </row>
    <row r="269" spans="3:15" hidden="1" outlineLevel="1">
      <c r="C269" t="s">
        <v>274</v>
      </c>
      <c r="D269" t="s">
        <v>217</v>
      </c>
      <c r="J269" s="109">
        <f>AVERAGE(F268:J268)</f>
        <v>0.88819199147816175</v>
      </c>
      <c r="K269" s="8"/>
      <c r="L269" s="8"/>
      <c r="M269" s="8"/>
      <c r="N269" s="8"/>
      <c r="O269" s="8"/>
    </row>
    <row r="270" spans="3:15" hidden="1" outlineLevel="1">
      <c r="K270" s="8"/>
      <c r="L270" s="8"/>
      <c r="M270" s="8"/>
      <c r="N270" s="8"/>
      <c r="O270" s="8"/>
    </row>
    <row r="271" spans="3:15" hidden="1" outlineLevel="1">
      <c r="C271" t="s">
        <v>186</v>
      </c>
      <c r="D271" t="s">
        <v>209</v>
      </c>
      <c r="K271" s="8"/>
      <c r="L271" s="8"/>
      <c r="M271" s="8"/>
      <c r="N271" s="8"/>
      <c r="O271" s="8"/>
    </row>
    <row r="272" spans="3:15" hidden="1" outlineLevel="1">
      <c r="C272" t="s">
        <v>258</v>
      </c>
      <c r="D272" t="s">
        <v>209</v>
      </c>
      <c r="J272" s="104">
        <f>J244</f>
        <v>2150</v>
      </c>
      <c r="K272" s="175">
        <f>J276</f>
        <v>2435</v>
      </c>
      <c r="L272" s="175">
        <f t="shared" ref="L272:O272" si="76">K276</f>
        <v>2778.1493779941638</v>
      </c>
      <c r="M272" s="175">
        <f t="shared" si="76"/>
        <v>3153.9523052301415</v>
      </c>
      <c r="N272" s="175">
        <f t="shared" si="76"/>
        <v>3566.4548327032235</v>
      </c>
      <c r="O272" s="175">
        <f t="shared" si="76"/>
        <v>4020.0445687305178</v>
      </c>
    </row>
    <row r="273" spans="1:15" hidden="1" outlineLevel="1">
      <c r="C273" t="s">
        <v>275</v>
      </c>
      <c r="D273" t="s">
        <v>209</v>
      </c>
      <c r="J273" s="104">
        <f>J245</f>
        <v>2804</v>
      </c>
      <c r="K273" s="167">
        <f>K263*K266</f>
        <v>3069.0948039481455</v>
      </c>
      <c r="L273" s="167">
        <f t="shared" ref="L273:O273" si="77">L263*L266</f>
        <v>3361.1449859835047</v>
      </c>
      <c r="M273" s="167">
        <f t="shared" si="77"/>
        <v>3689.3826562746854</v>
      </c>
      <c r="N273" s="167">
        <f t="shared" si="77"/>
        <v>4056.8626704293683</v>
      </c>
      <c r="O273" s="167">
        <f t="shared" si="77"/>
        <v>4469.0620540084155</v>
      </c>
    </row>
    <row r="274" spans="1:15" hidden="1" outlineLevel="1">
      <c r="B274" s="5"/>
      <c r="C274" s="5" t="s">
        <v>276</v>
      </c>
      <c r="D274" s="5" t="s">
        <v>209</v>
      </c>
      <c r="E274" s="5"/>
      <c r="F274" s="5"/>
      <c r="G274" s="5"/>
      <c r="H274" s="5"/>
      <c r="I274" s="5"/>
      <c r="J274" s="107">
        <f>SUM(J272:J273)</f>
        <v>4954</v>
      </c>
      <c r="K274" s="168">
        <f t="shared" ref="K274:O274" si="78">SUM(K272:K273)</f>
        <v>5504.0948039481455</v>
      </c>
      <c r="L274" s="168">
        <f t="shared" si="78"/>
        <v>6139.2943639776686</v>
      </c>
      <c r="M274" s="168">
        <f t="shared" si="78"/>
        <v>6843.3349615048264</v>
      </c>
      <c r="N274" s="168">
        <f t="shared" si="78"/>
        <v>7623.3175031325918</v>
      </c>
      <c r="O274" s="168">
        <f t="shared" si="78"/>
        <v>8489.1066227389329</v>
      </c>
    </row>
    <row r="275" spans="1:15" hidden="1" outlineLevel="1">
      <c r="C275" t="s">
        <v>261</v>
      </c>
      <c r="D275" t="s">
        <v>209</v>
      </c>
      <c r="J275" s="104">
        <f>J249</f>
        <v>2519</v>
      </c>
      <c r="K275" s="167">
        <f>K273*$J$269</f>
        <v>2725.9454259539816</v>
      </c>
      <c r="L275" s="167">
        <f t="shared" ref="L275:O275" si="79">L273*$J$269</f>
        <v>2985.3420587475271</v>
      </c>
      <c r="M275" s="167">
        <f t="shared" si="79"/>
        <v>3276.880128801603</v>
      </c>
      <c r="N275" s="167">
        <f t="shared" si="79"/>
        <v>3603.272934402074</v>
      </c>
      <c r="O275" s="167">
        <f t="shared" si="79"/>
        <v>3969.3851257892188</v>
      </c>
    </row>
    <row r="276" spans="1:15" hidden="1" outlineLevel="1">
      <c r="B276" s="5"/>
      <c r="C276" s="5" t="s">
        <v>280</v>
      </c>
      <c r="D276" s="5" t="s">
        <v>209</v>
      </c>
      <c r="E276" s="5"/>
      <c r="F276" s="5"/>
      <c r="G276" s="5"/>
      <c r="H276" s="5"/>
      <c r="I276" s="5"/>
      <c r="J276" s="107">
        <f>J274-J275</f>
        <v>2435</v>
      </c>
      <c r="K276" s="168">
        <f t="shared" ref="K276:O276" si="80">K274-K275</f>
        <v>2778.1493779941638</v>
      </c>
      <c r="L276" s="168">
        <f t="shared" si="80"/>
        <v>3153.9523052301415</v>
      </c>
      <c r="M276" s="168">
        <f t="shared" si="80"/>
        <v>3566.4548327032235</v>
      </c>
      <c r="N276" s="168">
        <f t="shared" si="80"/>
        <v>4020.0445687305178</v>
      </c>
      <c r="O276" s="168">
        <f t="shared" si="80"/>
        <v>4519.7214969497145</v>
      </c>
    </row>
    <row r="277" spans="1:15" hidden="1" outlineLevel="1">
      <c r="K277" s="8"/>
      <c r="L277" s="8"/>
      <c r="M277" s="8"/>
      <c r="N277" s="8"/>
      <c r="O277" s="8"/>
    </row>
    <row r="278" spans="1:15" hidden="1" outlineLevel="1">
      <c r="C278" t="s">
        <v>277</v>
      </c>
      <c r="D278" t="s">
        <v>209</v>
      </c>
      <c r="K278" s="175">
        <f>K276-J276</f>
        <v>343.14937799416384</v>
      </c>
      <c r="L278" s="175">
        <f t="shared" ref="L278:O278" si="81">L276-K276</f>
        <v>375.80292723597768</v>
      </c>
      <c r="M278" s="175">
        <f t="shared" si="81"/>
        <v>412.50252747308195</v>
      </c>
      <c r="N278" s="175">
        <f t="shared" si="81"/>
        <v>453.58973602729429</v>
      </c>
      <c r="O278" s="175">
        <f t="shared" si="81"/>
        <v>499.67692821919672</v>
      </c>
    </row>
    <row r="279" spans="1:15" ht="15" hidden="1" outlineLevel="1" thickBot="1">
      <c r="B279" s="33" t="s">
        <v>279</v>
      </c>
      <c r="C279" s="33"/>
      <c r="D279" s="33" t="s">
        <v>209</v>
      </c>
      <c r="E279" s="33"/>
      <c r="F279" s="33"/>
      <c r="G279" s="33"/>
      <c r="H279" s="33"/>
      <c r="I279" s="33"/>
      <c r="J279" s="33"/>
      <c r="K279" s="101">
        <f>K263-K278</f>
        <v>268403.2836600141</v>
      </c>
      <c r="L279" s="101">
        <f t="shared" ref="L279:O279" si="82">L263-L278</f>
        <v>288878.38322904473</v>
      </c>
      <c r="M279" s="101">
        <f t="shared" si="82"/>
        <v>311716.97432471259</v>
      </c>
      <c r="N279" s="101">
        <f t="shared" si="82"/>
        <v>337054.68275485904</v>
      </c>
      <c r="O279" s="101">
        <f t="shared" si="82"/>
        <v>365216.17518177838</v>
      </c>
    </row>
    <row r="280" spans="1:15" ht="15" hidden="1" outlineLevel="1" thickTop="1"/>
    <row r="281" spans="1:15" collapsed="1"/>
    <row r="282" spans="1:15">
      <c r="A282" s="115" t="s">
        <v>286</v>
      </c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</row>
    <row r="283" spans="1:15" hidden="1" outlineLevel="1"/>
    <row r="284" spans="1:15" hidden="1" outlineLevel="1">
      <c r="A284" s="2" t="s">
        <v>16</v>
      </c>
      <c r="B284" s="2"/>
      <c r="C284" s="2"/>
      <c r="D284" s="2"/>
      <c r="E284" s="4"/>
      <c r="F284" s="4">
        <f t="shared" ref="F284:J284" si="83">G284-1</f>
        <v>2020</v>
      </c>
      <c r="G284" s="4">
        <f t="shared" si="83"/>
        <v>2021</v>
      </c>
      <c r="H284" s="4">
        <f t="shared" si="83"/>
        <v>2022</v>
      </c>
      <c r="I284" s="4">
        <f t="shared" si="83"/>
        <v>2023</v>
      </c>
      <c r="J284" s="4">
        <f t="shared" si="83"/>
        <v>2024</v>
      </c>
      <c r="K284" s="7">
        <f>K$8</f>
        <v>2025</v>
      </c>
      <c r="L284" s="7">
        <f>L$8</f>
        <v>2026</v>
      </c>
      <c r="M284" s="7">
        <f>M$8</f>
        <v>2027</v>
      </c>
      <c r="N284" s="7">
        <f>N$8</f>
        <v>2028</v>
      </c>
      <c r="O284" s="7">
        <f>O$8</f>
        <v>2029</v>
      </c>
    </row>
    <row r="285" spans="1:15" hidden="1" outlineLevel="1">
      <c r="B285" t="s">
        <v>12</v>
      </c>
      <c r="D285" t="s">
        <v>209</v>
      </c>
      <c r="F285" s="28">
        <f>F61</f>
        <v>163220</v>
      </c>
      <c r="G285" s="28">
        <f>G61</f>
        <v>192052</v>
      </c>
      <c r="H285" s="28">
        <f>H61</f>
        <v>222730</v>
      </c>
      <c r="I285" s="28">
        <f>I61</f>
        <v>237710</v>
      </c>
      <c r="J285" s="28">
        <f>J61</f>
        <v>249625</v>
      </c>
      <c r="K285" s="29">
        <f>K61</f>
        <v>268403.2836600141</v>
      </c>
      <c r="L285" s="29">
        <f>L61</f>
        <v>288878.38322904473</v>
      </c>
      <c r="M285" s="29">
        <f>M61</f>
        <v>311716.97432471259</v>
      </c>
      <c r="N285" s="29">
        <f>N61</f>
        <v>337054.68275485904</v>
      </c>
      <c r="O285" s="29">
        <f>O61</f>
        <v>365216.17518177838</v>
      </c>
    </row>
    <row r="286" spans="1:15" hidden="1" outlineLevel="1">
      <c r="B286" t="s">
        <v>287</v>
      </c>
      <c r="D286" t="s">
        <v>209</v>
      </c>
      <c r="F286" s="28">
        <f>-F66</f>
        <v>144939</v>
      </c>
      <c r="G286" s="28">
        <f>-G66</f>
        <v>170684</v>
      </c>
      <c r="H286" s="28">
        <f>-H66</f>
        <v>199382</v>
      </c>
      <c r="I286" s="28">
        <f>-I66</f>
        <v>212586</v>
      </c>
      <c r="J286" s="28">
        <f>-J66</f>
        <v>222358</v>
      </c>
      <c r="K286" s="29"/>
      <c r="L286" s="29"/>
      <c r="M286" s="29"/>
      <c r="N286" s="29"/>
      <c r="O286" s="29"/>
    </row>
    <row r="287" spans="1:15" hidden="1" outlineLevel="1">
      <c r="B287" s="5" t="s">
        <v>225</v>
      </c>
      <c r="C287" s="5"/>
      <c r="D287" s="5" t="s">
        <v>217</v>
      </c>
      <c r="E287" s="5"/>
      <c r="F287" s="158">
        <f>1-(F286/F285)</f>
        <v>0.11200220561205732</v>
      </c>
      <c r="G287" s="158">
        <f t="shared" ref="G287:J287" si="84">1-(G286/G285)</f>
        <v>0.11126153333472188</v>
      </c>
      <c r="H287" s="158">
        <f t="shared" si="84"/>
        <v>0.10482647151259372</v>
      </c>
      <c r="I287" s="158">
        <f t="shared" si="84"/>
        <v>0.10569180934752431</v>
      </c>
      <c r="J287" s="158">
        <f t="shared" si="84"/>
        <v>0.10923184777165751</v>
      </c>
      <c r="K287" s="105"/>
      <c r="L287" s="105"/>
      <c r="M287" s="105"/>
      <c r="N287" s="105"/>
      <c r="O287" s="105"/>
    </row>
    <row r="288" spans="1:15" hidden="1" outlineLevel="1">
      <c r="B288" s="173" t="s">
        <v>288</v>
      </c>
      <c r="D288" t="s">
        <v>217</v>
      </c>
      <c r="J288" s="109">
        <f>AVERAGE(F287:J287)</f>
        <v>0.10860277351571095</v>
      </c>
      <c r="K288" s="161">
        <f>K40</f>
        <v>0.10860277351571095</v>
      </c>
      <c r="L288" s="161">
        <f t="shared" ref="L288:O288" si="85">L40</f>
        <v>0.10860277351571095</v>
      </c>
      <c r="M288" s="161">
        <f t="shared" si="85"/>
        <v>0.10860277351571095</v>
      </c>
      <c r="N288" s="161">
        <f t="shared" si="85"/>
        <v>0.10860277351571095</v>
      </c>
      <c r="O288" s="161">
        <f t="shared" si="85"/>
        <v>0.10860277351571095</v>
      </c>
    </row>
    <row r="289" spans="2:15" hidden="1" outlineLevel="1">
      <c r="B289" s="5" t="s">
        <v>290</v>
      </c>
      <c r="C289" s="5"/>
      <c r="D289" s="5" t="s">
        <v>209</v>
      </c>
      <c r="E289" s="5"/>
      <c r="F289" s="5"/>
      <c r="G289" s="5"/>
      <c r="H289" s="5"/>
      <c r="I289" s="5"/>
      <c r="J289" s="5"/>
      <c r="K289" s="31">
        <f>(1-K288)*K285</f>
        <v>239253.94263381249</v>
      </c>
      <c r="L289" s="31">
        <f>(1-L288)*L285</f>
        <v>257505.38960163604</v>
      </c>
      <c r="M289" s="31">
        <f>(1-M288)*M285</f>
        <v>277863.64636112313</v>
      </c>
      <c r="N289" s="31">
        <f>(1-N288)*N285</f>
        <v>300449.60938122327</v>
      </c>
      <c r="O289" s="31">
        <f>(1-O288)*O285</f>
        <v>325552.68562423752</v>
      </c>
    </row>
    <row r="290" spans="2:15" hidden="1" outlineLevel="1">
      <c r="B290" s="199" t="s">
        <v>289</v>
      </c>
      <c r="K290" s="8"/>
      <c r="L290" s="8"/>
      <c r="M290" s="8"/>
      <c r="N290" s="8"/>
      <c r="O290" s="8"/>
    </row>
    <row r="291" spans="2:15" hidden="1" outlineLevel="1">
      <c r="B291" s="173" t="s">
        <v>291</v>
      </c>
      <c r="D291" t="s">
        <v>209</v>
      </c>
      <c r="F291" s="104">
        <f>-F67</f>
        <v>16387</v>
      </c>
      <c r="G291">
        <f>-G67</f>
        <v>18537</v>
      </c>
      <c r="H291">
        <f>-H67</f>
        <v>19779</v>
      </c>
      <c r="I291">
        <f>-I67</f>
        <v>21590</v>
      </c>
      <c r="J291">
        <f>-J67</f>
        <v>22810</v>
      </c>
      <c r="K291" s="8"/>
      <c r="L291" s="8"/>
      <c r="M291" s="8"/>
      <c r="N291" s="8"/>
      <c r="O291" s="8"/>
    </row>
    <row r="292" spans="2:15" hidden="1" outlineLevel="1">
      <c r="C292" s="173" t="s">
        <v>292</v>
      </c>
      <c r="D292" t="s">
        <v>217</v>
      </c>
      <c r="F292" s="108">
        <f>F291/F285</f>
        <v>0.10039823551035412</v>
      </c>
      <c r="G292" s="108">
        <f t="shared" ref="G292:J292" si="86">G291/G285</f>
        <v>9.6520733967883701E-2</v>
      </c>
      <c r="H292" s="108">
        <f t="shared" si="86"/>
        <v>8.8802586090782565E-2</v>
      </c>
      <c r="I292" s="108">
        <f t="shared" si="86"/>
        <v>9.0824954776828906E-2</v>
      </c>
      <c r="J292" s="108">
        <f t="shared" si="86"/>
        <v>9.1377065598397603E-2</v>
      </c>
      <c r="K292" s="8"/>
      <c r="L292" s="8"/>
      <c r="M292" s="8"/>
      <c r="N292" s="8"/>
      <c r="O292" s="8"/>
    </row>
    <row r="293" spans="2:15" hidden="1" outlineLevel="1">
      <c r="C293" t="s">
        <v>297</v>
      </c>
      <c r="D293" t="s">
        <v>217</v>
      </c>
      <c r="J293" s="109">
        <f>AVERAGE(G292:J292)</f>
        <v>9.1881335108473183E-2</v>
      </c>
      <c r="K293" s="161">
        <f t="shared" ref="K293:O293" si="87">K42</f>
        <v>9.0297304168993064E-2</v>
      </c>
      <c r="L293" s="161">
        <f t="shared" si="87"/>
        <v>8.8713273229512946E-2</v>
      </c>
      <c r="M293" s="161">
        <f t="shared" si="87"/>
        <v>8.7129242290032827E-2</v>
      </c>
      <c r="N293" s="161">
        <f t="shared" si="87"/>
        <v>8.5545211350552708E-2</v>
      </c>
      <c r="O293" s="161">
        <f t="shared" si="87"/>
        <v>8.3961180411072589E-2</v>
      </c>
    </row>
    <row r="294" spans="2:15" hidden="1" outlineLevel="1">
      <c r="C294" t="s">
        <v>293</v>
      </c>
      <c r="D294" t="s">
        <v>217</v>
      </c>
      <c r="J294" s="108">
        <f>(J285/G285)-1</f>
        <v>0.29977818507487553</v>
      </c>
      <c r="K294" s="8"/>
      <c r="L294" s="8"/>
      <c r="M294" s="8"/>
      <c r="N294" s="8"/>
      <c r="O294" s="8"/>
    </row>
    <row r="295" spans="2:15" hidden="1" outlineLevel="1">
      <c r="C295" t="s">
        <v>294</v>
      </c>
      <c r="D295" t="s">
        <v>217</v>
      </c>
      <c r="J295" s="109">
        <f>G292-J292</f>
        <v>5.1436683694860985E-3</v>
      </c>
      <c r="K295" s="8"/>
      <c r="L295" s="8"/>
      <c r="M295" s="8"/>
      <c r="N295" s="8"/>
      <c r="O295" s="8"/>
    </row>
    <row r="296" spans="2:15" hidden="1" outlineLevel="1">
      <c r="C296" t="s">
        <v>296</v>
      </c>
      <c r="D296" t="s">
        <v>217</v>
      </c>
      <c r="J296" s="108">
        <f>(O285/J285)-1</f>
        <v>0.46305928966160592</v>
      </c>
      <c r="K296" s="8"/>
      <c r="L296" s="8"/>
      <c r="M296" s="8"/>
      <c r="N296" s="8"/>
      <c r="O296" s="8"/>
    </row>
    <row r="297" spans="2:15" hidden="1" outlineLevel="1">
      <c r="C297" t="s">
        <v>295</v>
      </c>
      <c r="D297" t="s">
        <v>217</v>
      </c>
      <c r="J297" s="108">
        <f>(J295/J294)*J296</f>
        <v>7.9452860148385915E-3</v>
      </c>
      <c r="K297" s="8"/>
      <c r="L297" s="8"/>
      <c r="M297" s="8"/>
      <c r="N297" s="8"/>
      <c r="O297" s="8"/>
    </row>
    <row r="298" spans="2:15" hidden="1" outlineLevel="1">
      <c r="C298" t="s">
        <v>298</v>
      </c>
      <c r="D298" t="s">
        <v>217</v>
      </c>
      <c r="J298" s="108">
        <f>(1+J297)^0.2-1</f>
        <v>1.5840309394801189E-3</v>
      </c>
      <c r="K298" s="8"/>
      <c r="L298" s="8"/>
      <c r="M298" s="8"/>
      <c r="N298" s="8"/>
      <c r="O298" s="8"/>
    </row>
    <row r="299" spans="2:15" hidden="1" outlineLevel="1">
      <c r="B299" s="5" t="s">
        <v>299</v>
      </c>
      <c r="C299" s="5"/>
      <c r="D299" s="5"/>
      <c r="E299" s="5"/>
      <c r="F299" s="5"/>
      <c r="G299" s="5"/>
      <c r="H299" s="5"/>
      <c r="I299" s="5"/>
      <c r="J299" s="158"/>
      <c r="K299" s="166">
        <f>K293*K285</f>
        <v>24236.092944604818</v>
      </c>
      <c r="L299" s="166">
        <f t="shared" ref="L299:O299" si="88">L293*L285</f>
        <v>25627.346941498196</v>
      </c>
      <c r="M299" s="166">
        <f t="shared" si="88"/>
        <v>27159.663781853826</v>
      </c>
      <c r="N299" s="166">
        <f t="shared" si="88"/>
        <v>28833.414072957909</v>
      </c>
      <c r="O299" s="166">
        <f t="shared" si="88"/>
        <v>30663.981173479187</v>
      </c>
    </row>
    <row r="300" spans="2:15" hidden="1" outlineLevel="1">
      <c r="K300" s="8"/>
      <c r="L300" s="8"/>
      <c r="M300" s="8"/>
      <c r="N300" s="8"/>
      <c r="O300" s="8"/>
    </row>
    <row r="301" spans="2:15" hidden="1" outlineLevel="1">
      <c r="C301" t="s">
        <v>300</v>
      </c>
      <c r="D301" t="s">
        <v>209</v>
      </c>
      <c r="F301" s="104">
        <f>F155</f>
        <v>3605</v>
      </c>
      <c r="G301" s="104">
        <f>G155</f>
        <v>4090</v>
      </c>
      <c r="H301" s="104">
        <f>H155</f>
        <v>4381</v>
      </c>
      <c r="I301" s="104">
        <f>I155</f>
        <v>4278</v>
      </c>
      <c r="J301" s="104">
        <f>J155</f>
        <v>4794</v>
      </c>
      <c r="K301" s="8"/>
      <c r="L301" s="8"/>
      <c r="M301" s="8"/>
      <c r="N301" s="8"/>
      <c r="O301" s="8"/>
    </row>
    <row r="302" spans="2:15" hidden="1" outlineLevel="1">
      <c r="C302" t="s">
        <v>301</v>
      </c>
      <c r="D302" t="s">
        <v>217</v>
      </c>
      <c r="F302" s="108">
        <f>F301/F291</f>
        <v>0.21999145664246048</v>
      </c>
      <c r="G302" s="108">
        <f t="shared" ref="G302:J302" si="89">G301/G291</f>
        <v>0.22063980147812484</v>
      </c>
      <c r="H302" s="108">
        <f t="shared" si="89"/>
        <v>0.22149754790434298</v>
      </c>
      <c r="I302" s="108">
        <f t="shared" si="89"/>
        <v>0.19814729041222789</v>
      </c>
      <c r="J302" s="108">
        <f t="shared" si="89"/>
        <v>0.21017097764138537</v>
      </c>
      <c r="K302" s="8"/>
      <c r="L302" s="8"/>
      <c r="M302" s="8"/>
      <c r="N302" s="8"/>
      <c r="O302" s="8"/>
    </row>
    <row r="303" spans="2:15" hidden="1" outlineLevel="1">
      <c r="C303" t="s">
        <v>302</v>
      </c>
      <c r="D303" t="s">
        <v>217</v>
      </c>
      <c r="F303" s="108"/>
      <c r="G303" s="108"/>
      <c r="H303" s="108"/>
      <c r="I303" s="108"/>
      <c r="J303" s="108">
        <f>AVERAGE(F302:J302)</f>
        <v>0.21408941481570834</v>
      </c>
      <c r="K303" s="161">
        <f>$J$303</f>
        <v>0.21408941481570834</v>
      </c>
      <c r="L303" s="161">
        <f t="shared" ref="L303:O303" si="90">$J$303</f>
        <v>0.21408941481570834</v>
      </c>
      <c r="M303" s="161">
        <f t="shared" si="90"/>
        <v>0.21408941481570834</v>
      </c>
      <c r="N303" s="161">
        <f t="shared" si="90"/>
        <v>0.21408941481570834</v>
      </c>
      <c r="O303" s="161">
        <f t="shared" si="90"/>
        <v>0.21408941481570834</v>
      </c>
    </row>
    <row r="304" spans="2:15" hidden="1" outlineLevel="1">
      <c r="C304" t="s">
        <v>303</v>
      </c>
      <c r="D304" t="s">
        <v>209</v>
      </c>
      <c r="K304" s="167">
        <f>K303*K299</f>
        <v>5188.6909559295627</v>
      </c>
      <c r="L304" s="167">
        <f t="shared" ref="L304:O304" si="91">L303*L299</f>
        <v>5486.5437099844812</v>
      </c>
      <c r="M304" s="167">
        <f t="shared" si="91"/>
        <v>5814.5965256484733</v>
      </c>
      <c r="N304" s="167">
        <f t="shared" si="91"/>
        <v>6172.9287460185678</v>
      </c>
      <c r="O304" s="167">
        <f t="shared" si="91"/>
        <v>6564.833785350057</v>
      </c>
    </row>
    <row r="305" spans="1:15" hidden="1" outlineLevel="1"/>
    <row r="306" spans="1:15" collapsed="1"/>
    <row r="307" spans="1:15">
      <c r="A307" s="115" t="s">
        <v>308</v>
      </c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</row>
    <row r="308" spans="1:15" hidden="1" outlineLevel="1"/>
    <row r="309" spans="1:15" hidden="1" outlineLevel="1">
      <c r="A309" s="2" t="s">
        <v>329</v>
      </c>
      <c r="B309" s="2"/>
      <c r="C309" s="2"/>
      <c r="D309" s="2"/>
      <c r="E309" s="4"/>
      <c r="F309" s="4">
        <f t="shared" ref="F309:J309" si="92">G309-1</f>
        <v>2020</v>
      </c>
      <c r="G309" s="4">
        <f t="shared" si="92"/>
        <v>2021</v>
      </c>
      <c r="H309" s="4">
        <f t="shared" si="92"/>
        <v>2022</v>
      </c>
      <c r="I309" s="4">
        <f t="shared" si="92"/>
        <v>2023</v>
      </c>
      <c r="J309" s="4">
        <f t="shared" si="92"/>
        <v>2024</v>
      </c>
      <c r="K309" s="7">
        <f>K$8</f>
        <v>2025</v>
      </c>
      <c r="L309" s="7">
        <f>L$8</f>
        <v>2026</v>
      </c>
      <c r="M309" s="7">
        <f>M$8</f>
        <v>2027</v>
      </c>
      <c r="N309" s="7">
        <f>N$8</f>
        <v>2028</v>
      </c>
      <c r="O309" s="7">
        <f>O$8</f>
        <v>2029</v>
      </c>
    </row>
    <row r="310" spans="1:15" hidden="1" outlineLevel="1">
      <c r="B310" s="1" t="s">
        <v>312</v>
      </c>
      <c r="K310" s="8"/>
      <c r="L310" s="8"/>
      <c r="M310" s="8"/>
      <c r="N310" s="8"/>
      <c r="O310" s="8"/>
    </row>
    <row r="311" spans="1:15" hidden="1" outlineLevel="1">
      <c r="C311" t="s">
        <v>253</v>
      </c>
      <c r="D311" t="s">
        <v>209</v>
      </c>
      <c r="J311" s="104">
        <f>J61</f>
        <v>249625</v>
      </c>
      <c r="K311" s="175">
        <f>K61</f>
        <v>268403.2836600141</v>
      </c>
      <c r="L311" s="175">
        <f>L61</f>
        <v>288878.38322904473</v>
      </c>
      <c r="M311" s="175">
        <f>M61</f>
        <v>311716.97432471259</v>
      </c>
      <c r="N311" s="175">
        <f>N61</f>
        <v>337054.68275485904</v>
      </c>
      <c r="O311" s="175">
        <f>O61</f>
        <v>365216.17518177838</v>
      </c>
    </row>
    <row r="312" spans="1:15" hidden="1" outlineLevel="1">
      <c r="C312" t="s">
        <v>313</v>
      </c>
      <c r="D312" t="s">
        <v>217</v>
      </c>
      <c r="K312" s="114">
        <f>(K311/J311)-1</f>
        <v>7.5225973600457019E-2</v>
      </c>
      <c r="L312" s="114">
        <f t="shared" ref="L312:O312" si="93">(L311/K311)-1</f>
        <v>7.6284832621371423E-2</v>
      </c>
      <c r="M312" s="114">
        <f t="shared" si="93"/>
        <v>7.9059536543998554E-2</v>
      </c>
      <c r="N312" s="114">
        <f t="shared" si="93"/>
        <v>8.1284339696408026E-2</v>
      </c>
      <c r="O312" s="114">
        <f t="shared" si="93"/>
        <v>8.3551702046523069E-2</v>
      </c>
    </row>
    <row r="313" spans="1:15" hidden="1" outlineLevel="1">
      <c r="C313" t="s">
        <v>16</v>
      </c>
      <c r="D313" t="s">
        <v>209</v>
      </c>
      <c r="J313" s="104">
        <f>-J66</f>
        <v>222358</v>
      </c>
      <c r="K313" s="175">
        <f>-K66</f>
        <v>239253.94263381249</v>
      </c>
      <c r="L313" s="175">
        <f>-L66</f>
        <v>257505.38960163604</v>
      </c>
      <c r="M313" s="175">
        <f>-M66</f>
        <v>277863.64636112313</v>
      </c>
      <c r="N313" s="175">
        <f>-N66</f>
        <v>300449.60938122327</v>
      </c>
      <c r="O313" s="175">
        <f>-O66</f>
        <v>325552.68562423752</v>
      </c>
    </row>
    <row r="314" spans="1:15" hidden="1" outlineLevel="1">
      <c r="C314" t="s">
        <v>313</v>
      </c>
      <c r="D314" t="s">
        <v>217</v>
      </c>
      <c r="K314" s="114">
        <f>(K313/J313)-1</f>
        <v>7.59853148247982E-2</v>
      </c>
      <c r="L314" s="114">
        <f t="shared" ref="L314:O314" si="94">(L313/K313)-1</f>
        <v>7.6284832621371201E-2</v>
      </c>
      <c r="M314" s="114">
        <f t="shared" si="94"/>
        <v>7.9059536543998332E-2</v>
      </c>
      <c r="N314" s="114">
        <f t="shared" si="94"/>
        <v>8.1284339696408026E-2</v>
      </c>
      <c r="O314" s="114">
        <f t="shared" si="94"/>
        <v>8.3551702046523291E-2</v>
      </c>
    </row>
    <row r="315" spans="1:15" hidden="1" outlineLevel="1">
      <c r="K315" s="8"/>
      <c r="L315" s="8"/>
      <c r="M315" s="8"/>
      <c r="N315" s="8"/>
      <c r="O315" s="8"/>
    </row>
    <row r="316" spans="1:15" hidden="1" outlineLevel="1">
      <c r="B316" s="1" t="s">
        <v>314</v>
      </c>
      <c r="K316" s="8"/>
      <c r="L316" s="8"/>
      <c r="M316" s="8"/>
      <c r="N316" s="8"/>
      <c r="O316" s="8"/>
    </row>
    <row r="317" spans="1:15" hidden="1" outlineLevel="1">
      <c r="C317" t="s">
        <v>315</v>
      </c>
      <c r="J317" s="104">
        <f>J142</f>
        <v>2721</v>
      </c>
      <c r="K317" s="29">
        <f>J317*(1+K312)</f>
        <v>2925.6898741668438</v>
      </c>
      <c r="L317" s="29">
        <f t="shared" ref="L317:O317" si="95">K317*(1+L312)</f>
        <v>3148.8756365197028</v>
      </c>
      <c r="M317" s="29">
        <f t="shared" si="95"/>
        <v>3397.8242849776389</v>
      </c>
      <c r="N317" s="29">
        <f t="shared" si="95"/>
        <v>3674.0141883864658</v>
      </c>
      <c r="O317" s="29">
        <f t="shared" si="95"/>
        <v>3980.9843271692303</v>
      </c>
    </row>
    <row r="318" spans="1:15" hidden="1" outlineLevel="1">
      <c r="C318" t="s">
        <v>316</v>
      </c>
      <c r="J318" s="104">
        <f>J143</f>
        <v>18647</v>
      </c>
      <c r="K318" s="29">
        <f>J318*(1+K314)</f>
        <v>20063.898165538012</v>
      </c>
      <c r="L318" s="29">
        <f t="shared" ref="L318:O318" si="96">K318*(1+L314)</f>
        <v>21594.469278828317</v>
      </c>
      <c r="M318" s="29">
        <f t="shared" si="96"/>
        <v>23301.718011926096</v>
      </c>
      <c r="N318" s="29">
        <f t="shared" si="96"/>
        <v>25195.782774317406</v>
      </c>
      <c r="O318" s="29">
        <f t="shared" si="96"/>
        <v>27300.933309506097</v>
      </c>
    </row>
    <row r="319" spans="1:15" hidden="1" outlineLevel="1">
      <c r="C319" t="s">
        <v>310</v>
      </c>
      <c r="J319" s="104">
        <f>J144</f>
        <v>1734</v>
      </c>
      <c r="K319" s="29">
        <f>J319*(1+K312)</f>
        <v>1864.4418382231925</v>
      </c>
      <c r="L319" s="29">
        <f t="shared" ref="L319:O319" si="97">K319*(1+L312)</f>
        <v>2006.6704717843309</v>
      </c>
      <c r="M319" s="29">
        <f t="shared" si="97"/>
        <v>2165.3169092801268</v>
      </c>
      <c r="N319" s="29">
        <f t="shared" si="97"/>
        <v>2341.3232644844288</v>
      </c>
      <c r="O319" s="29">
        <f t="shared" si="97"/>
        <v>2536.9448082732247</v>
      </c>
    </row>
    <row r="320" spans="1:15" hidden="1" outlineLevel="1">
      <c r="K320" s="29"/>
      <c r="L320" s="29"/>
      <c r="M320" s="29"/>
      <c r="N320" s="29"/>
      <c r="O320" s="29"/>
    </row>
    <row r="321" spans="2:15" hidden="1" outlineLevel="1">
      <c r="C321" t="s">
        <v>62</v>
      </c>
      <c r="J321" s="104">
        <f>J154</f>
        <v>19421</v>
      </c>
      <c r="K321" s="29">
        <f>J321*(1+K314)</f>
        <v>20896.710799212407</v>
      </c>
      <c r="L321" s="29">
        <f t="shared" ref="L321:O321" si="98">K321*(1+L314)</f>
        <v>22490.812884867526</v>
      </c>
      <c r="M321" s="29">
        <f t="shared" si="98"/>
        <v>24268.926128042938</v>
      </c>
      <c r="N321" s="29">
        <f t="shared" si="98"/>
        <v>26241.609763501812</v>
      </c>
      <c r="O321" s="29">
        <f t="shared" si="98"/>
        <v>28434.140923683051</v>
      </c>
    </row>
    <row r="322" spans="2:15" hidden="1" outlineLevel="1">
      <c r="C322" t="s">
        <v>185</v>
      </c>
      <c r="J322" s="104">
        <f>J155</f>
        <v>4794</v>
      </c>
      <c r="K322" s="29">
        <f>K155</f>
        <v>5188.6909559295627</v>
      </c>
      <c r="L322" s="29">
        <f>L155</f>
        <v>5486.5437099844812</v>
      </c>
      <c r="M322" s="29">
        <f>M155</f>
        <v>5814.5965256484733</v>
      </c>
      <c r="N322" s="29">
        <f>N155</f>
        <v>6172.9287460185678</v>
      </c>
      <c r="O322" s="29">
        <f>O155</f>
        <v>6564.833785350057</v>
      </c>
    </row>
    <row r="323" spans="2:15" hidden="1" outlineLevel="1">
      <c r="C323" t="s">
        <v>186</v>
      </c>
      <c r="J323" s="104">
        <f>J156</f>
        <v>2435</v>
      </c>
      <c r="K323" s="29">
        <f>K156</f>
        <v>2778.1493779941638</v>
      </c>
      <c r="L323" s="29">
        <f>L156</f>
        <v>3153.9523052301415</v>
      </c>
      <c r="M323" s="29">
        <f>M156</f>
        <v>3566.4548327032235</v>
      </c>
      <c r="N323" s="29">
        <f>N156</f>
        <v>4020.0445687305178</v>
      </c>
      <c r="O323" s="29">
        <f>O156</f>
        <v>4519.7214969497145</v>
      </c>
    </row>
    <row r="324" spans="2:15" hidden="1" outlineLevel="1">
      <c r="C324" t="s">
        <v>187</v>
      </c>
      <c r="J324" s="104">
        <f>J157</f>
        <v>2501</v>
      </c>
      <c r="K324" s="29">
        <f>K157</f>
        <v>2798.6149845375976</v>
      </c>
      <c r="L324" s="29">
        <f>L157</f>
        <v>3161.1957867254223</v>
      </c>
      <c r="M324" s="29">
        <f>M157</f>
        <v>3427.4813457290124</v>
      </c>
      <c r="N324" s="29">
        <f>N157</f>
        <v>3717.1511328406177</v>
      </c>
      <c r="O324" s="29">
        <f>O157</f>
        <v>4029.6636507588128</v>
      </c>
    </row>
    <row r="325" spans="2:15" hidden="1" outlineLevel="1">
      <c r="C325" t="s">
        <v>317</v>
      </c>
      <c r="J325" s="104">
        <f>J159</f>
        <v>6210</v>
      </c>
      <c r="K325" s="29">
        <f>J325*(1+K312)</f>
        <v>6677.1532960588384</v>
      </c>
      <c r="L325" s="29">
        <f t="shared" ref="L325:O325" si="99">K325*(1+L312)</f>
        <v>7186.5188176359252</v>
      </c>
      <c r="M325" s="29">
        <f t="shared" si="99"/>
        <v>7754.6816647229462</v>
      </c>
      <c r="N325" s="29">
        <f t="shared" si="99"/>
        <v>8385.0158433957931</v>
      </c>
      <c r="O325" s="29">
        <f t="shared" si="99"/>
        <v>9085.5981887985745</v>
      </c>
    </row>
    <row r="326" spans="2:15" hidden="1" outlineLevel="1">
      <c r="K326" s="8"/>
      <c r="L326" s="8"/>
      <c r="M326" s="8"/>
      <c r="N326" s="8"/>
      <c r="O326" s="8"/>
    </row>
    <row r="327" spans="2:15" hidden="1" outlineLevel="1">
      <c r="C327" t="s">
        <v>318</v>
      </c>
      <c r="K327" s="29">
        <f>J318-K318</f>
        <v>-1416.8981655380121</v>
      </c>
      <c r="L327" s="29">
        <f t="shared" ref="L327:O327" si="100">K318-L318</f>
        <v>-1530.5711132903052</v>
      </c>
      <c r="M327" s="29">
        <f t="shared" si="100"/>
        <v>-1707.2487330977783</v>
      </c>
      <c r="N327" s="29">
        <f t="shared" si="100"/>
        <v>-1894.0647623913101</v>
      </c>
      <c r="O327" s="29">
        <f t="shared" si="100"/>
        <v>-2105.1505351886917</v>
      </c>
    </row>
    <row r="328" spans="2:15" hidden="1" outlineLevel="1">
      <c r="C328" t="s">
        <v>319</v>
      </c>
      <c r="K328" s="29">
        <f>K321-J321</f>
        <v>1475.7107992124074</v>
      </c>
      <c r="L328" s="29">
        <f t="shared" ref="L328:O328" si="101">L321-K321</f>
        <v>1594.1020856551186</v>
      </c>
      <c r="M328" s="29">
        <f t="shared" si="101"/>
        <v>1778.1132431754122</v>
      </c>
      <c r="N328" s="29">
        <f t="shared" si="101"/>
        <v>1972.6836354588741</v>
      </c>
      <c r="O328" s="29">
        <f t="shared" si="101"/>
        <v>2192.5311601812391</v>
      </c>
    </row>
    <row r="329" spans="2:15" hidden="1" outlineLevel="1">
      <c r="K329" s="29"/>
      <c r="L329" s="29"/>
      <c r="M329" s="29"/>
      <c r="N329" s="29"/>
      <c r="O329" s="29"/>
    </row>
    <row r="330" spans="2:15" hidden="1" outlineLevel="1">
      <c r="C330" t="s">
        <v>320</v>
      </c>
      <c r="K330" s="29">
        <f>J317-K317</f>
        <v>-204.68987416684377</v>
      </c>
      <c r="L330" s="29">
        <f t="shared" ref="L330:O330" si="102">K317-L317</f>
        <v>-223.185762352859</v>
      </c>
      <c r="M330" s="29">
        <f t="shared" si="102"/>
        <v>-248.94864845793609</v>
      </c>
      <c r="N330" s="29">
        <f t="shared" si="102"/>
        <v>-276.18990340882692</v>
      </c>
      <c r="O330" s="29">
        <f t="shared" si="102"/>
        <v>-306.97013878276448</v>
      </c>
    </row>
    <row r="331" spans="2:15" hidden="1" outlineLevel="1">
      <c r="C331" t="s">
        <v>321</v>
      </c>
      <c r="K331" s="29">
        <f>J319-K319</f>
        <v>-130.44183822319246</v>
      </c>
      <c r="L331" s="29">
        <f t="shared" ref="L331:O331" si="103">K319-L319</f>
        <v>-142.22863356113839</v>
      </c>
      <c r="M331" s="29">
        <f t="shared" si="103"/>
        <v>-158.64643749579591</v>
      </c>
      <c r="N331" s="29">
        <f t="shared" si="103"/>
        <v>-176.00635520430205</v>
      </c>
      <c r="O331" s="29">
        <f t="shared" si="103"/>
        <v>-195.62154378879586</v>
      </c>
    </row>
    <row r="332" spans="2:15" hidden="1" outlineLevel="1">
      <c r="B332" s="5"/>
      <c r="C332" s="6" t="s">
        <v>322</v>
      </c>
      <c r="D332" s="5"/>
      <c r="E332" s="5"/>
      <c r="F332" s="5"/>
      <c r="G332" s="5"/>
      <c r="H332" s="5"/>
      <c r="I332" s="5"/>
      <c r="J332" s="5"/>
      <c r="K332" s="31">
        <f>SUM(K330:K331)</f>
        <v>-335.13171239003623</v>
      </c>
      <c r="L332" s="31">
        <f t="shared" ref="L332:O332" si="104">SUM(L330:L331)</f>
        <v>-365.4143959139974</v>
      </c>
      <c r="M332" s="31">
        <f t="shared" si="104"/>
        <v>-407.595085953732</v>
      </c>
      <c r="N332" s="31">
        <f t="shared" si="104"/>
        <v>-452.19625861312898</v>
      </c>
      <c r="O332" s="31">
        <f t="shared" si="104"/>
        <v>-502.59168257156034</v>
      </c>
    </row>
    <row r="333" spans="2:15" hidden="1" outlineLevel="1">
      <c r="K333" s="29"/>
      <c r="L333" s="29"/>
      <c r="M333" s="29"/>
      <c r="N333" s="29"/>
      <c r="O333" s="29"/>
    </row>
    <row r="334" spans="2:15" hidden="1" outlineLevel="1">
      <c r="C334" t="s">
        <v>323</v>
      </c>
      <c r="K334" s="29">
        <f>K322-J322</f>
        <v>394.69095592956273</v>
      </c>
      <c r="L334" s="29">
        <f t="shared" ref="L334:O334" si="105">L322-K322</f>
        <v>297.85275405491848</v>
      </c>
      <c r="M334" s="29">
        <f t="shared" si="105"/>
        <v>328.05281566399208</v>
      </c>
      <c r="N334" s="29">
        <f t="shared" si="105"/>
        <v>358.33222037009455</v>
      </c>
      <c r="O334" s="29">
        <f t="shared" si="105"/>
        <v>391.90503933148921</v>
      </c>
    </row>
    <row r="335" spans="2:15" hidden="1" outlineLevel="1">
      <c r="C335" t="s">
        <v>324</v>
      </c>
      <c r="K335" s="29">
        <f>K323-J323</f>
        <v>343.14937799416384</v>
      </c>
      <c r="L335" s="29">
        <f t="shared" ref="L335:O335" si="106">L323-K323</f>
        <v>375.80292723597768</v>
      </c>
      <c r="M335" s="29">
        <f t="shared" si="106"/>
        <v>412.50252747308195</v>
      </c>
      <c r="N335" s="29">
        <f t="shared" si="106"/>
        <v>453.58973602729429</v>
      </c>
      <c r="O335" s="29">
        <f t="shared" si="106"/>
        <v>499.67692821919672</v>
      </c>
    </row>
    <row r="336" spans="2:15" hidden="1" outlineLevel="1">
      <c r="C336" t="s">
        <v>325</v>
      </c>
      <c r="K336" s="29">
        <f>K324-J324</f>
        <v>297.61498453759759</v>
      </c>
      <c r="L336" s="29">
        <f t="shared" ref="L336:O336" si="107">L324-K324</f>
        <v>362.5808021878247</v>
      </c>
      <c r="M336" s="29">
        <f t="shared" si="107"/>
        <v>266.28555900359015</v>
      </c>
      <c r="N336" s="29">
        <f t="shared" si="107"/>
        <v>289.66978711160527</v>
      </c>
      <c r="O336" s="29">
        <f t="shared" si="107"/>
        <v>312.51251791819504</v>
      </c>
    </row>
    <row r="337" spans="1:15" hidden="1" outlineLevel="1">
      <c r="C337" t="s">
        <v>326</v>
      </c>
      <c r="K337" s="29">
        <f>K325-J325</f>
        <v>467.15329605883835</v>
      </c>
      <c r="L337" s="29">
        <f t="shared" ref="L337:O337" si="108">L325-K325</f>
        <v>509.36552157708684</v>
      </c>
      <c r="M337" s="29">
        <f t="shared" si="108"/>
        <v>568.16284708702096</v>
      </c>
      <c r="N337" s="29">
        <f t="shared" si="108"/>
        <v>630.33417867284697</v>
      </c>
      <c r="O337" s="29">
        <f t="shared" si="108"/>
        <v>700.58234540278136</v>
      </c>
    </row>
    <row r="338" spans="1:15" hidden="1" outlineLevel="1">
      <c r="B338" s="5"/>
      <c r="C338" s="6" t="s">
        <v>327</v>
      </c>
      <c r="D338" s="5"/>
      <c r="E338" s="5"/>
      <c r="F338" s="5"/>
      <c r="G338" s="5"/>
      <c r="H338" s="5"/>
      <c r="I338" s="5"/>
      <c r="J338" s="5"/>
      <c r="K338" s="31">
        <f>SUM(K334:K337)</f>
        <v>1502.6086145201625</v>
      </c>
      <c r="L338" s="31">
        <f t="shared" ref="L338:O338" si="109">SUM(L334:L337)</f>
        <v>1545.6020050558077</v>
      </c>
      <c r="M338" s="31">
        <f t="shared" si="109"/>
        <v>1575.0037492276851</v>
      </c>
      <c r="N338" s="31">
        <f t="shared" si="109"/>
        <v>1731.9259221818411</v>
      </c>
      <c r="O338" s="31">
        <f t="shared" si="109"/>
        <v>1904.6768308716623</v>
      </c>
    </row>
    <row r="339" spans="1:15" hidden="1" outlineLevel="1">
      <c r="K339" s="29"/>
      <c r="L339" s="29"/>
      <c r="M339" s="29"/>
      <c r="N339" s="29"/>
      <c r="O339" s="29"/>
    </row>
    <row r="340" spans="1:15" hidden="1" outlineLevel="1">
      <c r="C340" t="s">
        <v>328</v>
      </c>
      <c r="K340" s="29">
        <f>SUM(K338,K332)</f>
        <v>1167.4769021301263</v>
      </c>
      <c r="L340" s="29">
        <f t="shared" ref="L340:O340" si="110">SUM(L338,L332)</f>
        <v>1180.1876091418103</v>
      </c>
      <c r="M340" s="29">
        <f t="shared" si="110"/>
        <v>1167.4086632739532</v>
      </c>
      <c r="N340" s="29">
        <f t="shared" si="110"/>
        <v>1279.7296635687121</v>
      </c>
      <c r="O340" s="29">
        <f t="shared" si="110"/>
        <v>1402.085148300102</v>
      </c>
    </row>
    <row r="341" spans="1:15" hidden="1" outlineLevel="1"/>
    <row r="342" spans="1:15" collapsed="1"/>
    <row r="343" spans="1:15">
      <c r="A343" s="115" t="s">
        <v>353</v>
      </c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</row>
    <row r="344" spans="1:15" outlineLevel="1"/>
    <row r="345" spans="1:15" outlineLevel="1">
      <c r="A345" s="2" t="s">
        <v>354</v>
      </c>
      <c r="B345" s="2"/>
      <c r="C345" s="2"/>
      <c r="D345" s="2"/>
      <c r="E345" s="4"/>
      <c r="F345" s="4">
        <f t="shared" ref="F345:J345" si="111">G345-1</f>
        <v>2020</v>
      </c>
      <c r="G345" s="4">
        <f t="shared" si="111"/>
        <v>2021</v>
      </c>
      <c r="H345" s="4">
        <f t="shared" si="111"/>
        <v>2022</v>
      </c>
      <c r="I345" s="4">
        <f t="shared" si="111"/>
        <v>2023</v>
      </c>
      <c r="J345" s="4">
        <f t="shared" si="111"/>
        <v>2024</v>
      </c>
      <c r="K345" s="7">
        <f>K$8</f>
        <v>2025</v>
      </c>
      <c r="L345" s="7">
        <f>L$8</f>
        <v>2026</v>
      </c>
      <c r="M345" s="7">
        <f>M$8</f>
        <v>2027</v>
      </c>
      <c r="N345" s="7">
        <f>N$8</f>
        <v>2028</v>
      </c>
      <c r="O345" s="7">
        <f>O$8</f>
        <v>2029</v>
      </c>
    </row>
    <row r="346" spans="1:15" outlineLevel="1">
      <c r="A346" s="221"/>
      <c r="B346" s="221"/>
      <c r="C346" s="221"/>
      <c r="D346" s="221"/>
      <c r="E346" s="222"/>
      <c r="F346" s="222"/>
      <c r="G346" s="222"/>
      <c r="H346" s="222"/>
      <c r="I346" s="222"/>
      <c r="J346" s="222"/>
      <c r="K346" s="223"/>
      <c r="L346" s="223"/>
      <c r="M346" s="223"/>
      <c r="N346" s="223"/>
      <c r="O346" s="223"/>
    </row>
    <row r="347" spans="1:15" outlineLevel="1">
      <c r="C347" t="s">
        <v>359</v>
      </c>
      <c r="K347" s="8">
        <f>K48</f>
        <v>3</v>
      </c>
      <c r="L347" s="8">
        <f t="shared" ref="L347:O347" si="112">L48</f>
        <v>2</v>
      </c>
      <c r="M347" s="8">
        <f t="shared" si="112"/>
        <v>2</v>
      </c>
      <c r="N347" s="8">
        <f t="shared" si="112"/>
        <v>2</v>
      </c>
      <c r="O347" s="8">
        <f t="shared" si="112"/>
        <v>2</v>
      </c>
    </row>
    <row r="348" spans="1:15" outlineLevel="1">
      <c r="C348" t="s">
        <v>333</v>
      </c>
      <c r="D348" t="s">
        <v>233</v>
      </c>
      <c r="F348" s="28">
        <f>F217</f>
        <v>13</v>
      </c>
      <c r="G348" s="28">
        <f t="shared" ref="G348:O348" si="113">G217</f>
        <v>20</v>
      </c>
      <c r="H348" s="28">
        <f t="shared" si="113"/>
        <v>23</v>
      </c>
      <c r="I348" s="28">
        <f t="shared" si="113"/>
        <v>23</v>
      </c>
      <c r="J348" s="28">
        <f t="shared" si="113"/>
        <v>29</v>
      </c>
      <c r="K348" s="29">
        <f t="shared" si="113"/>
        <v>26</v>
      </c>
      <c r="L348" s="29">
        <f t="shared" si="113"/>
        <v>27</v>
      </c>
      <c r="M348" s="29">
        <f t="shared" si="113"/>
        <v>27</v>
      </c>
      <c r="N348" s="29">
        <f t="shared" si="113"/>
        <v>27</v>
      </c>
      <c r="O348" s="29">
        <f t="shared" si="113"/>
        <v>27</v>
      </c>
    </row>
    <row r="349" spans="1:15" outlineLevel="1">
      <c r="C349" t="s">
        <v>334</v>
      </c>
      <c r="D349" t="s">
        <v>209</v>
      </c>
      <c r="F349" s="28">
        <f>-F108</f>
        <v>2810</v>
      </c>
      <c r="G349" s="28">
        <f t="shared" ref="G349:J349" si="114">-G108</f>
        <v>3588</v>
      </c>
      <c r="H349" s="28">
        <f t="shared" si="114"/>
        <v>3891</v>
      </c>
      <c r="I349" s="28">
        <f t="shared" si="114"/>
        <v>4323</v>
      </c>
      <c r="J349" s="28">
        <f t="shared" si="114"/>
        <v>4710</v>
      </c>
      <c r="K349" s="29"/>
      <c r="L349" s="29"/>
      <c r="M349" s="29"/>
      <c r="N349" s="29"/>
      <c r="O349" s="29"/>
    </row>
    <row r="350" spans="1:15" outlineLevel="1">
      <c r="C350" t="s">
        <v>335</v>
      </c>
      <c r="D350" t="s">
        <v>209</v>
      </c>
      <c r="F350" s="28">
        <f>F349/F348</f>
        <v>216.15384615384616</v>
      </c>
      <c r="G350" s="28">
        <f t="shared" ref="G350:J350" si="115">G349/G348</f>
        <v>179.4</v>
      </c>
      <c r="H350" s="28">
        <f t="shared" si="115"/>
        <v>169.17391304347825</v>
      </c>
      <c r="I350" s="28">
        <f t="shared" si="115"/>
        <v>187.95652173913044</v>
      </c>
      <c r="J350" s="28">
        <f t="shared" si="115"/>
        <v>162.41379310344828</v>
      </c>
      <c r="K350" s="29">
        <f>K46</f>
        <v>165.66206896551725</v>
      </c>
      <c r="L350" s="29">
        <f>L46</f>
        <v>168.97531034482759</v>
      </c>
      <c r="M350" s="29">
        <f>M46</f>
        <v>172.35481655172416</v>
      </c>
      <c r="N350" s="29">
        <f>N46</f>
        <v>175.80191288275864</v>
      </c>
      <c r="O350" s="29">
        <f>O46</f>
        <v>179.31795114041381</v>
      </c>
    </row>
    <row r="351" spans="1:15" outlineLevel="1">
      <c r="B351" s="5"/>
      <c r="C351" s="5" t="s">
        <v>360</v>
      </c>
      <c r="D351" s="5"/>
      <c r="E351" s="5"/>
      <c r="F351" s="30"/>
      <c r="G351" s="30"/>
      <c r="H351" s="158"/>
      <c r="I351" s="158"/>
      <c r="J351" s="215"/>
      <c r="K351" s="31">
        <f>K350*K348</f>
        <v>4307.2137931034486</v>
      </c>
      <c r="L351" s="31">
        <f t="shared" ref="L351:O351" si="116">L350*L348</f>
        <v>4562.3333793103448</v>
      </c>
      <c r="M351" s="31">
        <f t="shared" si="116"/>
        <v>4653.5800468965526</v>
      </c>
      <c r="N351" s="31">
        <f t="shared" si="116"/>
        <v>4746.6516478344838</v>
      </c>
      <c r="O351" s="31">
        <f t="shared" si="116"/>
        <v>4841.584680791173</v>
      </c>
    </row>
    <row r="352" spans="1:15" outlineLevel="1">
      <c r="B352" s="178"/>
      <c r="C352" s="173" t="s">
        <v>359</v>
      </c>
      <c r="D352" s="178"/>
      <c r="E352" s="178"/>
      <c r="F352" s="214"/>
      <c r="G352" s="214"/>
      <c r="H352" s="112"/>
      <c r="I352" s="112"/>
      <c r="J352" s="224"/>
      <c r="K352" s="212">
        <f>K347*K350</f>
        <v>496.98620689655172</v>
      </c>
      <c r="L352" s="212">
        <f t="shared" ref="L352:O352" si="117">L347*L350</f>
        <v>337.95062068965518</v>
      </c>
      <c r="M352" s="212">
        <f t="shared" si="117"/>
        <v>344.70963310344831</v>
      </c>
      <c r="N352" s="212">
        <f t="shared" si="117"/>
        <v>351.60382576551729</v>
      </c>
      <c r="O352" s="212">
        <f t="shared" si="117"/>
        <v>358.63590228082762</v>
      </c>
    </row>
    <row r="353" spans="2:15" outlineLevel="1">
      <c r="B353" s="5"/>
      <c r="C353" s="5" t="s">
        <v>336</v>
      </c>
      <c r="D353" s="5" t="s">
        <v>209</v>
      </c>
      <c r="E353" s="5"/>
      <c r="F353" s="30"/>
      <c r="G353" s="30"/>
      <c r="H353" s="30"/>
      <c r="I353" s="30"/>
      <c r="J353" s="30"/>
      <c r="K353" s="31">
        <f>SUM(K351:K352)</f>
        <v>4804.2000000000007</v>
      </c>
      <c r="L353" s="31">
        <f t="shared" ref="L353:O353" si="118">SUM(L351:L352)</f>
        <v>4900.2839999999997</v>
      </c>
      <c r="M353" s="31">
        <f t="shared" si="118"/>
        <v>4998.2896800000008</v>
      </c>
      <c r="N353" s="31">
        <f t="shared" si="118"/>
        <v>5098.2554736000011</v>
      </c>
      <c r="O353" s="31">
        <f t="shared" si="118"/>
        <v>5200.2205830720004</v>
      </c>
    </row>
    <row r="354" spans="2:15" outlineLevel="1">
      <c r="F354" s="28"/>
      <c r="G354" s="28"/>
      <c r="H354" s="28"/>
      <c r="I354" s="28"/>
      <c r="J354" s="28"/>
      <c r="K354" s="29"/>
      <c r="L354" s="29"/>
      <c r="M354" s="29"/>
      <c r="N354" s="29"/>
      <c r="O354" s="29"/>
    </row>
    <row r="355" spans="2:15" outlineLevel="1">
      <c r="C355" t="s">
        <v>337</v>
      </c>
      <c r="F355" s="28">
        <f>E360</f>
        <v>32626</v>
      </c>
      <c r="G355" s="28">
        <f t="shared" ref="G355:O355" si="119">F360</f>
        <v>34703</v>
      </c>
      <c r="H355" s="28">
        <f t="shared" si="119"/>
        <v>37658</v>
      </c>
      <c r="I355" s="28">
        <f t="shared" si="119"/>
        <v>39932</v>
      </c>
      <c r="J355" s="28">
        <f t="shared" si="119"/>
        <v>43369</v>
      </c>
      <c r="K355" s="29">
        <f t="shared" si="119"/>
        <v>46950</v>
      </c>
      <c r="L355" s="29">
        <f t="shared" si="119"/>
        <v>50795</v>
      </c>
      <c r="M355" s="29">
        <f t="shared" si="119"/>
        <v>54736.084000000003</v>
      </c>
      <c r="N355" s="29">
        <f t="shared" si="119"/>
        <v>58775.173680000007</v>
      </c>
      <c r="O355" s="29">
        <f t="shared" si="119"/>
        <v>62914.229153600012</v>
      </c>
    </row>
    <row r="356" spans="2:15" outlineLevel="1">
      <c r="C356" t="s">
        <v>334</v>
      </c>
      <c r="F356" s="28">
        <f>F349</f>
        <v>2810</v>
      </c>
      <c r="G356" s="28">
        <f>G349</f>
        <v>3588</v>
      </c>
      <c r="H356" s="28">
        <f>H349</f>
        <v>3891</v>
      </c>
      <c r="I356" s="28">
        <f>I349</f>
        <v>4323</v>
      </c>
      <c r="J356" s="28">
        <f>J349</f>
        <v>4710</v>
      </c>
      <c r="K356" s="29">
        <f>K353</f>
        <v>4804.2000000000007</v>
      </c>
      <c r="L356" s="29">
        <f t="shared" ref="L356:O356" si="120">L353</f>
        <v>4900.2839999999997</v>
      </c>
      <c r="M356" s="29">
        <f t="shared" si="120"/>
        <v>4998.2896800000008</v>
      </c>
      <c r="N356" s="29">
        <f t="shared" si="120"/>
        <v>5098.2554736000011</v>
      </c>
      <c r="O356" s="29">
        <f t="shared" si="120"/>
        <v>5200.2205830720004</v>
      </c>
    </row>
    <row r="357" spans="2:15" outlineLevel="1">
      <c r="B357" s="5"/>
      <c r="C357" s="5" t="s">
        <v>347</v>
      </c>
      <c r="D357" s="5"/>
      <c r="E357" s="5"/>
      <c r="F357" s="30">
        <f>SUM(F355:F356)</f>
        <v>35436</v>
      </c>
      <c r="G357" s="30">
        <f t="shared" ref="G357:O357" si="121">SUM(G355:G356)</f>
        <v>38291</v>
      </c>
      <c r="H357" s="30">
        <f t="shared" si="121"/>
        <v>41549</v>
      </c>
      <c r="I357" s="30">
        <f t="shared" si="121"/>
        <v>44255</v>
      </c>
      <c r="J357" s="30">
        <f t="shared" si="121"/>
        <v>48079</v>
      </c>
      <c r="K357" s="31">
        <f t="shared" si="121"/>
        <v>51754.2</v>
      </c>
      <c r="L357" s="31">
        <f t="shared" si="121"/>
        <v>55695.284</v>
      </c>
      <c r="M357" s="31">
        <f t="shared" si="121"/>
        <v>59734.373680000004</v>
      </c>
      <c r="N357" s="31">
        <f t="shared" si="121"/>
        <v>63873.429153600009</v>
      </c>
      <c r="O357" s="31">
        <f t="shared" si="121"/>
        <v>68114.449736672017</v>
      </c>
    </row>
    <row r="358" spans="2:15" outlineLevel="1">
      <c r="C358" t="s">
        <v>348</v>
      </c>
      <c r="F358" s="28"/>
      <c r="G358" s="28"/>
      <c r="H358" s="28"/>
      <c r="I358" s="28"/>
      <c r="J358" s="28"/>
      <c r="K358" s="29">
        <f>$J$364</f>
        <v>959.2</v>
      </c>
      <c r="L358" s="29">
        <f t="shared" ref="L358:O358" si="122">$J$364</f>
        <v>959.2</v>
      </c>
      <c r="M358" s="29">
        <f t="shared" si="122"/>
        <v>959.2</v>
      </c>
      <c r="N358" s="29">
        <f t="shared" si="122"/>
        <v>959.2</v>
      </c>
      <c r="O358" s="29">
        <f t="shared" si="122"/>
        <v>959.2</v>
      </c>
    </row>
    <row r="359" spans="2:15" outlineLevel="1">
      <c r="F359" s="28"/>
      <c r="G359" s="28"/>
      <c r="H359" s="28"/>
      <c r="I359" s="28"/>
      <c r="J359" s="28"/>
      <c r="K359" s="29"/>
      <c r="L359" s="29"/>
      <c r="M359" s="29"/>
      <c r="N359" s="29"/>
      <c r="O359" s="29"/>
    </row>
    <row r="360" spans="2:15" outlineLevel="1">
      <c r="C360" t="s">
        <v>337</v>
      </c>
      <c r="D360" t="s">
        <v>209</v>
      </c>
      <c r="E360" s="216">
        <v>32626</v>
      </c>
      <c r="F360" s="216">
        <v>34703</v>
      </c>
      <c r="G360" s="216">
        <v>37658</v>
      </c>
      <c r="H360" s="216">
        <v>39932</v>
      </c>
      <c r="I360" s="216">
        <v>43369</v>
      </c>
      <c r="J360" s="216">
        <v>46950</v>
      </c>
      <c r="K360" s="29">
        <f>K357-K358</f>
        <v>50795</v>
      </c>
      <c r="L360" s="29">
        <f t="shared" ref="L360:O360" si="123">L357-L358</f>
        <v>54736.084000000003</v>
      </c>
      <c r="M360" s="29">
        <f t="shared" si="123"/>
        <v>58775.173680000007</v>
      </c>
      <c r="N360" s="29">
        <f t="shared" si="123"/>
        <v>62914.229153600012</v>
      </c>
      <c r="O360" s="29">
        <f t="shared" si="123"/>
        <v>67155.24973667202</v>
      </c>
    </row>
    <row r="361" spans="2:15" outlineLevel="1">
      <c r="B361" s="5"/>
      <c r="C361" s="5" t="s">
        <v>338</v>
      </c>
      <c r="D361" s="5" t="s">
        <v>209</v>
      </c>
      <c r="E361" s="5"/>
      <c r="F361" s="30">
        <f>F357-F360</f>
        <v>733</v>
      </c>
      <c r="G361" s="30">
        <f t="shared" ref="G361:J361" si="124">G357-G360</f>
        <v>633</v>
      </c>
      <c r="H361" s="30">
        <f t="shared" si="124"/>
        <v>1617</v>
      </c>
      <c r="I361" s="30">
        <f t="shared" si="124"/>
        <v>886</v>
      </c>
      <c r="J361" s="30">
        <f t="shared" si="124"/>
        <v>1129</v>
      </c>
      <c r="K361" s="31"/>
      <c r="L361" s="31"/>
      <c r="M361" s="31"/>
      <c r="N361" s="31"/>
      <c r="O361" s="31"/>
    </row>
    <row r="362" spans="2:15" outlineLevel="1">
      <c r="C362" t="s">
        <v>349</v>
      </c>
      <c r="D362" t="s">
        <v>209</v>
      </c>
      <c r="F362" s="216">
        <v>0</v>
      </c>
      <c r="G362" s="216">
        <v>-84</v>
      </c>
      <c r="H362" s="216">
        <v>-118</v>
      </c>
      <c r="I362" s="216">
        <v>0</v>
      </c>
      <c r="J362" s="216">
        <v>0</v>
      </c>
      <c r="K362" s="29"/>
      <c r="L362" s="29"/>
      <c r="M362" s="29"/>
      <c r="N362" s="29"/>
      <c r="O362" s="29"/>
    </row>
    <row r="363" spans="2:15" outlineLevel="1">
      <c r="B363" s="5"/>
      <c r="C363" s="5" t="s">
        <v>339</v>
      </c>
      <c r="D363" s="5" t="s">
        <v>209</v>
      </c>
      <c r="E363" s="5"/>
      <c r="F363" s="30">
        <f t="shared" ref="F363:G363" si="125">F361+F362</f>
        <v>733</v>
      </c>
      <c r="G363" s="30">
        <f t="shared" si="125"/>
        <v>549</v>
      </c>
      <c r="H363" s="30">
        <f>H361+H362</f>
        <v>1499</v>
      </c>
      <c r="I363" s="30">
        <f t="shared" ref="I363:J363" si="126">I361+I362</f>
        <v>886</v>
      </c>
      <c r="J363" s="30">
        <f t="shared" si="126"/>
        <v>1129</v>
      </c>
      <c r="K363" s="31"/>
      <c r="L363" s="31"/>
      <c r="M363" s="31"/>
      <c r="N363" s="31"/>
      <c r="O363" s="31"/>
    </row>
    <row r="364" spans="2:15" outlineLevel="1">
      <c r="B364" s="178"/>
      <c r="C364" s="173" t="s">
        <v>351</v>
      </c>
      <c r="D364" s="173" t="s">
        <v>209</v>
      </c>
      <c r="E364" s="178"/>
      <c r="F364" s="214"/>
      <c r="G364" s="214"/>
      <c r="H364" s="214"/>
      <c r="I364" s="214"/>
      <c r="J364" s="214">
        <f>AVERAGE(F363:J363)</f>
        <v>959.2</v>
      </c>
      <c r="K364" s="212"/>
      <c r="L364" s="212"/>
      <c r="M364" s="212"/>
      <c r="N364" s="212"/>
      <c r="O364" s="212"/>
    </row>
    <row r="365" spans="2:15" outlineLevel="1">
      <c r="F365" s="28"/>
      <c r="G365" s="28"/>
      <c r="H365" s="28"/>
      <c r="I365" s="28"/>
      <c r="J365" s="28"/>
      <c r="K365" s="29"/>
      <c r="L365" s="29"/>
      <c r="M365" s="29"/>
      <c r="N365" s="29"/>
      <c r="O365" s="29"/>
    </row>
    <row r="366" spans="2:15" outlineLevel="1">
      <c r="C366" t="s">
        <v>340</v>
      </c>
      <c r="D366" t="s">
        <v>209</v>
      </c>
      <c r="F366" s="28">
        <f>(E360+F360)/2</f>
        <v>33664.5</v>
      </c>
      <c r="G366" s="28">
        <f t="shared" ref="G366:O366" si="127">(F360+G360)/2</f>
        <v>36180.5</v>
      </c>
      <c r="H366" s="28">
        <f t="shared" si="127"/>
        <v>38795</v>
      </c>
      <c r="I366" s="28">
        <f t="shared" si="127"/>
        <v>41650.5</v>
      </c>
      <c r="J366" s="28">
        <f t="shared" si="127"/>
        <v>45159.5</v>
      </c>
      <c r="K366" s="29">
        <f t="shared" si="127"/>
        <v>48872.5</v>
      </c>
      <c r="L366" s="29">
        <f t="shared" si="127"/>
        <v>52765.542000000001</v>
      </c>
      <c r="M366" s="29">
        <f t="shared" si="127"/>
        <v>56755.628840000005</v>
      </c>
      <c r="N366" s="29">
        <f t="shared" si="127"/>
        <v>60844.70141680001</v>
      </c>
      <c r="O366" s="29">
        <f t="shared" si="127"/>
        <v>65034.739445136016</v>
      </c>
    </row>
    <row r="367" spans="2:15" outlineLevel="1">
      <c r="C367" t="s">
        <v>341</v>
      </c>
      <c r="D367" t="s">
        <v>209</v>
      </c>
      <c r="F367" s="28">
        <f>-F97</f>
        <v>-1645</v>
      </c>
      <c r="G367" s="28">
        <f>-G97</f>
        <v>-1781</v>
      </c>
      <c r="H367" s="28">
        <f>-H97</f>
        <v>-1900</v>
      </c>
      <c r="I367" s="28">
        <f>-I97</f>
        <v>-2077</v>
      </c>
      <c r="J367" s="28">
        <f>-J97</f>
        <v>-2237</v>
      </c>
      <c r="K367" s="29"/>
      <c r="L367" s="29"/>
      <c r="M367" s="29"/>
      <c r="N367" s="29"/>
      <c r="O367" s="29"/>
    </row>
    <row r="368" spans="2:15" outlineLevel="1">
      <c r="B368" s="5"/>
      <c r="C368" s="5" t="s">
        <v>342</v>
      </c>
      <c r="D368" s="5" t="s">
        <v>217</v>
      </c>
      <c r="E368" s="5"/>
      <c r="F368" s="158">
        <f>-F367/F366</f>
        <v>4.8864530885651056E-2</v>
      </c>
      <c r="G368" s="158">
        <f t="shared" ref="G368:J368" si="128">-G367/G366</f>
        <v>4.9225411478558891E-2</v>
      </c>
      <c r="H368" s="158">
        <f t="shared" si="128"/>
        <v>4.8975383425699189E-2</v>
      </c>
      <c r="I368" s="158">
        <f t="shared" si="128"/>
        <v>4.9867348531230114E-2</v>
      </c>
      <c r="J368" s="158">
        <f t="shared" si="128"/>
        <v>4.953553515871522E-2</v>
      </c>
      <c r="K368" s="31"/>
      <c r="L368" s="31"/>
      <c r="M368" s="31"/>
      <c r="N368" s="31"/>
      <c r="O368" s="31"/>
    </row>
    <row r="369" spans="1:15" outlineLevel="1">
      <c r="B369" s="178"/>
      <c r="C369" s="173" t="s">
        <v>352</v>
      </c>
      <c r="D369" s="178"/>
      <c r="E369" s="178"/>
      <c r="F369" s="112"/>
      <c r="G369" s="112"/>
      <c r="H369" s="112"/>
      <c r="I369" s="112"/>
      <c r="J369" s="112">
        <f>AVERAGE(F368:J368)</f>
        <v>4.9293641895970894E-2</v>
      </c>
      <c r="K369" s="212"/>
      <c r="L369" s="212"/>
      <c r="M369" s="212"/>
      <c r="N369" s="212"/>
      <c r="O369" s="212"/>
    </row>
    <row r="370" spans="1:15" outlineLevel="1">
      <c r="F370" s="28"/>
      <c r="G370" s="28"/>
      <c r="H370" s="28"/>
      <c r="I370" s="28"/>
      <c r="J370" s="28"/>
      <c r="K370" s="8"/>
      <c r="L370" s="8"/>
      <c r="M370" s="8"/>
      <c r="N370" s="8"/>
      <c r="O370" s="8"/>
    </row>
    <row r="371" spans="1:15" outlineLevel="1">
      <c r="C371" t="s">
        <v>343</v>
      </c>
      <c r="D371" t="s">
        <v>209</v>
      </c>
      <c r="F371" s="28"/>
      <c r="G371" s="28"/>
      <c r="H371" s="28"/>
      <c r="I371" s="28"/>
      <c r="J371" s="28"/>
      <c r="K371" s="29">
        <f>-K366*$J$369</f>
        <v>-2409.1035135608377</v>
      </c>
      <c r="L371" s="29">
        <f>-L366*$J$369</f>
        <v>-2601.0057317948117</v>
      </c>
      <c r="M371" s="29">
        <f>-M366*$J$369</f>
        <v>-2797.6916436195984</v>
      </c>
      <c r="N371" s="29">
        <f>-N366*$J$369</f>
        <v>-2999.2569229070127</v>
      </c>
      <c r="O371" s="29">
        <f>-O366*$J$369</f>
        <v>-3205.7991570063077</v>
      </c>
    </row>
    <row r="372" spans="1:15" outlineLevel="1">
      <c r="F372" s="28"/>
      <c r="G372" s="28"/>
      <c r="H372" s="28"/>
      <c r="I372" s="28"/>
      <c r="J372" s="28"/>
      <c r="K372" s="29"/>
      <c r="L372" s="29"/>
      <c r="M372" s="29"/>
      <c r="N372" s="29"/>
      <c r="O372" s="29"/>
    </row>
    <row r="373" spans="1:15" outlineLevel="1">
      <c r="C373" t="s">
        <v>344</v>
      </c>
      <c r="D373" t="s">
        <v>209</v>
      </c>
      <c r="F373" s="28"/>
      <c r="G373" s="28"/>
      <c r="H373" s="28"/>
      <c r="I373" s="28"/>
      <c r="J373" s="28"/>
      <c r="K373" s="29">
        <f>J376</f>
        <v>29032</v>
      </c>
      <c r="L373" s="29">
        <f t="shared" ref="L373:O373" si="129">K376</f>
        <v>31427.096486439161</v>
      </c>
      <c r="M373" s="29">
        <f t="shared" si="129"/>
        <v>33726.374754644348</v>
      </c>
      <c r="N373" s="29">
        <f t="shared" si="129"/>
        <v>35926.972791024753</v>
      </c>
      <c r="O373" s="29">
        <f t="shared" si="129"/>
        <v>38025.971341717741</v>
      </c>
    </row>
    <row r="374" spans="1:15" outlineLevel="1">
      <c r="C374" t="s">
        <v>345</v>
      </c>
      <c r="D374" t="s">
        <v>209</v>
      </c>
      <c r="F374" s="28"/>
      <c r="G374" s="28"/>
      <c r="H374" s="28"/>
      <c r="I374" s="28"/>
      <c r="J374" s="28"/>
      <c r="K374" s="29">
        <f>K356</f>
        <v>4804.2000000000007</v>
      </c>
      <c r="L374" s="29">
        <f t="shared" ref="L374:O374" si="130">L356</f>
        <v>4900.2839999999997</v>
      </c>
      <c r="M374" s="29">
        <f t="shared" si="130"/>
        <v>4998.2896800000008</v>
      </c>
      <c r="N374" s="29">
        <f t="shared" si="130"/>
        <v>5098.2554736000011</v>
      </c>
      <c r="O374" s="29">
        <f t="shared" si="130"/>
        <v>5200.2205830720004</v>
      </c>
    </row>
    <row r="375" spans="1:15" outlineLevel="1">
      <c r="C375" t="s">
        <v>346</v>
      </c>
      <c r="D375" t="s">
        <v>209</v>
      </c>
      <c r="F375" s="28"/>
      <c r="G375" s="28"/>
      <c r="H375" s="28"/>
      <c r="I375" s="28"/>
      <c r="J375" s="28"/>
      <c r="K375" s="29">
        <f>K371</f>
        <v>-2409.1035135608377</v>
      </c>
      <c r="L375" s="29">
        <f t="shared" ref="L375:O375" si="131">L371</f>
        <v>-2601.0057317948117</v>
      </c>
      <c r="M375" s="29">
        <f t="shared" si="131"/>
        <v>-2797.6916436195984</v>
      </c>
      <c r="N375" s="29">
        <f t="shared" si="131"/>
        <v>-2999.2569229070127</v>
      </c>
      <c r="O375" s="29">
        <f t="shared" si="131"/>
        <v>-3205.7991570063077</v>
      </c>
    </row>
    <row r="376" spans="1:15" outlineLevel="1">
      <c r="B376" s="5"/>
      <c r="C376" s="5" t="s">
        <v>350</v>
      </c>
      <c r="D376" s="5" t="s">
        <v>209</v>
      </c>
      <c r="E376" s="5"/>
      <c r="F376" s="30"/>
      <c r="G376" s="30"/>
      <c r="H376" s="30"/>
      <c r="I376" s="30"/>
      <c r="J376" s="217">
        <v>29032</v>
      </c>
      <c r="K376" s="31">
        <f>SUM(K373:K375)</f>
        <v>31427.096486439161</v>
      </c>
      <c r="L376" s="31">
        <f t="shared" ref="L376:O376" si="132">SUM(L373:L375)</f>
        <v>33726.374754644348</v>
      </c>
      <c r="M376" s="31">
        <f t="shared" si="132"/>
        <v>35926.972791024753</v>
      </c>
      <c r="N376" s="31">
        <f t="shared" si="132"/>
        <v>38025.971341717741</v>
      </c>
      <c r="O376" s="31">
        <f t="shared" si="132"/>
        <v>40020.392767783429</v>
      </c>
    </row>
    <row r="377" spans="1:15" outlineLevel="1"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>
      <c r="F378" s="28"/>
      <c r="G378" s="28"/>
      <c r="H378" s="28"/>
      <c r="I378" s="28"/>
      <c r="J378" s="28"/>
      <c r="K378" s="28"/>
      <c r="L378" s="28"/>
      <c r="M378" s="28"/>
      <c r="N378" s="28"/>
      <c r="O378" s="28"/>
    </row>
    <row r="379" spans="1:15">
      <c r="A379" s="115" t="s">
        <v>355</v>
      </c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</row>
    <row r="381" spans="1:15">
      <c r="A381" s="2" t="s">
        <v>356</v>
      </c>
      <c r="B381" s="2"/>
      <c r="C381" s="2"/>
      <c r="D381" s="2"/>
      <c r="E381" s="4"/>
      <c r="F381" s="4">
        <f t="shared" ref="F381:J381" si="133">G381-1</f>
        <v>2020</v>
      </c>
      <c r="G381" s="4">
        <f t="shared" si="133"/>
        <v>2021</v>
      </c>
      <c r="H381" s="4">
        <f t="shared" si="133"/>
        <v>2022</v>
      </c>
      <c r="I381" s="4">
        <f t="shared" si="133"/>
        <v>2023</v>
      </c>
      <c r="J381" s="4">
        <f t="shared" si="133"/>
        <v>2024</v>
      </c>
      <c r="K381" s="7">
        <f>K$8</f>
        <v>2025</v>
      </c>
      <c r="L381" s="7">
        <f>L$8</f>
        <v>2026</v>
      </c>
      <c r="M381" s="7">
        <f>M$8</f>
        <v>2027</v>
      </c>
      <c r="N381" s="7">
        <f>N$8</f>
        <v>2028</v>
      </c>
      <c r="O381" s="7">
        <f>O$8</f>
        <v>2029</v>
      </c>
    </row>
  </sheetData>
  <mergeCells count="12">
    <mergeCell ref="A282:O282"/>
    <mergeCell ref="A307:O307"/>
    <mergeCell ref="A343:O343"/>
    <mergeCell ref="A379:O379"/>
    <mergeCell ref="A187:O187"/>
    <mergeCell ref="A2:O2"/>
    <mergeCell ref="A3:O3"/>
    <mergeCell ref="A57:O57"/>
    <mergeCell ref="A92:O92"/>
    <mergeCell ref="A135:O135"/>
    <mergeCell ref="B33:B34"/>
    <mergeCell ref="B35:B36"/>
  </mergeCells>
  <conditionalFormatting sqref="F136:O136">
    <cfRule type="containsText" dxfId="0" priority="1" operator="containsText" text="ERROR">
      <formula>NOT(ISERROR(SEARCH("ERROR",F136)))</formula>
    </cfRule>
  </conditionalFormatting>
  <pageMargins left="0.7" right="0.7" top="0.75" bottom="0.75" header="0.3" footer="0.3"/>
  <ignoredErrors>
    <ignoredError sqref="K313 L313:O313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177800</xdr:rowOff>
                  </from>
                  <to>
                    <xdr:col>4</xdr:col>
                    <xdr:colOff>203200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1E4-963E-4FB9-BA5C-73609344D4AF}">
  <dimension ref="G5:G16"/>
  <sheetViews>
    <sheetView workbookViewId="0">
      <selection activeCell="G17" sqref="G17"/>
    </sheetView>
  </sheetViews>
  <sheetFormatPr defaultRowHeight="14.5"/>
  <sheetData>
    <row r="5" spans="7:7">
      <c r="G5" t="s">
        <v>219</v>
      </c>
    </row>
    <row r="6" spans="7:7">
      <c r="G6" t="s">
        <v>220</v>
      </c>
    </row>
    <row r="7" spans="7:7">
      <c r="G7" t="s">
        <v>221</v>
      </c>
    </row>
    <row r="8" spans="7:7">
      <c r="G8" t="s">
        <v>222</v>
      </c>
    </row>
    <row r="9" spans="7:7">
      <c r="G9" t="s">
        <v>223</v>
      </c>
    </row>
    <row r="10" spans="7:7">
      <c r="G10" t="s">
        <v>224</v>
      </c>
    </row>
    <row r="11" spans="7:7">
      <c r="G11" t="s">
        <v>225</v>
      </c>
    </row>
    <row r="12" spans="7:7">
      <c r="G12" t="s">
        <v>227</v>
      </c>
    </row>
    <row r="13" spans="7:7">
      <c r="G13" t="s">
        <v>226</v>
      </c>
    </row>
    <row r="14" spans="7:7">
      <c r="G14" t="s">
        <v>330</v>
      </c>
    </row>
    <row r="15" spans="7:7">
      <c r="G15" t="s">
        <v>331</v>
      </c>
    </row>
    <row r="16" spans="7:7">
      <c r="G16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F23A-4F0A-4D19-A66C-67D3B2635F28}">
  <dimension ref="A2:U24"/>
  <sheetViews>
    <sheetView workbookViewId="0">
      <selection activeCell="E24" sqref="E24"/>
    </sheetView>
  </sheetViews>
  <sheetFormatPr defaultRowHeight="14.5"/>
  <sheetData>
    <row r="2" spans="1:21" ht="15" thickBot="1">
      <c r="D2">
        <v>2022</v>
      </c>
      <c r="E2">
        <v>2021</v>
      </c>
      <c r="F2">
        <v>2020</v>
      </c>
      <c r="G2" t="s">
        <v>50</v>
      </c>
      <c r="K2">
        <v>2024</v>
      </c>
      <c r="L2">
        <v>2023</v>
      </c>
      <c r="M2">
        <v>2022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ht="18.5">
      <c r="A3" s="124" t="s">
        <v>32</v>
      </c>
      <c r="B3" s="124"/>
      <c r="C3" s="124"/>
      <c r="D3" s="17"/>
      <c r="E3" s="17"/>
      <c r="F3" s="17"/>
      <c r="H3" s="124" t="s">
        <v>32</v>
      </c>
      <c r="I3" s="124"/>
      <c r="J3" s="124"/>
      <c r="K3" s="17"/>
      <c r="L3" s="17"/>
      <c r="M3" s="17"/>
    </row>
    <row r="4" spans="1:21">
      <c r="A4" s="119" t="s">
        <v>33</v>
      </c>
      <c r="B4" s="119"/>
      <c r="C4" s="119"/>
      <c r="D4" s="23">
        <v>222730</v>
      </c>
      <c r="E4" s="23">
        <v>192052</v>
      </c>
      <c r="F4" s="23">
        <v>163220</v>
      </c>
      <c r="G4" s="15">
        <f>D4-M4</f>
        <v>0</v>
      </c>
      <c r="H4" s="119" t="s">
        <v>33</v>
      </c>
      <c r="I4" s="119"/>
      <c r="J4" s="119"/>
      <c r="K4" s="23">
        <v>249625</v>
      </c>
      <c r="L4" s="23">
        <v>237710</v>
      </c>
      <c r="M4" s="23">
        <v>222730</v>
      </c>
      <c r="Q4">
        <v>163220</v>
      </c>
      <c r="R4">
        <v>192052</v>
      </c>
      <c r="S4">
        <v>222730</v>
      </c>
      <c r="T4">
        <v>237710</v>
      </c>
      <c r="U4">
        <v>249625</v>
      </c>
    </row>
    <row r="5" spans="1:21" ht="15" thickBot="1">
      <c r="A5" s="120" t="s">
        <v>13</v>
      </c>
      <c r="B5" s="120"/>
      <c r="C5" s="120"/>
      <c r="D5" s="24">
        <v>4224</v>
      </c>
      <c r="E5" s="24">
        <v>3877</v>
      </c>
      <c r="F5" s="24">
        <v>3541</v>
      </c>
      <c r="G5" s="15">
        <f t="shared" ref="G5:G24" si="0">D5-M5</f>
        <v>0</v>
      </c>
      <c r="H5" s="120" t="s">
        <v>13</v>
      </c>
      <c r="I5" s="120"/>
      <c r="J5" s="120"/>
      <c r="K5" s="24">
        <v>4828</v>
      </c>
      <c r="L5" s="24">
        <v>4580</v>
      </c>
      <c r="M5" s="24">
        <v>4224</v>
      </c>
      <c r="Q5">
        <v>3541</v>
      </c>
      <c r="R5">
        <v>3877</v>
      </c>
      <c r="S5">
        <v>4224</v>
      </c>
      <c r="T5">
        <v>4580</v>
      </c>
      <c r="U5">
        <v>4828</v>
      </c>
    </row>
    <row r="6" spans="1:21">
      <c r="A6" s="117" t="s">
        <v>34</v>
      </c>
      <c r="B6" s="117"/>
      <c r="C6" s="117"/>
      <c r="D6" s="25">
        <v>226954</v>
      </c>
      <c r="E6" s="25">
        <v>195929</v>
      </c>
      <c r="F6" s="25">
        <v>166761</v>
      </c>
      <c r="G6" s="15">
        <f t="shared" si="0"/>
        <v>0</v>
      </c>
      <c r="H6" s="117" t="s">
        <v>34</v>
      </c>
      <c r="I6" s="117"/>
      <c r="J6" s="117"/>
      <c r="K6" s="25">
        <v>254453</v>
      </c>
      <c r="L6" s="25">
        <v>242290</v>
      </c>
      <c r="M6" s="25">
        <v>226954</v>
      </c>
      <c r="Q6">
        <v>166761</v>
      </c>
      <c r="R6">
        <v>195929</v>
      </c>
      <c r="S6">
        <v>226954</v>
      </c>
      <c r="T6">
        <v>242290</v>
      </c>
      <c r="U6">
        <v>254453</v>
      </c>
    </row>
    <row r="7" spans="1:21" ht="18.5">
      <c r="A7" s="124" t="s">
        <v>35</v>
      </c>
      <c r="B7" s="124"/>
      <c r="C7" s="124"/>
      <c r="D7" s="16"/>
      <c r="E7" s="16"/>
      <c r="F7" s="16"/>
      <c r="G7" s="15">
        <f t="shared" si="0"/>
        <v>0</v>
      </c>
      <c r="H7" s="124" t="s">
        <v>35</v>
      </c>
      <c r="I7" s="124"/>
      <c r="J7" s="124"/>
      <c r="K7" s="16"/>
      <c r="L7" s="16"/>
      <c r="M7" s="16"/>
    </row>
    <row r="8" spans="1:21">
      <c r="A8" s="119" t="s">
        <v>36</v>
      </c>
      <c r="B8" s="119"/>
      <c r="C8" s="119"/>
      <c r="D8" s="26">
        <v>199382</v>
      </c>
      <c r="E8" s="26">
        <v>170684</v>
      </c>
      <c r="F8" s="26">
        <v>144939</v>
      </c>
      <c r="G8" s="15">
        <f t="shared" si="0"/>
        <v>0</v>
      </c>
      <c r="H8" s="119" t="s">
        <v>36</v>
      </c>
      <c r="I8" s="119"/>
      <c r="J8" s="119"/>
      <c r="K8" s="26">
        <v>222358</v>
      </c>
      <c r="L8" s="26">
        <v>212586</v>
      </c>
      <c r="M8" s="26">
        <v>199382</v>
      </c>
      <c r="Q8">
        <v>144939</v>
      </c>
      <c r="R8">
        <v>170684</v>
      </c>
      <c r="S8">
        <v>199382</v>
      </c>
      <c r="T8">
        <v>212586</v>
      </c>
      <c r="U8">
        <v>222358</v>
      </c>
    </row>
    <row r="9" spans="1:21" ht="15" thickBot="1">
      <c r="A9" s="120" t="s">
        <v>37</v>
      </c>
      <c r="B9" s="120"/>
      <c r="C9" s="120"/>
      <c r="D9" s="24">
        <v>19779</v>
      </c>
      <c r="E9" s="24">
        <v>18537</v>
      </c>
      <c r="F9" s="24">
        <v>16387</v>
      </c>
      <c r="G9" s="15">
        <f t="shared" si="0"/>
        <v>0</v>
      </c>
      <c r="H9" s="120" t="s">
        <v>37</v>
      </c>
      <c r="I9" s="120"/>
      <c r="J9" s="120"/>
      <c r="K9" s="24">
        <v>22810</v>
      </c>
      <c r="L9" s="24">
        <v>21590</v>
      </c>
      <c r="M9" s="24">
        <v>19779</v>
      </c>
      <c r="Q9">
        <v>16387</v>
      </c>
      <c r="R9">
        <v>18537</v>
      </c>
      <c r="S9">
        <v>19779</v>
      </c>
      <c r="T9">
        <v>21590</v>
      </c>
      <c r="U9">
        <v>22810</v>
      </c>
    </row>
    <row r="10" spans="1:21">
      <c r="A10" s="117" t="s">
        <v>38</v>
      </c>
      <c r="B10" s="117"/>
      <c r="C10" s="117"/>
      <c r="D10" s="25">
        <v>7793</v>
      </c>
      <c r="E10" s="25">
        <v>6708</v>
      </c>
      <c r="F10" s="25">
        <v>5435</v>
      </c>
      <c r="G10" s="15">
        <f t="shared" si="0"/>
        <v>0</v>
      </c>
      <c r="H10" s="117" t="s">
        <v>38</v>
      </c>
      <c r="I10" s="117"/>
      <c r="J10" s="117"/>
      <c r="K10" s="25">
        <v>9285</v>
      </c>
      <c r="L10" s="25">
        <v>8114</v>
      </c>
      <c r="M10" s="25">
        <v>7793</v>
      </c>
      <c r="Q10">
        <v>5435</v>
      </c>
      <c r="R10">
        <v>6708</v>
      </c>
      <c r="S10">
        <v>7793</v>
      </c>
      <c r="T10">
        <v>8114</v>
      </c>
      <c r="U10">
        <v>9285</v>
      </c>
    </row>
    <row r="11" spans="1:21" ht="18.5">
      <c r="A11" s="124" t="s">
        <v>39</v>
      </c>
      <c r="B11" s="124"/>
      <c r="C11" s="124"/>
      <c r="D11" s="16"/>
      <c r="E11" s="16"/>
      <c r="F11" s="16"/>
      <c r="G11" s="15">
        <f t="shared" si="0"/>
        <v>0</v>
      </c>
      <c r="H11" s="124" t="s">
        <v>39</v>
      </c>
      <c r="I11" s="124"/>
      <c r="J11" s="124"/>
      <c r="K11" s="16"/>
      <c r="L11" s="16"/>
      <c r="M11" s="16"/>
    </row>
    <row r="12" spans="1:21">
      <c r="A12" s="119" t="s">
        <v>40</v>
      </c>
      <c r="B12" s="119"/>
      <c r="C12" s="119"/>
      <c r="D12" s="22">
        <v>-158</v>
      </c>
      <c r="E12" s="22">
        <v>-171</v>
      </c>
      <c r="F12" s="22">
        <v>-160</v>
      </c>
      <c r="G12" s="15">
        <f t="shared" si="0"/>
        <v>0</v>
      </c>
      <c r="H12" s="119" t="s">
        <v>40</v>
      </c>
      <c r="I12" s="119"/>
      <c r="J12" s="119"/>
      <c r="K12" s="22">
        <v>-169</v>
      </c>
      <c r="L12" s="22">
        <v>-160</v>
      </c>
      <c r="M12" s="22">
        <v>-158</v>
      </c>
      <c r="Q12">
        <v>-160</v>
      </c>
      <c r="R12">
        <v>-171</v>
      </c>
      <c r="S12">
        <v>-158</v>
      </c>
      <c r="T12">
        <v>-160</v>
      </c>
      <c r="U12">
        <v>-169</v>
      </c>
    </row>
    <row r="13" spans="1:21" ht="15" thickBot="1">
      <c r="A13" s="120" t="s">
        <v>41</v>
      </c>
      <c r="B13" s="120"/>
      <c r="C13" s="120"/>
      <c r="D13" s="13">
        <v>205</v>
      </c>
      <c r="E13" s="13">
        <v>143</v>
      </c>
      <c r="F13" s="13">
        <v>92</v>
      </c>
      <c r="G13" s="15">
        <f t="shared" si="0"/>
        <v>0</v>
      </c>
      <c r="H13" s="120" t="s">
        <v>41</v>
      </c>
      <c r="I13" s="120"/>
      <c r="J13" s="120"/>
      <c r="K13" s="13">
        <v>624</v>
      </c>
      <c r="L13" s="13">
        <v>533</v>
      </c>
      <c r="M13" s="13">
        <v>205</v>
      </c>
      <c r="Q13">
        <v>92</v>
      </c>
      <c r="R13">
        <v>143</v>
      </c>
      <c r="S13">
        <v>205</v>
      </c>
      <c r="T13">
        <v>533</v>
      </c>
      <c r="U13">
        <v>624</v>
      </c>
    </row>
    <row r="14" spans="1:21">
      <c r="A14" s="123" t="s">
        <v>42</v>
      </c>
      <c r="B14" s="123"/>
      <c r="C14" s="123"/>
      <c r="D14" s="25">
        <v>7840</v>
      </c>
      <c r="E14" s="25">
        <v>6680</v>
      </c>
      <c r="F14" s="25">
        <v>5367</v>
      </c>
      <c r="G14" s="15">
        <f t="shared" si="0"/>
        <v>0</v>
      </c>
      <c r="H14" s="123" t="s">
        <v>42</v>
      </c>
      <c r="I14" s="123"/>
      <c r="J14" s="123"/>
      <c r="K14" s="25">
        <v>9740</v>
      </c>
      <c r="L14" s="25">
        <v>8487</v>
      </c>
      <c r="M14" s="25">
        <v>7840</v>
      </c>
      <c r="N14" s="12"/>
      <c r="Q14">
        <v>5367</v>
      </c>
      <c r="R14">
        <v>6680</v>
      </c>
      <c r="S14">
        <v>7840</v>
      </c>
      <c r="T14">
        <v>8487</v>
      </c>
      <c r="U14">
        <v>9740</v>
      </c>
    </row>
    <row r="15" spans="1:21" ht="15" thickBot="1">
      <c r="A15" s="120" t="s">
        <v>43</v>
      </c>
      <c r="B15" s="120"/>
      <c r="C15" s="120"/>
      <c r="D15" s="24">
        <v>1925</v>
      </c>
      <c r="E15" s="24">
        <v>1601</v>
      </c>
      <c r="F15" s="24">
        <v>1308</v>
      </c>
      <c r="G15" s="15">
        <f t="shared" si="0"/>
        <v>0</v>
      </c>
      <c r="H15" s="120" t="s">
        <v>43</v>
      </c>
      <c r="I15" s="120"/>
      <c r="J15" s="120"/>
      <c r="K15" s="24">
        <v>2373</v>
      </c>
      <c r="L15" s="24">
        <v>2195</v>
      </c>
      <c r="M15" s="24">
        <v>1925</v>
      </c>
      <c r="Q15">
        <v>1308</v>
      </c>
      <c r="R15">
        <v>1601</v>
      </c>
      <c r="S15">
        <v>1925</v>
      </c>
      <c r="T15">
        <v>2195</v>
      </c>
      <c r="U15">
        <v>2373</v>
      </c>
    </row>
    <row r="16" spans="1:21">
      <c r="A16" s="119" t="s">
        <v>44</v>
      </c>
      <c r="B16" s="119"/>
      <c r="C16" s="119"/>
      <c r="D16" s="25">
        <v>5915</v>
      </c>
      <c r="E16" s="25">
        <v>5079</v>
      </c>
      <c r="F16" s="25">
        <v>4059</v>
      </c>
      <c r="G16" s="15">
        <f t="shared" si="0"/>
        <v>0</v>
      </c>
      <c r="H16" s="125" t="s">
        <v>44</v>
      </c>
      <c r="I16" s="125"/>
      <c r="J16" s="125"/>
      <c r="K16" s="25">
        <v>7367</v>
      </c>
      <c r="L16" s="25">
        <v>6292</v>
      </c>
      <c r="M16" s="25">
        <v>5915</v>
      </c>
      <c r="Q16">
        <v>4059</v>
      </c>
      <c r="R16">
        <v>5079</v>
      </c>
      <c r="S16">
        <v>5915</v>
      </c>
      <c r="T16">
        <v>6292</v>
      </c>
      <c r="U16">
        <v>7367</v>
      </c>
    </row>
    <row r="17" spans="1:21" ht="15" thickBot="1">
      <c r="A17" s="122" t="s">
        <v>45</v>
      </c>
      <c r="B17" s="122"/>
      <c r="C17" s="122"/>
      <c r="D17" s="21">
        <v>-71</v>
      </c>
      <c r="E17" s="21">
        <v>-72</v>
      </c>
      <c r="F17" s="21">
        <v>-57</v>
      </c>
      <c r="G17" s="15">
        <f t="shared" si="0"/>
        <v>0</v>
      </c>
      <c r="H17" s="122" t="s">
        <v>45</v>
      </c>
      <c r="I17" s="122"/>
      <c r="J17" s="122"/>
      <c r="K17" s="13" t="s">
        <v>49</v>
      </c>
      <c r="L17" s="13" t="s">
        <v>49</v>
      </c>
      <c r="M17" s="21">
        <v>-71</v>
      </c>
      <c r="Q17">
        <v>-57</v>
      </c>
      <c r="R17">
        <v>-72</v>
      </c>
      <c r="S17">
        <v>-71</v>
      </c>
      <c r="T17" t="s">
        <v>51</v>
      </c>
      <c r="U17" t="s">
        <v>51</v>
      </c>
    </row>
    <row r="18" spans="1:21" ht="15" thickBot="1">
      <c r="A18" s="123" t="s">
        <v>46</v>
      </c>
      <c r="B18" s="123"/>
      <c r="C18" s="123"/>
      <c r="D18" s="27">
        <v>5844</v>
      </c>
      <c r="E18" s="27">
        <v>5007</v>
      </c>
      <c r="F18" s="27">
        <v>4002</v>
      </c>
      <c r="G18" s="15">
        <f t="shared" si="0"/>
        <v>0</v>
      </c>
      <c r="H18" s="123" t="s">
        <v>46</v>
      </c>
      <c r="I18" s="123"/>
      <c r="J18" s="123"/>
      <c r="K18" s="27">
        <v>7367</v>
      </c>
      <c r="L18" s="27">
        <v>6292</v>
      </c>
      <c r="M18" s="27">
        <v>5844</v>
      </c>
      <c r="Q18">
        <v>4002</v>
      </c>
      <c r="R18">
        <v>5007</v>
      </c>
      <c r="S18">
        <v>5844</v>
      </c>
      <c r="T18">
        <v>6292</v>
      </c>
      <c r="U18">
        <v>7367</v>
      </c>
    </row>
    <row r="19" spans="1:21" ht="18" thickTop="1">
      <c r="A19" s="121" t="s">
        <v>47</v>
      </c>
      <c r="B19" s="121"/>
      <c r="C19" s="121"/>
      <c r="D19" s="18"/>
      <c r="E19" s="18"/>
      <c r="F19" s="18"/>
      <c r="G19" s="15">
        <f t="shared" si="0"/>
        <v>0</v>
      </c>
      <c r="H19" s="121" t="s">
        <v>47</v>
      </c>
      <c r="I19" s="121"/>
      <c r="J19" s="121"/>
      <c r="K19" s="18"/>
      <c r="L19" s="18"/>
      <c r="M19" s="18"/>
    </row>
    <row r="20" spans="1:21" ht="24" customHeight="1" thickBot="1">
      <c r="A20" s="119" t="s">
        <v>29</v>
      </c>
      <c r="B20" s="119"/>
      <c r="C20" s="119"/>
      <c r="D20" s="11">
        <v>13.17</v>
      </c>
      <c r="E20" s="11">
        <v>11.3</v>
      </c>
      <c r="F20" s="11">
        <v>9.0500000000000007</v>
      </c>
      <c r="G20" s="15">
        <f t="shared" si="0"/>
        <v>0</v>
      </c>
      <c r="H20" s="119" t="s">
        <v>29</v>
      </c>
      <c r="I20" s="119"/>
      <c r="J20" s="119"/>
      <c r="K20" s="11">
        <v>16.59</v>
      </c>
      <c r="L20" s="11">
        <v>14.18</v>
      </c>
      <c r="M20" s="11">
        <v>13.17</v>
      </c>
      <c r="Q20">
        <v>9.0500000000000007</v>
      </c>
      <c r="R20">
        <v>11.3</v>
      </c>
      <c r="S20">
        <v>13.17</v>
      </c>
      <c r="T20">
        <v>14.18</v>
      </c>
      <c r="U20">
        <v>16.59</v>
      </c>
    </row>
    <row r="21" spans="1:21" ht="15.5" thickTop="1" thickBot="1">
      <c r="A21" s="120" t="s">
        <v>30</v>
      </c>
      <c r="B21" s="120"/>
      <c r="C21" s="120"/>
      <c r="D21" s="19">
        <v>13.14</v>
      </c>
      <c r="E21" s="19">
        <v>11.27</v>
      </c>
      <c r="F21" s="19">
        <v>9.02</v>
      </c>
      <c r="G21" s="15">
        <f t="shared" si="0"/>
        <v>0</v>
      </c>
      <c r="H21" s="120" t="s">
        <v>30</v>
      </c>
      <c r="I21" s="120"/>
      <c r="J21" s="120"/>
      <c r="K21" s="19">
        <v>16.559999999999999</v>
      </c>
      <c r="L21" s="19">
        <v>14.16</v>
      </c>
      <c r="M21" s="19">
        <v>13.14</v>
      </c>
      <c r="Q21">
        <v>9.02</v>
      </c>
      <c r="R21">
        <v>11.27</v>
      </c>
      <c r="S21">
        <v>13.14</v>
      </c>
      <c r="T21">
        <v>14.16</v>
      </c>
      <c r="U21">
        <v>16.559999999999999</v>
      </c>
    </row>
    <row r="22" spans="1:21" ht="19" thickTop="1">
      <c r="A22" s="119" t="s">
        <v>48</v>
      </c>
      <c r="B22" s="119"/>
      <c r="C22" s="119"/>
      <c r="D22" s="20"/>
      <c r="E22" s="20"/>
      <c r="F22" s="20"/>
      <c r="G22" s="15">
        <f t="shared" si="0"/>
        <v>0</v>
      </c>
      <c r="H22" s="119" t="s">
        <v>48</v>
      </c>
      <c r="I22" s="119"/>
      <c r="J22" s="119"/>
      <c r="K22" s="20"/>
      <c r="L22" s="20"/>
      <c r="M22" s="20"/>
    </row>
    <row r="23" spans="1:21" ht="26.5" customHeight="1">
      <c r="A23" s="118" t="s">
        <v>29</v>
      </c>
      <c r="B23" s="118"/>
      <c r="C23" s="118"/>
      <c r="D23" s="14">
        <v>443651</v>
      </c>
      <c r="E23" s="14">
        <v>443089</v>
      </c>
      <c r="F23" s="14">
        <v>442297</v>
      </c>
      <c r="G23" s="15">
        <f t="shared" si="0"/>
        <v>0</v>
      </c>
      <c r="H23" s="118" t="s">
        <v>29</v>
      </c>
      <c r="I23" s="118"/>
      <c r="J23" s="118"/>
      <c r="K23" s="14">
        <v>443914</v>
      </c>
      <c r="L23" s="14">
        <v>443854</v>
      </c>
      <c r="M23" s="14">
        <v>443651</v>
      </c>
      <c r="Q23">
        <v>442297</v>
      </c>
      <c r="R23">
        <v>443089</v>
      </c>
      <c r="S23">
        <v>443651</v>
      </c>
      <c r="T23">
        <v>443854</v>
      </c>
      <c r="U23">
        <v>443914</v>
      </c>
    </row>
    <row r="24" spans="1:21">
      <c r="A24" s="117" t="s">
        <v>30</v>
      </c>
      <c r="B24" s="117"/>
      <c r="C24" s="117"/>
      <c r="D24" s="26">
        <v>444757</v>
      </c>
      <c r="E24" s="26">
        <v>444346</v>
      </c>
      <c r="F24" s="26">
        <v>443901</v>
      </c>
      <c r="G24" s="15">
        <f t="shared" si="0"/>
        <v>0</v>
      </c>
      <c r="H24" s="117" t="s">
        <v>30</v>
      </c>
      <c r="I24" s="117"/>
      <c r="J24" s="117"/>
      <c r="K24" s="26">
        <v>444759</v>
      </c>
      <c r="L24" s="26">
        <v>444452</v>
      </c>
      <c r="M24" s="26">
        <v>444757</v>
      </c>
      <c r="Q24">
        <v>443901</v>
      </c>
      <c r="R24">
        <v>444346</v>
      </c>
      <c r="S24">
        <v>444757</v>
      </c>
      <c r="T24">
        <v>444452</v>
      </c>
      <c r="U24">
        <v>444759</v>
      </c>
    </row>
  </sheetData>
  <mergeCells count="44">
    <mergeCell ref="H8:J8"/>
    <mergeCell ref="H7:J7"/>
    <mergeCell ref="H17:J17"/>
    <mergeCell ref="H18:J18"/>
    <mergeCell ref="H16:J16"/>
    <mergeCell ref="H15:J15"/>
    <mergeCell ref="H14:J14"/>
    <mergeCell ref="H24:J24"/>
    <mergeCell ref="H12:J12"/>
    <mergeCell ref="H11:J11"/>
    <mergeCell ref="H10:J10"/>
    <mergeCell ref="H9:J9"/>
    <mergeCell ref="H13:J13"/>
    <mergeCell ref="A6:C6"/>
    <mergeCell ref="A4:C4"/>
    <mergeCell ref="A5:C5"/>
    <mergeCell ref="A3:C3"/>
    <mergeCell ref="A12:C12"/>
    <mergeCell ref="A11:C11"/>
    <mergeCell ref="A10:C10"/>
    <mergeCell ref="A9:C9"/>
    <mergeCell ref="A8:C8"/>
    <mergeCell ref="A7:C7"/>
    <mergeCell ref="A13:C13"/>
    <mergeCell ref="H6:J6"/>
    <mergeCell ref="H5:J5"/>
    <mergeCell ref="H3:J3"/>
    <mergeCell ref="H4:J4"/>
    <mergeCell ref="H23:J23"/>
    <mergeCell ref="H22:J22"/>
    <mergeCell ref="H21:J21"/>
    <mergeCell ref="H19:J19"/>
    <mergeCell ref="H20:J20"/>
    <mergeCell ref="A19:C19"/>
    <mergeCell ref="A17:C17"/>
    <mergeCell ref="A16:C16"/>
    <mergeCell ref="A15:C15"/>
    <mergeCell ref="A14:C14"/>
    <mergeCell ref="A18:C18"/>
    <mergeCell ref="A24:C24"/>
    <mergeCell ref="A23:C23"/>
    <mergeCell ref="A22:C22"/>
    <mergeCell ref="A20:C20"/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4B-B187-4C0F-945A-8459866150AB}">
  <dimension ref="B1:U46"/>
  <sheetViews>
    <sheetView topLeftCell="C23" workbookViewId="0">
      <selection activeCell="Q28" sqref="Q28:U29"/>
    </sheetView>
  </sheetViews>
  <sheetFormatPr defaultRowHeight="14.5"/>
  <cols>
    <col min="2" max="2" width="21.1796875" customWidth="1"/>
    <col min="3" max="3" width="20.453125" customWidth="1"/>
    <col min="4" max="4" width="19.81640625" customWidth="1"/>
    <col min="9" max="9" width="32.1796875" customWidth="1"/>
    <col min="10" max="10" width="13.81640625" customWidth="1"/>
  </cols>
  <sheetData>
    <row r="1" spans="2:21">
      <c r="H1" t="s">
        <v>124</v>
      </c>
    </row>
    <row r="2" spans="2:21" ht="18" thickBot="1">
      <c r="B2" s="136"/>
      <c r="C2" s="136"/>
      <c r="D2" s="136"/>
      <c r="E2" s="54">
        <v>2024</v>
      </c>
      <c r="F2" s="54">
        <v>2023</v>
      </c>
      <c r="G2" s="54">
        <v>2022</v>
      </c>
      <c r="I2" s="136"/>
      <c r="J2" s="136"/>
      <c r="K2" s="136"/>
      <c r="L2" s="54">
        <v>2022</v>
      </c>
      <c r="M2" s="54">
        <v>2021</v>
      </c>
      <c r="N2" s="54">
        <v>2020</v>
      </c>
    </row>
    <row r="3" spans="2:21" ht="18.5">
      <c r="B3" s="129" t="s">
        <v>84</v>
      </c>
      <c r="C3" s="129"/>
      <c r="D3" s="129"/>
      <c r="E3" s="17"/>
      <c r="F3" s="17"/>
      <c r="G3" s="17"/>
      <c r="I3" s="129" t="s">
        <v>84</v>
      </c>
      <c r="J3" s="129"/>
      <c r="K3" s="129"/>
      <c r="L3" s="17"/>
      <c r="M3" s="17"/>
      <c r="N3" s="17"/>
      <c r="P3" t="s">
        <v>84</v>
      </c>
    </row>
    <row r="4" spans="2:21">
      <c r="B4" s="131" t="s">
        <v>44</v>
      </c>
      <c r="C4" s="131"/>
      <c r="D4" s="131"/>
      <c r="E4" s="47">
        <v>7367</v>
      </c>
      <c r="F4" s="47">
        <v>6292</v>
      </c>
      <c r="G4" s="47">
        <v>5915</v>
      </c>
      <c r="H4" s="12">
        <f>G4-L4</f>
        <v>0</v>
      </c>
      <c r="I4" s="131" t="s">
        <v>44</v>
      </c>
      <c r="J4" s="131"/>
      <c r="K4" s="131"/>
      <c r="L4" s="47">
        <v>5915</v>
      </c>
      <c r="M4" s="47">
        <v>5079</v>
      </c>
      <c r="N4" s="47">
        <v>4059</v>
      </c>
      <c r="P4" t="s">
        <v>44</v>
      </c>
      <c r="Q4">
        <v>4059</v>
      </c>
      <c r="R4">
        <v>5079</v>
      </c>
      <c r="S4">
        <v>5915</v>
      </c>
      <c r="T4">
        <v>6292</v>
      </c>
      <c r="U4">
        <v>7367</v>
      </c>
    </row>
    <row r="5" spans="2:21" ht="17.5">
      <c r="B5" s="135" t="s">
        <v>85</v>
      </c>
      <c r="C5" s="135"/>
      <c r="D5" s="135"/>
      <c r="E5" s="16"/>
      <c r="F5" s="16"/>
      <c r="G5" s="16"/>
      <c r="H5" s="12">
        <f t="shared" ref="H5:H8" si="0">G5-L5</f>
        <v>0</v>
      </c>
      <c r="I5" s="135" t="s">
        <v>85</v>
      </c>
      <c r="J5" s="135"/>
      <c r="K5" s="135"/>
      <c r="L5" s="16"/>
      <c r="M5" s="16"/>
      <c r="N5" s="16"/>
      <c r="P5" t="s">
        <v>86</v>
      </c>
      <c r="Q5">
        <v>1645</v>
      </c>
      <c r="R5">
        <v>1781</v>
      </c>
      <c r="S5">
        <v>1900</v>
      </c>
      <c r="T5">
        <v>2077</v>
      </c>
      <c r="U5">
        <v>2237</v>
      </c>
    </row>
    <row r="6" spans="2:21">
      <c r="B6" s="137" t="s">
        <v>86</v>
      </c>
      <c r="C6" s="137"/>
      <c r="D6" s="137"/>
      <c r="E6" s="48">
        <v>2237</v>
      </c>
      <c r="F6" s="48">
        <v>2077</v>
      </c>
      <c r="G6" s="48">
        <v>1900</v>
      </c>
      <c r="H6" s="12">
        <f t="shared" si="0"/>
        <v>0</v>
      </c>
      <c r="I6" s="137" t="s">
        <v>86</v>
      </c>
      <c r="J6" s="137"/>
      <c r="K6" s="137"/>
      <c r="L6" s="48">
        <v>1900</v>
      </c>
      <c r="M6" s="48">
        <v>1781</v>
      </c>
      <c r="N6" s="48">
        <v>1645</v>
      </c>
      <c r="P6" t="s">
        <v>57</v>
      </c>
      <c r="Q6">
        <v>194</v>
      </c>
      <c r="R6">
        <v>286</v>
      </c>
      <c r="S6">
        <v>377</v>
      </c>
      <c r="T6">
        <v>412</v>
      </c>
      <c r="U6">
        <v>315</v>
      </c>
    </row>
    <row r="7" spans="2:21">
      <c r="B7" s="138" t="s">
        <v>57</v>
      </c>
      <c r="C7" s="138"/>
      <c r="D7" s="138"/>
      <c r="E7" s="45">
        <v>315</v>
      </c>
      <c r="F7" s="45">
        <v>412</v>
      </c>
      <c r="G7" s="45">
        <v>377</v>
      </c>
      <c r="H7" s="12">
        <f t="shared" si="0"/>
        <v>0</v>
      </c>
      <c r="I7" s="138" t="s">
        <v>57</v>
      </c>
      <c r="J7" s="138"/>
      <c r="K7" s="138"/>
      <c r="L7" s="45">
        <v>377</v>
      </c>
      <c r="M7" s="45">
        <v>286</v>
      </c>
      <c r="N7" s="45">
        <v>194</v>
      </c>
      <c r="P7" t="s">
        <v>58</v>
      </c>
      <c r="Q7">
        <v>619</v>
      </c>
      <c r="R7">
        <v>665</v>
      </c>
      <c r="S7">
        <v>724</v>
      </c>
      <c r="T7">
        <v>774</v>
      </c>
      <c r="U7">
        <v>818</v>
      </c>
    </row>
    <row r="8" spans="2:21">
      <c r="B8" s="137" t="s">
        <v>58</v>
      </c>
      <c r="C8" s="137"/>
      <c r="D8" s="137"/>
      <c r="E8" s="40">
        <v>818</v>
      </c>
      <c r="F8" s="40">
        <v>774</v>
      </c>
      <c r="G8" s="40">
        <v>724</v>
      </c>
      <c r="H8" s="12">
        <f t="shared" si="0"/>
        <v>0</v>
      </c>
      <c r="I8" s="137" t="s">
        <v>58</v>
      </c>
      <c r="J8" s="137"/>
      <c r="K8" s="137"/>
      <c r="L8" s="40">
        <v>724</v>
      </c>
      <c r="M8" s="40">
        <v>665</v>
      </c>
      <c r="N8" s="40">
        <v>619</v>
      </c>
      <c r="P8" t="s">
        <v>87</v>
      </c>
      <c r="Q8">
        <f>SUM(N9:N10)</f>
        <v>146</v>
      </c>
      <c r="R8">
        <v>85</v>
      </c>
      <c r="S8">
        <f>SUM(L9:L10)</f>
        <v>39</v>
      </c>
      <c r="T8">
        <v>495</v>
      </c>
      <c r="U8">
        <v>-9</v>
      </c>
    </row>
    <row r="9" spans="2:21">
      <c r="B9" s="132" t="s">
        <v>87</v>
      </c>
      <c r="C9" s="132"/>
      <c r="D9" s="132"/>
      <c r="E9" s="44">
        <v>-9</v>
      </c>
      <c r="F9" s="45">
        <v>495</v>
      </c>
      <c r="G9" s="45">
        <v>39</v>
      </c>
      <c r="H9" s="12"/>
      <c r="I9" s="139" t="s">
        <v>120</v>
      </c>
      <c r="J9" s="139"/>
      <c r="K9" s="139"/>
      <c r="L9" s="45">
        <v>76</v>
      </c>
      <c r="M9" s="45">
        <v>85</v>
      </c>
      <c r="N9" s="45">
        <v>42</v>
      </c>
      <c r="P9" t="s">
        <v>88</v>
      </c>
    </row>
    <row r="10" spans="2:21">
      <c r="H10" s="12"/>
      <c r="I10" s="139" t="s">
        <v>121</v>
      </c>
      <c r="J10" s="139"/>
      <c r="K10" s="139"/>
      <c r="L10" s="43">
        <v>-37</v>
      </c>
      <c r="M10" s="40">
        <v>59</v>
      </c>
      <c r="N10" s="40">
        <v>104</v>
      </c>
      <c r="P10" t="s">
        <v>89</v>
      </c>
      <c r="Q10">
        <v>-791</v>
      </c>
      <c r="R10">
        <v>-1892</v>
      </c>
      <c r="S10">
        <v>-4003</v>
      </c>
      <c r="T10">
        <v>1228</v>
      </c>
      <c r="U10">
        <v>-2068</v>
      </c>
    </row>
    <row r="11" spans="2:21" ht="17.5">
      <c r="B11" s="140" t="s">
        <v>88</v>
      </c>
      <c r="C11" s="140"/>
      <c r="D11" s="140"/>
      <c r="E11" s="34"/>
      <c r="F11" s="34"/>
      <c r="G11" s="34"/>
      <c r="H11" s="12"/>
      <c r="I11" s="135" t="s">
        <v>88</v>
      </c>
      <c r="J11" s="135"/>
      <c r="K11" s="135"/>
      <c r="L11" s="16"/>
      <c r="M11" s="16"/>
      <c r="N11" s="16"/>
      <c r="P11" t="s">
        <v>90</v>
      </c>
      <c r="Q11">
        <v>2261</v>
      </c>
      <c r="R11">
        <v>1838</v>
      </c>
      <c r="S11">
        <v>1891</v>
      </c>
      <c r="T11">
        <v>-382</v>
      </c>
      <c r="U11">
        <v>1938</v>
      </c>
    </row>
    <row r="12" spans="2:21">
      <c r="B12" s="126" t="s">
        <v>89</v>
      </c>
      <c r="C12" s="126"/>
      <c r="D12" s="126"/>
      <c r="E12" s="46">
        <v>-2068</v>
      </c>
      <c r="F12" s="50">
        <v>1228</v>
      </c>
      <c r="G12" s="46">
        <v>-4003</v>
      </c>
      <c r="H12" s="12">
        <f>G12-L12</f>
        <v>0</v>
      </c>
      <c r="I12" s="133" t="s">
        <v>89</v>
      </c>
      <c r="J12" s="133"/>
      <c r="K12" s="133"/>
      <c r="L12" s="39">
        <v>-4003</v>
      </c>
      <c r="M12" s="39">
        <v>-1892</v>
      </c>
      <c r="N12" s="43">
        <v>-791</v>
      </c>
      <c r="P12" t="s">
        <v>63</v>
      </c>
      <c r="Q12">
        <v>728</v>
      </c>
      <c r="R12">
        <v>1057</v>
      </c>
      <c r="S12">
        <v>549</v>
      </c>
      <c r="T12">
        <v>172</v>
      </c>
      <c r="U12">
        <v>741</v>
      </c>
    </row>
    <row r="13" spans="2:21">
      <c r="B13" s="133" t="s">
        <v>90</v>
      </c>
      <c r="C13" s="133"/>
      <c r="D13" s="133"/>
      <c r="E13" s="48">
        <v>1938</v>
      </c>
      <c r="F13" s="43">
        <v>-382</v>
      </c>
      <c r="G13" s="48">
        <v>1891</v>
      </c>
      <c r="H13" s="12">
        <f>G13-L13</f>
        <v>0</v>
      </c>
      <c r="I13" s="126" t="s">
        <v>90</v>
      </c>
      <c r="J13" s="126"/>
      <c r="K13" s="126"/>
      <c r="L13" s="50">
        <v>1891</v>
      </c>
      <c r="M13" s="50">
        <v>1838</v>
      </c>
      <c r="N13" s="50">
        <v>2261</v>
      </c>
    </row>
    <row r="14" spans="2:21" ht="15" thickBot="1">
      <c r="B14" s="126" t="s">
        <v>63</v>
      </c>
      <c r="C14" s="126"/>
      <c r="D14" s="126"/>
      <c r="E14" s="38">
        <v>741</v>
      </c>
      <c r="F14" s="38">
        <v>172</v>
      </c>
      <c r="G14" s="38">
        <v>549</v>
      </c>
      <c r="H14" s="12">
        <f>G14-L14</f>
        <v>0</v>
      </c>
      <c r="I14" s="133" t="s">
        <v>63</v>
      </c>
      <c r="J14" s="133"/>
      <c r="K14" s="133"/>
      <c r="L14" s="58">
        <v>549</v>
      </c>
      <c r="M14" s="60">
        <v>1057</v>
      </c>
      <c r="N14" s="58">
        <v>728</v>
      </c>
    </row>
    <row r="15" spans="2:21" ht="15" thickBot="1">
      <c r="B15" s="133" t="s">
        <v>91</v>
      </c>
      <c r="C15" s="133"/>
      <c r="D15" s="133"/>
      <c r="E15" s="49">
        <v>11339</v>
      </c>
      <c r="F15" s="49">
        <v>11068</v>
      </c>
      <c r="G15" s="49">
        <v>7392</v>
      </c>
      <c r="H15" s="12">
        <f>G15-L15</f>
        <v>0</v>
      </c>
      <c r="I15" s="126" t="s">
        <v>91</v>
      </c>
      <c r="J15" s="126"/>
      <c r="K15" s="126"/>
      <c r="L15" s="59">
        <v>7392</v>
      </c>
      <c r="M15" s="59">
        <v>8958</v>
      </c>
      <c r="N15" s="59">
        <v>8861</v>
      </c>
      <c r="P15" t="s">
        <v>67</v>
      </c>
      <c r="Q15">
        <v>-2810</v>
      </c>
      <c r="R15">
        <v>-3588</v>
      </c>
      <c r="S15">
        <v>-3891</v>
      </c>
      <c r="T15">
        <v>-4323</v>
      </c>
      <c r="U15">
        <v>-4710</v>
      </c>
    </row>
    <row r="16" spans="2:21" ht="18.5">
      <c r="B16" s="129" t="s">
        <v>92</v>
      </c>
      <c r="C16" s="129"/>
      <c r="D16" s="129"/>
      <c r="E16" s="17"/>
      <c r="F16" s="17"/>
      <c r="G16" s="17"/>
      <c r="H16" s="12"/>
      <c r="I16" s="127" t="s">
        <v>92</v>
      </c>
      <c r="J16" s="127"/>
      <c r="K16" s="127"/>
      <c r="L16" s="35"/>
      <c r="M16" s="35"/>
      <c r="N16" s="35"/>
      <c r="P16" t="s">
        <v>167</v>
      </c>
      <c r="Q16">
        <v>-1081</v>
      </c>
      <c r="R16">
        <v>53</v>
      </c>
      <c r="S16">
        <v>-24</v>
      </c>
      <c r="T16">
        <v>-649</v>
      </c>
      <c r="U16">
        <v>301</v>
      </c>
    </row>
    <row r="17" spans="2:21">
      <c r="B17" s="131" t="s">
        <v>93</v>
      </c>
      <c r="C17" s="131"/>
      <c r="D17" s="131"/>
      <c r="E17" s="39">
        <v>-1470</v>
      </c>
      <c r="F17" s="39">
        <v>-1622</v>
      </c>
      <c r="G17" s="39">
        <v>-1121</v>
      </c>
      <c r="H17" s="12"/>
      <c r="I17" s="128" t="s">
        <v>93</v>
      </c>
      <c r="J17" s="128"/>
      <c r="K17" s="128"/>
      <c r="L17" s="46">
        <v>-1121</v>
      </c>
      <c r="M17" s="46">
        <v>-1331</v>
      </c>
      <c r="N17" s="46">
        <v>-1626</v>
      </c>
      <c r="O17" s="12"/>
      <c r="P17" s="12"/>
      <c r="Q17" s="12"/>
    </row>
    <row r="18" spans="2:21">
      <c r="B18" s="128" t="s">
        <v>94</v>
      </c>
      <c r="C18" s="128"/>
      <c r="D18" s="128"/>
      <c r="E18" s="50">
        <v>1790</v>
      </c>
      <c r="F18" s="45">
        <v>937</v>
      </c>
      <c r="G18" s="50">
        <v>1145</v>
      </c>
      <c r="H18" s="12"/>
      <c r="I18" s="131" t="s">
        <v>94</v>
      </c>
      <c r="J18" s="131"/>
      <c r="K18" s="131"/>
      <c r="L18" s="48">
        <v>1145</v>
      </c>
      <c r="M18" s="48">
        <v>1446</v>
      </c>
      <c r="N18" s="48">
        <v>1678</v>
      </c>
      <c r="O18" s="12"/>
      <c r="P18" s="12"/>
    </row>
    <row r="19" spans="2:21">
      <c r="B19" s="131" t="s">
        <v>95</v>
      </c>
      <c r="C19" s="131"/>
      <c r="D19" s="131"/>
      <c r="E19" s="39">
        <v>-4710</v>
      </c>
      <c r="F19" s="39">
        <v>-4323</v>
      </c>
      <c r="G19" s="39">
        <v>-3891</v>
      </c>
      <c r="H19" s="12"/>
      <c r="I19" s="128" t="s">
        <v>95</v>
      </c>
      <c r="J19" s="128"/>
      <c r="K19" s="128"/>
      <c r="L19" s="46">
        <v>-3891</v>
      </c>
      <c r="M19" s="46">
        <v>-3588</v>
      </c>
      <c r="N19" s="46">
        <v>-2810</v>
      </c>
      <c r="P19" t="s">
        <v>71</v>
      </c>
      <c r="Q19">
        <v>929</v>
      </c>
      <c r="R19">
        <v>-53</v>
      </c>
      <c r="S19">
        <v>-753</v>
      </c>
      <c r="T19">
        <v>-93</v>
      </c>
      <c r="U19">
        <v>-571</v>
      </c>
    </row>
    <row r="20" spans="2:21">
      <c r="H20" s="12"/>
      <c r="I20" s="132" t="s">
        <v>122</v>
      </c>
      <c r="J20" s="132"/>
      <c r="K20" s="132"/>
      <c r="L20" s="62" t="s">
        <v>103</v>
      </c>
      <c r="M20" s="62" t="s">
        <v>103</v>
      </c>
      <c r="N20" s="63">
        <v>-1163</v>
      </c>
      <c r="P20" t="s">
        <v>168</v>
      </c>
      <c r="Q20">
        <v>-196</v>
      </c>
      <c r="R20">
        <v>-496</v>
      </c>
      <c r="S20">
        <v>-439</v>
      </c>
      <c r="T20">
        <v>-676</v>
      </c>
      <c r="U20">
        <v>-700</v>
      </c>
    </row>
    <row r="21" spans="2:21" ht="15" thickBot="1">
      <c r="B21" s="128" t="s">
        <v>96</v>
      </c>
      <c r="C21" s="128"/>
      <c r="D21" s="128"/>
      <c r="E21" s="42">
        <v>-19</v>
      </c>
      <c r="F21" s="38">
        <v>36</v>
      </c>
      <c r="G21" s="42">
        <v>-48</v>
      </c>
      <c r="H21" s="12"/>
      <c r="I21" s="128" t="s">
        <v>96</v>
      </c>
      <c r="J21" s="128"/>
      <c r="K21" s="128"/>
      <c r="L21" s="42">
        <v>-48</v>
      </c>
      <c r="M21" s="42">
        <v>-62</v>
      </c>
      <c r="N21" s="38">
        <v>30</v>
      </c>
      <c r="P21" t="s">
        <v>169</v>
      </c>
      <c r="Q21" s="12">
        <v>-1479</v>
      </c>
      <c r="R21" s="12">
        <v>-5748</v>
      </c>
      <c r="S21" s="12">
        <v>-1498</v>
      </c>
      <c r="T21" s="12">
        <v>-1251</v>
      </c>
      <c r="U21" s="12">
        <v>-9041</v>
      </c>
    </row>
    <row r="22" spans="2:21" ht="15" thickBot="1">
      <c r="B22" s="133" t="s">
        <v>97</v>
      </c>
      <c r="C22" s="133"/>
      <c r="D22" s="133"/>
      <c r="E22" s="41">
        <v>-4409</v>
      </c>
      <c r="F22" s="41">
        <v>-4972</v>
      </c>
      <c r="G22" s="41">
        <v>-3915</v>
      </c>
      <c r="H22" s="12"/>
      <c r="I22" s="133" t="s">
        <v>97</v>
      </c>
      <c r="J22" s="133"/>
      <c r="K22" s="133"/>
      <c r="L22" s="41">
        <v>-3915</v>
      </c>
      <c r="M22" s="41">
        <v>-3535</v>
      </c>
      <c r="N22" s="41">
        <v>-3891</v>
      </c>
      <c r="P22" t="s">
        <v>74</v>
      </c>
      <c r="R22">
        <v>-67</v>
      </c>
      <c r="S22">
        <v>-180</v>
      </c>
      <c r="T22">
        <v>-291</v>
      </c>
      <c r="U22">
        <v>-137</v>
      </c>
    </row>
    <row r="23" spans="2:21" ht="18.5">
      <c r="B23" s="129" t="s">
        <v>98</v>
      </c>
      <c r="C23" s="129"/>
      <c r="D23" s="129"/>
      <c r="E23" s="17"/>
      <c r="F23" s="17"/>
      <c r="G23" s="17"/>
      <c r="H23" s="12"/>
      <c r="I23" s="129" t="s">
        <v>98</v>
      </c>
      <c r="J23" s="129"/>
      <c r="K23" s="129"/>
      <c r="L23" s="17"/>
      <c r="M23" s="17"/>
      <c r="N23" s="17"/>
      <c r="P23" t="s">
        <v>170</v>
      </c>
      <c r="Q23">
        <v>-401</v>
      </c>
      <c r="R23">
        <v>-124</v>
      </c>
      <c r="S23">
        <v>-1413</v>
      </c>
      <c r="T23">
        <v>-303</v>
      </c>
      <c r="U23">
        <v>-315</v>
      </c>
    </row>
    <row r="24" spans="2:21">
      <c r="B24" s="132" t="s">
        <v>99</v>
      </c>
      <c r="C24" s="132"/>
      <c r="D24" s="132"/>
      <c r="E24" s="64">
        <v>-920</v>
      </c>
      <c r="F24" s="64">
        <v>-935</v>
      </c>
      <c r="G24" s="64">
        <v>-6</v>
      </c>
      <c r="H24" s="12"/>
    </row>
    <row r="25" spans="2:21">
      <c r="B25" s="132" t="s">
        <v>100</v>
      </c>
      <c r="C25" s="132"/>
      <c r="D25" s="132"/>
      <c r="E25" s="62">
        <v>928</v>
      </c>
      <c r="F25" s="62">
        <v>917</v>
      </c>
      <c r="G25" s="62">
        <v>53</v>
      </c>
      <c r="H25" s="12"/>
    </row>
    <row r="26" spans="2:21">
      <c r="B26" s="131" t="s">
        <v>101</v>
      </c>
      <c r="C26" s="131"/>
      <c r="D26" s="131"/>
      <c r="E26" s="39">
        <v>-1077</v>
      </c>
      <c r="F26" s="43">
        <v>-75</v>
      </c>
      <c r="G26" s="98">
        <v>-800</v>
      </c>
      <c r="H26" s="12"/>
      <c r="I26" s="128" t="s">
        <v>101</v>
      </c>
      <c r="J26" s="128"/>
      <c r="K26" s="128"/>
      <c r="L26" s="98">
        <v>-800</v>
      </c>
      <c r="M26" s="44">
        <v>-94</v>
      </c>
      <c r="N26" s="46">
        <v>-3200</v>
      </c>
      <c r="P26" t="s">
        <v>77</v>
      </c>
      <c r="Q26">
        <v>70</v>
      </c>
      <c r="R26">
        <v>46</v>
      </c>
      <c r="S26">
        <v>-249</v>
      </c>
      <c r="T26">
        <v>15</v>
      </c>
      <c r="U26">
        <v>40</v>
      </c>
    </row>
    <row r="27" spans="2:21">
      <c r="B27" s="128" t="s">
        <v>102</v>
      </c>
      <c r="C27" s="128"/>
      <c r="D27" s="128"/>
      <c r="E27" s="45">
        <v>498</v>
      </c>
      <c r="F27" s="45" t="s">
        <v>103</v>
      </c>
      <c r="G27" s="45" t="s">
        <v>103</v>
      </c>
      <c r="H27" s="12"/>
      <c r="I27" s="131" t="s">
        <v>102</v>
      </c>
      <c r="J27" s="131"/>
      <c r="K27" s="131"/>
      <c r="L27" s="40" t="s">
        <v>103</v>
      </c>
      <c r="M27" s="40" t="s">
        <v>103</v>
      </c>
      <c r="N27" s="48">
        <v>3992</v>
      </c>
    </row>
    <row r="28" spans="2:21">
      <c r="B28" s="131" t="s">
        <v>104</v>
      </c>
      <c r="C28" s="131"/>
      <c r="D28" s="131"/>
      <c r="E28" s="43">
        <v>-315</v>
      </c>
      <c r="F28" s="43">
        <v>-303</v>
      </c>
      <c r="G28" s="98">
        <v>-363</v>
      </c>
      <c r="H28" s="12"/>
      <c r="I28" s="131" t="s">
        <v>104</v>
      </c>
      <c r="J28" s="131"/>
      <c r="K28" s="131"/>
      <c r="L28" s="98">
        <v>-363</v>
      </c>
      <c r="M28" s="43">
        <v>-312</v>
      </c>
      <c r="N28" s="43">
        <v>-330</v>
      </c>
      <c r="P28" t="s">
        <v>171</v>
      </c>
      <c r="Q28">
        <v>124</v>
      </c>
      <c r="R28">
        <v>149</v>
      </c>
      <c r="S28">
        <v>145</v>
      </c>
      <c r="T28">
        <v>125</v>
      </c>
      <c r="U28">
        <v>129</v>
      </c>
    </row>
    <row r="29" spans="2:21">
      <c r="B29" s="128" t="s">
        <v>105</v>
      </c>
      <c r="C29" s="128"/>
      <c r="D29" s="128"/>
      <c r="E29" s="44">
        <v>-700</v>
      </c>
      <c r="F29" s="44">
        <v>-676</v>
      </c>
      <c r="G29" s="98">
        <v>-439</v>
      </c>
      <c r="H29" s="12"/>
      <c r="I29" s="128" t="s">
        <v>105</v>
      </c>
      <c r="J29" s="128"/>
      <c r="K29" s="128"/>
      <c r="L29" s="98">
        <v>-439</v>
      </c>
      <c r="M29" s="44">
        <v>-496</v>
      </c>
      <c r="N29" s="44">
        <v>-196</v>
      </c>
      <c r="P29" t="s">
        <v>172</v>
      </c>
      <c r="Q29">
        <v>1052</v>
      </c>
      <c r="R29">
        <v>1527</v>
      </c>
      <c r="S29">
        <v>1940</v>
      </c>
      <c r="T29">
        <v>2234</v>
      </c>
      <c r="U29">
        <v>2319</v>
      </c>
    </row>
    <row r="30" spans="2:21">
      <c r="B30" s="131" t="s">
        <v>106</v>
      </c>
      <c r="C30" s="131"/>
      <c r="D30" s="131"/>
      <c r="E30" s="39">
        <v>-9041</v>
      </c>
      <c r="F30" s="39">
        <v>-1251</v>
      </c>
      <c r="G30" s="99">
        <v>-1498</v>
      </c>
      <c r="H30" s="12"/>
      <c r="I30" s="131" t="s">
        <v>106</v>
      </c>
      <c r="J30" s="131"/>
      <c r="K30" s="131"/>
      <c r="L30" s="99">
        <v>-1498</v>
      </c>
      <c r="M30" s="39">
        <v>-5748</v>
      </c>
      <c r="N30" s="39">
        <v>-1479</v>
      </c>
    </row>
    <row r="31" spans="2:21">
      <c r="B31" s="132" t="s">
        <v>107</v>
      </c>
      <c r="C31" s="132"/>
      <c r="D31" s="132"/>
      <c r="E31" s="64">
        <v>-137</v>
      </c>
      <c r="F31" s="64">
        <v>-291</v>
      </c>
      <c r="G31" s="64">
        <v>-180</v>
      </c>
      <c r="H31" s="12"/>
    </row>
    <row r="32" spans="2:21">
      <c r="B32" s="131" t="s">
        <v>108</v>
      </c>
      <c r="C32" s="131"/>
      <c r="D32" s="131"/>
      <c r="E32" s="40" t="s">
        <v>103</v>
      </c>
      <c r="F32" s="40" t="s">
        <v>103</v>
      </c>
      <c r="G32" s="98">
        <v>-208</v>
      </c>
      <c r="H32" s="12"/>
      <c r="I32" s="128" t="s">
        <v>108</v>
      </c>
      <c r="J32" s="128"/>
      <c r="K32" s="128"/>
      <c r="L32" s="98">
        <v>-208</v>
      </c>
      <c r="M32" s="45" t="s">
        <v>103</v>
      </c>
      <c r="N32" s="45" t="s">
        <v>103</v>
      </c>
    </row>
    <row r="33" spans="2:14">
      <c r="B33" s="128" t="s">
        <v>109</v>
      </c>
      <c r="C33" s="128"/>
      <c r="D33" s="128"/>
      <c r="E33" s="45" t="s">
        <v>103</v>
      </c>
      <c r="F33" s="45" t="s">
        <v>103</v>
      </c>
      <c r="G33" s="98">
        <v>-842</v>
      </c>
      <c r="H33" s="12"/>
      <c r="I33" s="131" t="s">
        <v>109</v>
      </c>
      <c r="J33" s="131"/>
      <c r="K33" s="131"/>
      <c r="L33" s="98">
        <v>-842</v>
      </c>
      <c r="M33" s="40" t="s">
        <v>103</v>
      </c>
      <c r="N33" s="40" t="s">
        <v>103</v>
      </c>
    </row>
    <row r="34" spans="2:14" ht="15" thickBot="1">
      <c r="H34" s="12"/>
      <c r="I34" s="132" t="s">
        <v>123</v>
      </c>
      <c r="J34" s="132"/>
      <c r="K34" s="132"/>
      <c r="L34" s="65">
        <v>-133</v>
      </c>
      <c r="M34" s="66">
        <v>162</v>
      </c>
      <c r="N34" s="66">
        <v>66</v>
      </c>
    </row>
    <row r="35" spans="2:14" ht="15" thickBot="1">
      <c r="B35" s="133" t="s">
        <v>110</v>
      </c>
      <c r="C35" s="133"/>
      <c r="D35" s="133"/>
      <c r="E35" s="67">
        <v>-10764</v>
      </c>
      <c r="F35" s="67">
        <v>-2614</v>
      </c>
      <c r="G35" s="67">
        <v>-4283</v>
      </c>
      <c r="H35" s="12"/>
      <c r="I35" s="133" t="s">
        <v>110</v>
      </c>
      <c r="J35" s="133"/>
      <c r="K35" s="133"/>
      <c r="L35" s="41">
        <v>-4283</v>
      </c>
      <c r="M35" s="41">
        <v>-6488</v>
      </c>
      <c r="N35" s="41">
        <v>-1147</v>
      </c>
    </row>
    <row r="36" spans="2:14" ht="15" thickBot="1">
      <c r="B36" s="134" t="s">
        <v>111</v>
      </c>
      <c r="C36" s="134"/>
      <c r="D36" s="134"/>
      <c r="E36" s="45">
        <v>40</v>
      </c>
      <c r="F36" s="45">
        <v>15</v>
      </c>
      <c r="G36" s="44">
        <v>-249</v>
      </c>
      <c r="H36" s="12"/>
      <c r="I36" s="134" t="s">
        <v>111</v>
      </c>
      <c r="J36" s="134"/>
      <c r="K36" s="134"/>
      <c r="L36" s="56">
        <v>-249</v>
      </c>
      <c r="M36" s="57">
        <v>46</v>
      </c>
      <c r="N36" s="57">
        <v>70</v>
      </c>
    </row>
    <row r="37" spans="2:14">
      <c r="B37" s="131" t="s">
        <v>112</v>
      </c>
      <c r="C37" s="131"/>
      <c r="D37" s="131"/>
      <c r="E37" s="39">
        <v>-3794</v>
      </c>
      <c r="F37" s="48">
        <v>3497</v>
      </c>
      <c r="G37" s="39">
        <v>-1055</v>
      </c>
      <c r="H37" s="12"/>
      <c r="I37" s="131" t="s">
        <v>112</v>
      </c>
      <c r="J37" s="131"/>
      <c r="K37" s="131"/>
      <c r="L37" s="55">
        <v>-1055</v>
      </c>
      <c r="M37" s="55">
        <v>-1019</v>
      </c>
      <c r="N37" s="61">
        <v>3893</v>
      </c>
    </row>
    <row r="38" spans="2:14" ht="15" thickBot="1">
      <c r="B38" s="129" t="s">
        <v>113</v>
      </c>
      <c r="C38" s="129"/>
      <c r="D38" s="129"/>
      <c r="E38" s="51">
        <v>13700</v>
      </c>
      <c r="F38" s="51">
        <v>10203</v>
      </c>
      <c r="G38" s="51">
        <v>11258</v>
      </c>
      <c r="H38" s="12"/>
      <c r="I38" s="129" t="s">
        <v>113</v>
      </c>
      <c r="J38" s="129"/>
      <c r="K38" s="129"/>
      <c r="L38" s="51">
        <v>11258</v>
      </c>
      <c r="M38" s="51">
        <v>12277</v>
      </c>
      <c r="N38" s="51">
        <v>8384</v>
      </c>
    </row>
    <row r="39" spans="2:14">
      <c r="B39" s="127" t="s">
        <v>114</v>
      </c>
      <c r="C39" s="127"/>
      <c r="D39" s="127"/>
      <c r="E39" s="52">
        <v>9906</v>
      </c>
      <c r="F39" s="52">
        <v>13700</v>
      </c>
      <c r="G39" s="52">
        <v>10203</v>
      </c>
      <c r="H39" s="12"/>
      <c r="I39" s="127" t="s">
        <v>114</v>
      </c>
      <c r="J39" s="127"/>
      <c r="K39" s="127"/>
      <c r="L39" s="52">
        <v>10203</v>
      </c>
      <c r="M39" s="52">
        <v>11258</v>
      </c>
      <c r="N39" s="52">
        <v>12277</v>
      </c>
    </row>
    <row r="40" spans="2:14" ht="18.5">
      <c r="B40" s="127" t="s">
        <v>115</v>
      </c>
      <c r="C40" s="127"/>
      <c r="D40" s="127"/>
      <c r="E40" s="34"/>
      <c r="F40" s="34"/>
      <c r="G40" s="34"/>
      <c r="H40" s="12"/>
      <c r="I40" s="127" t="s">
        <v>115</v>
      </c>
      <c r="J40" s="127"/>
      <c r="K40" s="127"/>
      <c r="L40" s="34"/>
      <c r="M40" s="34"/>
      <c r="N40" s="34"/>
    </row>
    <row r="41" spans="2:14" ht="17.5">
      <c r="B41" s="128" t="s">
        <v>81</v>
      </c>
      <c r="C41" s="128"/>
      <c r="D41" s="128"/>
      <c r="E41" s="16"/>
      <c r="F41" s="16"/>
      <c r="G41" s="16"/>
      <c r="H41" s="12"/>
      <c r="I41" s="128" t="s">
        <v>81</v>
      </c>
      <c r="J41" s="128"/>
      <c r="K41" s="128"/>
      <c r="L41" s="16"/>
      <c r="M41" s="16"/>
      <c r="N41" s="16"/>
    </row>
    <row r="42" spans="2:14">
      <c r="B42" s="130" t="s">
        <v>82</v>
      </c>
      <c r="C42" s="130"/>
      <c r="D42" s="130"/>
      <c r="E42" s="36">
        <v>129</v>
      </c>
      <c r="F42" s="36">
        <v>125</v>
      </c>
      <c r="G42" s="36">
        <v>145</v>
      </c>
      <c r="H42" s="12"/>
      <c r="I42" s="130" t="s">
        <v>82</v>
      </c>
      <c r="J42" s="130"/>
      <c r="K42" s="130"/>
      <c r="L42" s="36">
        <v>145</v>
      </c>
      <c r="M42" s="36">
        <v>149</v>
      </c>
      <c r="N42" s="36">
        <v>124</v>
      </c>
    </row>
    <row r="43" spans="2:14">
      <c r="B43" s="126" t="s">
        <v>116</v>
      </c>
      <c r="C43" s="126"/>
      <c r="D43" s="126"/>
      <c r="E43" s="53">
        <v>2319</v>
      </c>
      <c r="F43" s="53">
        <v>2234</v>
      </c>
      <c r="G43" s="53">
        <v>1940</v>
      </c>
      <c r="H43" s="12"/>
      <c r="I43" s="126" t="s">
        <v>116</v>
      </c>
      <c r="J43" s="126"/>
      <c r="K43" s="126"/>
      <c r="L43" s="53">
        <v>1940</v>
      </c>
      <c r="M43" s="53">
        <v>1527</v>
      </c>
      <c r="N43" s="53">
        <v>1052</v>
      </c>
    </row>
    <row r="44" spans="2:14" ht="18.5">
      <c r="B44" s="127" t="s">
        <v>117</v>
      </c>
      <c r="C44" s="127"/>
      <c r="D44" s="127"/>
      <c r="E44" s="34"/>
      <c r="F44" s="34"/>
      <c r="G44" s="34"/>
      <c r="H44" s="12"/>
      <c r="I44" s="127" t="s">
        <v>117</v>
      </c>
      <c r="J44" s="127"/>
      <c r="K44" s="127"/>
      <c r="L44" s="34"/>
      <c r="M44" s="34"/>
      <c r="N44" s="34"/>
    </row>
    <row r="45" spans="2:14">
      <c r="B45" s="132" t="s">
        <v>118</v>
      </c>
      <c r="C45" s="132"/>
      <c r="D45" s="132"/>
      <c r="E45" s="68" t="s">
        <v>103</v>
      </c>
      <c r="F45" s="68">
        <v>452</v>
      </c>
      <c r="G45" s="68" t="s">
        <v>103</v>
      </c>
    </row>
    <row r="46" spans="2:14">
      <c r="B46" s="131" t="s">
        <v>119</v>
      </c>
      <c r="C46" s="131"/>
      <c r="D46" s="131"/>
      <c r="E46" s="36">
        <v>203</v>
      </c>
      <c r="F46" s="36">
        <v>170</v>
      </c>
      <c r="G46" s="36">
        <v>156</v>
      </c>
      <c r="I46" s="128" t="s">
        <v>119</v>
      </c>
      <c r="J46" s="128"/>
      <c r="K46" s="128"/>
      <c r="L46" s="37">
        <v>156</v>
      </c>
      <c r="M46" s="37">
        <v>184</v>
      </c>
      <c r="N46" s="37">
        <v>204</v>
      </c>
    </row>
  </sheetData>
  <mergeCells count="83">
    <mergeCell ref="B7:D7"/>
    <mergeCell ref="B2:D2"/>
    <mergeCell ref="B3:D3"/>
    <mergeCell ref="B4:D4"/>
    <mergeCell ref="B5:D5"/>
    <mergeCell ref="B6:D6"/>
    <mergeCell ref="B21:D21"/>
    <mergeCell ref="B8:D8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5:D35"/>
    <mergeCell ref="B36:D36"/>
    <mergeCell ref="B37:D37"/>
    <mergeCell ref="B38:D38"/>
    <mergeCell ref="B39:D39"/>
    <mergeCell ref="B46:D46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B40:D40"/>
    <mergeCell ref="B41:D41"/>
    <mergeCell ref="B42:D42"/>
    <mergeCell ref="B43:D43"/>
    <mergeCell ref="B44:D44"/>
    <mergeCell ref="B45:D45"/>
    <mergeCell ref="I22:K22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37:K37"/>
    <mergeCell ref="I23:K23"/>
    <mergeCell ref="I27:K27"/>
    <mergeCell ref="I26:K26"/>
    <mergeCell ref="I28:K28"/>
    <mergeCell ref="I29:K29"/>
    <mergeCell ref="I30:K30"/>
    <mergeCell ref="I32:K32"/>
    <mergeCell ref="I33:K33"/>
    <mergeCell ref="I34:K34"/>
    <mergeCell ref="I35:K35"/>
    <mergeCell ref="I36:K36"/>
    <mergeCell ref="I43:K43"/>
    <mergeCell ref="I44:K44"/>
    <mergeCell ref="I46:K46"/>
    <mergeCell ref="I38:K38"/>
    <mergeCell ref="I39:K39"/>
    <mergeCell ref="I40:K40"/>
    <mergeCell ref="I41:K41"/>
    <mergeCell ref="I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E521-FDBC-44B0-B43A-3786863284E3}">
  <dimension ref="B1:AJ40"/>
  <sheetViews>
    <sheetView topLeftCell="R14" workbookViewId="0">
      <selection activeCell="AF37" sqref="AF37:AJ37"/>
    </sheetView>
  </sheetViews>
  <sheetFormatPr defaultRowHeight="14.5"/>
  <cols>
    <col min="2" max="2" width="18.36328125" customWidth="1"/>
    <col min="3" max="3" width="16.08984375" customWidth="1"/>
    <col min="8" max="8" width="18.453125" customWidth="1"/>
    <col min="9" max="9" width="14.7265625" customWidth="1"/>
    <col min="14" max="14" width="17.90625" customWidth="1"/>
    <col min="15" max="15" width="20.36328125" customWidth="1"/>
    <col min="24" max="28" width="10.08984375" bestFit="1" customWidth="1"/>
  </cols>
  <sheetData>
    <row r="1" spans="2:36" ht="15" thickBot="1"/>
    <row r="2" spans="2:36" ht="17.5">
      <c r="B2" s="154" t="s">
        <v>125</v>
      </c>
      <c r="C2" s="154"/>
      <c r="D2" s="154"/>
      <c r="E2" s="69">
        <v>2024</v>
      </c>
      <c r="F2" s="69">
        <v>2023</v>
      </c>
      <c r="H2" s="154" t="s">
        <v>125</v>
      </c>
      <c r="I2" s="154"/>
      <c r="J2" s="154"/>
      <c r="K2" s="69">
        <v>2022</v>
      </c>
      <c r="L2" s="69">
        <v>2021</v>
      </c>
      <c r="N2" s="154" t="s">
        <v>125</v>
      </c>
      <c r="O2" s="154"/>
      <c r="P2" s="154"/>
      <c r="Q2" s="70">
        <v>2020</v>
      </c>
      <c r="R2" s="70">
        <v>2019</v>
      </c>
      <c r="U2" s="148" t="s">
        <v>125</v>
      </c>
      <c r="V2" s="148"/>
      <c r="W2" s="148"/>
      <c r="X2" s="95">
        <v>2020</v>
      </c>
      <c r="Y2" s="95">
        <v>2021</v>
      </c>
      <c r="Z2" s="95">
        <v>2022</v>
      </c>
      <c r="AA2" s="95">
        <v>2023</v>
      </c>
      <c r="AB2" s="95">
        <v>2024</v>
      </c>
    </row>
    <row r="3" spans="2:36" ht="17.5">
      <c r="B3" s="151" t="s">
        <v>126</v>
      </c>
      <c r="C3" s="151"/>
      <c r="D3" s="151"/>
      <c r="E3" s="71"/>
      <c r="F3" s="71"/>
      <c r="H3" s="151" t="s">
        <v>126</v>
      </c>
      <c r="I3" s="151"/>
      <c r="J3" s="151"/>
      <c r="K3" s="71"/>
      <c r="L3" s="71"/>
      <c r="N3" s="151" t="s">
        <v>126</v>
      </c>
      <c r="O3" s="151"/>
      <c r="P3" s="151"/>
      <c r="Q3" s="72"/>
      <c r="R3" s="72"/>
      <c r="U3" s="142" t="s">
        <v>126</v>
      </c>
      <c r="V3" s="142"/>
      <c r="W3" s="142"/>
      <c r="X3" s="96"/>
      <c r="Y3" s="96"/>
      <c r="Z3" s="96"/>
      <c r="AA3" s="96"/>
      <c r="AB3" s="96"/>
      <c r="AD3" s="1" t="s">
        <v>175</v>
      </c>
      <c r="AF3">
        <v>2020</v>
      </c>
      <c r="AG3">
        <v>2021</v>
      </c>
      <c r="AH3">
        <v>2022</v>
      </c>
      <c r="AI3">
        <v>2023</v>
      </c>
      <c r="AJ3">
        <v>2024</v>
      </c>
    </row>
    <row r="4" spans="2:36">
      <c r="B4" s="149" t="s">
        <v>127</v>
      </c>
      <c r="C4" s="149"/>
      <c r="D4" s="149"/>
      <c r="E4" s="73">
        <v>9906</v>
      </c>
      <c r="F4" s="73">
        <v>13700</v>
      </c>
      <c r="H4" s="149" t="s">
        <v>127</v>
      </c>
      <c r="I4" s="149"/>
      <c r="J4" s="149"/>
      <c r="K4" s="73">
        <v>10203</v>
      </c>
      <c r="L4" s="73">
        <v>11258</v>
      </c>
      <c r="N4" s="149" t="s">
        <v>127</v>
      </c>
      <c r="O4" s="149"/>
      <c r="P4" s="149"/>
      <c r="Q4" s="73">
        <v>12277</v>
      </c>
      <c r="R4" s="73">
        <v>8384</v>
      </c>
      <c r="U4" s="145" t="s">
        <v>127</v>
      </c>
      <c r="V4" s="145"/>
      <c r="W4" s="145"/>
      <c r="X4" s="97">
        <v>12277</v>
      </c>
      <c r="Y4" s="97">
        <v>11258</v>
      </c>
      <c r="Z4" s="97">
        <v>10203</v>
      </c>
      <c r="AA4" s="97">
        <v>13700</v>
      </c>
      <c r="AB4" s="97">
        <v>9906</v>
      </c>
      <c r="AE4" t="s">
        <v>176</v>
      </c>
      <c r="AF4" s="104">
        <v>12277</v>
      </c>
      <c r="AG4" s="104">
        <v>11258</v>
      </c>
      <c r="AH4" s="104">
        <v>10203</v>
      </c>
      <c r="AI4" s="104">
        <v>13700</v>
      </c>
      <c r="AJ4" s="104">
        <v>9906</v>
      </c>
    </row>
    <row r="5" spans="2:36">
      <c r="B5" s="150" t="s">
        <v>128</v>
      </c>
      <c r="C5" s="150"/>
      <c r="D5" s="150"/>
      <c r="E5" s="74">
        <v>1238</v>
      </c>
      <c r="F5" s="74">
        <v>1534</v>
      </c>
      <c r="H5" s="150" t="s">
        <v>128</v>
      </c>
      <c r="I5" s="150"/>
      <c r="J5" s="150"/>
      <c r="K5" s="75">
        <v>846</v>
      </c>
      <c r="L5" s="75">
        <v>917</v>
      </c>
      <c r="N5" s="150" t="s">
        <v>128</v>
      </c>
      <c r="O5" s="150"/>
      <c r="P5" s="150"/>
      <c r="Q5" s="74">
        <v>1028</v>
      </c>
      <c r="R5" s="74">
        <v>1060</v>
      </c>
      <c r="U5" s="144" t="s">
        <v>128</v>
      </c>
      <c r="V5" s="144"/>
      <c r="W5" s="144"/>
      <c r="X5" s="97">
        <v>1028</v>
      </c>
      <c r="Y5" s="97">
        <v>917</v>
      </c>
      <c r="Z5" s="97">
        <v>846</v>
      </c>
      <c r="AA5" s="97">
        <v>1534</v>
      </c>
      <c r="AB5" s="97">
        <v>1238</v>
      </c>
      <c r="AE5" t="s">
        <v>177</v>
      </c>
      <c r="AF5" s="104">
        <v>1028</v>
      </c>
      <c r="AG5" s="104">
        <v>917</v>
      </c>
      <c r="AH5" s="104">
        <v>846</v>
      </c>
      <c r="AI5" s="104">
        <v>1534</v>
      </c>
      <c r="AJ5" s="104">
        <v>1238</v>
      </c>
    </row>
    <row r="6" spans="2:36">
      <c r="B6" s="149" t="s">
        <v>129</v>
      </c>
      <c r="C6" s="149"/>
      <c r="D6" s="149"/>
      <c r="E6" s="76">
        <v>2721</v>
      </c>
      <c r="F6" s="76">
        <v>2285</v>
      </c>
      <c r="H6" s="149" t="s">
        <v>129</v>
      </c>
      <c r="I6" s="149"/>
      <c r="J6" s="149"/>
      <c r="K6" s="76">
        <v>2241</v>
      </c>
      <c r="L6" s="76">
        <v>1803</v>
      </c>
      <c r="N6" s="149" t="s">
        <v>129</v>
      </c>
      <c r="O6" s="149"/>
      <c r="P6" s="149"/>
      <c r="Q6" s="76">
        <v>1550</v>
      </c>
      <c r="R6" s="76">
        <v>1535</v>
      </c>
      <c r="U6" s="145" t="s">
        <v>129</v>
      </c>
      <c r="V6" s="145"/>
      <c r="W6" s="145"/>
      <c r="X6" s="97">
        <v>1550</v>
      </c>
      <c r="Y6" s="97">
        <v>1803</v>
      </c>
      <c r="Z6" s="97">
        <v>2241</v>
      </c>
      <c r="AA6" s="97">
        <v>2285</v>
      </c>
      <c r="AB6" s="97">
        <v>2721</v>
      </c>
      <c r="AE6" t="s">
        <v>129</v>
      </c>
      <c r="AF6" s="104">
        <v>1550</v>
      </c>
      <c r="AG6" s="104">
        <v>1803</v>
      </c>
      <c r="AH6" s="104">
        <v>2241</v>
      </c>
      <c r="AI6" s="104">
        <v>2285</v>
      </c>
      <c r="AJ6" s="104">
        <v>2721</v>
      </c>
    </row>
    <row r="7" spans="2:36">
      <c r="B7" s="150" t="s">
        <v>89</v>
      </c>
      <c r="C7" s="150"/>
      <c r="D7" s="150"/>
      <c r="E7" s="74">
        <v>18647</v>
      </c>
      <c r="F7" s="74">
        <v>16651</v>
      </c>
      <c r="H7" s="150" t="s">
        <v>89</v>
      </c>
      <c r="I7" s="150"/>
      <c r="J7" s="150"/>
      <c r="K7" s="74">
        <v>17907</v>
      </c>
      <c r="L7" s="74">
        <v>14215</v>
      </c>
      <c r="N7" s="150" t="s">
        <v>89</v>
      </c>
      <c r="O7" s="150"/>
      <c r="P7" s="150"/>
      <c r="Q7" s="74">
        <v>12242</v>
      </c>
      <c r="R7" s="74">
        <v>11395</v>
      </c>
      <c r="U7" s="144" t="s">
        <v>89</v>
      </c>
      <c r="V7" s="144"/>
      <c r="W7" s="144"/>
      <c r="X7" s="97">
        <v>12242</v>
      </c>
      <c r="Y7" s="97">
        <v>14215</v>
      </c>
      <c r="Z7" s="97">
        <v>17907</v>
      </c>
      <c r="AA7" s="97">
        <v>16651</v>
      </c>
      <c r="AB7" s="97">
        <v>18647</v>
      </c>
      <c r="AE7" t="s">
        <v>178</v>
      </c>
      <c r="AF7" s="104">
        <v>12242</v>
      </c>
      <c r="AG7" s="104">
        <v>14215</v>
      </c>
      <c r="AH7" s="104">
        <v>17907</v>
      </c>
      <c r="AI7" s="104">
        <v>16651</v>
      </c>
      <c r="AJ7" s="104">
        <v>18647</v>
      </c>
    </row>
    <row r="8" spans="2:36" ht="15" thickBot="1">
      <c r="B8" s="149" t="s">
        <v>130</v>
      </c>
      <c r="C8" s="149"/>
      <c r="D8" s="149"/>
      <c r="E8" s="77">
        <v>1734</v>
      </c>
      <c r="F8" s="77">
        <v>1709</v>
      </c>
      <c r="H8" s="149" t="s">
        <v>130</v>
      </c>
      <c r="I8" s="149"/>
      <c r="J8" s="149"/>
      <c r="K8" s="77">
        <v>1499</v>
      </c>
      <c r="L8" s="77">
        <v>1312</v>
      </c>
      <c r="N8" s="149" t="s">
        <v>130</v>
      </c>
      <c r="O8" s="149"/>
      <c r="P8" s="149"/>
      <c r="Q8" s="77">
        <v>1023</v>
      </c>
      <c r="R8" s="77">
        <v>1111</v>
      </c>
      <c r="U8" s="145" t="s">
        <v>130</v>
      </c>
      <c r="V8" s="145"/>
      <c r="W8" s="145"/>
      <c r="X8" s="103">
        <v>1023</v>
      </c>
      <c r="Y8" s="103">
        <v>1312</v>
      </c>
      <c r="Z8" s="103">
        <v>1499</v>
      </c>
      <c r="AA8" s="103">
        <v>1709</v>
      </c>
      <c r="AB8" s="103">
        <v>1734</v>
      </c>
      <c r="AD8" s="5" t="s">
        <v>179</v>
      </c>
      <c r="AE8" s="5"/>
    </row>
    <row r="9" spans="2:36">
      <c r="B9" s="150" t="s">
        <v>131</v>
      </c>
      <c r="C9" s="150"/>
      <c r="D9" s="150"/>
      <c r="E9" s="78">
        <v>34246</v>
      </c>
      <c r="F9" s="78">
        <v>35879</v>
      </c>
      <c r="H9" s="150" t="s">
        <v>131</v>
      </c>
      <c r="I9" s="150"/>
      <c r="J9" s="150"/>
      <c r="K9" s="78">
        <v>32696</v>
      </c>
      <c r="L9" s="78">
        <v>29505</v>
      </c>
      <c r="N9" s="150" t="s">
        <v>131</v>
      </c>
      <c r="O9" s="150"/>
      <c r="P9" s="150"/>
      <c r="Q9" s="78">
        <v>28120</v>
      </c>
      <c r="R9" s="78">
        <v>23485</v>
      </c>
      <c r="U9" s="144" t="s">
        <v>131</v>
      </c>
      <c r="V9" s="144"/>
      <c r="W9" s="144"/>
      <c r="X9" s="97">
        <v>28120</v>
      </c>
      <c r="Y9" s="97">
        <v>29505</v>
      </c>
      <c r="Z9" s="97">
        <v>32696</v>
      </c>
      <c r="AA9" s="97">
        <v>35879</v>
      </c>
      <c r="AB9" s="97">
        <v>34246</v>
      </c>
    </row>
    <row r="10" spans="2:36" ht="17.5">
      <c r="B10" s="152" t="s">
        <v>132</v>
      </c>
      <c r="C10" s="152"/>
      <c r="D10" s="152"/>
      <c r="E10" s="79"/>
      <c r="F10" s="79"/>
      <c r="H10" s="152" t="s">
        <v>132</v>
      </c>
      <c r="I10" s="152"/>
      <c r="J10" s="152"/>
      <c r="K10" s="79"/>
      <c r="L10" s="79"/>
      <c r="N10" s="152" t="s">
        <v>132</v>
      </c>
      <c r="O10" s="152"/>
      <c r="P10" s="152"/>
      <c r="Q10" s="80"/>
      <c r="R10" s="80"/>
      <c r="U10" s="141" t="s">
        <v>132</v>
      </c>
      <c r="V10" s="141"/>
      <c r="W10" s="141"/>
      <c r="X10" s="97"/>
      <c r="Y10" s="97"/>
      <c r="Z10" s="97"/>
      <c r="AA10" s="97"/>
      <c r="AB10" s="97"/>
      <c r="AD10" s="1" t="s">
        <v>180</v>
      </c>
    </row>
    <row r="11" spans="2:36">
      <c r="B11" s="150" t="s">
        <v>133</v>
      </c>
      <c r="C11" s="150"/>
      <c r="D11" s="150"/>
      <c r="E11" s="74">
        <v>29032</v>
      </c>
      <c r="F11" s="74">
        <v>26684</v>
      </c>
      <c r="H11" s="150" t="s">
        <v>133</v>
      </c>
      <c r="I11" s="150"/>
      <c r="J11" s="150"/>
      <c r="K11" s="74">
        <v>24646</v>
      </c>
      <c r="L11" s="74">
        <v>23492</v>
      </c>
      <c r="N11" s="150" t="s">
        <v>133</v>
      </c>
      <c r="O11" s="150"/>
      <c r="P11" s="150"/>
      <c r="Q11" s="74">
        <v>21807</v>
      </c>
      <c r="R11" s="74">
        <v>20890</v>
      </c>
      <c r="U11" s="144" t="s">
        <v>133</v>
      </c>
      <c r="V11" s="144"/>
      <c r="W11" s="144"/>
      <c r="X11" s="97">
        <v>21807</v>
      </c>
      <c r="Y11" s="97">
        <v>23492</v>
      </c>
      <c r="Z11" s="97">
        <v>24646</v>
      </c>
      <c r="AA11" s="97">
        <v>26684</v>
      </c>
      <c r="AB11" s="97">
        <v>29032</v>
      </c>
      <c r="AE11" t="s">
        <v>181</v>
      </c>
      <c r="AF11" s="104">
        <v>21807</v>
      </c>
      <c r="AG11" s="104">
        <v>23492</v>
      </c>
      <c r="AH11" s="104">
        <v>24646</v>
      </c>
      <c r="AI11" s="104">
        <v>26684</v>
      </c>
      <c r="AJ11" s="104">
        <v>29032</v>
      </c>
    </row>
    <row r="12" spans="2:36">
      <c r="B12" s="149" t="s">
        <v>134</v>
      </c>
      <c r="C12" s="149"/>
      <c r="D12" s="149"/>
      <c r="E12" s="76">
        <v>2617</v>
      </c>
      <c r="F12" s="76">
        <v>2713</v>
      </c>
      <c r="H12" s="149" t="s">
        <v>134</v>
      </c>
      <c r="I12" s="149"/>
      <c r="J12" s="149"/>
      <c r="K12" s="76">
        <v>2774</v>
      </c>
      <c r="L12" s="76">
        <v>2890</v>
      </c>
      <c r="N12" s="149" t="s">
        <v>134</v>
      </c>
      <c r="O12" s="149"/>
      <c r="P12" s="149"/>
      <c r="Q12" s="76">
        <v>2788</v>
      </c>
      <c r="R12" s="81" t="s">
        <v>166</v>
      </c>
      <c r="U12" s="145" t="s">
        <v>134</v>
      </c>
      <c r="V12" s="145"/>
      <c r="W12" s="145"/>
      <c r="X12" s="97">
        <v>2788</v>
      </c>
      <c r="Y12" s="97">
        <v>2890</v>
      </c>
      <c r="Z12" s="97">
        <v>2774</v>
      </c>
      <c r="AA12" s="97">
        <v>2713</v>
      </c>
      <c r="AB12" s="97">
        <v>2617</v>
      </c>
      <c r="AE12" t="s">
        <v>182</v>
      </c>
      <c r="AF12" s="104">
        <v>2788</v>
      </c>
      <c r="AG12" s="104">
        <v>2890</v>
      </c>
      <c r="AH12" s="104">
        <v>2774</v>
      </c>
      <c r="AI12" s="104">
        <v>2713</v>
      </c>
      <c r="AJ12" s="104">
        <v>2617</v>
      </c>
    </row>
    <row r="13" spans="2:36" ht="15" thickBot="1">
      <c r="B13" s="150" t="s">
        <v>135</v>
      </c>
      <c r="C13" s="150"/>
      <c r="D13" s="150"/>
      <c r="E13" s="82">
        <v>3936</v>
      </c>
      <c r="F13" s="82">
        <v>3718</v>
      </c>
      <c r="H13" s="150" t="s">
        <v>135</v>
      </c>
      <c r="I13" s="150"/>
      <c r="J13" s="150"/>
      <c r="K13" s="82">
        <v>4050</v>
      </c>
      <c r="L13" s="82">
        <v>3381</v>
      </c>
      <c r="N13" s="150" t="s">
        <v>135</v>
      </c>
      <c r="O13" s="150"/>
      <c r="P13" s="150"/>
      <c r="Q13" s="82">
        <v>2841</v>
      </c>
      <c r="R13" s="82">
        <v>1025</v>
      </c>
      <c r="U13" s="144" t="s">
        <v>135</v>
      </c>
      <c r="V13" s="144"/>
      <c r="W13" s="144"/>
      <c r="X13" s="97">
        <v>2841</v>
      </c>
      <c r="Y13" s="97">
        <v>3381</v>
      </c>
      <c r="Z13" s="97">
        <v>4050</v>
      </c>
      <c r="AA13" s="97">
        <v>3718</v>
      </c>
      <c r="AB13" s="97">
        <v>3936</v>
      </c>
      <c r="AE13" t="s">
        <v>135</v>
      </c>
      <c r="AF13" s="104">
        <v>3864</v>
      </c>
      <c r="AG13" s="104">
        <v>4693</v>
      </c>
      <c r="AH13" s="104">
        <v>5549</v>
      </c>
      <c r="AI13" s="104">
        <v>5427</v>
      </c>
      <c r="AJ13" s="104">
        <v>5670</v>
      </c>
    </row>
    <row r="14" spans="2:36" ht="15" thickBot="1">
      <c r="B14" s="152" t="s">
        <v>136</v>
      </c>
      <c r="C14" s="152"/>
      <c r="D14" s="152"/>
      <c r="E14" s="83">
        <v>69831</v>
      </c>
      <c r="F14" s="83">
        <v>68994</v>
      </c>
      <c r="H14" s="152" t="s">
        <v>136</v>
      </c>
      <c r="I14" s="152"/>
      <c r="J14" s="152"/>
      <c r="K14" s="83">
        <v>64166</v>
      </c>
      <c r="L14" s="83">
        <v>59268</v>
      </c>
      <c r="N14" s="152" t="s">
        <v>136</v>
      </c>
      <c r="O14" s="152"/>
      <c r="P14" s="152"/>
      <c r="Q14" s="83">
        <v>55556</v>
      </c>
      <c r="R14" s="83">
        <v>45400</v>
      </c>
      <c r="U14" s="141" t="s">
        <v>136</v>
      </c>
      <c r="V14" s="141"/>
      <c r="W14" s="141"/>
      <c r="X14" s="97">
        <v>55556</v>
      </c>
      <c r="Y14" s="97">
        <v>59268</v>
      </c>
      <c r="Z14" s="97">
        <v>64166</v>
      </c>
      <c r="AA14" s="97">
        <v>68994</v>
      </c>
      <c r="AB14" s="97">
        <v>69831</v>
      </c>
      <c r="AD14" s="102" t="s">
        <v>183</v>
      </c>
      <c r="AE14" s="33"/>
    </row>
    <row r="15" spans="2:36" ht="18" thickTop="1">
      <c r="B15" s="153" t="s">
        <v>137</v>
      </c>
      <c r="C15" s="153"/>
      <c r="D15" s="153"/>
      <c r="E15" s="84"/>
      <c r="F15" s="84"/>
      <c r="H15" s="153" t="s">
        <v>137</v>
      </c>
      <c r="I15" s="153"/>
      <c r="J15" s="153"/>
      <c r="K15" s="84"/>
      <c r="L15" s="84"/>
      <c r="N15" s="153" t="s">
        <v>137</v>
      </c>
      <c r="O15" s="153"/>
      <c r="P15" s="153"/>
      <c r="Q15" s="85"/>
      <c r="R15" s="85"/>
      <c r="U15" s="147" t="s">
        <v>137</v>
      </c>
      <c r="V15" s="147"/>
      <c r="W15" s="147"/>
      <c r="X15" s="97"/>
      <c r="Y15" s="97"/>
      <c r="Z15" s="97"/>
      <c r="AA15" s="97"/>
      <c r="AB15" s="97"/>
    </row>
    <row r="16" spans="2:36" ht="17.5">
      <c r="B16" s="152" t="s">
        <v>138</v>
      </c>
      <c r="C16" s="152"/>
      <c r="D16" s="152"/>
      <c r="E16" s="79"/>
      <c r="F16" s="79"/>
      <c r="H16" s="152" t="s">
        <v>138</v>
      </c>
      <c r="I16" s="152"/>
      <c r="J16" s="152"/>
      <c r="K16" s="79"/>
      <c r="L16" s="79"/>
      <c r="N16" s="152" t="s">
        <v>138</v>
      </c>
      <c r="O16" s="152"/>
      <c r="P16" s="152"/>
      <c r="Q16" s="80"/>
      <c r="R16" s="80"/>
      <c r="U16" s="141" t="s">
        <v>138</v>
      </c>
      <c r="V16" s="141"/>
      <c r="W16" s="141"/>
      <c r="X16" s="97"/>
      <c r="Y16" s="97"/>
      <c r="Z16" s="97"/>
      <c r="AA16" s="97"/>
      <c r="AB16" s="97"/>
      <c r="AD16" s="1" t="s">
        <v>184</v>
      </c>
    </row>
    <row r="17" spans="2:36">
      <c r="B17" s="150" t="s">
        <v>90</v>
      </c>
      <c r="C17" s="150"/>
      <c r="D17" s="150"/>
      <c r="E17" s="86">
        <v>19421</v>
      </c>
      <c r="F17" s="86">
        <v>17483</v>
      </c>
      <c r="H17" s="150" t="s">
        <v>90</v>
      </c>
      <c r="I17" s="150"/>
      <c r="J17" s="150"/>
      <c r="K17" s="86">
        <v>17848</v>
      </c>
      <c r="L17" s="86">
        <v>16278</v>
      </c>
      <c r="N17" s="150" t="s">
        <v>90</v>
      </c>
      <c r="O17" s="150"/>
      <c r="P17" s="150"/>
      <c r="Q17" s="86">
        <v>14172</v>
      </c>
      <c r="R17" s="86">
        <v>11679</v>
      </c>
      <c r="U17" s="144" t="s">
        <v>90</v>
      </c>
      <c r="V17" s="144"/>
      <c r="W17" s="144"/>
      <c r="X17" s="97">
        <v>14172</v>
      </c>
      <c r="Y17" s="97">
        <v>16278</v>
      </c>
      <c r="Z17" s="97">
        <v>17848</v>
      </c>
      <c r="AA17" s="97">
        <v>17483</v>
      </c>
      <c r="AB17" s="97">
        <v>19421</v>
      </c>
      <c r="AE17" t="s">
        <v>62</v>
      </c>
      <c r="AF17" s="104">
        <f t="shared" ref="AF17:AH20" si="0">X17</f>
        <v>14172</v>
      </c>
      <c r="AG17" s="104">
        <f t="shared" si="0"/>
        <v>16278</v>
      </c>
      <c r="AH17" s="104">
        <f t="shared" si="0"/>
        <v>17848</v>
      </c>
      <c r="AI17" s="104">
        <f t="shared" ref="AI17:AJ20" si="1">AA17</f>
        <v>17483</v>
      </c>
      <c r="AJ17" s="104">
        <f t="shared" si="1"/>
        <v>19421</v>
      </c>
    </row>
    <row r="18" spans="2:36">
      <c r="B18" s="149" t="s">
        <v>139</v>
      </c>
      <c r="C18" s="149"/>
      <c r="D18" s="149"/>
      <c r="E18" s="76">
        <v>4794</v>
      </c>
      <c r="F18" s="76">
        <v>4278</v>
      </c>
      <c r="H18" s="149" t="s">
        <v>139</v>
      </c>
      <c r="I18" s="149"/>
      <c r="J18" s="149"/>
      <c r="K18" s="76">
        <v>4381</v>
      </c>
      <c r="L18" s="76">
        <v>4090</v>
      </c>
      <c r="N18" s="149" t="s">
        <v>139</v>
      </c>
      <c r="O18" s="149"/>
      <c r="P18" s="149"/>
      <c r="Q18" s="76">
        <v>3605</v>
      </c>
      <c r="R18" s="76">
        <v>3176</v>
      </c>
      <c r="U18" s="145" t="s">
        <v>139</v>
      </c>
      <c r="V18" s="145"/>
      <c r="W18" s="145"/>
      <c r="X18" s="97">
        <v>3605</v>
      </c>
      <c r="Y18" s="97">
        <v>4090</v>
      </c>
      <c r="Z18" s="97">
        <v>4381</v>
      </c>
      <c r="AA18" s="97">
        <v>4278</v>
      </c>
      <c r="AB18" s="97">
        <v>4794</v>
      </c>
      <c r="AE18" t="s">
        <v>185</v>
      </c>
      <c r="AF18" s="104">
        <f t="shared" si="0"/>
        <v>3605</v>
      </c>
      <c r="AG18" s="104">
        <f t="shared" si="0"/>
        <v>4090</v>
      </c>
      <c r="AH18" s="104">
        <f t="shared" si="0"/>
        <v>4381</v>
      </c>
      <c r="AI18" s="104">
        <f t="shared" si="1"/>
        <v>4278</v>
      </c>
      <c r="AJ18" s="104">
        <f t="shared" si="1"/>
        <v>4794</v>
      </c>
    </row>
    <row r="19" spans="2:36">
      <c r="B19" s="150" t="s">
        <v>140</v>
      </c>
      <c r="C19" s="150"/>
      <c r="D19" s="150"/>
      <c r="E19" s="74">
        <v>2435</v>
      </c>
      <c r="F19" s="74">
        <v>2150</v>
      </c>
      <c r="H19" s="150" t="s">
        <v>140</v>
      </c>
      <c r="I19" s="150"/>
      <c r="J19" s="150"/>
      <c r="K19" s="74">
        <v>1911</v>
      </c>
      <c r="L19" s="74">
        <v>1671</v>
      </c>
      <c r="N19" s="150" t="s">
        <v>140</v>
      </c>
      <c r="O19" s="150"/>
      <c r="P19" s="150"/>
      <c r="Q19" s="74">
        <v>1393</v>
      </c>
      <c r="R19" s="74">
        <v>1180</v>
      </c>
      <c r="U19" s="144" t="s">
        <v>140</v>
      </c>
      <c r="V19" s="144"/>
      <c r="W19" s="144"/>
      <c r="X19" s="97">
        <v>1393</v>
      </c>
      <c r="Y19" s="97">
        <v>1671</v>
      </c>
      <c r="Z19" s="97">
        <v>1911</v>
      </c>
      <c r="AA19" s="97">
        <v>2150</v>
      </c>
      <c r="AB19" s="97">
        <v>2435</v>
      </c>
      <c r="AE19" t="s">
        <v>186</v>
      </c>
      <c r="AF19" s="104">
        <f t="shared" si="0"/>
        <v>1393</v>
      </c>
      <c r="AG19" s="104">
        <f t="shared" si="0"/>
        <v>1671</v>
      </c>
      <c r="AH19" s="104">
        <f t="shared" si="0"/>
        <v>1911</v>
      </c>
      <c r="AI19" s="104">
        <f t="shared" si="1"/>
        <v>2150</v>
      </c>
      <c r="AJ19" s="104">
        <f t="shared" si="1"/>
        <v>2435</v>
      </c>
    </row>
    <row r="20" spans="2:36">
      <c r="B20" s="149" t="s">
        <v>141</v>
      </c>
      <c r="C20" s="149"/>
      <c r="D20" s="149"/>
      <c r="E20" s="76">
        <v>2501</v>
      </c>
      <c r="F20" s="76">
        <v>2337</v>
      </c>
      <c r="H20" s="149" t="s">
        <v>141</v>
      </c>
      <c r="I20" s="149"/>
      <c r="J20" s="149"/>
      <c r="K20" s="76">
        <v>2174</v>
      </c>
      <c r="L20" s="76">
        <v>2042</v>
      </c>
      <c r="N20" s="149" t="s">
        <v>141</v>
      </c>
      <c r="O20" s="149"/>
      <c r="P20" s="149"/>
      <c r="Q20" s="76">
        <v>1851</v>
      </c>
      <c r="R20" s="76">
        <v>1711</v>
      </c>
      <c r="U20" s="145" t="s">
        <v>141</v>
      </c>
      <c r="V20" s="145"/>
      <c r="W20" s="145"/>
      <c r="X20" s="97">
        <v>1851</v>
      </c>
      <c r="Y20" s="97">
        <v>2042</v>
      </c>
      <c r="Z20" s="97">
        <v>2174</v>
      </c>
      <c r="AA20" s="97">
        <v>2337</v>
      </c>
      <c r="AB20" s="97">
        <v>2501</v>
      </c>
      <c r="AE20" t="s">
        <v>187</v>
      </c>
      <c r="AF20" s="104">
        <f t="shared" si="0"/>
        <v>1851</v>
      </c>
      <c r="AG20" s="104">
        <f t="shared" si="0"/>
        <v>2042</v>
      </c>
      <c r="AH20" s="104">
        <f t="shared" si="0"/>
        <v>2174</v>
      </c>
      <c r="AI20" s="104">
        <f t="shared" si="1"/>
        <v>2337</v>
      </c>
      <c r="AJ20" s="104">
        <f t="shared" si="1"/>
        <v>2501</v>
      </c>
    </row>
    <row r="21" spans="2:36">
      <c r="B21" s="150" t="s">
        <v>142</v>
      </c>
      <c r="C21" s="150"/>
      <c r="D21" s="150"/>
      <c r="E21" s="75">
        <v>103</v>
      </c>
      <c r="F21" s="74">
        <v>1081</v>
      </c>
      <c r="H21" s="150" t="s">
        <v>142</v>
      </c>
      <c r="I21" s="150"/>
      <c r="J21" s="150"/>
      <c r="K21" s="75">
        <v>73</v>
      </c>
      <c r="L21" s="75">
        <v>799</v>
      </c>
      <c r="N21" s="150" t="s">
        <v>142</v>
      </c>
      <c r="O21" s="150"/>
      <c r="P21" s="150"/>
      <c r="Q21" s="75">
        <v>95</v>
      </c>
      <c r="R21" s="74">
        <v>1699</v>
      </c>
      <c r="U21" s="144" t="s">
        <v>142</v>
      </c>
      <c r="V21" s="144"/>
      <c r="W21" s="144"/>
      <c r="X21" s="103">
        <v>95</v>
      </c>
      <c r="Y21" s="103">
        <v>799</v>
      </c>
      <c r="Z21" s="103">
        <v>73</v>
      </c>
      <c r="AA21" s="103">
        <v>1081</v>
      </c>
      <c r="AB21" s="103">
        <v>103</v>
      </c>
      <c r="AE21" t="s">
        <v>188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ht="15" thickBot="1">
      <c r="B22" s="149" t="s">
        <v>143</v>
      </c>
      <c r="C22" s="149"/>
      <c r="D22" s="149"/>
      <c r="E22" s="77">
        <v>6210</v>
      </c>
      <c r="F22" s="77">
        <v>6254</v>
      </c>
      <c r="H22" s="149" t="s">
        <v>143</v>
      </c>
      <c r="I22" s="149"/>
      <c r="J22" s="149"/>
      <c r="K22" s="77">
        <v>5611</v>
      </c>
      <c r="L22" s="77">
        <v>4561</v>
      </c>
      <c r="N22" s="149" t="s">
        <v>143</v>
      </c>
      <c r="O22" s="149"/>
      <c r="P22" s="149"/>
      <c r="Q22" s="77">
        <v>3728</v>
      </c>
      <c r="R22" s="77">
        <v>3792</v>
      </c>
      <c r="U22" s="145" t="s">
        <v>143</v>
      </c>
      <c r="V22" s="145"/>
      <c r="W22" s="145"/>
      <c r="X22" s="103">
        <v>3728</v>
      </c>
      <c r="Y22" s="103">
        <v>4561</v>
      </c>
      <c r="Z22" s="103">
        <v>5611</v>
      </c>
      <c r="AA22" s="103">
        <v>6254</v>
      </c>
      <c r="AB22" s="103">
        <v>6210</v>
      </c>
      <c r="AD22" s="5" t="s">
        <v>189</v>
      </c>
      <c r="AE22" s="5"/>
    </row>
    <row r="23" spans="2:36">
      <c r="B23" s="150" t="s">
        <v>144</v>
      </c>
      <c r="C23" s="150"/>
      <c r="D23" s="150"/>
      <c r="E23" s="78">
        <v>35464</v>
      </c>
      <c r="F23" s="78">
        <v>33583</v>
      </c>
      <c r="H23" s="150" t="s">
        <v>144</v>
      </c>
      <c r="I23" s="150"/>
      <c r="J23" s="150"/>
      <c r="K23" s="78">
        <v>31998</v>
      </c>
      <c r="L23" s="78">
        <v>29441</v>
      </c>
      <c r="N23" s="150" t="s">
        <v>144</v>
      </c>
      <c r="O23" s="150"/>
      <c r="P23" s="150"/>
      <c r="Q23" s="78">
        <v>24844</v>
      </c>
      <c r="R23" s="78">
        <v>23237</v>
      </c>
      <c r="U23" s="144" t="s">
        <v>144</v>
      </c>
      <c r="V23" s="144"/>
      <c r="W23" s="144"/>
      <c r="X23" s="97">
        <v>24844</v>
      </c>
      <c r="Y23" s="97">
        <v>29441</v>
      </c>
      <c r="Z23" s="97">
        <v>31998</v>
      </c>
      <c r="AA23" s="97">
        <v>33583</v>
      </c>
      <c r="AB23" s="97">
        <v>35464</v>
      </c>
    </row>
    <row r="24" spans="2:36" ht="17.5">
      <c r="B24" s="152" t="s">
        <v>145</v>
      </c>
      <c r="C24" s="152"/>
      <c r="D24" s="152"/>
      <c r="E24" s="79"/>
      <c r="F24" s="79"/>
      <c r="H24" s="152" t="s">
        <v>145</v>
      </c>
      <c r="I24" s="152"/>
      <c r="J24" s="152"/>
      <c r="K24" s="79"/>
      <c r="L24" s="79"/>
      <c r="N24" s="152" t="s">
        <v>145</v>
      </c>
      <c r="O24" s="152"/>
      <c r="P24" s="152"/>
      <c r="Q24" s="80"/>
      <c r="R24" s="80"/>
      <c r="U24" s="141" t="s">
        <v>145</v>
      </c>
      <c r="V24" s="141"/>
      <c r="W24" s="141"/>
      <c r="X24" s="97"/>
      <c r="Y24" s="97"/>
      <c r="Z24" s="97"/>
      <c r="AA24" s="97"/>
      <c r="AB24" s="97"/>
      <c r="AD24" s="1" t="s">
        <v>190</v>
      </c>
    </row>
    <row r="25" spans="2:36">
      <c r="B25" s="150" t="s">
        <v>146</v>
      </c>
      <c r="C25" s="150"/>
      <c r="D25" s="150"/>
      <c r="E25" s="74">
        <v>5794</v>
      </c>
      <c r="F25" s="74">
        <v>5377</v>
      </c>
      <c r="H25" s="150" t="s">
        <v>146</v>
      </c>
      <c r="I25" s="150"/>
      <c r="J25" s="150"/>
      <c r="K25" s="74">
        <v>6484</v>
      </c>
      <c r="L25" s="74">
        <v>6692</v>
      </c>
      <c r="N25" s="150" t="s">
        <v>146</v>
      </c>
      <c r="O25" s="150"/>
      <c r="P25" s="150"/>
      <c r="Q25" s="74">
        <v>7514</v>
      </c>
      <c r="R25" s="74">
        <v>5124</v>
      </c>
      <c r="U25" s="144" t="s">
        <v>146</v>
      </c>
      <c r="V25" s="144"/>
      <c r="W25" s="144"/>
      <c r="X25" s="97">
        <v>7514</v>
      </c>
      <c r="Y25" s="97">
        <v>6692</v>
      </c>
      <c r="Z25" s="97">
        <v>6484</v>
      </c>
      <c r="AA25" s="97">
        <v>5377</v>
      </c>
      <c r="AB25" s="97">
        <v>5794</v>
      </c>
      <c r="AE25" t="s">
        <v>191</v>
      </c>
      <c r="AF25" s="104">
        <f>SUM(X25,X21)</f>
        <v>7609</v>
      </c>
      <c r="AG25" s="104">
        <f>SUM(Y25,Y21)</f>
        <v>7491</v>
      </c>
      <c r="AH25" s="104">
        <f>SUM(Z25,Z21)</f>
        <v>6557</v>
      </c>
      <c r="AI25" s="104">
        <f>SUM(AA25,AA21)</f>
        <v>6458</v>
      </c>
      <c r="AJ25" s="104">
        <f>SUM(AB25,AB21)</f>
        <v>5897</v>
      </c>
    </row>
    <row r="26" spans="2:36">
      <c r="B26" s="149" t="s">
        <v>147</v>
      </c>
      <c r="C26" s="149"/>
      <c r="D26" s="149"/>
      <c r="E26" s="76">
        <v>2375</v>
      </c>
      <c r="F26" s="76">
        <v>2426</v>
      </c>
      <c r="H26" s="149" t="s">
        <v>147</v>
      </c>
      <c r="I26" s="149"/>
      <c r="J26" s="149"/>
      <c r="K26" s="76">
        <v>2482</v>
      </c>
      <c r="L26" s="76">
        <v>2642</v>
      </c>
      <c r="N26" s="149" t="s">
        <v>147</v>
      </c>
      <c r="O26" s="149"/>
      <c r="P26" s="149"/>
      <c r="Q26" s="76">
        <v>2558</v>
      </c>
      <c r="R26" s="81" t="s">
        <v>153</v>
      </c>
      <c r="U26" s="145" t="s">
        <v>147</v>
      </c>
      <c r="V26" s="145"/>
      <c r="W26" s="145"/>
      <c r="X26" s="97">
        <v>2558</v>
      </c>
      <c r="Y26" s="97">
        <v>2642</v>
      </c>
      <c r="Z26" s="97">
        <v>2482</v>
      </c>
      <c r="AA26" s="97">
        <v>2426</v>
      </c>
      <c r="AB26" s="97">
        <v>2375</v>
      </c>
      <c r="AE26" t="s">
        <v>192</v>
      </c>
      <c r="AF26" s="104">
        <f>X26</f>
        <v>2558</v>
      </c>
      <c r="AG26" s="104">
        <f>Y26</f>
        <v>2642</v>
      </c>
      <c r="AH26" s="104">
        <f>Z26</f>
        <v>2482</v>
      </c>
      <c r="AI26" s="104">
        <f>AA26</f>
        <v>2426</v>
      </c>
      <c r="AJ26" s="104">
        <f>AB26</f>
        <v>2375</v>
      </c>
    </row>
    <row r="27" spans="2:36" ht="15" thickBot="1">
      <c r="B27" s="150" t="s">
        <v>148</v>
      </c>
      <c r="C27" s="150"/>
      <c r="D27" s="150"/>
      <c r="E27" s="82">
        <v>2576</v>
      </c>
      <c r="F27" s="82">
        <v>2550</v>
      </c>
      <c r="H27" s="150" t="s">
        <v>148</v>
      </c>
      <c r="I27" s="150"/>
      <c r="J27" s="150"/>
      <c r="K27" s="82">
        <v>2555</v>
      </c>
      <c r="L27" s="82">
        <v>2415</v>
      </c>
      <c r="N27" s="150" t="s">
        <v>148</v>
      </c>
      <c r="O27" s="150"/>
      <c r="P27" s="150"/>
      <c r="Q27" s="82">
        <v>1935</v>
      </c>
      <c r="R27" s="82">
        <v>1455</v>
      </c>
      <c r="U27" s="144" t="s">
        <v>148</v>
      </c>
      <c r="V27" s="144"/>
      <c r="W27" s="144"/>
      <c r="X27" s="97">
        <v>1935</v>
      </c>
      <c r="Y27" s="97">
        <v>2415</v>
      </c>
      <c r="Z27" s="97">
        <v>2555</v>
      </c>
      <c r="AA27" s="97">
        <v>2550</v>
      </c>
      <c r="AB27" s="97">
        <v>2576</v>
      </c>
      <c r="AE27" t="s">
        <v>148</v>
      </c>
      <c r="AF27" s="104">
        <f>SUM(X27,X22)</f>
        <v>5663</v>
      </c>
      <c r="AG27" s="104">
        <f>SUM(Y27,Y22)</f>
        <v>6976</v>
      </c>
      <c r="AH27" s="104">
        <f>SUM(Z27,Z22)</f>
        <v>8166</v>
      </c>
      <c r="AI27" s="104">
        <f>SUM(AA27,AA22)</f>
        <v>8804</v>
      </c>
      <c r="AJ27" s="104">
        <f>SUM(AB27,AB22)</f>
        <v>8786</v>
      </c>
    </row>
    <row r="28" spans="2:36" ht="15" thickBot="1">
      <c r="B28" s="152" t="s">
        <v>149</v>
      </c>
      <c r="C28" s="152"/>
      <c r="D28" s="152"/>
      <c r="E28" s="87">
        <v>46209</v>
      </c>
      <c r="F28" s="87">
        <v>43936</v>
      </c>
      <c r="H28" s="152" t="s">
        <v>149</v>
      </c>
      <c r="I28" s="152"/>
      <c r="J28" s="152"/>
      <c r="K28" s="87">
        <v>43519</v>
      </c>
      <c r="L28" s="87">
        <v>41190</v>
      </c>
      <c r="N28" s="152" t="s">
        <v>149</v>
      </c>
      <c r="O28" s="152"/>
      <c r="P28" s="152"/>
      <c r="Q28" s="87">
        <v>36851</v>
      </c>
      <c r="R28" s="87">
        <v>29816</v>
      </c>
      <c r="U28" s="141" t="s">
        <v>149</v>
      </c>
      <c r="V28" s="141"/>
      <c r="W28" s="141"/>
      <c r="X28" s="97">
        <v>36851</v>
      </c>
      <c r="Y28" s="97">
        <v>41190</v>
      </c>
      <c r="Z28" s="97">
        <v>43519</v>
      </c>
      <c r="AA28" s="97">
        <v>43936</v>
      </c>
      <c r="AB28" s="97">
        <v>46209</v>
      </c>
      <c r="AD28" s="5" t="s">
        <v>193</v>
      </c>
      <c r="AE28" s="5"/>
    </row>
    <row r="29" spans="2:36" ht="17.5">
      <c r="B29" s="151" t="s">
        <v>150</v>
      </c>
      <c r="C29" s="151"/>
      <c r="D29" s="151"/>
      <c r="E29" s="88"/>
      <c r="F29" s="88"/>
      <c r="H29" s="151" t="s">
        <v>150</v>
      </c>
      <c r="I29" s="151"/>
      <c r="J29" s="151"/>
      <c r="K29" s="88"/>
      <c r="L29" s="88"/>
      <c r="N29" s="151" t="s">
        <v>150</v>
      </c>
      <c r="O29" s="151"/>
      <c r="P29" s="151"/>
      <c r="Q29" s="89"/>
      <c r="R29" s="89"/>
      <c r="U29" s="142" t="s">
        <v>150</v>
      </c>
      <c r="V29" s="142"/>
      <c r="W29" s="142"/>
      <c r="X29" s="97"/>
      <c r="Y29" s="97"/>
      <c r="Z29" s="97"/>
      <c r="AA29" s="97"/>
      <c r="AB29" s="97"/>
    </row>
    <row r="30" spans="2:36" ht="17.5">
      <c r="B30" s="152" t="s">
        <v>151</v>
      </c>
      <c r="C30" s="152"/>
      <c r="D30" s="152"/>
      <c r="E30" s="79"/>
      <c r="F30" s="79"/>
      <c r="H30" s="152" t="s">
        <v>151</v>
      </c>
      <c r="I30" s="152"/>
      <c r="J30" s="152"/>
      <c r="K30" s="79"/>
      <c r="L30" s="79"/>
      <c r="N30" s="152" t="s">
        <v>151</v>
      </c>
      <c r="O30" s="152"/>
      <c r="P30" s="152"/>
      <c r="Q30" s="80"/>
      <c r="R30" s="80"/>
      <c r="U30" s="141" t="s">
        <v>151</v>
      </c>
      <c r="V30" s="141"/>
      <c r="W30" s="141"/>
      <c r="X30" s="97"/>
      <c r="Y30" s="97"/>
      <c r="Z30" s="97"/>
      <c r="AA30" s="97"/>
      <c r="AB30" s="97"/>
    </row>
    <row r="31" spans="2:36">
      <c r="B31" s="156" t="s">
        <v>152</v>
      </c>
      <c r="C31" s="156"/>
      <c r="D31" s="156"/>
      <c r="E31" s="75" t="s">
        <v>153</v>
      </c>
      <c r="F31" s="75" t="s">
        <v>153</v>
      </c>
      <c r="H31" s="156" t="s">
        <v>152</v>
      </c>
      <c r="I31" s="156"/>
      <c r="J31" s="156"/>
      <c r="K31" s="75" t="s">
        <v>153</v>
      </c>
      <c r="L31" s="75" t="s">
        <v>153</v>
      </c>
      <c r="N31" s="150" t="s">
        <v>163</v>
      </c>
      <c r="O31" s="150"/>
      <c r="P31" s="150"/>
      <c r="Q31" s="75" t="s">
        <v>153</v>
      </c>
      <c r="R31" s="75" t="s">
        <v>153</v>
      </c>
      <c r="U31" s="146" t="s">
        <v>152</v>
      </c>
      <c r="V31" s="146"/>
      <c r="W31" s="146"/>
      <c r="X31" s="97" t="s">
        <v>51</v>
      </c>
      <c r="Y31" s="97" t="s">
        <v>51</v>
      </c>
      <c r="Z31" s="97" t="s">
        <v>51</v>
      </c>
      <c r="AA31" s="97" t="s">
        <v>51</v>
      </c>
      <c r="AB31" s="97" t="s">
        <v>51</v>
      </c>
    </row>
    <row r="32" spans="2:36">
      <c r="B32" s="155" t="s">
        <v>154</v>
      </c>
      <c r="C32" s="155"/>
      <c r="D32" s="155"/>
      <c r="E32" s="81">
        <v>2</v>
      </c>
      <c r="F32" s="81">
        <v>2</v>
      </c>
      <c r="H32" s="155" t="s">
        <v>160</v>
      </c>
      <c r="I32" s="155"/>
      <c r="J32" s="155"/>
      <c r="K32" s="81">
        <v>2</v>
      </c>
      <c r="L32" s="81">
        <v>4</v>
      </c>
      <c r="N32" s="149" t="s">
        <v>164</v>
      </c>
      <c r="O32" s="149"/>
      <c r="P32" s="149"/>
      <c r="Q32" s="81">
        <v>4</v>
      </c>
      <c r="R32" s="81">
        <v>4</v>
      </c>
      <c r="U32" s="143" t="s">
        <v>160</v>
      </c>
      <c r="V32" s="143"/>
      <c r="W32" s="143"/>
      <c r="X32" s="97">
        <v>4</v>
      </c>
      <c r="Y32" s="97">
        <v>4</v>
      </c>
      <c r="Z32" s="97">
        <v>2</v>
      </c>
      <c r="AA32" s="97">
        <v>2</v>
      </c>
      <c r="AB32" s="97">
        <v>2</v>
      </c>
      <c r="AD32" s="1" t="s">
        <v>194</v>
      </c>
    </row>
    <row r="33" spans="2:36">
      <c r="B33" s="150" t="s">
        <v>155</v>
      </c>
      <c r="C33" s="150"/>
      <c r="D33" s="150"/>
      <c r="E33" s="74">
        <v>7829</v>
      </c>
      <c r="F33" s="74">
        <v>7340</v>
      </c>
      <c r="H33" s="150" t="s">
        <v>155</v>
      </c>
      <c r="I33" s="150"/>
      <c r="J33" s="150"/>
      <c r="K33" s="74">
        <v>6884</v>
      </c>
      <c r="L33" s="74">
        <v>7031</v>
      </c>
      <c r="N33" s="150" t="s">
        <v>155</v>
      </c>
      <c r="O33" s="150"/>
      <c r="P33" s="150"/>
      <c r="Q33" s="74">
        <v>6698</v>
      </c>
      <c r="R33" s="74">
        <v>6417</v>
      </c>
      <c r="U33" s="144" t="s">
        <v>155</v>
      </c>
      <c r="V33" s="144"/>
      <c r="W33" s="144"/>
      <c r="X33" s="97">
        <v>6698</v>
      </c>
      <c r="Y33" s="97">
        <v>7031</v>
      </c>
      <c r="Z33" s="97">
        <v>6884</v>
      </c>
      <c r="AA33" s="97">
        <v>7340</v>
      </c>
      <c r="AB33" s="97">
        <v>7829</v>
      </c>
      <c r="AD33" s="1"/>
      <c r="AE33" t="s">
        <v>195</v>
      </c>
      <c r="AF33" s="104">
        <f>SUM(X31:X33)</f>
        <v>6702</v>
      </c>
      <c r="AG33" s="104">
        <f>SUM(Y31:Y33)</f>
        <v>7035</v>
      </c>
      <c r="AH33" s="104">
        <f t="shared" ref="AH33:AJ33" si="2">SUM(Z31:Z33)</f>
        <v>6886</v>
      </c>
      <c r="AI33" s="104">
        <f t="shared" si="2"/>
        <v>7342</v>
      </c>
      <c r="AJ33" s="104">
        <f t="shared" si="2"/>
        <v>7831</v>
      </c>
    </row>
    <row r="34" spans="2:36">
      <c r="B34" s="149" t="s">
        <v>156</v>
      </c>
      <c r="C34" s="149"/>
      <c r="D34" s="149"/>
      <c r="E34" s="90">
        <v>-1828</v>
      </c>
      <c r="F34" s="90">
        <v>-1805</v>
      </c>
      <c r="H34" s="149" t="s">
        <v>156</v>
      </c>
      <c r="I34" s="149"/>
      <c r="J34" s="149"/>
      <c r="K34" s="90">
        <v>-1829</v>
      </c>
      <c r="L34" s="90">
        <v>-1137</v>
      </c>
      <c r="N34" s="149" t="s">
        <v>156</v>
      </c>
      <c r="O34" s="149"/>
      <c r="P34" s="149"/>
      <c r="Q34" s="90">
        <v>-1297</v>
      </c>
      <c r="R34" s="90">
        <v>-1436</v>
      </c>
      <c r="U34" s="145" t="s">
        <v>156</v>
      </c>
      <c r="V34" s="145"/>
      <c r="W34" s="145"/>
      <c r="X34" s="97">
        <v>-1297</v>
      </c>
      <c r="Y34" s="97">
        <v>-1137</v>
      </c>
      <c r="Z34" s="97">
        <v>-1829</v>
      </c>
      <c r="AA34" s="97">
        <v>-1805</v>
      </c>
      <c r="AB34" s="97">
        <v>-1828</v>
      </c>
      <c r="AE34" t="s">
        <v>196</v>
      </c>
      <c r="AF34" s="104">
        <f t="shared" ref="AF34:AJ35" si="3">X34</f>
        <v>-1297</v>
      </c>
      <c r="AG34" s="104">
        <f t="shared" si="3"/>
        <v>-1137</v>
      </c>
      <c r="AH34" s="104">
        <f t="shared" si="3"/>
        <v>-1829</v>
      </c>
      <c r="AI34" s="104">
        <f t="shared" si="3"/>
        <v>-1805</v>
      </c>
      <c r="AJ34" s="104">
        <f t="shared" si="3"/>
        <v>-1828</v>
      </c>
    </row>
    <row r="35" spans="2:36" ht="15" thickBot="1">
      <c r="B35" s="150" t="s">
        <v>157</v>
      </c>
      <c r="C35" s="150"/>
      <c r="D35" s="150"/>
      <c r="E35" s="74">
        <v>17619</v>
      </c>
      <c r="F35" s="74">
        <v>19521</v>
      </c>
      <c r="H35" s="150" t="s">
        <v>157</v>
      </c>
      <c r="I35" s="150"/>
      <c r="J35" s="150"/>
      <c r="K35" s="82">
        <v>15585</v>
      </c>
      <c r="L35" s="82">
        <v>11666</v>
      </c>
      <c r="N35" s="150" t="s">
        <v>157</v>
      </c>
      <c r="O35" s="150"/>
      <c r="P35" s="150"/>
      <c r="Q35" s="82">
        <v>12879</v>
      </c>
      <c r="R35" s="82">
        <v>10258</v>
      </c>
      <c r="U35" s="144" t="s">
        <v>157</v>
      </c>
      <c r="V35" s="144"/>
      <c r="W35" s="144"/>
      <c r="X35" s="97">
        <v>12879</v>
      </c>
      <c r="Y35" s="97">
        <v>11666</v>
      </c>
      <c r="Z35" s="97">
        <v>15585</v>
      </c>
      <c r="AA35" s="97">
        <v>19521</v>
      </c>
      <c r="AB35" s="97">
        <v>17619</v>
      </c>
      <c r="AE35" t="s">
        <v>197</v>
      </c>
      <c r="AF35" s="104">
        <f t="shared" si="3"/>
        <v>12879</v>
      </c>
      <c r="AG35" s="104">
        <f t="shared" si="3"/>
        <v>11666</v>
      </c>
      <c r="AH35" s="104">
        <f t="shared" si="3"/>
        <v>15585</v>
      </c>
      <c r="AI35" s="104">
        <f t="shared" si="3"/>
        <v>19521</v>
      </c>
      <c r="AJ35" s="104">
        <f t="shared" si="3"/>
        <v>17619</v>
      </c>
    </row>
    <row r="36" spans="2:36">
      <c r="B36" s="91"/>
      <c r="C36" s="91"/>
      <c r="D36" s="91"/>
      <c r="E36" s="91"/>
      <c r="F36" s="91"/>
      <c r="H36" s="149" t="s">
        <v>161</v>
      </c>
      <c r="I36" s="149"/>
      <c r="J36" s="149"/>
      <c r="K36" s="92">
        <v>20642</v>
      </c>
      <c r="L36" s="92">
        <v>17564</v>
      </c>
      <c r="N36" s="149" t="s">
        <v>161</v>
      </c>
      <c r="O36" s="149"/>
      <c r="P36" s="149"/>
      <c r="Q36" s="92">
        <v>18284</v>
      </c>
      <c r="R36" s="92">
        <v>15243</v>
      </c>
      <c r="U36" s="145" t="s">
        <v>161</v>
      </c>
      <c r="V36" s="145"/>
      <c r="W36" s="145"/>
      <c r="X36" s="97">
        <v>18284</v>
      </c>
      <c r="Y36" s="97">
        <v>17564</v>
      </c>
      <c r="Z36" s="97">
        <v>20642</v>
      </c>
      <c r="AA36" s="97"/>
      <c r="AB36" s="97"/>
      <c r="AD36" s="5" t="s">
        <v>198</v>
      </c>
      <c r="AE36" s="5"/>
    </row>
    <row r="37" spans="2:36" ht="15" thickBot="1">
      <c r="B37" s="91"/>
      <c r="C37" s="91"/>
      <c r="D37" s="91"/>
      <c r="E37" s="91"/>
      <c r="F37" s="91"/>
      <c r="H37" s="150" t="s">
        <v>162</v>
      </c>
      <c r="I37" s="150"/>
      <c r="J37" s="150"/>
      <c r="K37" s="93">
        <v>5</v>
      </c>
      <c r="L37" s="93">
        <v>514</v>
      </c>
      <c r="N37" s="150" t="s">
        <v>162</v>
      </c>
      <c r="O37" s="150"/>
      <c r="P37" s="150"/>
      <c r="Q37" s="93">
        <v>421</v>
      </c>
      <c r="R37" s="93">
        <v>341</v>
      </c>
      <c r="U37" s="144" t="s">
        <v>162</v>
      </c>
      <c r="V37" s="144"/>
      <c r="W37" s="144"/>
      <c r="X37" s="97">
        <v>421</v>
      </c>
      <c r="Y37" s="97">
        <v>514</v>
      </c>
      <c r="Z37" s="97">
        <v>5</v>
      </c>
      <c r="AA37" s="97"/>
      <c r="AB37" s="97"/>
      <c r="AE37" t="s">
        <v>199</v>
      </c>
      <c r="AF37" s="104">
        <f>X37</f>
        <v>421</v>
      </c>
      <c r="AG37" s="104">
        <f>Y37</f>
        <v>514</v>
      </c>
      <c r="AH37" s="104">
        <f>Z37</f>
        <v>5</v>
      </c>
      <c r="AI37" s="104">
        <f>AA37</f>
        <v>0</v>
      </c>
      <c r="AJ37" s="104">
        <f>AB37</f>
        <v>0</v>
      </c>
    </row>
    <row r="38" spans="2:36" ht="15" thickBot="1">
      <c r="B38" s="152" t="s">
        <v>158</v>
      </c>
      <c r="C38" s="152"/>
      <c r="D38" s="152"/>
      <c r="E38" s="87">
        <v>23622</v>
      </c>
      <c r="F38" s="87">
        <v>25058</v>
      </c>
      <c r="H38" s="152" t="s">
        <v>158</v>
      </c>
      <c r="I38" s="152"/>
      <c r="J38" s="152"/>
      <c r="K38" s="87">
        <v>20647</v>
      </c>
      <c r="L38" s="87">
        <v>18078</v>
      </c>
      <c r="N38" s="149" t="s">
        <v>165</v>
      </c>
      <c r="O38" s="149"/>
      <c r="P38" s="149"/>
      <c r="Q38" s="87">
        <v>18705</v>
      </c>
      <c r="R38" s="87">
        <v>15584</v>
      </c>
      <c r="U38" s="141" t="s">
        <v>158</v>
      </c>
      <c r="V38" s="141"/>
      <c r="W38" s="141"/>
      <c r="X38" s="97">
        <v>18705</v>
      </c>
      <c r="Y38" s="97">
        <v>18078</v>
      </c>
      <c r="Z38" s="97">
        <v>20647</v>
      </c>
      <c r="AA38" s="97">
        <v>25058</v>
      </c>
      <c r="AB38" s="97">
        <v>23622</v>
      </c>
      <c r="AD38" s="5" t="s">
        <v>200</v>
      </c>
      <c r="AE38" s="5"/>
    </row>
    <row r="39" spans="2:36" ht="15" thickBot="1">
      <c r="B39" s="151" t="s">
        <v>159</v>
      </c>
      <c r="C39" s="151"/>
      <c r="D39" s="151"/>
      <c r="E39" s="94">
        <v>69831</v>
      </c>
      <c r="F39" s="94">
        <v>68994</v>
      </c>
      <c r="H39" s="151" t="s">
        <v>159</v>
      </c>
      <c r="I39" s="151"/>
      <c r="J39" s="151"/>
      <c r="K39" s="94">
        <v>64166</v>
      </c>
      <c r="L39" s="94">
        <v>59268</v>
      </c>
      <c r="N39" s="151" t="s">
        <v>159</v>
      </c>
      <c r="O39" s="151"/>
      <c r="P39" s="151"/>
      <c r="Q39" s="94">
        <v>55556</v>
      </c>
      <c r="R39" s="94">
        <v>45400</v>
      </c>
      <c r="U39" s="142" t="s">
        <v>159</v>
      </c>
      <c r="V39" s="142"/>
      <c r="W39" s="142"/>
      <c r="X39" s="97">
        <v>55556</v>
      </c>
      <c r="Y39" s="97">
        <v>59268</v>
      </c>
      <c r="Z39" s="97">
        <v>64166</v>
      </c>
      <c r="AA39" s="97">
        <v>68994</v>
      </c>
      <c r="AB39" s="97">
        <v>69831</v>
      </c>
      <c r="AD39" s="102" t="s">
        <v>201</v>
      </c>
      <c r="AE39" s="33"/>
    </row>
    <row r="40" spans="2:36" ht="15" thickTop="1"/>
  </sheetData>
  <mergeCells count="150">
    <mergeCell ref="B11:D11"/>
    <mergeCell ref="B12:D12"/>
    <mergeCell ref="B13:D13"/>
    <mergeCell ref="B2:D2"/>
    <mergeCell ref="B3:D3"/>
    <mergeCell ref="B4:D4"/>
    <mergeCell ref="B5:D5"/>
    <mergeCell ref="B6:D6"/>
    <mergeCell ref="B7:D7"/>
    <mergeCell ref="B35:D35"/>
    <mergeCell ref="B38:D38"/>
    <mergeCell ref="B39:D39"/>
    <mergeCell ref="B26:D26"/>
    <mergeCell ref="B27:D27"/>
    <mergeCell ref="B28:D28"/>
    <mergeCell ref="B29:D29"/>
    <mergeCell ref="B30:D30"/>
    <mergeCell ref="B31:D31"/>
    <mergeCell ref="H2:J2"/>
    <mergeCell ref="H3:J3"/>
    <mergeCell ref="H4:J4"/>
    <mergeCell ref="H5:J5"/>
    <mergeCell ref="H6:J6"/>
    <mergeCell ref="H7:J7"/>
    <mergeCell ref="B32:D32"/>
    <mergeCell ref="B33:D33"/>
    <mergeCell ref="B34:D34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H14:J14"/>
    <mergeCell ref="H15:J15"/>
    <mergeCell ref="H16:J16"/>
    <mergeCell ref="H17:J17"/>
    <mergeCell ref="H18:J18"/>
    <mergeCell ref="H19:J19"/>
    <mergeCell ref="H8:J8"/>
    <mergeCell ref="H9:J9"/>
    <mergeCell ref="H10:J10"/>
    <mergeCell ref="H11:J11"/>
    <mergeCell ref="H12:J12"/>
    <mergeCell ref="H13:J13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N10:P10"/>
    <mergeCell ref="N11:P11"/>
    <mergeCell ref="N12:P12"/>
    <mergeCell ref="N13:P13"/>
    <mergeCell ref="N14:P14"/>
    <mergeCell ref="N15:P15"/>
    <mergeCell ref="H38:J38"/>
    <mergeCell ref="H39:J39"/>
    <mergeCell ref="N2:P2"/>
    <mergeCell ref="N3:P3"/>
    <mergeCell ref="N4:P4"/>
    <mergeCell ref="N5:P5"/>
    <mergeCell ref="N6:P6"/>
    <mergeCell ref="N7:P7"/>
    <mergeCell ref="N8:P8"/>
    <mergeCell ref="N9:P9"/>
    <mergeCell ref="H32:J32"/>
    <mergeCell ref="H33:J33"/>
    <mergeCell ref="H34:J34"/>
    <mergeCell ref="H35:J35"/>
    <mergeCell ref="H36:J36"/>
    <mergeCell ref="H37:J37"/>
    <mergeCell ref="H26:J26"/>
    <mergeCell ref="H27:J27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N34:P34"/>
    <mergeCell ref="N35:P35"/>
    <mergeCell ref="N36:P36"/>
    <mergeCell ref="N37:P37"/>
    <mergeCell ref="N38:P38"/>
    <mergeCell ref="N39:P39"/>
    <mergeCell ref="N28:P28"/>
    <mergeCell ref="N29:P29"/>
    <mergeCell ref="N30:P30"/>
    <mergeCell ref="N31:P31"/>
    <mergeCell ref="N32:P32"/>
    <mergeCell ref="N33:P33"/>
    <mergeCell ref="U8:W8"/>
    <mergeCell ref="U9:W9"/>
    <mergeCell ref="U10:W10"/>
    <mergeCell ref="U11:W11"/>
    <mergeCell ref="U12:W12"/>
    <mergeCell ref="U13:W13"/>
    <mergeCell ref="U2:W2"/>
    <mergeCell ref="U3:W3"/>
    <mergeCell ref="U4:W4"/>
    <mergeCell ref="U5:W5"/>
    <mergeCell ref="U6:W6"/>
    <mergeCell ref="U7:W7"/>
    <mergeCell ref="U20:W20"/>
    <mergeCell ref="U21:W21"/>
    <mergeCell ref="U22:W22"/>
    <mergeCell ref="U23:W23"/>
    <mergeCell ref="U24:W24"/>
    <mergeCell ref="U25:W25"/>
    <mergeCell ref="U14:W14"/>
    <mergeCell ref="U15:W15"/>
    <mergeCell ref="U16:W16"/>
    <mergeCell ref="U17:W17"/>
    <mergeCell ref="U18:W18"/>
    <mergeCell ref="U19:W19"/>
    <mergeCell ref="U38:W38"/>
    <mergeCell ref="U39:W39"/>
    <mergeCell ref="U32:W32"/>
    <mergeCell ref="U33:W33"/>
    <mergeCell ref="U34:W34"/>
    <mergeCell ref="U35:W35"/>
    <mergeCell ref="U36:W36"/>
    <mergeCell ref="U37:W37"/>
    <mergeCell ref="U26:W26"/>
    <mergeCell ref="U27:W27"/>
    <mergeCell ref="U28:W28"/>
    <mergeCell ref="U29:W29"/>
    <mergeCell ref="U30:W30"/>
    <mergeCell ref="U31:W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Model</vt:lpstr>
      <vt:lpstr>Performance Metrics</vt:lpstr>
      <vt:lpstr>Income Statement (Raw)</vt:lpstr>
      <vt:lpstr>CFS (Raw)</vt:lpstr>
      <vt:lpstr>Balance Sheet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Aggarwal</dc:creator>
  <cp:lastModifiedBy>Keshav Aggarwal</cp:lastModifiedBy>
  <dcterms:created xsi:type="dcterms:W3CDTF">2015-06-05T18:17:20Z</dcterms:created>
  <dcterms:modified xsi:type="dcterms:W3CDTF">2025-07-19T05:42:49Z</dcterms:modified>
</cp:coreProperties>
</file>