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b7d91c61a0f33f7/Desktop/VS_Code/automated_financial_model/"/>
    </mc:Choice>
  </mc:AlternateContent>
  <xr:revisionPtr revIDLastSave="4599" documentId="11_F25DC773A252ABDACC1048EDE15D42E05BDE58EC" xr6:coauthVersionLast="47" xr6:coauthVersionMax="47" xr10:uidLastSave="{FEB0770B-8E1D-4659-8D31-575E7AF232E5}"/>
  <bookViews>
    <workbookView xWindow="-110" yWindow="-110" windowWidth="25820" windowHeight="13900" xr2:uid="{00000000-000D-0000-FFFF-FFFF00000000}"/>
  </bookViews>
  <sheets>
    <sheet name="Financial Model" sheetId="1" r:id="rId1"/>
    <sheet name="Performance Metrics" sheetId="9" r:id="rId2"/>
    <sheet name="Income Statement (Raw)" sheetId="3" state="hidden" r:id="rId3"/>
    <sheet name="CFS (Raw)" sheetId="5" state="hidden" r:id="rId4"/>
    <sheet name="Balance Sheet (Raw)" sheetId="7" state="hidden" r:id="rId5"/>
  </sheets>
  <definedNames>
    <definedName name="_xlnm._FilterDatabase" localSheetId="0" hidden="1">'Financial Model'!$K$8:$K$8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8" i="1" l="1"/>
  <c r="J524" i="1"/>
  <c r="I524" i="1"/>
  <c r="H524" i="1"/>
  <c r="G524" i="1"/>
  <c r="F524" i="1"/>
  <c r="K511" i="1"/>
  <c r="K512" i="1" s="1"/>
  <c r="J518" i="1"/>
  <c r="J67" i="1" s="1"/>
  <c r="K67" i="1" s="1"/>
  <c r="L67" i="1" s="1"/>
  <c r="M67" i="1" s="1"/>
  <c r="N67" i="1" s="1"/>
  <c r="O67" i="1" s="1"/>
  <c r="J517" i="1"/>
  <c r="I517" i="1"/>
  <c r="H517" i="1"/>
  <c r="G517" i="1"/>
  <c r="F517" i="1"/>
  <c r="J515" i="1"/>
  <c r="I515" i="1"/>
  <c r="H515" i="1"/>
  <c r="G515" i="1"/>
  <c r="F515" i="1"/>
  <c r="F505" i="1"/>
  <c r="J502" i="1"/>
  <c r="J65" i="1" s="1"/>
  <c r="K65" i="1" s="1"/>
  <c r="I502" i="1"/>
  <c r="H502" i="1"/>
  <c r="G502" i="1"/>
  <c r="J503" i="1"/>
  <c r="I503" i="1"/>
  <c r="H503" i="1"/>
  <c r="G503" i="1"/>
  <c r="J501" i="1"/>
  <c r="I501" i="1"/>
  <c r="H501" i="1"/>
  <c r="G501" i="1"/>
  <c r="F503" i="1"/>
  <c r="F501" i="1"/>
  <c r="J498" i="1"/>
  <c r="K175" i="1"/>
  <c r="L175" i="1" s="1"/>
  <c r="M175" i="1" s="1"/>
  <c r="N175" i="1" s="1"/>
  <c r="O175" i="1" s="1"/>
  <c r="G504" i="1" l="1"/>
  <c r="H505" i="1"/>
  <c r="I505" i="1"/>
  <c r="J505" i="1"/>
  <c r="J66" i="1" s="1"/>
  <c r="K66" i="1" s="1"/>
  <c r="K503" i="1" s="1"/>
  <c r="K95" i="1" s="1"/>
  <c r="K501" i="1"/>
  <c r="L65" i="1"/>
  <c r="M65" i="1" s="1"/>
  <c r="N65" i="1" s="1"/>
  <c r="O65" i="1" s="1"/>
  <c r="H504" i="1"/>
  <c r="J504" i="1"/>
  <c r="G505" i="1"/>
  <c r="I504" i="1"/>
  <c r="K513" i="1"/>
  <c r="K514" i="1" s="1"/>
  <c r="L511" i="1" s="1"/>
  <c r="J485" i="1"/>
  <c r="I485" i="1"/>
  <c r="I493" i="1" s="1"/>
  <c r="H485" i="1"/>
  <c r="H493" i="1" s="1"/>
  <c r="G485" i="1"/>
  <c r="G493" i="1" s="1"/>
  <c r="F485" i="1"/>
  <c r="F493" i="1" s="1"/>
  <c r="J469" i="1"/>
  <c r="I469" i="1"/>
  <c r="H469" i="1"/>
  <c r="J468" i="1"/>
  <c r="I468" i="1"/>
  <c r="H468" i="1"/>
  <c r="J457" i="1"/>
  <c r="O454" i="1"/>
  <c r="N454" i="1"/>
  <c r="M454" i="1"/>
  <c r="L454" i="1"/>
  <c r="K454" i="1"/>
  <c r="J451" i="1"/>
  <c r="O447" i="1"/>
  <c r="N447" i="1"/>
  <c r="M447" i="1"/>
  <c r="L447" i="1"/>
  <c r="K447" i="1"/>
  <c r="O446" i="1"/>
  <c r="N446" i="1"/>
  <c r="M446" i="1"/>
  <c r="L446" i="1"/>
  <c r="K446" i="1"/>
  <c r="J443" i="1"/>
  <c r="K456" i="1" s="1"/>
  <c r="L456" i="1" s="1"/>
  <c r="M456" i="1" s="1"/>
  <c r="N456" i="1" s="1"/>
  <c r="O456" i="1" s="1"/>
  <c r="J400" i="1"/>
  <c r="K398" i="1" s="1"/>
  <c r="O55" i="1"/>
  <c r="O403" i="1" s="1"/>
  <c r="N55" i="1"/>
  <c r="N403" i="1" s="1"/>
  <c r="M55" i="1"/>
  <c r="M403" i="1" s="1"/>
  <c r="L55" i="1"/>
  <c r="L403" i="1" s="1"/>
  <c r="K55" i="1"/>
  <c r="K403" i="1" s="1"/>
  <c r="P432" i="1"/>
  <c r="O432" i="1"/>
  <c r="N432" i="1"/>
  <c r="M432" i="1"/>
  <c r="L432" i="1"/>
  <c r="K432" i="1"/>
  <c r="J426" i="1"/>
  <c r="K424" i="1" s="1"/>
  <c r="K413" i="1"/>
  <c r="L413" i="1" s="1"/>
  <c r="M413" i="1" s="1"/>
  <c r="N413" i="1" s="1"/>
  <c r="O413" i="1" s="1"/>
  <c r="O385" i="1"/>
  <c r="N385" i="1"/>
  <c r="M385" i="1"/>
  <c r="L385" i="1"/>
  <c r="K385" i="1"/>
  <c r="J386" i="1"/>
  <c r="J388" i="1" s="1"/>
  <c r="I386" i="1"/>
  <c r="I388" i="1" s="1"/>
  <c r="H386" i="1"/>
  <c r="H388" i="1" s="1"/>
  <c r="G386" i="1"/>
  <c r="G388" i="1" s="1"/>
  <c r="F386" i="1"/>
  <c r="F388" i="1" s="1"/>
  <c r="E382" i="1"/>
  <c r="J381" i="1"/>
  <c r="O381" i="1" s="1"/>
  <c r="O146" i="1" s="1"/>
  <c r="I381" i="1"/>
  <c r="H381" i="1"/>
  <c r="G381" i="1"/>
  <c r="J380" i="1"/>
  <c r="I380" i="1"/>
  <c r="H380" i="1"/>
  <c r="G380" i="1"/>
  <c r="F381" i="1"/>
  <c r="F380" i="1"/>
  <c r="O57" i="1"/>
  <c r="N57" i="1"/>
  <c r="M57" i="1"/>
  <c r="L57" i="1"/>
  <c r="K53" i="1"/>
  <c r="L53" i="1" s="1"/>
  <c r="M53" i="1" s="1"/>
  <c r="N53" i="1" s="1"/>
  <c r="O53" i="1" s="1"/>
  <c r="O423" i="1" s="1"/>
  <c r="O343" i="1"/>
  <c r="N343" i="1"/>
  <c r="M343" i="1"/>
  <c r="L343" i="1"/>
  <c r="K343" i="1"/>
  <c r="L107" i="1"/>
  <c r="M107" i="1" s="1"/>
  <c r="N107" i="1" s="1"/>
  <c r="O107" i="1" s="1"/>
  <c r="K169" i="1"/>
  <c r="L169" i="1" s="1"/>
  <c r="M169" i="1" s="1"/>
  <c r="N169" i="1" s="1"/>
  <c r="O169" i="1" s="1"/>
  <c r="K154" i="1"/>
  <c r="L154" i="1" s="1"/>
  <c r="M154" i="1" s="1"/>
  <c r="N154" i="1" s="1"/>
  <c r="O154" i="1" s="1"/>
  <c r="K369" i="1"/>
  <c r="F363" i="1"/>
  <c r="J363" i="1"/>
  <c r="I363" i="1"/>
  <c r="H363" i="1"/>
  <c r="G363" i="1"/>
  <c r="J362" i="1"/>
  <c r="I362" i="1"/>
  <c r="H362" i="1"/>
  <c r="G362" i="1"/>
  <c r="F362" i="1"/>
  <c r="K351" i="1"/>
  <c r="J351" i="1"/>
  <c r="I351" i="1"/>
  <c r="H351" i="1"/>
  <c r="G351" i="1"/>
  <c r="F351" i="1"/>
  <c r="J345" i="1"/>
  <c r="J352" i="1" s="1"/>
  <c r="I345" i="1"/>
  <c r="I352" i="1" s="1"/>
  <c r="H345" i="1"/>
  <c r="H352" i="1" s="1"/>
  <c r="G345" i="1"/>
  <c r="G352" i="1" s="1"/>
  <c r="F345" i="1"/>
  <c r="F352" i="1" s="1"/>
  <c r="J344" i="1"/>
  <c r="I344" i="1"/>
  <c r="H344" i="1"/>
  <c r="G344" i="1"/>
  <c r="F344" i="1"/>
  <c r="J309" i="1"/>
  <c r="J321" i="1"/>
  <c r="J320" i="1"/>
  <c r="J319" i="1"/>
  <c r="J318" i="1"/>
  <c r="J317" i="1"/>
  <c r="J315" i="1"/>
  <c r="J314" i="1"/>
  <c r="J313" i="1"/>
  <c r="J307" i="1"/>
  <c r="J165" i="1"/>
  <c r="J171" i="1" s="1"/>
  <c r="J150" i="1"/>
  <c r="J156" i="1" s="1"/>
  <c r="I165" i="1"/>
  <c r="I171" i="1" s="1"/>
  <c r="H165" i="1"/>
  <c r="H171" i="1" s="1"/>
  <c r="G165" i="1"/>
  <c r="G171" i="1" s="1"/>
  <c r="F165" i="1"/>
  <c r="F171" i="1" s="1"/>
  <c r="I150" i="1"/>
  <c r="I156" i="1" s="1"/>
  <c r="H150" i="1"/>
  <c r="H156" i="1" s="1"/>
  <c r="G150" i="1"/>
  <c r="G156" i="1" s="1"/>
  <c r="F150" i="1"/>
  <c r="F156" i="1" s="1"/>
  <c r="J28" i="1"/>
  <c r="J297" i="1"/>
  <c r="I297" i="1"/>
  <c r="H297" i="1"/>
  <c r="G297" i="1"/>
  <c r="F297" i="1"/>
  <c r="J287" i="1"/>
  <c r="I287" i="1"/>
  <c r="H287" i="1"/>
  <c r="G287" i="1"/>
  <c r="F287" i="1"/>
  <c r="J282" i="1"/>
  <c r="I282" i="1"/>
  <c r="H282" i="1"/>
  <c r="G282" i="1"/>
  <c r="J281" i="1"/>
  <c r="I281" i="1"/>
  <c r="H281" i="1"/>
  <c r="G281" i="1"/>
  <c r="F282" i="1"/>
  <c r="F281" i="1"/>
  <c r="J269" i="1"/>
  <c r="J261" i="1"/>
  <c r="I261" i="1"/>
  <c r="H261" i="1"/>
  <c r="G261" i="1"/>
  <c r="F261" i="1"/>
  <c r="J249" i="1"/>
  <c r="I249" i="1"/>
  <c r="H249" i="1"/>
  <c r="G249" i="1"/>
  <c r="F249" i="1"/>
  <c r="E250" i="1"/>
  <c r="J244" i="1"/>
  <c r="I244" i="1"/>
  <c r="J240" i="1" s="1"/>
  <c r="J242" i="1" s="1"/>
  <c r="H244" i="1"/>
  <c r="G244" i="1"/>
  <c r="F244" i="1"/>
  <c r="G240" i="1" s="1"/>
  <c r="G242" i="1" s="1"/>
  <c r="E242" i="1"/>
  <c r="E245" i="1" s="1"/>
  <c r="F240" i="1"/>
  <c r="F242" i="1" s="1"/>
  <c r="E237" i="1"/>
  <c r="O6" i="1"/>
  <c r="O221" i="1" s="1"/>
  <c r="O222" i="1" s="1"/>
  <c r="N6" i="1"/>
  <c r="N221" i="1" s="1"/>
  <c r="N222" i="1" s="1"/>
  <c r="M6" i="1"/>
  <c r="M221" i="1" s="1"/>
  <c r="M222" i="1" s="1"/>
  <c r="L6" i="1"/>
  <c r="L221" i="1" s="1"/>
  <c r="K6" i="1"/>
  <c r="K221" i="1" s="1"/>
  <c r="J6" i="1"/>
  <c r="J221" i="1" s="1"/>
  <c r="I6" i="1"/>
  <c r="I221" i="1" s="1"/>
  <c r="H6" i="1"/>
  <c r="H221" i="1" s="1"/>
  <c r="G6" i="1"/>
  <c r="G221" i="1" s="1"/>
  <c r="F6" i="1"/>
  <c r="F221" i="1" s="1"/>
  <c r="F212" i="1"/>
  <c r="J194" i="1"/>
  <c r="J230" i="1" s="1"/>
  <c r="I194" i="1"/>
  <c r="H194" i="1"/>
  <c r="G194" i="1"/>
  <c r="F194" i="1"/>
  <c r="F195" i="1" s="1"/>
  <c r="J193" i="1"/>
  <c r="I193" i="1"/>
  <c r="H193" i="1"/>
  <c r="G193" i="1"/>
  <c r="F193" i="1"/>
  <c r="J190" i="1"/>
  <c r="J226" i="1" s="1"/>
  <c r="I190" i="1"/>
  <c r="H190" i="1"/>
  <c r="G190" i="1"/>
  <c r="F190" i="1"/>
  <c r="E190" i="1"/>
  <c r="J177" i="1"/>
  <c r="J179" i="1" s="1"/>
  <c r="I177" i="1"/>
  <c r="I179" i="1" s="1"/>
  <c r="H177" i="1"/>
  <c r="H179" i="1" s="1"/>
  <c r="G177" i="1"/>
  <c r="G179" i="1" s="1"/>
  <c r="F177" i="1"/>
  <c r="F179" i="1" s="1"/>
  <c r="AJ37" i="7"/>
  <c r="AI37" i="7"/>
  <c r="AH37" i="7"/>
  <c r="AG37" i="7"/>
  <c r="AF37" i="7"/>
  <c r="AJ35" i="7"/>
  <c r="AJ34" i="7"/>
  <c r="AI35" i="7"/>
  <c r="AI34" i="7"/>
  <c r="AH35" i="7"/>
  <c r="AH34" i="7"/>
  <c r="AG35" i="7"/>
  <c r="AG34" i="7"/>
  <c r="AJ33" i="7"/>
  <c r="AI33" i="7"/>
  <c r="AH33" i="7"/>
  <c r="AG33" i="7"/>
  <c r="AF33" i="7"/>
  <c r="AF35" i="7"/>
  <c r="AF34" i="7"/>
  <c r="AJ20" i="7"/>
  <c r="AI20" i="7"/>
  <c r="AJ19" i="7"/>
  <c r="AI19" i="7"/>
  <c r="AJ18" i="7"/>
  <c r="AI18" i="7"/>
  <c r="AJ17" i="7"/>
  <c r="AI17" i="7"/>
  <c r="AH20" i="7"/>
  <c r="AH19" i="7"/>
  <c r="AH18" i="7"/>
  <c r="AH17" i="7"/>
  <c r="AG20" i="7"/>
  <c r="AG19" i="7"/>
  <c r="AG18" i="7"/>
  <c r="AG17" i="7"/>
  <c r="AJ27" i="7"/>
  <c r="AJ26" i="7"/>
  <c r="AI27" i="7"/>
  <c r="AI26" i="7"/>
  <c r="AH27" i="7"/>
  <c r="AH26" i="7"/>
  <c r="AG27" i="7"/>
  <c r="AG26" i="7"/>
  <c r="AF27" i="7"/>
  <c r="AJ25" i="7"/>
  <c r="AI25" i="7"/>
  <c r="AH25" i="7"/>
  <c r="AG25" i="7"/>
  <c r="AF25" i="7"/>
  <c r="AF26" i="7"/>
  <c r="AF20" i="7"/>
  <c r="AF19" i="7"/>
  <c r="AF18" i="7"/>
  <c r="AF17" i="7"/>
  <c r="J128" i="1"/>
  <c r="I128" i="1"/>
  <c r="H128" i="1"/>
  <c r="G128" i="1"/>
  <c r="F128" i="1"/>
  <c r="J119" i="1"/>
  <c r="I119" i="1"/>
  <c r="H119" i="1"/>
  <c r="G119" i="1"/>
  <c r="F119" i="1"/>
  <c r="J114" i="1"/>
  <c r="I114" i="1"/>
  <c r="H114" i="1"/>
  <c r="G114" i="1"/>
  <c r="F114" i="1"/>
  <c r="Q8" i="5"/>
  <c r="S8" i="5"/>
  <c r="H15" i="5"/>
  <c r="H14" i="5"/>
  <c r="H13" i="5"/>
  <c r="H12" i="5"/>
  <c r="H8" i="5"/>
  <c r="H7" i="5"/>
  <c r="H6" i="5"/>
  <c r="H5" i="5"/>
  <c r="H4" i="5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J77" i="1"/>
  <c r="J82" i="1" s="1"/>
  <c r="J87" i="1" s="1"/>
  <c r="J89" i="1" s="1"/>
  <c r="J91" i="1" s="1"/>
  <c r="J98" i="1" s="1"/>
  <c r="I77" i="1"/>
  <c r="I82" i="1" s="1"/>
  <c r="I87" i="1" s="1"/>
  <c r="I89" i="1" s="1"/>
  <c r="I91" i="1" s="1"/>
  <c r="I98" i="1" s="1"/>
  <c r="H77" i="1"/>
  <c r="H82" i="1" s="1"/>
  <c r="H87" i="1" s="1"/>
  <c r="H89" i="1" s="1"/>
  <c r="H91" i="1" s="1"/>
  <c r="H98" i="1" s="1"/>
  <c r="G77" i="1"/>
  <c r="G82" i="1" s="1"/>
  <c r="G87" i="1" s="1"/>
  <c r="G89" i="1" s="1"/>
  <c r="G91" i="1" s="1"/>
  <c r="G98" i="1" s="1"/>
  <c r="F77" i="1"/>
  <c r="F82" i="1" s="1"/>
  <c r="F87" i="1" s="1"/>
  <c r="F89" i="1" s="1"/>
  <c r="F91" i="1" s="1"/>
  <c r="F98" i="1" s="1"/>
  <c r="K18" i="1"/>
  <c r="L18" i="1"/>
  <c r="M18" i="1"/>
  <c r="N18" i="1"/>
  <c r="O18" i="1"/>
  <c r="L66" i="1" l="1"/>
  <c r="M66" i="1" s="1"/>
  <c r="N66" i="1" s="1"/>
  <c r="O66" i="1" s="1"/>
  <c r="H495" i="1"/>
  <c r="H530" i="1"/>
  <c r="J531" i="1" s="1"/>
  <c r="I495" i="1"/>
  <c r="I530" i="1"/>
  <c r="K531" i="1" s="1"/>
  <c r="K123" i="1" s="1"/>
  <c r="F495" i="1"/>
  <c r="F530" i="1"/>
  <c r="H531" i="1" s="1"/>
  <c r="G495" i="1"/>
  <c r="G530" i="1"/>
  <c r="I531" i="1" s="1"/>
  <c r="K94" i="1"/>
  <c r="K507" i="1"/>
  <c r="L501" i="1"/>
  <c r="L503" i="1"/>
  <c r="L95" i="1" s="1"/>
  <c r="L512" i="1"/>
  <c r="L513" i="1" s="1"/>
  <c r="L514" i="1" s="1"/>
  <c r="M511" i="1" s="1"/>
  <c r="K515" i="1"/>
  <c r="K519" i="1" s="1"/>
  <c r="K124" i="1" s="1"/>
  <c r="J491" i="1"/>
  <c r="J493" i="1"/>
  <c r="H486" i="1"/>
  <c r="G486" i="1"/>
  <c r="I486" i="1"/>
  <c r="J486" i="1"/>
  <c r="H471" i="1"/>
  <c r="H473" i="1" s="1"/>
  <c r="I471" i="1"/>
  <c r="I475" i="1" s="1"/>
  <c r="J471" i="1"/>
  <c r="J473" i="1" s="1"/>
  <c r="J441" i="1"/>
  <c r="K428" i="1"/>
  <c r="O428" i="1"/>
  <c r="L428" i="1"/>
  <c r="M428" i="1"/>
  <c r="N428" i="1"/>
  <c r="M423" i="1"/>
  <c r="N423" i="1"/>
  <c r="K420" i="1"/>
  <c r="M420" i="1"/>
  <c r="N420" i="1"/>
  <c r="O420" i="1"/>
  <c r="K423" i="1"/>
  <c r="L423" i="1"/>
  <c r="G382" i="1"/>
  <c r="F382" i="1"/>
  <c r="F383" i="1" s="1"/>
  <c r="F385" i="1" s="1"/>
  <c r="H382" i="1"/>
  <c r="I382" i="1"/>
  <c r="L420" i="1"/>
  <c r="J389" i="1"/>
  <c r="K381" i="1"/>
  <c r="K146" i="1" s="1"/>
  <c r="L381" i="1"/>
  <c r="L146" i="1" s="1"/>
  <c r="M381" i="1"/>
  <c r="M146" i="1" s="1"/>
  <c r="J382" i="1"/>
  <c r="N381" i="1"/>
  <c r="N146" i="1" s="1"/>
  <c r="J353" i="1"/>
  <c r="J357" i="1" s="1"/>
  <c r="J359" i="1" s="1"/>
  <c r="G364" i="1"/>
  <c r="H364" i="1"/>
  <c r="I364" i="1"/>
  <c r="J364" i="1"/>
  <c r="F364" i="1"/>
  <c r="I353" i="1"/>
  <c r="I357" i="1" s="1"/>
  <c r="I359" i="1" s="1"/>
  <c r="F353" i="1"/>
  <c r="F357" i="1" s="1"/>
  <c r="F359" i="1" s="1"/>
  <c r="G353" i="1"/>
  <c r="G357" i="1" s="1"/>
  <c r="G359" i="1" s="1"/>
  <c r="H353" i="1"/>
  <c r="H357" i="1" s="1"/>
  <c r="H359" i="1" s="1"/>
  <c r="H346" i="1"/>
  <c r="F346" i="1"/>
  <c r="I346" i="1"/>
  <c r="G346" i="1"/>
  <c r="J346" i="1"/>
  <c r="K46" i="1" s="1"/>
  <c r="L46" i="1" s="1"/>
  <c r="M46" i="1" s="1"/>
  <c r="N46" i="1" s="1"/>
  <c r="O46" i="1" s="1"/>
  <c r="O346" i="1" s="1"/>
  <c r="I283" i="1"/>
  <c r="J283" i="1"/>
  <c r="F288" i="1"/>
  <c r="G288" i="1"/>
  <c r="H288" i="1"/>
  <c r="I288" i="1"/>
  <c r="I298" i="1"/>
  <c r="G298" i="1"/>
  <c r="H298" i="1"/>
  <c r="J298" i="1"/>
  <c r="J290" i="1"/>
  <c r="G283" i="1"/>
  <c r="H283" i="1"/>
  <c r="J288" i="1"/>
  <c r="F283" i="1"/>
  <c r="F298" i="1"/>
  <c r="G247" i="1"/>
  <c r="G250" i="1" s="1"/>
  <c r="G262" i="1" s="1"/>
  <c r="H247" i="1"/>
  <c r="H250" i="1" s="1"/>
  <c r="H262" i="1" s="1"/>
  <c r="E252" i="1"/>
  <c r="J247" i="1"/>
  <c r="J250" i="1" s="1"/>
  <c r="J259" i="1" s="1"/>
  <c r="F247" i="1"/>
  <c r="F250" i="1" s="1"/>
  <c r="F262" i="1" s="1"/>
  <c r="H240" i="1"/>
  <c r="H242" i="1" s="1"/>
  <c r="H245" i="1" s="1"/>
  <c r="H264" i="1" s="1"/>
  <c r="I240" i="1"/>
  <c r="I242" i="1" s="1"/>
  <c r="I245" i="1" s="1"/>
  <c r="I264" i="1" s="1"/>
  <c r="I247" i="1"/>
  <c r="I250" i="1" s="1"/>
  <c r="I262" i="1" s="1"/>
  <c r="J268" i="1"/>
  <c r="J270" i="1" s="1"/>
  <c r="L222" i="1"/>
  <c r="F214" i="1"/>
  <c r="G212" i="1" s="1"/>
  <c r="G216" i="1" s="1"/>
  <c r="K222" i="1"/>
  <c r="J245" i="1"/>
  <c r="G245" i="1"/>
  <c r="G264" i="1" s="1"/>
  <c r="F245" i="1"/>
  <c r="F264" i="1" s="1"/>
  <c r="F203" i="1"/>
  <c r="F218" i="1" s="1"/>
  <c r="F216" i="1"/>
  <c r="H203" i="1"/>
  <c r="I203" i="1"/>
  <c r="J203" i="1"/>
  <c r="H195" i="1"/>
  <c r="H198" i="1" s="1"/>
  <c r="G203" i="1"/>
  <c r="F198" i="1"/>
  <c r="G195" i="1"/>
  <c r="G198" i="1" s="1"/>
  <c r="G200" i="1" s="1"/>
  <c r="I195" i="1"/>
  <c r="I198" i="1" s="1"/>
  <c r="J195" i="1"/>
  <c r="J198" i="1" s="1"/>
  <c r="J200" i="1" s="1"/>
  <c r="F180" i="1"/>
  <c r="F141" i="1" s="1"/>
  <c r="G180" i="1"/>
  <c r="G141" i="1" s="1"/>
  <c r="I180" i="1"/>
  <c r="I141" i="1" s="1"/>
  <c r="H180" i="1"/>
  <c r="H141" i="1" s="1"/>
  <c r="J180" i="1"/>
  <c r="J141" i="1" s="1"/>
  <c r="F131" i="1"/>
  <c r="F133" i="1" s="1"/>
  <c r="G132" i="1" s="1"/>
  <c r="H131" i="1"/>
  <c r="I131" i="1"/>
  <c r="J131" i="1"/>
  <c r="G131" i="1"/>
  <c r="J97" i="1"/>
  <c r="F97" i="1"/>
  <c r="G97" i="1"/>
  <c r="I97" i="1"/>
  <c r="H97" i="1"/>
  <c r="M501" i="1" l="1"/>
  <c r="L507" i="1"/>
  <c r="L94" i="1"/>
  <c r="M503" i="1"/>
  <c r="M95" i="1" s="1"/>
  <c r="J495" i="1"/>
  <c r="J496" i="1" s="1"/>
  <c r="J64" i="1" s="1"/>
  <c r="K64" i="1" s="1"/>
  <c r="L64" i="1" s="1"/>
  <c r="M64" i="1" s="1"/>
  <c r="N64" i="1" s="1"/>
  <c r="O64" i="1" s="1"/>
  <c r="J530" i="1"/>
  <c r="L531" i="1" s="1"/>
  <c r="L123" i="1" s="1"/>
  <c r="M512" i="1"/>
  <c r="M513" i="1" s="1"/>
  <c r="M514" i="1" s="1"/>
  <c r="N511" i="1" s="1"/>
  <c r="L515" i="1"/>
  <c r="L519" i="1" s="1"/>
  <c r="L124" i="1" s="1"/>
  <c r="J487" i="1"/>
  <c r="H475" i="1"/>
  <c r="I473" i="1"/>
  <c r="J474" i="1" s="1"/>
  <c r="J475" i="1"/>
  <c r="I383" i="1"/>
  <c r="I385" i="1" s="1"/>
  <c r="J383" i="1"/>
  <c r="G383" i="1"/>
  <c r="G385" i="1" s="1"/>
  <c r="H383" i="1"/>
  <c r="H385" i="1" s="1"/>
  <c r="N389" i="1"/>
  <c r="M389" i="1"/>
  <c r="L389" i="1"/>
  <c r="K389" i="1"/>
  <c r="O389" i="1"/>
  <c r="O348" i="1"/>
  <c r="N346" i="1"/>
  <c r="M346" i="1"/>
  <c r="K346" i="1"/>
  <c r="L346" i="1"/>
  <c r="J365" i="1"/>
  <c r="J360" i="1"/>
  <c r="J291" i="1"/>
  <c r="J289" i="1"/>
  <c r="J42" i="1" s="1"/>
  <c r="J299" i="1"/>
  <c r="N299" i="1" s="1"/>
  <c r="J284" i="1"/>
  <c r="J40" i="1" s="1"/>
  <c r="K40" i="1" s="1"/>
  <c r="K284" i="1" s="1"/>
  <c r="J262" i="1"/>
  <c r="K35" i="1" s="1"/>
  <c r="K262" i="1" s="1"/>
  <c r="F236" i="1"/>
  <c r="F237" i="1" s="1"/>
  <c r="F255" i="1" s="1"/>
  <c r="I218" i="1"/>
  <c r="G214" i="1"/>
  <c r="H212" i="1" s="1"/>
  <c r="H214" i="1" s="1"/>
  <c r="I212" i="1" s="1"/>
  <c r="F204" i="1"/>
  <c r="G218" i="1"/>
  <c r="G219" i="1" s="1"/>
  <c r="G222" i="1" s="1"/>
  <c r="G488" i="1" s="1"/>
  <c r="H204" i="1"/>
  <c r="H200" i="1"/>
  <c r="F200" i="1"/>
  <c r="J271" i="1"/>
  <c r="J272" i="1" s="1"/>
  <c r="K268" i="1" s="1"/>
  <c r="J264" i="1"/>
  <c r="J265" i="1" s="1"/>
  <c r="J37" i="1" s="1"/>
  <c r="I204" i="1"/>
  <c r="G204" i="1"/>
  <c r="F219" i="1"/>
  <c r="F222" i="1" s="1"/>
  <c r="J218" i="1"/>
  <c r="H218" i="1"/>
  <c r="J204" i="1"/>
  <c r="I200" i="1"/>
  <c r="G133" i="1"/>
  <c r="H132" i="1" s="1"/>
  <c r="H133" i="1" s="1"/>
  <c r="I132" i="1" s="1"/>
  <c r="I133" i="1" s="1"/>
  <c r="J132" i="1" s="1"/>
  <c r="J133" i="1" s="1"/>
  <c r="K132" i="1" s="1"/>
  <c r="K393" i="1" s="1"/>
  <c r="K12" i="1"/>
  <c r="K213" i="1" s="1"/>
  <c r="K344" i="1" s="1"/>
  <c r="L12" i="1"/>
  <c r="L213" i="1" s="1"/>
  <c r="L344" i="1" s="1"/>
  <c r="M12" i="1"/>
  <c r="M213" i="1" s="1"/>
  <c r="M344" i="1" s="1"/>
  <c r="N12" i="1"/>
  <c r="N213" i="1" s="1"/>
  <c r="N344" i="1" s="1"/>
  <c r="O12" i="1"/>
  <c r="O213" i="1" s="1"/>
  <c r="O344" i="1" s="1"/>
  <c r="O347" i="1" s="1"/>
  <c r="K8" i="1"/>
  <c r="N501" i="1" l="1"/>
  <c r="M94" i="1"/>
  <c r="M507" i="1"/>
  <c r="N507" i="1" s="1"/>
  <c r="N503" i="1"/>
  <c r="N95" i="1" s="1"/>
  <c r="N512" i="1"/>
  <c r="N513" i="1" s="1"/>
  <c r="N514" i="1" s="1"/>
  <c r="O511" i="1" s="1"/>
  <c r="M515" i="1"/>
  <c r="J385" i="1"/>
  <c r="J476" i="1"/>
  <c r="J60" i="1" s="1"/>
  <c r="K60" i="1" s="1"/>
  <c r="L60" i="1" s="1"/>
  <c r="K466" i="1"/>
  <c r="J466" i="1" s="1"/>
  <c r="I466" i="1" s="1"/>
  <c r="H466" i="1" s="1"/>
  <c r="G466" i="1" s="1"/>
  <c r="F466" i="1" s="1"/>
  <c r="E466" i="1" s="1"/>
  <c r="K483" i="1"/>
  <c r="J483" i="1" s="1"/>
  <c r="I483" i="1" s="1"/>
  <c r="H483" i="1" s="1"/>
  <c r="G483" i="1" s="1"/>
  <c r="F483" i="1" s="1"/>
  <c r="E483" i="1" s="1"/>
  <c r="K377" i="1"/>
  <c r="K409" i="1" s="1"/>
  <c r="K417" i="1" s="1"/>
  <c r="K440" i="1"/>
  <c r="J440" i="1" s="1"/>
  <c r="I440" i="1" s="1"/>
  <c r="H440" i="1" s="1"/>
  <c r="G440" i="1" s="1"/>
  <c r="F440" i="1" s="1"/>
  <c r="E440" i="1" s="1"/>
  <c r="O349" i="1"/>
  <c r="O117" i="1" s="1"/>
  <c r="L347" i="1"/>
  <c r="L348" i="1"/>
  <c r="K347" i="1"/>
  <c r="K348" i="1"/>
  <c r="M347" i="1"/>
  <c r="M348" i="1"/>
  <c r="N347" i="1"/>
  <c r="N348" i="1"/>
  <c r="O354" i="1"/>
  <c r="N354" i="1"/>
  <c r="K354" i="1"/>
  <c r="M354" i="1"/>
  <c r="L354" i="1"/>
  <c r="L40" i="1"/>
  <c r="M40" i="1" s="1"/>
  <c r="K341" i="1"/>
  <c r="J341" i="1" s="1"/>
  <c r="I341" i="1" s="1"/>
  <c r="H341" i="1" s="1"/>
  <c r="G341" i="1" s="1"/>
  <c r="F341" i="1" s="1"/>
  <c r="G236" i="1"/>
  <c r="G237" i="1" s="1"/>
  <c r="G255" i="1" s="1"/>
  <c r="K299" i="1"/>
  <c r="L299" i="1"/>
  <c r="M299" i="1"/>
  <c r="O299" i="1"/>
  <c r="K280" i="1"/>
  <c r="J280" i="1" s="1"/>
  <c r="I280" i="1" s="1"/>
  <c r="H280" i="1" s="1"/>
  <c r="G280" i="1" s="1"/>
  <c r="F280" i="1" s="1"/>
  <c r="K305" i="1"/>
  <c r="J305" i="1" s="1"/>
  <c r="I305" i="1" s="1"/>
  <c r="H305" i="1" s="1"/>
  <c r="G305" i="1" s="1"/>
  <c r="F305" i="1" s="1"/>
  <c r="L35" i="1"/>
  <c r="L262" i="1" s="1"/>
  <c r="H216" i="1"/>
  <c r="H219" i="1" s="1"/>
  <c r="H222" i="1" s="1"/>
  <c r="H488" i="1" s="1"/>
  <c r="G205" i="1"/>
  <c r="F252" i="1"/>
  <c r="F254" i="1" s="1"/>
  <c r="F257" i="1" s="1"/>
  <c r="J207" i="1"/>
  <c r="J27" i="1" s="1"/>
  <c r="K26" i="1" s="1"/>
  <c r="I205" i="1"/>
  <c r="J201" i="1"/>
  <c r="K30" i="1" s="1"/>
  <c r="H236" i="1"/>
  <c r="H237" i="1" s="1"/>
  <c r="H205" i="1"/>
  <c r="I214" i="1"/>
  <c r="J212" i="1" s="1"/>
  <c r="I216" i="1"/>
  <c r="I219" i="1" s="1"/>
  <c r="I222" i="1" s="1"/>
  <c r="I488" i="1" s="1"/>
  <c r="J205" i="1"/>
  <c r="K143" i="1"/>
  <c r="J143" i="1" s="1"/>
  <c r="I143" i="1" s="1"/>
  <c r="H143" i="1" s="1"/>
  <c r="G143" i="1" s="1"/>
  <c r="F143" i="1" s="1"/>
  <c r="K187" i="1"/>
  <c r="J187" i="1" s="1"/>
  <c r="I187" i="1" s="1"/>
  <c r="H187" i="1" s="1"/>
  <c r="G187" i="1" s="1"/>
  <c r="F187" i="1" s="1"/>
  <c r="E187" i="1" s="1"/>
  <c r="K103" i="1"/>
  <c r="J103" i="1" s="1"/>
  <c r="I103" i="1" s="1"/>
  <c r="H103" i="1" s="1"/>
  <c r="G103" i="1" s="1"/>
  <c r="F103" i="1" s="1"/>
  <c r="K73" i="1"/>
  <c r="J73" i="1" s="1"/>
  <c r="I73" i="1" s="1"/>
  <c r="H73" i="1" s="1"/>
  <c r="G73" i="1" s="1"/>
  <c r="F73" i="1" s="1"/>
  <c r="L8" i="1"/>
  <c r="L483" i="1" s="1"/>
  <c r="M519" i="1" l="1"/>
  <c r="M124" i="1" s="1"/>
  <c r="O501" i="1"/>
  <c r="O94" i="1" s="1"/>
  <c r="N94" i="1"/>
  <c r="O503" i="1"/>
  <c r="O95" i="1" s="1"/>
  <c r="O512" i="1"/>
  <c r="O513" i="1" s="1"/>
  <c r="O514" i="1" s="1"/>
  <c r="N515" i="1"/>
  <c r="N519" i="1" s="1"/>
  <c r="N124" i="1" s="1"/>
  <c r="M60" i="1"/>
  <c r="L476" i="1"/>
  <c r="L440" i="1"/>
  <c r="L466" i="1"/>
  <c r="K410" i="1"/>
  <c r="K418" i="1" s="1"/>
  <c r="J377" i="1"/>
  <c r="I377" i="1" s="1"/>
  <c r="H377" i="1" s="1"/>
  <c r="G377" i="1" s="1"/>
  <c r="F377" i="1" s="1"/>
  <c r="E377" i="1" s="1"/>
  <c r="K408" i="1"/>
  <c r="K416" i="1" s="1"/>
  <c r="K411" i="1"/>
  <c r="K419" i="1" s="1"/>
  <c r="L284" i="1"/>
  <c r="N349" i="1"/>
  <c r="N117" i="1" s="1"/>
  <c r="M349" i="1"/>
  <c r="K349" i="1"/>
  <c r="K117" i="1" s="1"/>
  <c r="L349" i="1"/>
  <c r="L117" i="1" s="1"/>
  <c r="L341" i="1"/>
  <c r="L377" i="1"/>
  <c r="G252" i="1"/>
  <c r="G254" i="1" s="1"/>
  <c r="G257" i="1" s="1"/>
  <c r="K209" i="1"/>
  <c r="K227" i="1" s="1"/>
  <c r="L26" i="1"/>
  <c r="L280" i="1"/>
  <c r="L305" i="1"/>
  <c r="N40" i="1"/>
  <c r="M284" i="1"/>
  <c r="M35" i="1"/>
  <c r="M262" i="1" s="1"/>
  <c r="I236" i="1"/>
  <c r="I237" i="1" s="1"/>
  <c r="H255" i="1"/>
  <c r="H252" i="1"/>
  <c r="J214" i="1"/>
  <c r="K212" i="1" s="1"/>
  <c r="J216" i="1"/>
  <c r="J219" i="1" s="1"/>
  <c r="J222" i="1" s="1"/>
  <c r="L143" i="1"/>
  <c r="L187" i="1"/>
  <c r="L103" i="1"/>
  <c r="L73" i="1"/>
  <c r="M8" i="1"/>
  <c r="M483" i="1" s="1"/>
  <c r="O507" i="1" l="1"/>
  <c r="O515" i="1"/>
  <c r="O519" i="1" s="1"/>
  <c r="O124" i="1" s="1"/>
  <c r="N60" i="1"/>
  <c r="M476" i="1"/>
  <c r="J223" i="1"/>
  <c r="K223" i="1" s="1"/>
  <c r="J488" i="1"/>
  <c r="M352" i="1"/>
  <c r="M370" i="1" s="1"/>
  <c r="M117" i="1"/>
  <c r="M119" i="1" s="1"/>
  <c r="M440" i="1"/>
  <c r="M466" i="1"/>
  <c r="K421" i="1"/>
  <c r="L410" i="1"/>
  <c r="L418" i="1" s="1"/>
  <c r="L411" i="1"/>
  <c r="L419" i="1" s="1"/>
  <c r="L408" i="1"/>
  <c r="L409" i="1"/>
  <c r="L417" i="1" s="1"/>
  <c r="K119" i="1"/>
  <c r="K352" i="1"/>
  <c r="M341" i="1"/>
  <c r="M377" i="1"/>
  <c r="L352" i="1"/>
  <c r="L119" i="1"/>
  <c r="O352" i="1"/>
  <c r="O370" i="1" s="1"/>
  <c r="O119" i="1"/>
  <c r="H254" i="1"/>
  <c r="H257" i="1" s="1"/>
  <c r="L209" i="1"/>
  <c r="L227" i="1" s="1"/>
  <c r="M26" i="1"/>
  <c r="N35" i="1"/>
  <c r="N262" i="1" s="1"/>
  <c r="M280" i="1"/>
  <c r="M305" i="1"/>
  <c r="O40" i="1"/>
  <c r="O284" i="1" s="1"/>
  <c r="N284" i="1"/>
  <c r="I255" i="1"/>
  <c r="I252" i="1"/>
  <c r="I254" i="1" s="1"/>
  <c r="J236" i="1"/>
  <c r="J237" i="1" s="1"/>
  <c r="K214" i="1"/>
  <c r="L212" i="1" s="1"/>
  <c r="K216" i="1"/>
  <c r="M143" i="1"/>
  <c r="M187" i="1"/>
  <c r="M103" i="1"/>
  <c r="M73" i="1"/>
  <c r="N8" i="1"/>
  <c r="N483" i="1" s="1"/>
  <c r="O60" i="1" l="1"/>
  <c r="O476" i="1" s="1"/>
  <c r="N476" i="1"/>
  <c r="O223" i="1"/>
  <c r="N223" i="1"/>
  <c r="M223" i="1"/>
  <c r="L223" i="1"/>
  <c r="J489" i="1"/>
  <c r="J490" i="1"/>
  <c r="N440" i="1"/>
  <c r="N466" i="1"/>
  <c r="L416" i="1"/>
  <c r="L421" i="1" s="1"/>
  <c r="K425" i="1"/>
  <c r="M408" i="1"/>
  <c r="M411" i="1"/>
  <c r="M419" i="1" s="1"/>
  <c r="M409" i="1"/>
  <c r="M417" i="1" s="1"/>
  <c r="M410" i="1"/>
  <c r="M418" i="1" s="1"/>
  <c r="K353" i="1"/>
  <c r="K356" i="1" s="1"/>
  <c r="K370" i="1"/>
  <c r="N341" i="1"/>
  <c r="N377" i="1"/>
  <c r="N352" i="1"/>
  <c r="N370" i="1" s="1"/>
  <c r="N119" i="1"/>
  <c r="L370" i="1"/>
  <c r="K224" i="1"/>
  <c r="K226" i="1" s="1"/>
  <c r="K228" i="1" s="1"/>
  <c r="O35" i="1"/>
  <c r="O262" i="1" s="1"/>
  <c r="M209" i="1"/>
  <c r="M227" i="1" s="1"/>
  <c r="N26" i="1"/>
  <c r="N280" i="1"/>
  <c r="N305" i="1"/>
  <c r="J255" i="1"/>
  <c r="J252" i="1"/>
  <c r="J254" i="1" s="1"/>
  <c r="K254" i="1" s="1"/>
  <c r="K33" i="1" s="1"/>
  <c r="L33" i="1" s="1"/>
  <c r="I257" i="1"/>
  <c r="K236" i="1"/>
  <c r="L214" i="1"/>
  <c r="M212" i="1" s="1"/>
  <c r="L216" i="1"/>
  <c r="L224" i="1" s="1"/>
  <c r="N143" i="1"/>
  <c r="N187" i="1"/>
  <c r="N103" i="1"/>
  <c r="N73" i="1"/>
  <c r="O8" i="1"/>
  <c r="L63" i="1" l="1"/>
  <c r="K63" i="1"/>
  <c r="K491" i="1" s="1"/>
  <c r="N63" i="1"/>
  <c r="M63" i="1"/>
  <c r="O63" i="1"/>
  <c r="O466" i="1"/>
  <c r="O483" i="1"/>
  <c r="K426" i="1"/>
  <c r="K122" i="1"/>
  <c r="K237" i="1"/>
  <c r="K255" i="1" s="1"/>
  <c r="K257" i="1" s="1"/>
  <c r="K259" i="1" s="1"/>
  <c r="K56" i="1"/>
  <c r="K394" i="1" s="1"/>
  <c r="P8" i="1"/>
  <c r="P377" i="1" s="1"/>
  <c r="P411" i="1" s="1"/>
  <c r="O440" i="1"/>
  <c r="K29" i="1"/>
  <c r="M416" i="1"/>
  <c r="M421" i="1" s="1"/>
  <c r="L425" i="1"/>
  <c r="N409" i="1"/>
  <c r="N417" i="1" s="1"/>
  <c r="N411" i="1"/>
  <c r="N419" i="1" s="1"/>
  <c r="N408" i="1"/>
  <c r="N410" i="1"/>
  <c r="N418" i="1" s="1"/>
  <c r="L351" i="1"/>
  <c r="L353" i="1" s="1"/>
  <c r="L356" i="1" s="1"/>
  <c r="L362" i="1" s="1"/>
  <c r="L367" i="1" s="1"/>
  <c r="K362" i="1"/>
  <c r="K367" i="1" s="1"/>
  <c r="O341" i="1"/>
  <c r="O377" i="1"/>
  <c r="N209" i="1"/>
  <c r="N227" i="1" s="1"/>
  <c r="O26" i="1"/>
  <c r="O209" i="1" s="1"/>
  <c r="O280" i="1"/>
  <c r="O305" i="1"/>
  <c r="J257" i="1"/>
  <c r="L226" i="1"/>
  <c r="L228" i="1" s="1"/>
  <c r="L29" i="1"/>
  <c r="L254" i="1"/>
  <c r="M33" i="1"/>
  <c r="L236" i="1"/>
  <c r="K230" i="1"/>
  <c r="M214" i="1"/>
  <c r="N212" i="1" s="1"/>
  <c r="M216" i="1"/>
  <c r="M224" i="1" s="1"/>
  <c r="O143" i="1"/>
  <c r="O187" i="1"/>
  <c r="O103" i="1"/>
  <c r="O73" i="1"/>
  <c r="K530" i="1" l="1"/>
  <c r="M531" i="1" s="1"/>
  <c r="M123" i="1" s="1"/>
  <c r="K108" i="1"/>
  <c r="K497" i="1"/>
  <c r="L491" i="1"/>
  <c r="K168" i="1"/>
  <c r="L424" i="1"/>
  <c r="L426" i="1" s="1"/>
  <c r="L122" i="1"/>
  <c r="L237" i="1"/>
  <c r="L255" i="1" s="1"/>
  <c r="L257" i="1" s="1"/>
  <c r="L259" i="1" s="1"/>
  <c r="L56" i="1"/>
  <c r="L394" i="1" s="1"/>
  <c r="P410" i="1"/>
  <c r="P408" i="1"/>
  <c r="P409" i="1"/>
  <c r="N416" i="1"/>
  <c r="N421" i="1" s="1"/>
  <c r="M425" i="1"/>
  <c r="O409" i="1"/>
  <c r="O417" i="1" s="1"/>
  <c r="O408" i="1"/>
  <c r="O411" i="1"/>
  <c r="O419" i="1" s="1"/>
  <c r="O410" i="1"/>
  <c r="O418" i="1" s="1"/>
  <c r="M351" i="1"/>
  <c r="M353" i="1" s="1"/>
  <c r="M356" i="1" s="1"/>
  <c r="N351" i="1" s="1"/>
  <c r="N353" i="1" s="1"/>
  <c r="N356" i="1" s="1"/>
  <c r="O351" i="1" s="1"/>
  <c r="O353" i="1" s="1"/>
  <c r="O356" i="1" s="1"/>
  <c r="K371" i="1"/>
  <c r="K372" i="1" s="1"/>
  <c r="K106" i="1"/>
  <c r="L106" i="1"/>
  <c r="L371" i="1"/>
  <c r="M226" i="1"/>
  <c r="M29" i="1"/>
  <c r="O227" i="1"/>
  <c r="N33" i="1"/>
  <c r="M254" i="1"/>
  <c r="K269" i="1"/>
  <c r="K162" i="1"/>
  <c r="K320" i="1" s="1"/>
  <c r="K332" i="1" s="1"/>
  <c r="K231" i="1"/>
  <c r="K232" i="1" s="1"/>
  <c r="K76" i="1" s="1"/>
  <c r="M236" i="1"/>
  <c r="L230" i="1"/>
  <c r="N214" i="1"/>
  <c r="O212" i="1" s="1"/>
  <c r="N216" i="1"/>
  <c r="N224" i="1" s="1"/>
  <c r="L530" i="1" l="1"/>
  <c r="N531" i="1" s="1"/>
  <c r="N123" i="1" s="1"/>
  <c r="L108" i="1"/>
  <c r="L497" i="1"/>
  <c r="M491" i="1"/>
  <c r="K498" i="1"/>
  <c r="K174" i="1" s="1"/>
  <c r="K127" i="1"/>
  <c r="K128" i="1" s="1"/>
  <c r="L168" i="1"/>
  <c r="M424" i="1"/>
  <c r="M426" i="1" s="1"/>
  <c r="M122" i="1"/>
  <c r="M237" i="1"/>
  <c r="M255" i="1" s="1"/>
  <c r="M257" i="1" s="1"/>
  <c r="M259" i="1" s="1"/>
  <c r="M56" i="1"/>
  <c r="M394" i="1" s="1"/>
  <c r="O416" i="1"/>
  <c r="O421" i="1" s="1"/>
  <c r="N425" i="1"/>
  <c r="O425" i="1"/>
  <c r="O122" i="1" s="1"/>
  <c r="N362" i="1"/>
  <c r="N367" i="1" s="1"/>
  <c r="N106" i="1" s="1"/>
  <c r="M362" i="1"/>
  <c r="M367" i="1" s="1"/>
  <c r="M106" i="1" s="1"/>
  <c r="O362" i="1"/>
  <c r="O367" i="1" s="1"/>
  <c r="O371" i="1" s="1"/>
  <c r="K153" i="1"/>
  <c r="L369" i="1"/>
  <c r="L372" i="1" s="1"/>
  <c r="M228" i="1"/>
  <c r="M230" i="1" s="1"/>
  <c r="N226" i="1"/>
  <c r="N228" i="1" s="1"/>
  <c r="N29" i="1"/>
  <c r="N254" i="1"/>
  <c r="O33" i="1"/>
  <c r="O254" i="1" s="1"/>
  <c r="L231" i="1"/>
  <c r="L232" i="1" s="1"/>
  <c r="L76" i="1" s="1"/>
  <c r="L162" i="1"/>
  <c r="L320" i="1" s="1"/>
  <c r="L332" i="1" s="1"/>
  <c r="L269" i="1"/>
  <c r="L271" i="1" s="1"/>
  <c r="K271" i="1"/>
  <c r="K270" i="1"/>
  <c r="N236" i="1"/>
  <c r="O214" i="1"/>
  <c r="O236" i="1" s="1"/>
  <c r="O216" i="1"/>
  <c r="O224" i="1" s="1"/>
  <c r="M108" i="1" l="1"/>
  <c r="M530" i="1"/>
  <c r="O531" i="1" s="1"/>
  <c r="O123" i="1" s="1"/>
  <c r="N491" i="1"/>
  <c r="M497" i="1"/>
  <c r="L498" i="1"/>
  <c r="L174" i="1" s="1"/>
  <c r="L127" i="1"/>
  <c r="L128" i="1" s="1"/>
  <c r="M168" i="1"/>
  <c r="N424" i="1"/>
  <c r="N426" i="1" s="1"/>
  <c r="N122" i="1"/>
  <c r="N237" i="1"/>
  <c r="N255" i="1" s="1"/>
  <c r="N257" i="1" s="1"/>
  <c r="N259" i="1" s="1"/>
  <c r="N56" i="1"/>
  <c r="N394" i="1" s="1"/>
  <c r="O237" i="1"/>
  <c r="O255" i="1" s="1"/>
  <c r="O257" i="1" s="1"/>
  <c r="O56" i="1"/>
  <c r="O394" i="1" s="1"/>
  <c r="O106" i="1"/>
  <c r="M371" i="1"/>
  <c r="N371" i="1"/>
  <c r="L153" i="1"/>
  <c r="M369" i="1"/>
  <c r="K272" i="1"/>
  <c r="K161" i="1" s="1"/>
  <c r="K319" i="1" s="1"/>
  <c r="K331" i="1" s="1"/>
  <c r="O226" i="1"/>
  <c r="O29" i="1"/>
  <c r="M269" i="1"/>
  <c r="M271" i="1" s="1"/>
  <c r="M162" i="1"/>
  <c r="M320" i="1" s="1"/>
  <c r="M332" i="1" s="1"/>
  <c r="M231" i="1"/>
  <c r="M232" i="1" s="1"/>
  <c r="M76" i="1" s="1"/>
  <c r="N230" i="1"/>
  <c r="M498" i="1" l="1"/>
  <c r="M174" i="1" s="1"/>
  <c r="M127" i="1"/>
  <c r="M128" i="1" s="1"/>
  <c r="N530" i="1"/>
  <c r="N108" i="1"/>
  <c r="O491" i="1"/>
  <c r="N497" i="1"/>
  <c r="N168" i="1"/>
  <c r="O424" i="1"/>
  <c r="O426" i="1" s="1"/>
  <c r="O168" i="1" s="1"/>
  <c r="M372" i="1"/>
  <c r="M153" i="1" s="1"/>
  <c r="K274" i="1"/>
  <c r="K275" i="1" s="1"/>
  <c r="K75" i="1" s="1"/>
  <c r="K307" i="1" s="1"/>
  <c r="K308" i="1" s="1"/>
  <c r="K321" i="1" s="1"/>
  <c r="K333" i="1" s="1"/>
  <c r="L268" i="1"/>
  <c r="L270" i="1" s="1"/>
  <c r="L272" i="1" s="1"/>
  <c r="L161" i="1" s="1"/>
  <c r="L319" i="1" s="1"/>
  <c r="L331" i="1" s="1"/>
  <c r="O228" i="1"/>
  <c r="O230" i="1" s="1"/>
  <c r="O259" i="1"/>
  <c r="N269" i="1"/>
  <c r="N271" i="1" s="1"/>
  <c r="N231" i="1"/>
  <c r="N232" i="1" s="1"/>
  <c r="N76" i="1" s="1"/>
  <c r="N162" i="1"/>
  <c r="N320" i="1" s="1"/>
  <c r="N332" i="1" s="1"/>
  <c r="N498" i="1" l="1"/>
  <c r="N127" i="1"/>
  <c r="N128" i="1" s="1"/>
  <c r="O497" i="1"/>
  <c r="O127" i="1" s="1"/>
  <c r="O128" i="1" s="1"/>
  <c r="O530" i="1"/>
  <c r="O108" i="1"/>
  <c r="N369" i="1"/>
  <c r="N372" i="1" s="1"/>
  <c r="N153" i="1" s="1"/>
  <c r="L274" i="1"/>
  <c r="L275" i="1" s="1"/>
  <c r="L75" i="1" s="1"/>
  <c r="L307" i="1" s="1"/>
  <c r="L308" i="1" s="1"/>
  <c r="L321" i="1" s="1"/>
  <c r="L333" i="1" s="1"/>
  <c r="M268" i="1"/>
  <c r="M270" i="1" s="1"/>
  <c r="M272" i="1" s="1"/>
  <c r="M161" i="1" s="1"/>
  <c r="M319" i="1" s="1"/>
  <c r="M331" i="1" s="1"/>
  <c r="K281" i="1"/>
  <c r="K285" i="1" s="1"/>
  <c r="K80" i="1" s="1"/>
  <c r="K309" i="1" s="1"/>
  <c r="K310" i="1" s="1"/>
  <c r="K314" i="1" s="1"/>
  <c r="K77" i="1"/>
  <c r="K441" i="1" s="1"/>
  <c r="K442" i="1" s="1"/>
  <c r="K315" i="1"/>
  <c r="K149" i="1" s="1"/>
  <c r="K313" i="1"/>
  <c r="K147" i="1" s="1"/>
  <c r="K164" i="1"/>
  <c r="O231" i="1"/>
  <c r="O232" i="1" s="1"/>
  <c r="O76" i="1" s="1"/>
  <c r="O162" i="1"/>
  <c r="O320" i="1" s="1"/>
  <c r="O332" i="1" s="1"/>
  <c r="O269" i="1"/>
  <c r="O271" i="1" s="1"/>
  <c r="O498" i="1" l="1"/>
  <c r="O174" i="1" s="1"/>
  <c r="N174" i="1"/>
  <c r="K450" i="1"/>
  <c r="K448" i="1"/>
  <c r="K455" i="1"/>
  <c r="O369" i="1"/>
  <c r="O372" i="1" s="1"/>
  <c r="O153" i="1" s="1"/>
  <c r="K327" i="1"/>
  <c r="K317" i="1"/>
  <c r="K324" i="1" s="1"/>
  <c r="K112" i="1" s="1"/>
  <c r="K326" i="1"/>
  <c r="N268" i="1"/>
  <c r="N270" i="1" s="1"/>
  <c r="N272" i="1" s="1"/>
  <c r="N161" i="1" s="1"/>
  <c r="N319" i="1" s="1"/>
  <c r="N331" i="1" s="1"/>
  <c r="L281" i="1"/>
  <c r="L285" i="1" s="1"/>
  <c r="L80" i="1" s="1"/>
  <c r="L309" i="1" s="1"/>
  <c r="L310" i="1" s="1"/>
  <c r="L314" i="1" s="1"/>
  <c r="L148" i="1" s="1"/>
  <c r="M274" i="1"/>
  <c r="M275" i="1" s="1"/>
  <c r="M75" i="1" s="1"/>
  <c r="M307" i="1" s="1"/>
  <c r="M308" i="1" s="1"/>
  <c r="M321" i="1" s="1"/>
  <c r="M333" i="1" s="1"/>
  <c r="L77" i="1"/>
  <c r="L441" i="1" s="1"/>
  <c r="L442" i="1" s="1"/>
  <c r="L313" i="1"/>
  <c r="L147" i="1" s="1"/>
  <c r="L315" i="1"/>
  <c r="L327" i="1" s="1"/>
  <c r="L164" i="1"/>
  <c r="K148" i="1"/>
  <c r="K323" i="1"/>
  <c r="K111" i="1" s="1"/>
  <c r="L455" i="1" l="1"/>
  <c r="K457" i="1"/>
  <c r="L448" i="1"/>
  <c r="K451" i="1"/>
  <c r="L450" i="1"/>
  <c r="M315" i="1"/>
  <c r="M149" i="1" s="1"/>
  <c r="M313" i="1"/>
  <c r="M326" i="1" s="1"/>
  <c r="L326" i="1"/>
  <c r="L328" i="1" s="1"/>
  <c r="L149" i="1"/>
  <c r="K328" i="1"/>
  <c r="K159" i="1"/>
  <c r="M164" i="1"/>
  <c r="L323" i="1"/>
  <c r="L111" i="1" s="1"/>
  <c r="N274" i="1"/>
  <c r="N275" i="1" s="1"/>
  <c r="N75" i="1" s="1"/>
  <c r="N307" i="1" s="1"/>
  <c r="N308" i="1" s="1"/>
  <c r="N321" i="1" s="1"/>
  <c r="L317" i="1"/>
  <c r="L324" i="1" s="1"/>
  <c r="L112" i="1" s="1"/>
  <c r="O268" i="1"/>
  <c r="O270" i="1" s="1"/>
  <c r="O272" i="1" s="1"/>
  <c r="O274" i="1" s="1"/>
  <c r="O275" i="1" s="1"/>
  <c r="O75" i="1" s="1"/>
  <c r="O307" i="1" s="1"/>
  <c r="M77" i="1"/>
  <c r="M441" i="1" s="1"/>
  <c r="M442" i="1" s="1"/>
  <c r="M281" i="1"/>
  <c r="M285" i="1" s="1"/>
  <c r="M80" i="1" s="1"/>
  <c r="M309" i="1" s="1"/>
  <c r="M310" i="1" s="1"/>
  <c r="M314" i="1" s="1"/>
  <c r="M148" i="1" s="1"/>
  <c r="K155" i="1" l="1"/>
  <c r="K459" i="1"/>
  <c r="K170" i="1"/>
  <c r="K460" i="1"/>
  <c r="M450" i="1"/>
  <c r="M448" i="1"/>
  <c r="L451" i="1"/>
  <c r="M455" i="1"/>
  <c r="L457" i="1"/>
  <c r="M147" i="1"/>
  <c r="M327" i="1"/>
  <c r="M328" i="1" s="1"/>
  <c r="L159" i="1"/>
  <c r="M317" i="1"/>
  <c r="M324" i="1" s="1"/>
  <c r="M112" i="1" s="1"/>
  <c r="M323" i="1"/>
  <c r="M111" i="1" s="1"/>
  <c r="N333" i="1"/>
  <c r="N164" i="1"/>
  <c r="N77" i="1"/>
  <c r="N441" i="1" s="1"/>
  <c r="N442" i="1" s="1"/>
  <c r="N281" i="1"/>
  <c r="N285" i="1" s="1"/>
  <c r="N80" i="1" s="1"/>
  <c r="N309" i="1" s="1"/>
  <c r="N310" i="1" s="1"/>
  <c r="N314" i="1" s="1"/>
  <c r="N323" i="1" s="1"/>
  <c r="N111" i="1" s="1"/>
  <c r="N313" i="1"/>
  <c r="N147" i="1" s="1"/>
  <c r="N315" i="1"/>
  <c r="N149" i="1" s="1"/>
  <c r="O308" i="1"/>
  <c r="O321" i="1" s="1"/>
  <c r="O164" i="1" s="1"/>
  <c r="O161" i="1"/>
  <c r="O319" i="1" s="1"/>
  <c r="O331" i="1" s="1"/>
  <c r="O77" i="1"/>
  <c r="O441" i="1" s="1"/>
  <c r="O281" i="1"/>
  <c r="K461" i="1" l="1"/>
  <c r="K109" i="1" s="1"/>
  <c r="L170" i="1"/>
  <c r="L460" i="1"/>
  <c r="L155" i="1"/>
  <c r="O442" i="1"/>
  <c r="L459" i="1"/>
  <c r="N450" i="1"/>
  <c r="N448" i="1"/>
  <c r="M451" i="1"/>
  <c r="M459" i="1" s="1"/>
  <c r="N455" i="1"/>
  <c r="M457" i="1"/>
  <c r="O333" i="1"/>
  <c r="M159" i="1"/>
  <c r="O313" i="1"/>
  <c r="O147" i="1" s="1"/>
  <c r="N326" i="1"/>
  <c r="O315" i="1"/>
  <c r="O149" i="1" s="1"/>
  <c r="N327" i="1"/>
  <c r="N317" i="1"/>
  <c r="N324" i="1" s="1"/>
  <c r="N112" i="1" s="1"/>
  <c r="N148" i="1"/>
  <c r="J292" i="1"/>
  <c r="J293" i="1" s="1"/>
  <c r="J294" i="1" s="1"/>
  <c r="J43" i="1" s="1"/>
  <c r="K42" i="1" s="1"/>
  <c r="O285" i="1"/>
  <c r="O80" i="1" s="1"/>
  <c r="O309" i="1" s="1"/>
  <c r="O310" i="1" s="1"/>
  <c r="O314" i="1" s="1"/>
  <c r="L461" i="1" l="1"/>
  <c r="L109" i="1" s="1"/>
  <c r="O450" i="1"/>
  <c r="M170" i="1"/>
  <c r="M460" i="1"/>
  <c r="M461" i="1" s="1"/>
  <c r="M109" i="1" s="1"/>
  <c r="M155" i="1"/>
  <c r="O455" i="1"/>
  <c r="O457" i="1" s="1"/>
  <c r="N457" i="1"/>
  <c r="O448" i="1"/>
  <c r="N451" i="1"/>
  <c r="O326" i="1"/>
  <c r="N328" i="1"/>
  <c r="O327" i="1"/>
  <c r="N159" i="1"/>
  <c r="O148" i="1"/>
  <c r="O323" i="1"/>
  <c r="O111" i="1" s="1"/>
  <c r="O317" i="1"/>
  <c r="L42" i="1"/>
  <c r="M42" i="1" s="1"/>
  <c r="K289" i="1"/>
  <c r="K295" i="1" s="1"/>
  <c r="O451" i="1" l="1"/>
  <c r="O155" i="1" s="1"/>
  <c r="N155" i="1"/>
  <c r="N170" i="1"/>
  <c r="N460" i="1"/>
  <c r="O170" i="1"/>
  <c r="O460" i="1"/>
  <c r="N459" i="1"/>
  <c r="O328" i="1"/>
  <c r="O159" i="1"/>
  <c r="O324" i="1"/>
  <c r="O112" i="1" s="1"/>
  <c r="L289" i="1"/>
  <c r="L295" i="1" s="1"/>
  <c r="N42" i="1"/>
  <c r="M289" i="1"/>
  <c r="K81" i="1"/>
  <c r="K82" i="1" s="1"/>
  <c r="K300" i="1"/>
  <c r="K160" i="1" s="1"/>
  <c r="O459" i="1" l="1"/>
  <c r="O461" i="1" s="1"/>
  <c r="O109" i="1" s="1"/>
  <c r="N461" i="1"/>
  <c r="N109" i="1" s="1"/>
  <c r="K318" i="1"/>
  <c r="K330" i="1" s="1"/>
  <c r="K334" i="1" s="1"/>
  <c r="K336" i="1" s="1"/>
  <c r="K113" i="1" s="1"/>
  <c r="O42" i="1"/>
  <c r="O289" i="1" s="1"/>
  <c r="N289" i="1"/>
  <c r="L81" i="1"/>
  <c r="L82" i="1" s="1"/>
  <c r="L300" i="1"/>
  <c r="L160" i="1" s="1"/>
  <c r="M295" i="1"/>
  <c r="L318" i="1" l="1"/>
  <c r="L330" i="1" s="1"/>
  <c r="L334" i="1" s="1"/>
  <c r="L336" i="1" s="1"/>
  <c r="L113" i="1" s="1"/>
  <c r="M81" i="1"/>
  <c r="M82" i="1" s="1"/>
  <c r="M300" i="1"/>
  <c r="M160" i="1" s="1"/>
  <c r="O295" i="1"/>
  <c r="N295" i="1"/>
  <c r="M318" i="1" l="1"/>
  <c r="M330" i="1" s="1"/>
  <c r="M334" i="1" s="1"/>
  <c r="M336" i="1" s="1"/>
  <c r="M113" i="1" s="1"/>
  <c r="N81" i="1"/>
  <c r="N82" i="1" s="1"/>
  <c r="N300" i="1"/>
  <c r="N160" i="1" s="1"/>
  <c r="O81" i="1"/>
  <c r="O82" i="1" s="1"/>
  <c r="O300" i="1"/>
  <c r="O160" i="1" s="1"/>
  <c r="O318" i="1" l="1"/>
  <c r="N318" i="1"/>
  <c r="N330" i="1" s="1"/>
  <c r="N334" i="1" s="1"/>
  <c r="N336" i="1" s="1"/>
  <c r="N113" i="1" s="1"/>
  <c r="O330" i="1" l="1"/>
  <c r="O334" i="1" s="1"/>
  <c r="O336" i="1" s="1"/>
  <c r="O113" i="1" s="1"/>
  <c r="K476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1" i="1"/>
  <c r="L91" i="1"/>
  <c r="M91" i="1"/>
  <c r="N91" i="1"/>
  <c r="O91" i="1"/>
  <c r="K97" i="1"/>
  <c r="L97" i="1"/>
  <c r="M97" i="1"/>
  <c r="N97" i="1"/>
  <c r="O97" i="1"/>
  <c r="K98" i="1"/>
  <c r="L98" i="1"/>
  <c r="M98" i="1"/>
  <c r="N98" i="1"/>
  <c r="O98" i="1"/>
  <c r="K105" i="1"/>
  <c r="L105" i="1"/>
  <c r="M105" i="1"/>
  <c r="N105" i="1"/>
  <c r="O105" i="1"/>
  <c r="K114" i="1"/>
  <c r="L114" i="1"/>
  <c r="M114" i="1"/>
  <c r="N114" i="1"/>
  <c r="O114" i="1"/>
  <c r="K131" i="1"/>
  <c r="L131" i="1"/>
  <c r="M131" i="1"/>
  <c r="N131" i="1"/>
  <c r="O131" i="1"/>
  <c r="L132" i="1"/>
  <c r="M132" i="1"/>
  <c r="N132" i="1"/>
  <c r="O132" i="1"/>
  <c r="K133" i="1"/>
  <c r="L133" i="1"/>
  <c r="M133" i="1"/>
  <c r="N133" i="1"/>
  <c r="O133" i="1"/>
  <c r="K141" i="1"/>
  <c r="L141" i="1"/>
  <c r="M141" i="1"/>
  <c r="N141" i="1"/>
  <c r="O141" i="1"/>
  <c r="K145" i="1"/>
  <c r="L145" i="1"/>
  <c r="M145" i="1"/>
  <c r="N145" i="1"/>
  <c r="O145" i="1"/>
  <c r="K150" i="1"/>
  <c r="L150" i="1"/>
  <c r="M150" i="1"/>
  <c r="N150" i="1"/>
  <c r="O150" i="1"/>
  <c r="K156" i="1"/>
  <c r="L156" i="1"/>
  <c r="M156" i="1"/>
  <c r="N156" i="1"/>
  <c r="O156" i="1"/>
  <c r="K163" i="1"/>
  <c r="L163" i="1"/>
  <c r="M163" i="1"/>
  <c r="N163" i="1"/>
  <c r="O163" i="1"/>
  <c r="K165" i="1"/>
  <c r="L165" i="1"/>
  <c r="M165" i="1"/>
  <c r="N165" i="1"/>
  <c r="O165" i="1"/>
  <c r="K171" i="1"/>
  <c r="L171" i="1"/>
  <c r="M171" i="1"/>
  <c r="N171" i="1"/>
  <c r="O171" i="1"/>
  <c r="K176" i="1"/>
  <c r="L176" i="1"/>
  <c r="M176" i="1"/>
  <c r="N176" i="1"/>
  <c r="O176" i="1"/>
  <c r="K177" i="1"/>
  <c r="L177" i="1"/>
  <c r="M177" i="1"/>
  <c r="N177" i="1"/>
  <c r="O177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380" i="1"/>
  <c r="L380" i="1"/>
  <c r="M380" i="1"/>
  <c r="N380" i="1"/>
  <c r="O380" i="1"/>
  <c r="K382" i="1"/>
  <c r="L382" i="1"/>
  <c r="M382" i="1"/>
  <c r="N382" i="1"/>
  <c r="O382" i="1"/>
  <c r="K383" i="1"/>
  <c r="L383" i="1"/>
  <c r="M383" i="1"/>
  <c r="N383" i="1"/>
  <c r="O383" i="1"/>
  <c r="K387" i="1"/>
  <c r="L387" i="1"/>
  <c r="M387" i="1"/>
  <c r="N387" i="1"/>
  <c r="O387" i="1"/>
  <c r="K390" i="1"/>
  <c r="L390" i="1"/>
  <c r="M390" i="1"/>
  <c r="N390" i="1"/>
  <c r="O390" i="1"/>
  <c r="L393" i="1"/>
  <c r="M393" i="1"/>
  <c r="N393" i="1"/>
  <c r="O393" i="1"/>
  <c r="K395" i="1"/>
  <c r="L395" i="1"/>
  <c r="M395" i="1"/>
  <c r="N395" i="1"/>
  <c r="O395" i="1"/>
  <c r="K396" i="1"/>
  <c r="L396" i="1"/>
  <c r="M396" i="1"/>
  <c r="N396" i="1"/>
  <c r="O396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4" i="1"/>
  <c r="L404" i="1"/>
  <c r="M404" i="1"/>
  <c r="N404" i="1"/>
  <c r="O404" i="1"/>
  <c r="K435" i="1"/>
  <c r="L435" i="1"/>
  <c r="M435" i="1"/>
  <c r="N435" i="1"/>
  <c r="O435" i="1"/>
  <c r="K471" i="1"/>
  <c r="L471" i="1"/>
  <c r="M471" i="1"/>
  <c r="N471" i="1"/>
  <c r="O471" i="1"/>
  <c r="K478" i="1"/>
  <c r="L478" i="1"/>
  <c r="M478" i="1"/>
  <c r="N478" i="1"/>
  <c r="O4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tc={603B89FB-D427-49C3-A4CD-6D873E5E11C3}</author>
    <author>tc={09595CBA-CF47-4D47-9DA0-07CB4727C94B}</author>
    <author>tc={EDAC56EA-9F4D-4961-8A42-58C0B17E2411}</author>
    <author>tc={E3CE5E42-1672-471E-90BF-E464759919F7}</author>
    <author>tc={8C5517E4-6F05-4EA8-9953-728583F9AEC3}</author>
    <author>tc={9F38E3C2-A4F1-4A33-A70C-9FFDDD21171D}</author>
    <author>tc={1D939EEB-89D5-4486-99EC-68951FF35568}</author>
    <author>tc={87379581-145D-4850-A472-6CEEC181F31A}</author>
    <author>tc={A0054722-466C-4F33-9573-46E23E691549}</author>
    <author>tc={E544462A-5107-4CF0-B690-C939B1B943B8}</author>
    <author>tc={F5ED2800-3C4B-47FA-B8A2-847ADA7A4A43}</author>
    <author>tc={710CAD6B-4E37-4456-A03C-A9DD63696A7F}</author>
    <author>tc={EE9B12A6-F8A5-4773-A91D-27E21816F7E7}</author>
    <author>tc={E9838B35-CB3D-49D2-B11C-DE71F8A1C997}</author>
    <author>tc={A5FA2810-8861-4C82-BDCC-E5F2546C09B7}</author>
    <author>tc={02C9E5B4-3AD0-4534-B57B-4539D990AFC1}</author>
    <author>tc={7C43E48A-4095-493B-A92F-AFD13ED6B09D}</author>
    <author>tc={CEF9943A-84E1-48D2-AE82-7618CEFB5677}</author>
    <author>tc={E0908AD0-B74D-4130-A467-70AE1DC43308}</author>
  </authors>
  <commentList>
    <comment ref="K26" authorId="0" shapeId="0" xr:uid="{603B89FB-D427-49C3-A4CD-6D873E5E11C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Adjustment to be made once the price has been adjusted.</t>
      </text>
    </comment>
    <comment ref="C46" authorId="1" shapeId="0" xr:uid="{09595CBA-CF47-4D47-9DA0-07CB4727C94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Management’s guidance for the average CAPEX for the next 5 years (heading - Capital Expenditure Plans)</t>
      </text>
    </comment>
    <comment ref="K46" authorId="2" shapeId="0" xr:uid="{EDAC56EA-9F4D-4961-8A42-58C0B17E2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Mangement says it expects to spend a similar amount for 2025 as 2024, therefore, using 2024 as the base.
</t>
      </text>
    </comment>
    <comment ref="J53" authorId="3" shapeId="0" xr:uid="{E3CE5E42-1672-471E-90BF-E464759919F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Notes: Unamortized debt</t>
      </text>
    </comment>
    <comment ref="K54" authorId="4" shapeId="0" xr:uid="{8C5517E4-6F05-4EA8-9953-728583F9AE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Notes: Interest on Lease liabilities
</t>
      </text>
    </comment>
    <comment ref="K57" authorId="5" shapeId="0" xr:uid="{9F38E3C2-A4F1-4A33-A70C-9FFDDD2117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Notes: Under leases - future minimum payments in the next 5 years
</t>
      </text>
    </comment>
    <comment ref="K85" authorId="6" shapeId="0" xr:uid="{1D939EEB-89D5-4486-99EC-68951FF35568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Circularity prone area.</t>
      </text>
    </comment>
    <comment ref="F132" authorId="7" shapeId="0" xr:uid="{87379581-145D-4850-A472-6CEEC181F3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Cash and Cash Equivalent from PY B.S.
Others are being calculated, but should match the CCE of the B.S.
</t>
      </text>
    </comment>
    <comment ref="E381" authorId="8" shapeId="0" xr:uid="{A0054722-466C-4F33-9573-46E23E69154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Short-term Investments from BS</t>
      </text>
    </comment>
    <comment ref="K387" authorId="9" shapeId="0" xr:uid="{E544462A-5107-4CF0-B690-C939B1B943B8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Circularity prone area</t>
      </text>
    </comment>
    <comment ref="L387" authorId="10" shapeId="0" xr:uid="{F5ED2800-3C4B-47FA-B8A2-847ADA7A4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Circularity prone area</t>
      </text>
    </comment>
    <comment ref="M387" authorId="11" shapeId="0" xr:uid="{710CAD6B-4E37-4456-A03C-A9DD63696A7F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Circularity prone area</t>
      </text>
    </comment>
    <comment ref="N387" authorId="12" shapeId="0" xr:uid="{EE9B12A6-F8A5-4773-A91D-27E21816F7E7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Circularity prone area</t>
      </text>
    </comment>
    <comment ref="O387" authorId="13" shapeId="0" xr:uid="{E9838B35-CB3D-49D2-B11C-DE71F8A1C997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Circularity prone area</t>
      </text>
    </comment>
    <comment ref="K395" authorId="14" shapeId="0" xr:uid="{A5FA2810-8861-4C82-BDCC-E5F2546C09B7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circularity here (2). Linked from CFS</t>
      </text>
    </comment>
    <comment ref="D420" authorId="15" shapeId="0" xr:uid="{02C9E5B4-3AD0-4534-B57B-4539D990AF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Notes: Japanese Subsidiary: Interest rate
</t>
      </text>
    </comment>
    <comment ref="C450" authorId="16" shapeId="0" xr:uid="{7C43E48A-4095-493B-A92F-AFD13ED6B09D}">
      <text>
        <t>[Threaded comment]
Your version of Excel allows you to read this threaded comment; however, any edits to it will get removed if the file is opened in a newer version of Excel. Learn more: https://go.microsoft.com/fwlink/?linkid=870924
Comment:
    Usually prepaid expenses, etc. You can grow this with revenue or straight line it.
Calc =Total minus other components.</t>
      </text>
    </comment>
    <comment ref="C456" authorId="17" shapeId="0" xr:uid="{CEF9943A-84E1-48D2-AE82-7618CEFB5677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likely (others). At the end of a gas station life, there are expenses w.r.t. correcting the area around to avoid contamination (usually sand is replaced below).
Costco confirms that there are AROs related to leases.
Calc = Total minus other items.</t>
      </text>
    </comment>
    <comment ref="K471" authorId="18" shapeId="0" xr:uid="{E0908AD0-B74D-4130-A467-70AE1DC43308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circularity here. Linked to Income before Taxes in IS</t>
      </text>
    </comment>
  </commentList>
</comments>
</file>

<file path=xl/sharedStrings.xml><?xml version="1.0" encoding="utf-8"?>
<sst xmlns="http://schemas.openxmlformats.org/spreadsheetml/2006/main" count="947" uniqueCount="474">
  <si>
    <t>Costco Wholesale</t>
  </si>
  <si>
    <t>Assumptions</t>
  </si>
  <si>
    <t>First year of forecast</t>
  </si>
  <si>
    <t>Scenarios</t>
  </si>
  <si>
    <t>Base Case</t>
  </si>
  <si>
    <t>Best Case</t>
  </si>
  <si>
    <t>Worst Case</t>
  </si>
  <si>
    <t>Variable 2</t>
  </si>
  <si>
    <t>Income Statement</t>
  </si>
  <si>
    <t>Income Statement (in millions of USD)</t>
  </si>
  <si>
    <t>Revenue</t>
  </si>
  <si>
    <t>Net Sales</t>
  </si>
  <si>
    <t>Membership fees</t>
  </si>
  <si>
    <t>Total Revenue</t>
  </si>
  <si>
    <t>Operating Expenses</t>
  </si>
  <si>
    <t>Merchandise Costs</t>
  </si>
  <si>
    <t>SG&amp;A</t>
  </si>
  <si>
    <t>Operating Income</t>
  </si>
  <si>
    <t>Other Income (Expenses)</t>
  </si>
  <si>
    <t>Interest Expenses</t>
  </si>
  <si>
    <t>Interest Income</t>
  </si>
  <si>
    <t>Income before Taxes</t>
  </si>
  <si>
    <t>Provision for Income Taxes</t>
  </si>
  <si>
    <t>Net Income</t>
  </si>
  <si>
    <t>Non-controlling interest</t>
  </si>
  <si>
    <t>Net Income Attributable to Costco</t>
  </si>
  <si>
    <t>Weighted-average share count (basic)</t>
  </si>
  <si>
    <t>EPS</t>
  </si>
  <si>
    <t>Basic</t>
  </si>
  <si>
    <t>Diluted</t>
  </si>
  <si>
    <t>Weighted-average share count (diluted)</t>
  </si>
  <si>
    <t>REVENUE</t>
  </si>
  <si>
    <t>Net sales</t>
  </si>
  <si>
    <t>Total revenue</t>
  </si>
  <si>
    <t>OPERATING EXPENSES</t>
  </si>
  <si>
    <t>Merchandise costs</t>
  </si>
  <si>
    <t>Selling, general and administrative</t>
  </si>
  <si>
    <t>Operating income</t>
  </si>
  <si>
    <t>OTHER INCOME (EXPENSE)</t>
  </si>
  <si>
    <t>Interest expense</t>
  </si>
  <si>
    <t>Interest income and other, net</t>
  </si>
  <si>
    <t>INCOME BEFORE INCOME TAXES</t>
  </si>
  <si>
    <t>Provision for income taxes</t>
  </si>
  <si>
    <t>Net income including noncontrolling interests</t>
  </si>
  <si>
    <t>Net income attributable to noncontrolling interests</t>
  </si>
  <si>
    <t>NET INCOME ATTRIBUTABLE TO COSTCO</t>
  </si>
  <si>
    <t>NET INCOME PER COMMON SHARE ATTRIBUTABLE TO COSTCO:</t>
  </si>
  <si>
    <t>Shares used in calculation (000’s)</t>
  </si>
  <si>
    <r>
      <t>—</t>
    </r>
    <r>
      <rPr>
        <sz val="9"/>
        <color rgb="FF000000"/>
        <rFont val="Arial"/>
        <family val="2"/>
      </rPr>
      <t> </t>
    </r>
  </si>
  <si>
    <t>check</t>
  </si>
  <si>
    <t>— </t>
  </si>
  <si>
    <t>(000s)</t>
  </si>
  <si>
    <t>USD</t>
  </si>
  <si>
    <t>Cash Flow Statement</t>
  </si>
  <si>
    <t>Cash Flow Statement (in millions of USD)</t>
  </si>
  <si>
    <t>Depreciation and Amortization</t>
  </si>
  <si>
    <t>Non-cash lease expense</t>
  </si>
  <si>
    <t>Stock-based compensation</t>
  </si>
  <si>
    <t>Other non-cash operating activities</t>
  </si>
  <si>
    <t>Changes in Operating Assets and Liabilities:</t>
  </si>
  <si>
    <t>Merchandise Inventory</t>
  </si>
  <si>
    <t>Accounts Payable</t>
  </si>
  <si>
    <t>Other operating assets and liabilities, net</t>
  </si>
  <si>
    <t>Net Cash Provided by Operating Activities</t>
  </si>
  <si>
    <t>Cash Flow from Investing Activities</t>
  </si>
  <si>
    <t>Cash Flow from Operating Activities</t>
  </si>
  <si>
    <t>Additions to PPE</t>
  </si>
  <si>
    <t>Other Investing activities</t>
  </si>
  <si>
    <t>Net Cash from Investing Activities</t>
  </si>
  <si>
    <t>Cash Flows from Financing Activities</t>
  </si>
  <si>
    <t>Changes in Debt</t>
  </si>
  <si>
    <t>Shares Repurchases</t>
  </si>
  <si>
    <t>Dividends</t>
  </si>
  <si>
    <t>Financing lease payments</t>
  </si>
  <si>
    <t>Other Financing activities</t>
  </si>
  <si>
    <t>Net Cash from Financing Activities</t>
  </si>
  <si>
    <t>Forex Effects</t>
  </si>
  <si>
    <t>Net Change in Cash</t>
  </si>
  <si>
    <t>Cash beginning balance</t>
  </si>
  <si>
    <t>Cash ending balance</t>
  </si>
  <si>
    <t>Cash paid during the year for:</t>
  </si>
  <si>
    <t>Interest</t>
  </si>
  <si>
    <t>Income Taxes</t>
  </si>
  <si>
    <t>CASH FLOWS FROM OPERATING ACTIVITIES</t>
  </si>
  <si>
    <t>Adjustments to reconcile net income including noncontrolling interests to net cash provided by operating activities:</t>
  </si>
  <si>
    <t>Depreciation and amortization</t>
  </si>
  <si>
    <t>Impairment of assets and other non-cash operating activities, net</t>
  </si>
  <si>
    <t>Changes in operating assets and liabilities:</t>
  </si>
  <si>
    <t>Merchandise inventories</t>
  </si>
  <si>
    <t>Accounts payable</t>
  </si>
  <si>
    <t>Net cash provided by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</si>
  <si>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</si>
  <si>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</si>
  <si>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</si>
  <si>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</si>
  <si>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Other investing activities, net</t>
  </si>
  <si>
    <t>Net cash used in investing activities</t>
  </si>
  <si>
    <t>CASH FLOWS FROM FINANCING ACTIVITIES</t>
  </si>
  <si>
    <t>Repayments of short-term borrowings</t>
  </si>
  <si>
    <t>Proceeds from short-term borrowings</t>
  </si>
  <si>
    <t>Repayments of long-term debt</t>
  </si>
  <si>
    <t>Proceeds from issuance of long-term debt</t>
  </si>
  <si>
    <r>
      <t>—</t>
    </r>
    <r>
      <rPr>
        <sz val="8"/>
        <color rgb="FF000000"/>
        <rFont val="Arial"/>
        <family val="2"/>
      </rPr>
      <t> </t>
    </r>
  </si>
  <si>
    <t>Tax withholdings on stock-based awards</t>
  </si>
  <si>
    <t>Repurchases of common stock</t>
  </si>
  <si>
    <t>Cash dividend payments</t>
  </si>
  <si>
    <t>Financing lease payments and other financing activities, net</t>
  </si>
  <si>
    <t>Dividend to noncontrolling interest</t>
  </si>
  <si>
    <t>Acquisition of noncontrolling interest</t>
  </si>
  <si>
    <t>Net cash used in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</si>
  <si>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</si>
  <si>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</si>
  <si>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</si>
  <si>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</si>
  <si>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</si>
  <si>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Income taxes, net</t>
  </si>
  <si>
    <t>SUPPLEMENTAL DISCLOSURE OF NON-CASH ACTIVITIES:</t>
  </si>
  <si>
    <t>Cash dividend declared, but not yet paid</t>
  </si>
  <si>
    <t>Capital expenditures included in liabilities</t>
  </si>
  <si>
    <t>Other non-cash operating activities, net</t>
  </si>
  <si>
    <t>Deferred income taxes</t>
  </si>
  <si>
    <t>Acquisitions</t>
  </si>
  <si>
    <t>Other financing activities, net</t>
  </si>
  <si>
    <t>Check</t>
  </si>
  <si>
    <t>ASSETS</t>
  </si>
  <si>
    <t>CURRENT ASSETS</t>
  </si>
  <si>
    <t>Cash and cash equivalents</t>
  </si>
  <si>
    <t>Short-term investments</t>
  </si>
  <si>
    <t>Receivables, net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</si>
  <si>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</si>
  <si>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</si>
  <si>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</si>
  <si>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</si>
  <si>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</si>
  <si>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</si>
  <si>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</si>
  <si>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LIABILITIES AND EQUITY</t>
  </si>
  <si>
    <t>CURRENT LIABILITIES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</si>
  <si>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</si>
  <si>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</si>
  <si>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</si>
  <si>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</si>
  <si>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</si>
  <si>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</si>
  <si>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</si>
  <si>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</si>
  <si>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</si>
  <si>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</si>
  <si>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</si>
  <si>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COMMITMENTS AND CONTINGENCIES</t>
  </si>
  <si>
    <t>EQUITY</t>
  </si>
  <si>
    <r>
      <t>Preferred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100,000,000</t>
    </r>
    <r>
      <rPr>
        <sz val="9"/>
        <color rgb="FF000000"/>
        <rFont val="Arial"/>
        <family val="2"/>
      </rPr>
      <t> shares authorized; no shares issued and outstanding</t>
    </r>
  </si>
  <si>
    <r>
      <t>—</t>
    </r>
    <r>
      <rPr>
        <sz val="10"/>
        <color rgb="FF000000"/>
        <rFont val="Arial"/>
        <family val="2"/>
      </rPr>
      <t> </t>
    </r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</si>
  <si>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443,126,000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442,793,000</t>
    </r>
    <r>
      <rPr>
        <sz val="9"/>
        <color rgb="FF000000"/>
        <rFont val="Arial"/>
        <family val="2"/>
      </rPr>
      <t> shares issued and outstanding</t>
    </r>
  </si>
  <si>
    <t>Additional paid-in capital</t>
  </si>
  <si>
    <t>Accumulated other comprehensive loss</t>
  </si>
  <si>
    <t>Retained earnings</t>
  </si>
  <si>
    <t>TOTAL EQUITY</t>
  </si>
  <si>
    <t>TOTAL LIABILITIES AND EQUITY</t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</si>
  <si>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442,664,000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441,825,000</t>
    </r>
    <r>
      <rPr>
        <sz val="9"/>
        <color rgb="FF000000"/>
        <rFont val="Arial"/>
        <family val="2"/>
      </rPr>
      <t> shares issued and outstanding</t>
    </r>
  </si>
  <si>
    <t>Total Costco stockholders’ equity</t>
  </si>
  <si>
    <t>Noncontrolling interests</t>
  </si>
  <si>
    <t>Preferred stock $0.01 par value; 100,000,000 shares authorized; no shares issued and outstanding</t>
  </si>
  <si>
    <t>Common stock $0.01 par value; 900,000,000 shares authorized; 441,255,000 and 439,625,000 shares issued and outstanding</t>
  </si>
  <si>
    <t>Total equity</t>
  </si>
  <si>
    <t>—</t>
  </si>
  <si>
    <t>Other</t>
  </si>
  <si>
    <t>Share Rep</t>
  </si>
  <si>
    <t>Div</t>
  </si>
  <si>
    <t>other</t>
  </si>
  <si>
    <t xml:space="preserve">Int </t>
  </si>
  <si>
    <t>Income Tax</t>
  </si>
  <si>
    <t>Balance Sheet</t>
  </si>
  <si>
    <t>Balance Sheet (in millions of USD)</t>
  </si>
  <si>
    <t>Current Assets</t>
  </si>
  <si>
    <t>Cash and Equivalents</t>
  </si>
  <si>
    <t>Short-term Investments</t>
  </si>
  <si>
    <t>Merchandise Inventories</t>
  </si>
  <si>
    <t>Total Current Assets</t>
  </si>
  <si>
    <t>Other Assets</t>
  </si>
  <si>
    <t>PPE</t>
  </si>
  <si>
    <t>Operating lease ROUs</t>
  </si>
  <si>
    <t>Total Assets</t>
  </si>
  <si>
    <t>Current Liabilities</t>
  </si>
  <si>
    <t>Accrued Salaries and Benefits</t>
  </si>
  <si>
    <t>Accrued Member Rewards</t>
  </si>
  <si>
    <t>Deferred Membership fees</t>
  </si>
  <si>
    <t>Revolving Debt</t>
  </si>
  <si>
    <t>Total Current Liabilities</t>
  </si>
  <si>
    <t>Other Liabilities</t>
  </si>
  <si>
    <t>Debt</t>
  </si>
  <si>
    <t>Long-term Operating lease liabilties</t>
  </si>
  <si>
    <t>Total Liabilities</t>
  </si>
  <si>
    <t>Equity</t>
  </si>
  <si>
    <t>Common Stock/PIC</t>
  </si>
  <si>
    <t>AOCI</t>
  </si>
  <si>
    <t>Retained Earnings</t>
  </si>
  <si>
    <t>Total Costco Shareholder Equity</t>
  </si>
  <si>
    <t>Non-controlling interests</t>
  </si>
  <si>
    <t>Total Equity</t>
  </si>
  <si>
    <t>Total Liabilities and Equities</t>
  </si>
  <si>
    <t>Revenue Schedule</t>
  </si>
  <si>
    <t>Membership Revenue</t>
  </si>
  <si>
    <t>Price</t>
  </si>
  <si>
    <t>Gold Star members (notes)</t>
  </si>
  <si>
    <t>Executive members (notes)</t>
  </si>
  <si>
    <t>Gold Star Equivalents (GSEs)</t>
  </si>
  <si>
    <t>Membership Fee Revenue (IS)</t>
  </si>
  <si>
    <t>mm</t>
  </si>
  <si>
    <t>Deferred Revenue (BS)</t>
  </si>
  <si>
    <t>Change in Deferred Revenue</t>
  </si>
  <si>
    <t>Membership fee revenue (cash)</t>
  </si>
  <si>
    <t>Def. Revenue / Member fee Rev (cash)</t>
  </si>
  <si>
    <t>Average of the proportion</t>
  </si>
  <si>
    <t>Average GSEs</t>
  </si>
  <si>
    <t>Implied Fee Rev per GSE</t>
  </si>
  <si>
    <t>(%)</t>
  </si>
  <si>
    <t>Growth rate in GSE fees</t>
  </si>
  <si>
    <t>ROIC</t>
  </si>
  <si>
    <t>EV/EBITDA</t>
  </si>
  <si>
    <t>EV/Revenue</t>
  </si>
  <si>
    <t>ROA</t>
  </si>
  <si>
    <t>ROE</t>
  </si>
  <si>
    <t>ROCE</t>
  </si>
  <si>
    <t>Gross Margin</t>
  </si>
  <si>
    <t>Net Income Margin</t>
  </si>
  <si>
    <t>EBITDA Margin</t>
  </si>
  <si>
    <t>Forex Effect (notes: below membership schedule, not always provided)</t>
  </si>
  <si>
    <t>Average 5-year growth rate in GSE (2024 seems to be an outlier, therefore, exluded it from the calculation) For 2025, please recheck.</t>
  </si>
  <si>
    <t>FY 2025 price increase</t>
  </si>
  <si>
    <t>Forecast: Fee per GSE</t>
  </si>
  <si>
    <t>Quantity</t>
  </si>
  <si>
    <t>units</t>
  </si>
  <si>
    <t>Ending Warehouse count</t>
  </si>
  <si>
    <t>Warehouse count (beg) (notes: Warehouse Properties)</t>
  </si>
  <si>
    <t>Warehouse openings (notes: Highlights for "year")</t>
  </si>
  <si>
    <t>Growth Count in Warehouses per year</t>
  </si>
  <si>
    <t>Warehouse Growth (take average of openings as they are opened throughout the year)</t>
  </si>
  <si>
    <t>Growth in GSEs</t>
  </si>
  <si>
    <t>Comparable GSE growth</t>
  </si>
  <si>
    <t>Days in the period</t>
  </si>
  <si>
    <t>Comparable GSE growth (adjusted)</t>
  </si>
  <si>
    <t>Average Comp. growth rate</t>
  </si>
  <si>
    <t>Total forecast GSE growth rate</t>
  </si>
  <si>
    <t>Days</t>
  </si>
  <si>
    <t>GSE count</t>
  </si>
  <si>
    <t>Q</t>
  </si>
  <si>
    <t>P</t>
  </si>
  <si>
    <t>Membership revenue (cash)</t>
  </si>
  <si>
    <t>Deferred Membership revenue (for BS)</t>
  </si>
  <si>
    <t>Change in Def. revenue</t>
  </si>
  <si>
    <t>Membership revenue (accrual)</t>
  </si>
  <si>
    <t>Merchandise Revenue</t>
  </si>
  <si>
    <t>Average floor space/warehouse</t>
  </si>
  <si>
    <t>(000s ft2)</t>
  </si>
  <si>
    <t>Average warehouse count</t>
  </si>
  <si>
    <t>Average floor space (total)</t>
  </si>
  <si>
    <t>Beginning Liability</t>
  </si>
  <si>
    <t>Total rewards</t>
  </si>
  <si>
    <t>Ending Liability (BS)</t>
  </si>
  <si>
    <t>Rewards Used</t>
  </si>
  <si>
    <t>Beginning Liability (PY BS)</t>
  </si>
  <si>
    <t>Add: Members rewards earned (notes: Revenue Recognition or Sales)</t>
  </si>
  <si>
    <t>Change in Accrued rewards</t>
  </si>
  <si>
    <t>Merchandise Sales (accruals)</t>
  </si>
  <si>
    <t>Merchandise Sales (cash)</t>
  </si>
  <si>
    <t>Sales/ft2</t>
  </si>
  <si>
    <t>Growth in Sales/ft2</t>
  </si>
  <si>
    <t>Growth in Size</t>
  </si>
  <si>
    <t>Growth in Merchandise Sales</t>
  </si>
  <si>
    <t>Rewards Earned</t>
  </si>
  <si>
    <t>As a % of Merchandise Sales (cash)</t>
  </si>
  <si>
    <t>Ratio of Rewards Used/Earned</t>
  </si>
  <si>
    <t>Average Ratio</t>
  </si>
  <si>
    <t>Add: Member Rewards Earned</t>
  </si>
  <si>
    <t>Total Rewards</t>
  </si>
  <si>
    <t>Change in Acrrued Rewards</t>
  </si>
  <si>
    <t>Revenue Schedule (in millions of USD)</t>
  </si>
  <si>
    <t>Merchandise Sales (accrual) (goes to IS - Net Sales)</t>
  </si>
  <si>
    <t>Ending Liability (goes to BS - Accrued Rewards)</t>
  </si>
  <si>
    <t>Fee per GSE</t>
  </si>
  <si>
    <t>Deferred Rev/Membership Rev (cash)</t>
  </si>
  <si>
    <t>Increment per year</t>
  </si>
  <si>
    <t>Rewards earned as a % of Net Sales (cash)</t>
  </si>
  <si>
    <t>Average Ratio of Used/Earned Rewards</t>
  </si>
  <si>
    <t>Cost Schedule</t>
  </si>
  <si>
    <t>Merchandise Cost</t>
  </si>
  <si>
    <t>5-year Average GM</t>
  </si>
  <si>
    <t/>
  </si>
  <si>
    <t>Merchandise Cost (to the IS)</t>
  </si>
  <si>
    <t>SG&amp;A Expense</t>
  </si>
  <si>
    <t>Percent of sales</t>
  </si>
  <si>
    <t>3-year Average</t>
  </si>
  <si>
    <t>Increase in Sales</t>
  </si>
  <si>
    <t>Decline in SG&amp;A as a % of Net Sales</t>
  </si>
  <si>
    <t>[Predicted] Decline in SG&amp;A</t>
  </si>
  <si>
    <t>[Predicted] Increase in Sales</t>
  </si>
  <si>
    <t>4-year Average (post Covid)</t>
  </si>
  <si>
    <t>[Predicted] Annual Decline in SG&amp;A</t>
  </si>
  <si>
    <t>SG&amp;A Expense (to the IS)</t>
  </si>
  <si>
    <t>Accrued Salaries and Benefits (historical)</t>
  </si>
  <si>
    <t>% of SG&amp;A</t>
  </si>
  <si>
    <t>5-year Average</t>
  </si>
  <si>
    <t>[Predicted] Accrued Salaries and Benefits (to the BS)</t>
  </si>
  <si>
    <t>Forecasted Gross Margin</t>
  </si>
  <si>
    <t>%Net Sales</t>
  </si>
  <si>
    <t>Decline/year</t>
  </si>
  <si>
    <t>SG&amp;A Costs</t>
  </si>
  <si>
    <t>Working Capital Schedule</t>
  </si>
  <si>
    <t>Price increase (over two years - 2025 and 2026)</t>
  </si>
  <si>
    <t>Other Current Assets</t>
  </si>
  <si>
    <t>Other Current Liabilities</t>
  </si>
  <si>
    <t>From IS</t>
  </si>
  <si>
    <t>Growth rate</t>
  </si>
  <si>
    <t>From BS</t>
  </si>
  <si>
    <t>Accounts Receivable</t>
  </si>
  <si>
    <t>Inventories</t>
  </si>
  <si>
    <t>Other Current Liabilites</t>
  </si>
  <si>
    <t>Change in Inventory (goes to CFS)</t>
  </si>
  <si>
    <t>Change in Payable (goes to CFS)</t>
  </si>
  <si>
    <t>Changes in Accounts Receivable</t>
  </si>
  <si>
    <t>Changes in Other Current Assets</t>
  </si>
  <si>
    <t>Other OA</t>
  </si>
  <si>
    <t>Changes in Accrued Salaries and Benefits</t>
  </si>
  <si>
    <t>Changes in Accrued Member Rewards</t>
  </si>
  <si>
    <t>Changes in Deferred Membership fees</t>
  </si>
  <si>
    <t>Changes in Other Current Liabilites</t>
  </si>
  <si>
    <t>Other OL</t>
  </si>
  <si>
    <t>Other OL/OA (goes to CFS)</t>
  </si>
  <si>
    <t>Working Capital</t>
  </si>
  <si>
    <t>Days of Inventory</t>
  </si>
  <si>
    <t>Days of Receivable</t>
  </si>
  <si>
    <t>Days of Payable</t>
  </si>
  <si>
    <t xml:space="preserve">Warehouse Openings </t>
  </si>
  <si>
    <t>CAPEX</t>
  </si>
  <si>
    <t>Average CAPEX/Warehouse Openings</t>
  </si>
  <si>
    <t>[Forecast] CAPEX (goes to CFI)</t>
  </si>
  <si>
    <t>PPE Gross (notes: property and equipment - ending)</t>
  </si>
  <si>
    <t>Variance</t>
  </si>
  <si>
    <t>Dispositions</t>
  </si>
  <si>
    <t>Average PPE</t>
  </si>
  <si>
    <t>Depreciation</t>
  </si>
  <si>
    <t>Depreciation/Average PPE</t>
  </si>
  <si>
    <t>[Forecast] Depreciation (goes to CFS)</t>
  </si>
  <si>
    <t>PPE (beginning)</t>
  </si>
  <si>
    <t>Add CAPEX</t>
  </si>
  <si>
    <t>Less Depreciation</t>
  </si>
  <si>
    <t>PPE Intermediate</t>
  </si>
  <si>
    <t>Less: Derecognitions</t>
  </si>
  <si>
    <t>Less: Impairments</t>
  </si>
  <si>
    <t>PPE (ending) (goes to BS)</t>
  </si>
  <si>
    <t>Average Dispositions</t>
  </si>
  <si>
    <t>Average Depreciation Rate</t>
  </si>
  <si>
    <t>Fixed Assets Schedule</t>
  </si>
  <si>
    <t>Fixed Assets</t>
  </si>
  <si>
    <t>Debt Schedule</t>
  </si>
  <si>
    <t>CAPEX per warehouse</t>
  </si>
  <si>
    <t>Inflation</t>
  </si>
  <si>
    <t>Relocations</t>
  </si>
  <si>
    <t>New builds</t>
  </si>
  <si>
    <t>Cash Interest Rate</t>
  </si>
  <si>
    <t>Other Long-term debt repayments</t>
  </si>
  <si>
    <t>Unamortized Discounts/Issuance Costs</t>
  </si>
  <si>
    <t>Interest on Leases</t>
  </si>
  <si>
    <t>Financing Lease Payments</t>
  </si>
  <si>
    <t>Cash</t>
  </si>
  <si>
    <t>Cash/Equivalents</t>
  </si>
  <si>
    <t>Marketable Securities</t>
  </si>
  <si>
    <t>Total Cash</t>
  </si>
  <si>
    <t>Average Cash</t>
  </si>
  <si>
    <t>Interest Rate</t>
  </si>
  <si>
    <t>Interest Income (from IS)</t>
  </si>
  <si>
    <t>Interest Income (Notes:page 25)</t>
  </si>
  <si>
    <t>Difference (Derivates, AFS Mkt Sec G/L (Others))</t>
  </si>
  <si>
    <t>Interest Income (goes to IS)</t>
  </si>
  <si>
    <t>Senior Notes:</t>
  </si>
  <si>
    <t>3.00% Senior Notes, due May 2027</t>
  </si>
  <si>
    <t>1.375% Senior Notes, due June 2027</t>
  </si>
  <si>
    <t>1.6% Senior Notes, due April 2032</t>
  </si>
  <si>
    <t>1.75% Senior Notes, due April 2032</t>
  </si>
  <si>
    <t>Other Long-Term Debt</t>
  </si>
  <si>
    <t>Interest Payments:</t>
  </si>
  <si>
    <t>Other Long-Term Debt (Japan)</t>
  </si>
  <si>
    <t>LTD Interest Expense</t>
  </si>
  <si>
    <t>1.6% Senior Notes, due April 2030</t>
  </si>
  <si>
    <t>Total LTD (beginning)</t>
  </si>
  <si>
    <t>Repayments (to CFF)</t>
  </si>
  <si>
    <t>Total LTD (ending) (goes to BS)</t>
  </si>
  <si>
    <t>Interest Expense - Amortization</t>
  </si>
  <si>
    <t>Finance Leases</t>
  </si>
  <si>
    <t>Finance Lease Liabilities</t>
  </si>
  <si>
    <t>Interest Expense (goes to IS)</t>
  </si>
  <si>
    <t>Interest on Finance Leases</t>
  </si>
  <si>
    <t>Income Tax Schedule</t>
  </si>
  <si>
    <t>Revolver</t>
  </si>
  <si>
    <t>Cash (beginning)</t>
  </si>
  <si>
    <t>Less: Minimum Cash Balance</t>
  </si>
  <si>
    <t>Plus: Current Period Cash Flows</t>
  </si>
  <si>
    <t>Cash available (needed)</t>
  </si>
  <si>
    <t>ST Borrowings (beginning)</t>
  </si>
  <si>
    <t>Draw (Paydown)</t>
  </si>
  <si>
    <t>ST Borrowings (ending)</t>
  </si>
  <si>
    <t>ST Interest rate</t>
  </si>
  <si>
    <t>ST Interest Expense</t>
  </si>
  <si>
    <t>ST Debt rate</t>
  </si>
  <si>
    <t>Minimum Cash Balance</t>
  </si>
  <si>
    <t>Spread, A-rating</t>
  </si>
  <si>
    <t>Min/location</t>
  </si>
  <si>
    <t>Lease rate</t>
  </si>
  <si>
    <t>Other Long-Term Assets</t>
  </si>
  <si>
    <t>Goodwill</t>
  </si>
  <si>
    <t>Finance Lease Assets</t>
  </si>
  <si>
    <t>Deferred Tax Assets</t>
  </si>
  <si>
    <t>Definite-Lived Intangible Assets</t>
  </si>
  <si>
    <t>Total Other Long-term Assets (goes to BS)</t>
  </si>
  <si>
    <t>Other Long-Term Liabilities</t>
  </si>
  <si>
    <t>Finance Lease Obligations</t>
  </si>
  <si>
    <t>Deferred Tax Liabilities</t>
  </si>
  <si>
    <t>Asset Retirement Obligations</t>
  </si>
  <si>
    <t>Total Other Long-term Liabilities (goes to BS)</t>
  </si>
  <si>
    <t>Change in Other LTA</t>
  </si>
  <si>
    <t>Change in Other LTL</t>
  </si>
  <si>
    <t>Other non-cash operating activities ( goes to CFO)</t>
  </si>
  <si>
    <t>Other LTA/LTL Schedule</t>
  </si>
  <si>
    <t>Cash Tax (from CFS)</t>
  </si>
  <si>
    <t>Tax Expense (from IS)</t>
  </si>
  <si>
    <t>Cash Tax rate</t>
  </si>
  <si>
    <t>3-year Average rate</t>
  </si>
  <si>
    <t>Effective Tax rate (Note 8)</t>
  </si>
  <si>
    <t>Tax Expense (to IS)</t>
  </si>
  <si>
    <t>EBT (from IS)</t>
  </si>
  <si>
    <t>Equity Schedule</t>
  </si>
  <si>
    <t>Share-based Compensation</t>
  </si>
  <si>
    <t>SBC (from CFO)</t>
  </si>
  <si>
    <t>SBC Growth rate</t>
  </si>
  <si>
    <t>Average Growth rate</t>
  </si>
  <si>
    <t>Comparable equivalent members growth (adjusted)</t>
  </si>
  <si>
    <t>Correlation</t>
  </si>
  <si>
    <t>SBC (goes to CFO)</t>
  </si>
  <si>
    <t>SBC</t>
  </si>
  <si>
    <t>Tax Withholding on RSU delivery (Notes)</t>
  </si>
  <si>
    <t>Percentage</t>
  </si>
  <si>
    <t>Average</t>
  </si>
  <si>
    <t>Tax Withholding on RSU delivery (to CFF)</t>
  </si>
  <si>
    <t>Common Stock/PIC (goes to BS)</t>
  </si>
  <si>
    <t>Share Count</t>
  </si>
  <si>
    <t>Weighted-average Share count (Basic)</t>
  </si>
  <si>
    <t>Weighted-average Share count (Diluted)</t>
  </si>
  <si>
    <t>Diluted Count over Basic Count</t>
  </si>
  <si>
    <t>Actual Count</t>
  </si>
  <si>
    <t>Special Dividend per share</t>
  </si>
  <si>
    <t>Circularity Breaker</t>
  </si>
  <si>
    <t>Tax Rate</t>
  </si>
  <si>
    <t>Growth in SBC</t>
  </si>
  <si>
    <t>Tax Withholding</t>
  </si>
  <si>
    <t>Weighted-average Diluted over Basic</t>
  </si>
  <si>
    <t>Growth in Weighted-average Share Count</t>
  </si>
  <si>
    <t>Dividend Growth rate</t>
  </si>
  <si>
    <t>Q1</t>
  </si>
  <si>
    <t>Q2</t>
  </si>
  <si>
    <t>Q3</t>
  </si>
  <si>
    <t>Q4</t>
  </si>
  <si>
    <t>Dividend per share</t>
  </si>
  <si>
    <t>Dividend Growth</t>
  </si>
  <si>
    <t>Dividends (goes to CFF)</t>
  </si>
  <si>
    <t>Share Buybacks</t>
  </si>
  <si>
    <t>SBC Issued Shares</t>
  </si>
  <si>
    <t>Shares Purchases</t>
  </si>
  <si>
    <t>Issued Shares over Purchased Shares</t>
  </si>
  <si>
    <t>Average Price of Repurchase</t>
  </si>
  <si>
    <t>Share Buyback Total Cost</t>
  </si>
  <si>
    <t>5-year Growth rate</t>
  </si>
  <si>
    <t>Share Buybacks (to CFF)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</si>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</sst>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&quot;FY &quot;0&quot;E&quot;"/>
    <numFmt numFmtId="165" formatCode="&quot;FY &quot;0"/>
    <numFmt numFmtId="166" formatCode="_(* #,##0_);_(* \(#,##0\);_(* &quot;-&quot;??_);_(@_)"/>
    <numFmt numFmtId="167" formatCode="_(* #,##0.0_);_(* \(#,##0.0\);_(* &quot;-&quot;??_);_(@_)"/>
    <numFmt numFmtId="181" formatCode="_(* #,##0.0000_);_(* \(#,##0.0000\);_(* &quot;-&quot;??_);_(@_)"/>
    <numFmt numFmtId="184" formatCode="0.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rgb="FF212529"/>
      <name val="Unset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Revert-layer"/>
    </font>
    <font>
      <sz val="11"/>
      <color theme="8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Revert-layer"/>
    </font>
    <font>
      <sz val="8"/>
      <color rgb="FF000000"/>
      <name val="Arial"/>
      <family val="2"/>
    </font>
    <font>
      <sz val="8"/>
      <color rgb="FF000000"/>
      <name val="Revert-layer"/>
    </font>
    <font>
      <sz val="10"/>
      <color rgb="FF000000"/>
      <name val="Arial"/>
      <family val="2"/>
    </font>
    <font>
      <sz val="10"/>
      <color rgb="FF000000"/>
      <name val="Revert-laye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8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164" fontId="0" fillId="4" borderId="2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164" fontId="0" fillId="4" borderId="0" xfId="0" applyNumberFormat="1" applyFill="1"/>
    <xf numFmtId="0" fontId="8" fillId="5" borderId="0" xfId="0" applyFont="1" applyFill="1" applyAlignment="1">
      <alignment horizontal="right" wrapText="1"/>
    </xf>
    <xf numFmtId="3" fontId="0" fillId="0" borderId="0" xfId="0" applyNumberFormat="1"/>
    <xf numFmtId="0" fontId="8" fillId="6" borderId="6" xfId="0" applyFont="1" applyFill="1" applyBorder="1" applyAlignment="1">
      <alignment wrapText="1"/>
    </xf>
    <xf numFmtId="3" fontId="8" fillId="6" borderId="0" xfId="0" applyNumberFormat="1" applyFont="1" applyFill="1" applyAlignment="1">
      <alignment wrapText="1"/>
    </xf>
    <xf numFmtId="43" fontId="0" fillId="0" borderId="0" xfId="1" applyFont="1"/>
    <xf numFmtId="0" fontId="5" fillId="6" borderId="0" xfId="0" applyFont="1" applyFill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3" fontId="8" fillId="5" borderId="0" xfId="0" applyNumberFormat="1" applyFont="1" applyFill="1" applyAlignment="1">
      <alignment horizontal="right" wrapText="1"/>
    </xf>
    <xf numFmtId="3" fontId="8" fillId="6" borderId="6" xfId="0" applyNumberFormat="1" applyFont="1" applyFill="1" applyBorder="1" applyAlignment="1">
      <alignment wrapText="1"/>
    </xf>
    <xf numFmtId="3" fontId="8" fillId="5" borderId="4" xfId="0" applyNumberFormat="1" applyFont="1" applyFill="1" applyBorder="1" applyAlignment="1">
      <alignment wrapText="1"/>
    </xf>
    <xf numFmtId="3" fontId="8" fillId="5" borderId="0" xfId="0" applyNumberFormat="1" applyFont="1" applyFill="1" applyAlignment="1">
      <alignment wrapText="1"/>
    </xf>
    <xf numFmtId="3" fontId="8" fillId="5" borderId="4" xfId="0" applyNumberFormat="1" applyFont="1" applyFill="1" applyBorder="1" applyAlignment="1">
      <alignment horizontal="right" wrapText="1"/>
    </xf>
    <xf numFmtId="166" fontId="0" fillId="0" borderId="0" xfId="1" applyNumberFormat="1" applyFont="1"/>
    <xf numFmtId="166" fontId="0" fillId="4" borderId="0" xfId="1" applyNumberFormat="1" applyFont="1" applyFill="1"/>
    <xf numFmtId="166" fontId="0" fillId="0" borderId="3" xfId="1" applyNumberFormat="1" applyFont="1" applyBorder="1"/>
    <xf numFmtId="166" fontId="0" fillId="4" borderId="3" xfId="1" applyNumberFormat="1" applyFont="1" applyFill="1" applyBorder="1"/>
    <xf numFmtId="166" fontId="9" fillId="0" borderId="0" xfId="1" applyNumberFormat="1" applyFont="1"/>
    <xf numFmtId="0" fontId="0" fillId="0" borderId="7" xfId="0" applyBorder="1"/>
    <xf numFmtId="0" fontId="5" fillId="5" borderId="0" xfId="0" applyFont="1" applyFill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13" fillId="5" borderId="0" xfId="0" applyFont="1" applyFill="1" applyAlignment="1">
      <alignment horizontal="right" wrapText="1"/>
    </xf>
    <xf numFmtId="0" fontId="13" fillId="6" borderId="0" xfId="0" applyFont="1" applyFill="1" applyAlignment="1">
      <alignment horizontal="right" wrapText="1"/>
    </xf>
    <xf numFmtId="0" fontId="13" fillId="6" borderId="6" xfId="0" applyFont="1" applyFill="1" applyBorder="1" applyAlignment="1">
      <alignment wrapText="1"/>
    </xf>
    <xf numFmtId="3" fontId="12" fillId="5" borderId="0" xfId="0" applyNumberFormat="1" applyFont="1" applyFill="1" applyAlignment="1">
      <alignment wrapText="1"/>
    </xf>
    <xf numFmtId="0" fontId="13" fillId="5" borderId="0" xfId="0" applyFont="1" applyFill="1" applyAlignment="1">
      <alignment wrapText="1"/>
    </xf>
    <xf numFmtId="3" fontId="12" fillId="5" borderId="8" xfId="0" applyNumberFormat="1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3" fillId="6" borderId="0" xfId="0" applyFont="1" applyFill="1" applyAlignment="1">
      <alignment wrapText="1"/>
    </xf>
    <xf numFmtId="3" fontId="12" fillId="6" borderId="0" xfId="0" applyNumberFormat="1" applyFont="1" applyFill="1" applyAlignment="1">
      <alignment wrapText="1"/>
    </xf>
    <xf numFmtId="3" fontId="13" fillId="5" borderId="0" xfId="0" applyNumberFormat="1" applyFont="1" applyFill="1" applyAlignment="1">
      <alignment horizontal="right" wrapText="1"/>
    </xf>
    <xf numFmtId="3" fontId="13" fillId="5" borderId="0" xfId="0" applyNumberFormat="1" applyFont="1" applyFill="1" applyAlignment="1">
      <alignment wrapText="1"/>
    </xf>
    <xf numFmtId="3" fontId="13" fillId="5" borderId="8" xfId="0" applyNumberFormat="1" applyFont="1" applyFill="1" applyBorder="1" applyAlignment="1">
      <alignment wrapText="1"/>
    </xf>
    <xf numFmtId="3" fontId="13" fillId="6" borderId="0" xfId="0" applyNumberFormat="1" applyFont="1" applyFill="1" applyAlignment="1">
      <alignment wrapText="1"/>
    </xf>
    <xf numFmtId="3" fontId="13" fillId="6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horizontal="right" wrapText="1"/>
    </xf>
    <xf numFmtId="3" fontId="13" fillId="6" borderId="0" xfId="0" applyNumberFormat="1" applyFont="1" applyFill="1" applyAlignment="1">
      <alignment horizontal="right" wrapText="1"/>
    </xf>
    <xf numFmtId="0" fontId="5" fillId="5" borderId="6" xfId="0" applyFont="1" applyFill="1" applyBorder="1" applyAlignment="1">
      <alignment vertical="center" wrapText="1"/>
    </xf>
    <xf numFmtId="3" fontId="12" fillId="5" borderId="4" xfId="0" applyNumberFormat="1" applyFont="1" applyFill="1" applyBorder="1" applyAlignment="1">
      <alignment wrapText="1"/>
    </xf>
    <xf numFmtId="0" fontId="12" fillId="6" borderId="8" xfId="0" applyFont="1" applyFill="1" applyBorder="1" applyAlignment="1">
      <alignment wrapText="1"/>
    </xf>
    <xf numFmtId="0" fontId="13" fillId="6" borderId="8" xfId="0" applyFont="1" applyFill="1" applyBorder="1" applyAlignment="1">
      <alignment wrapText="1"/>
    </xf>
    <xf numFmtId="0" fontId="13" fillId="5" borderId="6" xfId="0" applyFont="1" applyFill="1" applyBorder="1" applyAlignment="1">
      <alignment wrapText="1"/>
    </xf>
    <xf numFmtId="3" fontId="13" fillId="6" borderId="8" xfId="0" applyNumberFormat="1" applyFont="1" applyFill="1" applyBorder="1" applyAlignment="1">
      <alignment wrapText="1"/>
    </xf>
    <xf numFmtId="3" fontId="13" fillId="5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wrapText="1"/>
    </xf>
    <xf numFmtId="0" fontId="13" fillId="7" borderId="0" xfId="0" applyFont="1" applyFill="1" applyAlignment="1">
      <alignment wrapText="1"/>
    </xf>
    <xf numFmtId="3" fontId="12" fillId="7" borderId="0" xfId="0" applyNumberFormat="1" applyFont="1" applyFill="1" applyAlignment="1">
      <alignment wrapText="1"/>
    </xf>
    <xf numFmtId="0" fontId="12" fillId="7" borderId="0" xfId="0" applyFont="1" applyFill="1" applyAlignment="1">
      <alignment wrapText="1"/>
    </xf>
    <xf numFmtId="0" fontId="12" fillId="7" borderId="6" xfId="0" applyFont="1" applyFill="1" applyBorder="1" applyAlignment="1">
      <alignment wrapText="1"/>
    </xf>
    <xf numFmtId="0" fontId="13" fillId="7" borderId="6" xfId="0" applyFont="1" applyFill="1" applyBorder="1" applyAlignment="1">
      <alignment wrapText="1"/>
    </xf>
    <xf numFmtId="3" fontId="12" fillId="5" borderId="9" xfId="0" applyNumberFormat="1" applyFont="1" applyFill="1" applyBorder="1" applyAlignment="1">
      <alignment wrapText="1"/>
    </xf>
    <xf numFmtId="0" fontId="13" fillId="7" borderId="0" xfId="0" applyFont="1" applyFill="1" applyAlignment="1">
      <alignment horizontal="right" wrapText="1"/>
    </xf>
    <xf numFmtId="0" fontId="5" fillId="6" borderId="4" xfId="0" applyFont="1" applyFill="1" applyBorder="1" applyAlignment="1">
      <alignment vertical="center"/>
    </xf>
    <xf numFmtId="0" fontId="5" fillId="6" borderId="4" xfId="0" applyFont="1" applyFill="1" applyBorder="1"/>
    <xf numFmtId="0" fontId="5" fillId="5" borderId="0" xfId="0" applyFont="1" applyFill="1" applyAlignment="1">
      <alignment vertical="center"/>
    </xf>
    <xf numFmtId="0" fontId="5" fillId="5" borderId="0" xfId="0" applyFont="1" applyFill="1"/>
    <xf numFmtId="3" fontId="15" fillId="6" borderId="0" xfId="0" applyNumberFormat="1" applyFont="1" applyFill="1" applyAlignment="1">
      <alignment horizontal="right"/>
    </xf>
    <xf numFmtId="3" fontId="15" fillId="5" borderId="0" xfId="0" applyNumberFormat="1" applyFont="1" applyFill="1"/>
    <xf numFmtId="0" fontId="15" fillId="5" borderId="0" xfId="0" applyFont="1" applyFill="1"/>
    <xf numFmtId="3" fontId="15" fillId="6" borderId="0" xfId="0" applyNumberFormat="1" applyFont="1" applyFill="1"/>
    <xf numFmtId="3" fontId="15" fillId="6" borderId="6" xfId="0" applyNumberFormat="1" applyFont="1" applyFill="1" applyBorder="1"/>
    <xf numFmtId="3" fontId="15" fillId="5" borderId="4" xfId="0" applyNumberFormat="1" applyFont="1" applyFill="1" applyBorder="1"/>
    <xf numFmtId="0" fontId="5" fillId="6" borderId="0" xfId="0" applyFont="1" applyFill="1" applyAlignment="1">
      <alignment vertical="center"/>
    </xf>
    <xf numFmtId="0" fontId="5" fillId="6" borderId="0" xfId="0" applyFont="1" applyFill="1"/>
    <xf numFmtId="0" fontId="15" fillId="6" borderId="0" xfId="0" applyFont="1" applyFill="1"/>
    <xf numFmtId="3" fontId="15" fillId="5" borderId="6" xfId="0" applyNumberFormat="1" applyFont="1" applyFill="1" applyBorder="1"/>
    <xf numFmtId="3" fontId="15" fillId="6" borderId="4" xfId="0" applyNumberFormat="1" applyFont="1" applyFill="1" applyBorder="1" applyAlignment="1">
      <alignment horizontal="right"/>
    </xf>
    <xf numFmtId="0" fontId="5" fillId="5" borderId="5" xfId="0" applyFont="1" applyFill="1" applyBorder="1" applyAlignment="1">
      <alignment vertical="center"/>
    </xf>
    <xf numFmtId="0" fontId="5" fillId="5" borderId="5" xfId="0" applyFont="1" applyFill="1" applyBorder="1"/>
    <xf numFmtId="3" fontId="15" fillId="5" borderId="0" xfId="0" applyNumberFormat="1" applyFont="1" applyFill="1" applyAlignment="1">
      <alignment horizontal="right"/>
    </xf>
    <xf numFmtId="3" fontId="15" fillId="6" borderId="8" xfId="0" applyNumberFormat="1" applyFont="1" applyFill="1" applyBorder="1"/>
    <xf numFmtId="0" fontId="5" fillId="5" borderId="4" xfId="0" applyFont="1" applyFill="1" applyBorder="1" applyAlignment="1">
      <alignment vertical="center"/>
    </xf>
    <xf numFmtId="0" fontId="5" fillId="5" borderId="4" xfId="0" applyFont="1" applyFill="1" applyBorder="1"/>
    <xf numFmtId="3" fontId="14" fillId="6" borderId="0" xfId="0" applyNumberFormat="1" applyFont="1" applyFill="1"/>
    <xf numFmtId="0" fontId="0" fillId="7" borderId="0" xfId="0" applyFill="1"/>
    <xf numFmtId="3" fontId="15" fillId="6" borderId="4" xfId="0" applyNumberFormat="1" applyFont="1" applyFill="1" applyBorder="1"/>
    <xf numFmtId="0" fontId="15" fillId="5" borderId="6" xfId="0" applyFont="1" applyFill="1" applyBorder="1"/>
    <xf numFmtId="3" fontId="15" fillId="5" borderId="10" xfId="0" applyNumberFormat="1" applyFont="1" applyFill="1" applyBorder="1" applyAlignment="1">
      <alignment horizontal="right"/>
    </xf>
    <xf numFmtId="0" fontId="2" fillId="0" borderId="11" xfId="0" applyFont="1" applyBorder="1"/>
    <xf numFmtId="0" fontId="0" fillId="0" borderId="11" xfId="0" applyBorder="1"/>
    <xf numFmtId="166" fontId="0" fillId="0" borderId="11" xfId="1" applyNumberFormat="1" applyFont="1" applyBorder="1"/>
    <xf numFmtId="0" fontId="12" fillId="8" borderId="0" xfId="0" applyFont="1" applyFill="1" applyAlignment="1">
      <alignment wrapText="1"/>
    </xf>
    <xf numFmtId="3" fontId="12" fillId="8" borderId="0" xfId="0" applyNumberFormat="1" applyFont="1" applyFill="1" applyAlignment="1">
      <alignment wrapText="1"/>
    </xf>
    <xf numFmtId="166" fontId="0" fillId="0" borderId="7" xfId="1" applyNumberFormat="1" applyFont="1" applyBorder="1"/>
    <xf numFmtId="166" fontId="0" fillId="4" borderId="7" xfId="1" applyNumberFormat="1" applyFont="1" applyFill="1" applyBorder="1"/>
    <xf numFmtId="0" fontId="2" fillId="0" borderId="7" xfId="0" applyFont="1" applyBorder="1"/>
    <xf numFmtId="166" fontId="0" fillId="4" borderId="11" xfId="1" applyNumberFormat="1" applyFont="1" applyFill="1" applyBorder="1"/>
    <xf numFmtId="166" fontId="0" fillId="0" borderId="0" xfId="0" applyNumberFormat="1"/>
    <xf numFmtId="0" fontId="0" fillId="4" borderId="3" xfId="0" applyFill="1" applyBorder="1"/>
    <xf numFmtId="3" fontId="0" fillId="0" borderId="3" xfId="0" applyNumberFormat="1" applyBorder="1"/>
    <xf numFmtId="166" fontId="0" fillId="0" borderId="3" xfId="0" applyNumberFormat="1" applyBorder="1"/>
    <xf numFmtId="10" fontId="0" fillId="0" borderId="0" xfId="2" applyNumberFormat="1" applyFont="1"/>
    <xf numFmtId="10" fontId="0" fillId="0" borderId="0" xfId="0" applyNumberFormat="1"/>
    <xf numFmtId="2" fontId="0" fillId="0" borderId="3" xfId="0" applyNumberFormat="1" applyBorder="1"/>
    <xf numFmtId="43" fontId="0" fillId="0" borderId="0" xfId="0" applyNumberFormat="1"/>
    <xf numFmtId="10" fontId="0" fillId="0" borderId="0" xfId="2" applyNumberFormat="1" applyFont="1" applyBorder="1"/>
    <xf numFmtId="0" fontId="0" fillId="4" borderId="2" xfId="0" applyFill="1" applyBorder="1"/>
    <xf numFmtId="10" fontId="0" fillId="4" borderId="0" xfId="2" applyNumberFormat="1" applyFont="1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5" borderId="0" xfId="0" applyFont="1" applyFill="1" applyAlignment="1">
      <alignment horizontal="left" wrapText="1" indent="4"/>
    </xf>
    <xf numFmtId="0" fontId="7" fillId="6" borderId="0" xfId="0" applyFont="1" applyFill="1" applyAlignment="1">
      <alignment horizontal="left" wrapText="1" indent="4"/>
    </xf>
    <xf numFmtId="0" fontId="7" fillId="5" borderId="0" xfId="0" applyFont="1" applyFill="1" applyAlignment="1">
      <alignment horizontal="left" wrapText="1" indent="2"/>
    </xf>
    <xf numFmtId="0" fontId="7" fillId="6" borderId="0" xfId="0" applyFont="1" applyFill="1" applyAlignment="1">
      <alignment horizontal="left" wrapText="1" indent="2"/>
    </xf>
    <xf numFmtId="0" fontId="6" fillId="6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3"/>
    </xf>
    <xf numFmtId="0" fontId="6" fillId="5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7" fillId="5" borderId="0" xfId="0" applyFont="1" applyFill="1" applyAlignment="1">
      <alignment horizontal="left" wrapText="1" indent="3"/>
    </xf>
    <xf numFmtId="0" fontId="12" fillId="6" borderId="0" xfId="0" applyFont="1" applyFill="1" applyAlignment="1">
      <alignment horizontal="left" wrapText="1" indent="2"/>
    </xf>
    <xf numFmtId="0" fontId="10" fillId="5" borderId="0" xfId="0" applyFont="1" applyFill="1" applyAlignment="1">
      <alignment horizontal="left" wrapText="1"/>
    </xf>
    <xf numFmtId="0" fontId="12" fillId="6" borderId="0" xfId="0" applyFont="1" applyFill="1" applyAlignment="1">
      <alignment horizontal="left" wrapText="1" indent="1"/>
    </xf>
    <xf numFmtId="0" fontId="10" fillId="6" borderId="0" xfId="0" applyFont="1" applyFill="1" applyAlignment="1">
      <alignment horizontal="left" wrapText="1"/>
    </xf>
    <xf numFmtId="0" fontId="12" fillId="5" borderId="0" xfId="0" applyFont="1" applyFill="1" applyAlignment="1">
      <alignment horizontal="left" vertical="center" wrapText="1" indent="3"/>
    </xf>
    <xf numFmtId="0" fontId="12" fillId="5" borderId="0" xfId="0" applyFont="1" applyFill="1" applyAlignment="1">
      <alignment horizontal="left" wrapText="1" indent="1"/>
    </xf>
    <xf numFmtId="0" fontId="12" fillId="7" borderId="0" xfId="0" applyFont="1" applyFill="1" applyAlignment="1">
      <alignment horizontal="left" wrapText="1" indent="1"/>
    </xf>
    <xf numFmtId="0" fontId="12" fillId="5" borderId="0" xfId="0" applyFont="1" applyFill="1" applyAlignment="1">
      <alignment horizontal="left" wrapText="1" indent="2"/>
    </xf>
    <xf numFmtId="0" fontId="10" fillId="6" borderId="0" xfId="0" applyFont="1" applyFill="1" applyAlignment="1">
      <alignment horizontal="left" vertical="center" wrapText="1" indent="1"/>
    </xf>
    <xf numFmtId="0" fontId="12" fillId="6" borderId="0" xfId="0" applyFont="1" applyFill="1" applyAlignment="1">
      <alignment horizontal="left" vertical="center" wrapText="1" indent="2"/>
    </xf>
    <xf numFmtId="0" fontId="11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 indent="2"/>
    </xf>
    <xf numFmtId="0" fontId="6" fillId="6" borderId="11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/>
    </xf>
    <xf numFmtId="0" fontId="7" fillId="5" borderId="1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10" fontId="0" fillId="0" borderId="3" xfId="2" applyNumberFormat="1" applyFont="1" applyBorder="1"/>
    <xf numFmtId="14" fontId="0" fillId="0" borderId="0" xfId="0" applyNumberFormat="1"/>
    <xf numFmtId="10" fontId="0" fillId="4" borderId="0" xfId="0" applyNumberFormat="1" applyFill="1"/>
    <xf numFmtId="10" fontId="0" fillId="4" borderId="3" xfId="0" applyNumberFormat="1" applyFill="1" applyBorder="1"/>
    <xf numFmtId="10" fontId="0" fillId="4" borderId="3" xfId="2" applyNumberFormat="1" applyFont="1" applyFill="1" applyBorder="1"/>
    <xf numFmtId="43" fontId="0" fillId="4" borderId="0" xfId="1" applyFont="1" applyFill="1"/>
    <xf numFmtId="167" fontId="0" fillId="4" borderId="0" xfId="1" applyNumberFormat="1" applyFont="1" applyFill="1"/>
    <xf numFmtId="2" fontId="0" fillId="4" borderId="0" xfId="0" applyNumberFormat="1" applyFill="1"/>
    <xf numFmtId="2" fontId="17" fillId="4" borderId="0" xfId="0" applyNumberFormat="1" applyFont="1" applyFill="1"/>
    <xf numFmtId="43" fontId="0" fillId="4" borderId="3" xfId="0" applyNumberFormat="1" applyFill="1" applyBorder="1"/>
    <xf numFmtId="43" fontId="0" fillId="4" borderId="0" xfId="0" applyNumberFormat="1" applyFill="1"/>
    <xf numFmtId="166" fontId="0" fillId="4" borderId="3" xfId="0" applyNumberFormat="1" applyFill="1" applyBorder="1"/>
    <xf numFmtId="3" fontId="9" fillId="0" borderId="0" xfId="0" applyNumberFormat="1" applyFont="1"/>
    <xf numFmtId="0" fontId="9" fillId="0" borderId="0" xfId="0" applyFont="1"/>
    <xf numFmtId="10" fontId="9" fillId="0" borderId="0" xfId="0" applyNumberFormat="1" applyFont="1"/>
    <xf numFmtId="14" fontId="0" fillId="0" borderId="3" xfId="0" applyNumberFormat="1" applyBorder="1"/>
    <xf numFmtId="0" fontId="0" fillId="0" borderId="0" xfId="0" applyFill="1" applyBorder="1"/>
    <xf numFmtId="43" fontId="0" fillId="0" borderId="3" xfId="1" applyNumberFormat="1" applyFont="1" applyBorder="1"/>
    <xf numFmtId="166" fontId="9" fillId="0" borderId="3" xfId="1" applyNumberFormat="1" applyFont="1" applyBorder="1"/>
    <xf numFmtId="166" fontId="0" fillId="4" borderId="0" xfId="0" applyNumberFormat="1" applyFill="1"/>
    <xf numFmtId="0" fontId="2" fillId="0" borderId="12" xfId="0" applyFont="1" applyBorder="1"/>
    <xf numFmtId="0" fontId="0" fillId="0" borderId="14" xfId="0" applyBorder="1"/>
    <xf numFmtId="0" fontId="0" fillId="0" borderId="0" xfId="0" applyBorder="1"/>
    <xf numFmtId="10" fontId="0" fillId="0" borderId="0" xfId="0" applyNumberFormat="1" applyBorder="1"/>
    <xf numFmtId="0" fontId="0" fillId="0" borderId="16" xfId="0" applyBorder="1"/>
    <xf numFmtId="10" fontId="0" fillId="0" borderId="2" xfId="0" applyNumberFormat="1" applyBorder="1"/>
    <xf numFmtId="0" fontId="2" fillId="0" borderId="18" xfId="0" applyFont="1" applyBorder="1"/>
    <xf numFmtId="0" fontId="0" fillId="0" borderId="19" xfId="0" applyBorder="1"/>
    <xf numFmtId="10" fontId="18" fillId="4" borderId="0" xfId="0" applyNumberFormat="1" applyFont="1" applyFill="1"/>
    <xf numFmtId="10" fontId="17" fillId="4" borderId="0" xfId="0" applyNumberFormat="1" applyFont="1" applyFill="1"/>
    <xf numFmtId="10" fontId="17" fillId="4" borderId="0" xfId="2" applyNumberFormat="1" applyFont="1" applyFill="1"/>
    <xf numFmtId="10" fontId="0" fillId="0" borderId="2" xfId="2" applyNumberFormat="1" applyFont="1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Fill="1" applyBorder="1"/>
    <xf numFmtId="0" fontId="0" fillId="0" borderId="12" xfId="0" applyBorder="1"/>
    <xf numFmtId="0" fontId="0" fillId="4" borderId="13" xfId="0" applyFill="1" applyBorder="1"/>
    <xf numFmtId="0" fontId="0" fillId="4" borderId="0" xfId="0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quotePrefix="1"/>
    <xf numFmtId="0" fontId="2" fillId="0" borderId="14" xfId="0" applyFont="1" applyBorder="1"/>
    <xf numFmtId="166" fontId="0" fillId="4" borderId="7" xfId="0" applyNumberFormat="1" applyFill="1" applyBorder="1"/>
    <xf numFmtId="2" fontId="0" fillId="4" borderId="3" xfId="0" applyNumberFormat="1" applyFill="1" applyBorder="1"/>
    <xf numFmtId="2" fontId="0" fillId="4" borderId="13" xfId="0" applyNumberFormat="1" applyFill="1" applyBorder="1"/>
    <xf numFmtId="2" fontId="0" fillId="4" borderId="0" xfId="0" applyNumberFormat="1" applyFill="1" applyBorder="1"/>
    <xf numFmtId="2" fontId="0" fillId="4" borderId="15" xfId="0" applyNumberFormat="1" applyFill="1" applyBorder="1"/>
    <xf numFmtId="10" fontId="0" fillId="4" borderId="0" xfId="0" applyNumberFormat="1" applyFill="1" applyBorder="1"/>
    <xf numFmtId="10" fontId="0" fillId="4" borderId="15" xfId="0" applyNumberFormat="1" applyFill="1" applyBorder="1"/>
    <xf numFmtId="10" fontId="0" fillId="4" borderId="2" xfId="0" applyNumberFormat="1" applyFill="1" applyBorder="1"/>
    <xf numFmtId="10" fontId="0" fillId="4" borderId="13" xfId="0" applyNumberFormat="1" applyFill="1" applyBorder="1"/>
    <xf numFmtId="10" fontId="0" fillId="4" borderId="17" xfId="0" applyNumberFormat="1" applyFill="1" applyBorder="1"/>
    <xf numFmtId="0" fontId="0" fillId="0" borderId="0" xfId="0" applyAlignment="1">
      <alignment horizontal="center"/>
    </xf>
    <xf numFmtId="166" fontId="0" fillId="4" borderId="0" xfId="1" applyNumberFormat="1" applyFont="1" applyFill="1" applyBorder="1"/>
    <xf numFmtId="166" fontId="0" fillId="0" borderId="0" xfId="1" applyNumberFormat="1" applyFont="1" applyBorder="1"/>
    <xf numFmtId="10" fontId="17" fillId="0" borderId="3" xfId="2" applyNumberFormat="1" applyFont="1" applyBorder="1"/>
    <xf numFmtId="166" fontId="19" fillId="0" borderId="0" xfId="1" applyNumberFormat="1" applyFont="1"/>
    <xf numFmtId="166" fontId="19" fillId="0" borderId="3" xfId="1" applyNumberFormat="1" applyFont="1" applyBorder="1"/>
    <xf numFmtId="9" fontId="0" fillId="0" borderId="0" xfId="0" applyNumberFormat="1" applyBorder="1"/>
    <xf numFmtId="43" fontId="0" fillId="4" borderId="0" xfId="0" applyNumberFormat="1" applyFill="1" applyBorder="1"/>
    <xf numFmtId="43" fontId="0" fillId="4" borderId="15" xfId="0" applyNumberFormat="1" applyFill="1" applyBorder="1"/>
    <xf numFmtId="0" fontId="2" fillId="0" borderId="0" xfId="0" applyFont="1" applyBorder="1"/>
    <xf numFmtId="165" fontId="0" fillId="0" borderId="0" xfId="0" applyNumberFormat="1" applyBorder="1"/>
    <xf numFmtId="164" fontId="0" fillId="4" borderId="0" xfId="0" applyNumberFormat="1" applyFill="1" applyBorder="1"/>
    <xf numFmtId="10" fontId="17" fillId="0" borderId="0" xfId="2" applyNumberFormat="1" applyFont="1" applyBorder="1"/>
    <xf numFmtId="43" fontId="0" fillId="4" borderId="0" xfId="1" applyNumberFormat="1" applyFont="1" applyFill="1"/>
    <xf numFmtId="0" fontId="0" fillId="0" borderId="3" xfId="0" applyFill="1" applyBorder="1"/>
    <xf numFmtId="10" fontId="0" fillId="4" borderId="0" xfId="2" applyNumberFormat="1" applyFont="1" applyFill="1" applyBorder="1"/>
    <xf numFmtId="10" fontId="0" fillId="4" borderId="15" xfId="2" applyNumberFormat="1" applyFont="1" applyFill="1" applyBorder="1"/>
    <xf numFmtId="166" fontId="0" fillId="4" borderId="15" xfId="1" applyNumberFormat="1" applyFont="1" applyFill="1" applyBorder="1"/>
    <xf numFmtId="166" fontId="0" fillId="4" borderId="0" xfId="1" applyNumberFormat="1" applyFont="1" applyFill="1" applyBorder="1" applyAlignment="1">
      <alignment horizontal="center"/>
    </xf>
    <xf numFmtId="166" fontId="0" fillId="9" borderId="0" xfId="1" applyNumberFormat="1" applyFont="1" applyFill="1"/>
    <xf numFmtId="10" fontId="9" fillId="0" borderId="0" xfId="2" applyNumberFormat="1" applyFont="1"/>
    <xf numFmtId="9" fontId="0" fillId="0" borderId="0" xfId="2" applyFont="1" applyFill="1"/>
    <xf numFmtId="0" fontId="0" fillId="0" borderId="0" xfId="0" applyFill="1"/>
    <xf numFmtId="9" fontId="0" fillId="0" borderId="0" xfId="2" applyFont="1" applyFill="1" applyBorder="1"/>
    <xf numFmtId="166" fontId="0" fillId="0" borderId="0" xfId="1" applyNumberFormat="1" applyFont="1" applyFill="1"/>
    <xf numFmtId="181" fontId="0" fillId="0" borderId="0" xfId="0" applyNumberFormat="1"/>
    <xf numFmtId="166" fontId="0" fillId="0" borderId="0" xfId="2" applyNumberFormat="1" applyFont="1"/>
    <xf numFmtId="10" fontId="0" fillId="4" borderId="2" xfId="2" applyNumberFormat="1" applyFont="1" applyFill="1" applyBorder="1"/>
    <xf numFmtId="10" fontId="0" fillId="4" borderId="17" xfId="2" applyNumberFormat="1" applyFont="1" applyFill="1" applyBorder="1"/>
    <xf numFmtId="164" fontId="3" fillId="0" borderId="0" xfId="0" applyNumberFormat="1" applyFont="1" applyFill="1" applyBorder="1"/>
    <xf numFmtId="184" fontId="0" fillId="0" borderId="0" xfId="2" applyNumberFormat="1" applyFont="1"/>
    <xf numFmtId="184" fontId="0" fillId="0" borderId="0" xfId="0" applyNumberFormat="1" applyBorder="1"/>
    <xf numFmtId="184" fontId="0" fillId="4" borderId="0" xfId="2" applyNumberFormat="1" applyFont="1" applyFill="1" applyBorder="1"/>
    <xf numFmtId="184" fontId="0" fillId="4" borderId="15" xfId="2" applyNumberFormat="1" applyFont="1" applyFill="1" applyBorder="1"/>
    <xf numFmtId="43" fontId="0" fillId="0" borderId="0" xfId="1" applyNumberFormat="1" applyFont="1"/>
    <xf numFmtId="43" fontId="0" fillId="4" borderId="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2"/>
      </font>
      <fill>
        <patternFill patternType="darkUp">
          <fgColor auto="1"/>
          <bgColor rgb="FFC00000"/>
        </patternFill>
      </fill>
    </dxf>
    <dxf>
      <font>
        <b val="0"/>
        <i val="0"/>
        <color theme="0"/>
      </font>
      <fill>
        <patternFill patternType="darkUp">
          <bgColor rgb="FFFF0000"/>
        </patternFill>
      </fill>
    </dxf>
  </dxfs>
  <tableStyles count="1" defaultTableStyle="TableStyleMedium2" defaultPivotStyle="PivotStyleLight16">
    <tableStyle name="Invisible" pivot="0" table="0" count="0" xr9:uid="{B0D5754A-1577-41A6-B110-E1F8164B0C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Drop" dropLines="3" dropStyle="combo" dx="31" fmlaLink="$D$10" fmlaRange="$B$14:$B$1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8</xdr:row>
          <xdr:rowOff>177800</xdr:rowOff>
        </xdr:from>
        <xdr:to>
          <xdr:col>4</xdr:col>
          <xdr:colOff>203200</xdr:colOff>
          <xdr:row>10</xdr:row>
          <xdr:rowOff>12700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shav Aggarwal" id="{43DD08BC-4567-44A5-ADCC-A9C6F634F65D}" userId="fb7d91c61a0f33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6" dT="2025-07-17T18:58:00.74" personId="{43DD08BC-4567-44A5-ADCC-A9C6F634F65D}" id="{603B89FB-D427-49C3-A4CD-6D873E5E11C3}">
    <text>Adjustment to be made once the price has been adjusted.</text>
  </threadedComment>
  <threadedComment ref="C46" dT="2025-07-19T05:39:11.20" personId="{43DD08BC-4567-44A5-ADCC-A9C6F634F65D}" id="{09595CBA-CF47-4D47-9DA0-07CB4727C94B}">
    <text>Check Management’s guidance for the average CAPEX for the next 5 years (heading - Capital Expenditure Plans)</text>
  </threadedComment>
  <threadedComment ref="K46" dT="2025-07-19T05:42:05.86" personId="{43DD08BC-4567-44A5-ADCC-A9C6F634F65D}" id="{EDAC56EA-9F4D-4961-8A42-58C0B17E2411}">
    <text xml:space="preserve">Mangement says it expects to spend a similar amount for 2025 as 2024, therefore, using 2024 as the base.
</text>
  </threadedComment>
  <threadedComment ref="J53" dT="2025-07-19T18:30:28.94" personId="{43DD08BC-4567-44A5-ADCC-A9C6F634F65D}" id="{E3CE5E42-1672-471E-90BF-E464759919F7}">
    <text>Notes: Unamortized debt</text>
  </threadedComment>
  <threadedComment ref="K54" dT="2025-07-19T18:32:51.64" personId="{43DD08BC-4567-44A5-ADCC-A9C6F634F65D}" id="{8C5517E4-6F05-4EA8-9953-728583F9AEC3}">
    <text xml:space="preserve">Notes: Interest on Lease liabilities
</text>
  </threadedComment>
  <threadedComment ref="K57" dT="2025-07-19T18:35:13.13" personId="{43DD08BC-4567-44A5-ADCC-A9C6F634F65D}" id="{9F38E3C2-A4F1-4A33-A70C-9FFDDD21171D}">
    <text xml:space="preserve">Notes: Under leases - future minimum payments in the next 5 years
</text>
  </threadedComment>
  <threadedComment ref="K85" dT="2025-07-20T06:47:37.08" personId="{43DD08BC-4567-44A5-ADCC-A9C6F634F65D}" id="{1D939EEB-89D5-4486-99EC-68951FF35568}">
    <text>Circularity prone area.</text>
  </threadedComment>
  <threadedComment ref="F132" dT="2025-07-13T19:39:44.27" personId="{43DD08BC-4567-44A5-ADCC-A9C6F634F65D}" id="{87379581-145D-4850-A472-6CEEC181F31A}">
    <text xml:space="preserve">Cash and Cash Equivalent from PY B.S.
Others are being calculated, but should match the CCE of the B.S.
</text>
  </threadedComment>
  <threadedComment ref="E381" dT="2025-07-19T18:55:59.62" personId="{43DD08BC-4567-44A5-ADCC-A9C6F634F65D}" id="{A0054722-466C-4F33-9573-46E23E691549}">
    <text>Short-term Investments from BS</text>
  </threadedComment>
  <threadedComment ref="K387" dT="2025-07-20T13:39:27.54" personId="{43DD08BC-4567-44A5-ADCC-A9C6F634F65D}" id="{E544462A-5107-4CF0-B690-C939B1B943B8}">
    <text>Circularity prone area</text>
  </threadedComment>
  <threadedComment ref="L387" dT="2025-07-20T13:39:27.54" personId="{43DD08BC-4567-44A5-ADCC-A9C6F634F65D}" id="{F5ED2800-3C4B-47FA-B8A2-847ADA7A4A43}">
    <text>Circularity prone area</text>
  </threadedComment>
  <threadedComment ref="M387" dT="2025-07-20T13:39:27.54" personId="{43DD08BC-4567-44A5-ADCC-A9C6F634F65D}" id="{710CAD6B-4E37-4456-A03C-A9DD63696A7F}">
    <text>Circularity prone area</text>
  </threadedComment>
  <threadedComment ref="N387" dT="2025-07-20T13:39:27.54" personId="{43DD08BC-4567-44A5-ADCC-A9C6F634F65D}" id="{EE9B12A6-F8A5-4773-A91D-27E21816F7E7}">
    <text>Circularity prone area</text>
  </threadedComment>
  <threadedComment ref="O387" dT="2025-07-20T13:39:27.54" personId="{43DD08BC-4567-44A5-ADCC-A9C6F634F65D}" id="{E9838B35-CB3D-49D2-B11C-DE71F8A1C997}">
    <text>Circularity prone area</text>
  </threadedComment>
  <threadedComment ref="K395" dT="2025-07-20T13:41:20.65" personId="{43DD08BC-4567-44A5-ADCC-A9C6F634F65D}" id="{A5FA2810-8861-4C82-BDCC-E5F2546C09B7}">
    <text>Break circularity here (2). Linked from CFS</text>
  </threadedComment>
  <threadedComment ref="D420" dT="2025-07-19T20:59:26.43" personId="{43DD08BC-4567-44A5-ADCC-A9C6F634F65D}" id="{02C9E5B4-3AD0-4534-B57B-4539D990AFC1}">
    <text xml:space="preserve">Notes: Japanese Subsidiary: Interest rate
</text>
  </threadedComment>
  <threadedComment ref="C450" dT="2025-07-20T11:33:32.44" personId="{43DD08BC-4567-44A5-ADCC-A9C6F634F65D}" id="{7C43E48A-4095-493B-A92F-AFD13ED6B09D}">
    <text>Usually prepaid expenses, etc. You can grow this with revenue or straight line it.
Calc =Total minus other components.</text>
  </threadedComment>
  <threadedComment ref="C456" dT="2025-07-20T11:36:07.00" personId="{43DD08BC-4567-44A5-ADCC-A9C6F634F65D}" id="{CEF9943A-84E1-48D2-AE82-7618CEFB5677}">
    <text>Most likely (others). At the end of a gas station life, there are expenses w.r.t. correcting the area around to avoid contamination (usually sand is replaced below).
Costco confirms that there are AROs related to leases.
Calc = Total minus other items.</text>
  </threadedComment>
  <threadedComment ref="K471" dT="2025-07-20T13:40:42.61" personId="{43DD08BC-4567-44A5-ADCC-A9C6F634F65D}" id="{E0908AD0-B74D-4130-A467-70AE1DC43308}">
    <text>Break circularity here. Linked to Income before Taxes in 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00"/>
  <sheetViews>
    <sheetView tabSelected="1" topLeftCell="A11" workbookViewId="0">
      <selection activeCell="H538" sqref="H538"/>
    </sheetView>
  </sheetViews>
  <sheetFormatPr defaultRowHeight="14.5" outlineLevelRow="1"/>
  <cols>
    <col min="1" max="1" width="4.453125" customWidth="1"/>
    <col min="2" max="2" width="4.7265625" customWidth="1"/>
    <col min="3" max="3" width="38.6328125" customWidth="1"/>
    <col min="4" max="4" width="10.08984375" bestFit="1" customWidth="1"/>
    <col min="5" max="15" width="13.1796875" customWidth="1"/>
  </cols>
  <sheetData>
    <row r="2" spans="1:16" ht="21">
      <c r="A2" s="116" t="s">
        <v>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</row>
    <row r="3" spans="1:16">
      <c r="A3" s="115" t="s">
        <v>1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5" spans="1:16">
      <c r="E5" s="158">
        <v>43709</v>
      </c>
      <c r="F5" s="158">
        <v>44073</v>
      </c>
      <c r="G5" s="158">
        <v>44437</v>
      </c>
      <c r="H5" s="158">
        <v>44801</v>
      </c>
      <c r="I5" s="158">
        <v>45172</v>
      </c>
      <c r="J5" s="158">
        <v>45536</v>
      </c>
      <c r="K5" s="158">
        <v>45900</v>
      </c>
      <c r="L5" s="158">
        <v>46264</v>
      </c>
      <c r="M5" s="158">
        <v>46628</v>
      </c>
      <c r="N5" s="158">
        <v>46999</v>
      </c>
      <c r="O5" s="158">
        <v>47363</v>
      </c>
    </row>
    <row r="6" spans="1:16">
      <c r="F6">
        <f>F5-E5</f>
        <v>364</v>
      </c>
      <c r="G6">
        <f>G5-F5</f>
        <v>364</v>
      </c>
      <c r="H6">
        <f>H5-G5</f>
        <v>364</v>
      </c>
      <c r="I6">
        <f>I5-H5</f>
        <v>371</v>
      </c>
      <c r="J6">
        <f>J5-I5</f>
        <v>364</v>
      </c>
      <c r="K6">
        <f>K5-J5</f>
        <v>364</v>
      </c>
      <c r="L6">
        <f>L5-K5</f>
        <v>364</v>
      </c>
      <c r="M6">
        <f>M5-L5</f>
        <v>364</v>
      </c>
      <c r="N6">
        <f>N5-M5</f>
        <v>371</v>
      </c>
      <c r="O6">
        <f>O5-N5</f>
        <v>364</v>
      </c>
    </row>
    <row r="7" spans="1:16">
      <c r="P7" s="179"/>
    </row>
    <row r="8" spans="1:16">
      <c r="B8" t="s">
        <v>2</v>
      </c>
      <c r="D8">
        <v>2025</v>
      </c>
      <c r="K8" s="9">
        <f>$D$8</f>
        <v>2025</v>
      </c>
      <c r="L8" s="9">
        <f>K8+1</f>
        <v>2026</v>
      </c>
      <c r="M8" s="9">
        <f>L8+1</f>
        <v>2027</v>
      </c>
      <c r="N8" s="9">
        <f>M8+1</f>
        <v>2028</v>
      </c>
      <c r="O8" s="9">
        <f>N8+1</f>
        <v>2029</v>
      </c>
      <c r="P8" s="241">
        <f>O8+1</f>
        <v>2030</v>
      </c>
    </row>
    <row r="9" spans="1:16">
      <c r="B9" t="s">
        <v>451</v>
      </c>
      <c r="D9">
        <v>0</v>
      </c>
      <c r="K9" s="8"/>
      <c r="L9" s="8"/>
      <c r="M9" s="8"/>
      <c r="N9" s="8"/>
      <c r="O9" s="8"/>
      <c r="P9" s="179"/>
    </row>
    <row r="10" spans="1:16">
      <c r="B10" t="s">
        <v>3</v>
      </c>
      <c r="D10">
        <v>1</v>
      </c>
      <c r="K10" s="8"/>
      <c r="L10" s="8"/>
      <c r="M10" s="8"/>
      <c r="N10" s="8"/>
      <c r="O10" s="8"/>
      <c r="P10" s="179"/>
    </row>
    <row r="11" spans="1:16">
      <c r="K11" s="8"/>
      <c r="L11" s="10"/>
      <c r="M11" s="8"/>
      <c r="N11" s="8"/>
      <c r="O11" s="8"/>
      <c r="P11" s="179"/>
    </row>
    <row r="12" spans="1:16" hidden="1" outlineLevel="1">
      <c r="B12" s="183" t="s">
        <v>236</v>
      </c>
      <c r="C12" s="184"/>
      <c r="D12" s="184"/>
      <c r="E12" s="184"/>
      <c r="F12" s="184"/>
      <c r="G12" s="184"/>
      <c r="H12" s="184"/>
      <c r="I12" s="184"/>
      <c r="J12" s="184"/>
      <c r="K12" s="198">
        <f>CHOOSE($D$10,K14,K15,K16)</f>
        <v>26</v>
      </c>
      <c r="L12" s="198">
        <f>CHOOSE($D$10,L14,L15,L16)</f>
        <v>27</v>
      </c>
      <c r="M12" s="198">
        <f>CHOOSE($D$10,M14,M15,M16)</f>
        <v>27</v>
      </c>
      <c r="N12" s="198">
        <f>CHOOSE($D$10,N14,N15,N16)</f>
        <v>27</v>
      </c>
      <c r="O12" s="199">
        <f>CHOOSE($D$10,O14,O15,O16)</f>
        <v>27</v>
      </c>
    </row>
    <row r="13" spans="1:16" hidden="1" outlineLevel="1">
      <c r="B13" s="178"/>
      <c r="C13" s="179"/>
      <c r="D13" s="179"/>
      <c r="E13" s="179"/>
      <c r="F13" s="179"/>
      <c r="G13" s="179"/>
      <c r="H13" s="179"/>
      <c r="I13" s="179"/>
      <c r="J13" s="179"/>
      <c r="K13" s="195"/>
      <c r="L13" s="195"/>
      <c r="M13" s="195"/>
      <c r="N13" s="195"/>
      <c r="O13" s="196"/>
    </row>
    <row r="14" spans="1:16" hidden="1" outlineLevel="1">
      <c r="B14" s="178" t="s">
        <v>4</v>
      </c>
      <c r="C14" s="179"/>
      <c r="D14" s="179"/>
      <c r="E14" s="179"/>
      <c r="F14" s="179"/>
      <c r="G14" s="179"/>
      <c r="H14" s="179"/>
      <c r="I14" s="179"/>
      <c r="J14" s="179"/>
      <c r="K14" s="195">
        <v>26</v>
      </c>
      <c r="L14" s="195">
        <v>27</v>
      </c>
      <c r="M14" s="195">
        <v>27</v>
      </c>
      <c r="N14" s="195">
        <v>27</v>
      </c>
      <c r="O14" s="196">
        <v>27</v>
      </c>
    </row>
    <row r="15" spans="1:16" hidden="1" outlineLevel="1">
      <c r="B15" s="178" t="s">
        <v>5</v>
      </c>
      <c r="C15" s="179"/>
      <c r="D15" s="179"/>
      <c r="E15" s="179"/>
      <c r="F15" s="179"/>
      <c r="G15" s="179"/>
      <c r="H15" s="179"/>
      <c r="I15" s="179"/>
      <c r="J15" s="179"/>
      <c r="K15" s="195">
        <v>26</v>
      </c>
      <c r="L15" s="195">
        <v>30</v>
      </c>
      <c r="M15" s="195">
        <v>30</v>
      </c>
      <c r="N15" s="195">
        <v>30</v>
      </c>
      <c r="O15" s="196">
        <v>30</v>
      </c>
    </row>
    <row r="16" spans="1:16" hidden="1" outlineLevel="1">
      <c r="B16" s="181" t="s">
        <v>6</v>
      </c>
      <c r="C16" s="3"/>
      <c r="D16" s="3"/>
      <c r="E16" s="3"/>
      <c r="F16" s="3"/>
      <c r="G16" s="3"/>
      <c r="H16" s="3"/>
      <c r="I16" s="3"/>
      <c r="J16" s="3"/>
      <c r="K16" s="113">
        <v>26</v>
      </c>
      <c r="L16" s="113">
        <v>22</v>
      </c>
      <c r="M16" s="113">
        <v>22</v>
      </c>
      <c r="N16" s="113">
        <v>22</v>
      </c>
      <c r="O16" s="197">
        <v>22</v>
      </c>
    </row>
    <row r="17" spans="2:15" hidden="1" outlineLevel="1">
      <c r="K17" s="8"/>
      <c r="L17" s="8"/>
      <c r="M17" s="8"/>
      <c r="N17" s="8"/>
      <c r="O17" s="8"/>
    </row>
    <row r="18" spans="2:15" hidden="1" outlineLevel="1">
      <c r="B18" s="183" t="s">
        <v>7</v>
      </c>
      <c r="C18" s="184"/>
      <c r="D18" s="184"/>
      <c r="E18" s="184"/>
      <c r="F18" s="184"/>
      <c r="G18" s="184"/>
      <c r="H18" s="184"/>
      <c r="I18" s="184"/>
      <c r="J18" s="184"/>
      <c r="K18" s="198">
        <f>CHOOSE($D$10,K20,K21,K22)</f>
        <v>21</v>
      </c>
      <c r="L18" s="198">
        <f>CHOOSE($D$10,L20,L21,L22)</f>
        <v>24</v>
      </c>
      <c r="M18" s="198">
        <f>CHOOSE($D$10,M20,M21,M22)</f>
        <v>27</v>
      </c>
      <c r="N18" s="198">
        <f>CHOOSE($D$10,N20,N21,N22)</f>
        <v>30</v>
      </c>
      <c r="O18" s="199">
        <f>CHOOSE($D$10,O20,O21,O22)</f>
        <v>33</v>
      </c>
    </row>
    <row r="19" spans="2:15" hidden="1" outlineLevel="1">
      <c r="B19" s="178"/>
      <c r="C19" s="179"/>
      <c r="D19" s="179"/>
      <c r="E19" s="179"/>
      <c r="F19" s="179"/>
      <c r="G19" s="179"/>
      <c r="H19" s="179"/>
      <c r="I19" s="179"/>
      <c r="J19" s="179"/>
      <c r="K19" s="195"/>
      <c r="L19" s="195"/>
      <c r="M19" s="195"/>
      <c r="N19" s="195"/>
      <c r="O19" s="196"/>
    </row>
    <row r="20" spans="2:15" hidden="1" outlineLevel="1">
      <c r="B20" s="178" t="s">
        <v>4</v>
      </c>
      <c r="C20" s="179"/>
      <c r="D20" s="179"/>
      <c r="E20" s="179"/>
      <c r="F20" s="179"/>
      <c r="G20" s="179"/>
      <c r="H20" s="179"/>
      <c r="I20" s="179"/>
      <c r="J20" s="179"/>
      <c r="K20" s="195">
        <v>21</v>
      </c>
      <c r="L20" s="195">
        <v>24</v>
      </c>
      <c r="M20" s="195">
        <v>27</v>
      </c>
      <c r="N20" s="195">
        <v>30</v>
      </c>
      <c r="O20" s="196">
        <v>33</v>
      </c>
    </row>
    <row r="21" spans="2:15" hidden="1" outlineLevel="1">
      <c r="B21" s="178" t="s">
        <v>5</v>
      </c>
      <c r="C21" s="179"/>
      <c r="D21" s="179"/>
      <c r="E21" s="179"/>
      <c r="F21" s="179"/>
      <c r="G21" s="179"/>
      <c r="H21" s="179"/>
      <c r="I21" s="179"/>
      <c r="J21" s="179"/>
      <c r="K21" s="195">
        <v>22</v>
      </c>
      <c r="L21" s="195">
        <v>25</v>
      </c>
      <c r="M21" s="195">
        <v>28</v>
      </c>
      <c r="N21" s="195">
        <v>31</v>
      </c>
      <c r="O21" s="196">
        <v>34</v>
      </c>
    </row>
    <row r="22" spans="2:15" hidden="1" outlineLevel="1">
      <c r="B22" s="181" t="s">
        <v>6</v>
      </c>
      <c r="C22" s="3"/>
      <c r="D22" s="3"/>
      <c r="E22" s="3"/>
      <c r="F22" s="3"/>
      <c r="G22" s="3"/>
      <c r="H22" s="3"/>
      <c r="I22" s="3"/>
      <c r="J22" s="3"/>
      <c r="K22" s="113">
        <v>23</v>
      </c>
      <c r="L22" s="113">
        <v>26</v>
      </c>
      <c r="M22" s="113">
        <v>29</v>
      </c>
      <c r="N22" s="113">
        <v>32</v>
      </c>
      <c r="O22" s="197">
        <v>35</v>
      </c>
    </row>
    <row r="23" spans="2:15" hidden="1" outlineLevel="1">
      <c r="K23" s="8"/>
      <c r="L23" s="8"/>
      <c r="M23" s="8"/>
      <c r="N23" s="8"/>
      <c r="O23" s="8"/>
    </row>
    <row r="24" spans="2:15" hidden="1" outlineLevel="1">
      <c r="K24" s="8"/>
      <c r="L24" s="8"/>
      <c r="M24" s="8"/>
      <c r="N24" s="8"/>
      <c r="O24" s="8"/>
    </row>
    <row r="25" spans="2:15" hidden="1" outlineLevel="1">
      <c r="B25" s="183" t="s">
        <v>202</v>
      </c>
      <c r="C25" s="184"/>
      <c r="D25" s="184"/>
      <c r="E25" s="184"/>
      <c r="F25" s="184"/>
      <c r="G25" s="184"/>
      <c r="H25" s="184"/>
      <c r="I25" s="184"/>
      <c r="J25" s="184"/>
      <c r="K25" s="198"/>
      <c r="L25" s="198"/>
      <c r="M25" s="198"/>
      <c r="N25" s="198"/>
      <c r="O25" s="199"/>
    </row>
    <row r="26" spans="2:15" hidden="1" outlineLevel="1">
      <c r="B26" s="193"/>
      <c r="C26" s="5" t="s">
        <v>280</v>
      </c>
      <c r="D26" s="5" t="s">
        <v>52</v>
      </c>
      <c r="E26" s="5"/>
      <c r="F26" s="5"/>
      <c r="G26" s="5"/>
      <c r="H26" s="5"/>
      <c r="I26" s="5"/>
      <c r="J26" s="5"/>
      <c r="K26" s="203">
        <f>J204*(1+$J$27)*(1+$J$28/2)</f>
        <v>48.435957154090985</v>
      </c>
      <c r="L26" s="203">
        <f>K26*(1+$J$27)*(1+$J$28/2)</f>
        <v>50.497236986532279</v>
      </c>
      <c r="M26" s="203">
        <f>L26*(1+$J$27)</f>
        <v>50.541197440064622</v>
      </c>
      <c r="N26" s="203">
        <f>M26*(1+$J$27)</f>
        <v>50.585196163442809</v>
      </c>
      <c r="O26" s="204">
        <f>N26*(1+$J$27)</f>
        <v>50.629233189982713</v>
      </c>
    </row>
    <row r="27" spans="2:15" hidden="1" outlineLevel="1">
      <c r="B27" s="178"/>
      <c r="C27" s="179" t="s">
        <v>228</v>
      </c>
      <c r="D27" s="179" t="s">
        <v>216</v>
      </c>
      <c r="E27" s="179"/>
      <c r="F27" s="179"/>
      <c r="G27" s="179"/>
      <c r="H27" s="179"/>
      <c r="I27" s="179"/>
      <c r="J27" s="180">
        <f>J207</f>
        <v>8.7055166095661995E-4</v>
      </c>
      <c r="K27" s="205"/>
      <c r="L27" s="205"/>
      <c r="M27" s="205"/>
      <c r="N27" s="205"/>
      <c r="O27" s="206"/>
    </row>
    <row r="28" spans="2:15" hidden="1" outlineLevel="1">
      <c r="B28" s="178"/>
      <c r="C28" s="179" t="s">
        <v>309</v>
      </c>
      <c r="D28" s="179" t="s">
        <v>216</v>
      </c>
      <c r="E28" s="179"/>
      <c r="F28" s="179"/>
      <c r="G28" s="179"/>
      <c r="H28" s="179"/>
      <c r="I28" s="179"/>
      <c r="J28" s="180">
        <f>J208</f>
        <v>8.3299999999999999E-2</v>
      </c>
      <c r="K28" s="205"/>
      <c r="L28" s="205"/>
      <c r="M28" s="205"/>
      <c r="N28" s="205"/>
      <c r="O28" s="206"/>
    </row>
    <row r="29" spans="2:15" hidden="1" outlineLevel="1">
      <c r="B29" s="178"/>
      <c r="C29" s="179" t="s">
        <v>238</v>
      </c>
      <c r="D29" s="179" t="s">
        <v>216</v>
      </c>
      <c r="E29" s="179"/>
      <c r="F29" s="179"/>
      <c r="G29" s="179"/>
      <c r="H29" s="179"/>
      <c r="I29" s="179"/>
      <c r="J29" s="179"/>
      <c r="K29" s="207">
        <f>K224</f>
        <v>8.3380840348610277E-2</v>
      </c>
      <c r="L29" s="207">
        <f t="shared" ref="L29:O29" si="0">L224</f>
        <v>8.3512090041952119E-2</v>
      </c>
      <c r="M29" s="207">
        <f t="shared" si="0"/>
        <v>8.3090111500921215E-2</v>
      </c>
      <c r="N29" s="207">
        <f t="shared" si="0"/>
        <v>8.4014203371379687E-2</v>
      </c>
      <c r="O29" s="208">
        <f t="shared" si="0"/>
        <v>8.2314720641173358E-2</v>
      </c>
    </row>
    <row r="30" spans="2:15" hidden="1" outlineLevel="1">
      <c r="B30" s="181"/>
      <c r="C30" s="3" t="s">
        <v>281</v>
      </c>
      <c r="D30" s="3" t="s">
        <v>216</v>
      </c>
      <c r="E30" s="3"/>
      <c r="F30" s="3"/>
      <c r="G30" s="3"/>
      <c r="H30" s="3"/>
      <c r="I30" s="3"/>
      <c r="J30" s="3"/>
      <c r="K30" s="209">
        <f>J201</f>
        <v>0.49701832791472961</v>
      </c>
      <c r="L30" s="113"/>
      <c r="M30" s="113"/>
      <c r="N30" s="113"/>
      <c r="O30" s="197"/>
    </row>
    <row r="31" spans="2:15" hidden="1" outlineLevel="1">
      <c r="K31" s="8"/>
      <c r="L31" s="8"/>
      <c r="M31" s="8"/>
      <c r="N31" s="8"/>
      <c r="O31" s="8"/>
    </row>
    <row r="32" spans="2:15" hidden="1" outlineLevel="1">
      <c r="B32" s="183" t="s">
        <v>252</v>
      </c>
      <c r="C32" s="184"/>
      <c r="D32" s="184"/>
      <c r="E32" s="184"/>
      <c r="F32" s="184"/>
      <c r="G32" s="184"/>
      <c r="H32" s="184"/>
      <c r="I32" s="184"/>
      <c r="J32" s="184"/>
      <c r="K32" s="198"/>
      <c r="L32" s="198"/>
      <c r="M32" s="198"/>
      <c r="N32" s="198"/>
      <c r="O32" s="199"/>
    </row>
    <row r="33" spans="2:15" hidden="1" outlineLevel="1">
      <c r="B33" s="190"/>
      <c r="C33" s="179" t="s">
        <v>267</v>
      </c>
      <c r="D33" s="179" t="s">
        <v>216</v>
      </c>
      <c r="E33" s="179"/>
      <c r="F33" s="179"/>
      <c r="G33" s="179"/>
      <c r="H33" s="179"/>
      <c r="I33" s="179"/>
      <c r="J33" s="179"/>
      <c r="K33" s="207">
        <f>K254</f>
        <v>4.2623415857288606E-2</v>
      </c>
      <c r="L33" s="207">
        <f>K33+$J$34</f>
        <v>4.5623415857288609E-2</v>
      </c>
      <c r="M33" s="207">
        <f>L33+$J$34</f>
        <v>4.8623415857288611E-2</v>
      </c>
      <c r="N33" s="207">
        <f>M33+$J$34</f>
        <v>5.1623415857288614E-2</v>
      </c>
      <c r="O33" s="208">
        <f>N33+$J$34</f>
        <v>5.4623415857288617E-2</v>
      </c>
    </row>
    <row r="34" spans="2:15" hidden="1" outlineLevel="1">
      <c r="B34" s="189"/>
      <c r="C34" s="179" t="s">
        <v>282</v>
      </c>
      <c r="D34" s="179" t="s">
        <v>216</v>
      </c>
      <c r="E34" s="179"/>
      <c r="F34" s="179"/>
      <c r="G34" s="179"/>
      <c r="H34" s="179"/>
      <c r="I34" s="179"/>
      <c r="J34" s="112">
        <v>3.0000000000000001E-3</v>
      </c>
      <c r="K34" s="195"/>
      <c r="L34" s="195"/>
      <c r="M34" s="195"/>
      <c r="N34" s="195"/>
      <c r="O34" s="196"/>
    </row>
    <row r="35" spans="2:15" hidden="1" outlineLevel="1">
      <c r="B35" s="190"/>
      <c r="C35" s="5" t="s">
        <v>283</v>
      </c>
      <c r="D35" s="5" t="s">
        <v>216</v>
      </c>
      <c r="E35" s="5"/>
      <c r="F35" s="5"/>
      <c r="G35" s="5"/>
      <c r="H35" s="5"/>
      <c r="I35" s="5"/>
      <c r="J35" s="5"/>
      <c r="K35" s="160">
        <f>J262+J36</f>
        <v>1.1420039214117083E-2</v>
      </c>
      <c r="L35" s="160">
        <f>K35+$J$36</f>
        <v>1.1620039214117084E-2</v>
      </c>
      <c r="M35" s="160">
        <f>L35+$J$36</f>
        <v>1.1820039214117084E-2</v>
      </c>
      <c r="N35" s="160">
        <f>M35+$J$36</f>
        <v>1.2020039214117085E-2</v>
      </c>
      <c r="O35" s="210">
        <f>N35+$J$36</f>
        <v>1.2220039214117085E-2</v>
      </c>
    </row>
    <row r="36" spans="2:15" hidden="1" outlineLevel="1">
      <c r="B36" s="191"/>
      <c r="C36" s="192" t="s">
        <v>282</v>
      </c>
      <c r="D36" s="3" t="s">
        <v>216</v>
      </c>
      <c r="E36" s="3"/>
      <c r="F36" s="3"/>
      <c r="G36" s="3"/>
      <c r="H36" s="3"/>
      <c r="I36" s="3"/>
      <c r="J36" s="188">
        <v>2.0000000000000001E-4</v>
      </c>
      <c r="K36" s="209"/>
      <c r="L36" s="209"/>
      <c r="M36" s="209"/>
      <c r="N36" s="209"/>
      <c r="O36" s="211"/>
    </row>
    <row r="37" spans="2:15" hidden="1" outlineLevel="1">
      <c r="B37" s="181"/>
      <c r="C37" s="3" t="s">
        <v>284</v>
      </c>
      <c r="D37" s="3" t="s">
        <v>216</v>
      </c>
      <c r="E37" s="3"/>
      <c r="F37" s="3"/>
      <c r="G37" s="3"/>
      <c r="H37" s="3"/>
      <c r="I37" s="3"/>
      <c r="J37" s="182">
        <f>J265</f>
        <v>0.88819199147816175</v>
      </c>
      <c r="K37" s="113"/>
      <c r="L37" s="113"/>
      <c r="M37" s="113"/>
      <c r="N37" s="113"/>
      <c r="O37" s="197"/>
    </row>
    <row r="38" spans="2:15" hidden="1" outlineLevel="1">
      <c r="K38" s="8"/>
      <c r="L38" s="8"/>
      <c r="M38" s="8"/>
      <c r="N38" s="8"/>
      <c r="O38" s="8"/>
    </row>
    <row r="39" spans="2:15" hidden="1" outlineLevel="1">
      <c r="B39" s="177" t="s">
        <v>15</v>
      </c>
      <c r="C39" s="5"/>
      <c r="D39" s="5"/>
      <c r="E39" s="5"/>
      <c r="F39" s="5"/>
      <c r="G39" s="5"/>
      <c r="H39" s="5"/>
      <c r="I39" s="5"/>
      <c r="J39" s="5"/>
      <c r="K39" s="105"/>
      <c r="L39" s="105"/>
      <c r="M39" s="105"/>
      <c r="N39" s="105"/>
      <c r="O39" s="194"/>
    </row>
    <row r="40" spans="2:15" hidden="1" outlineLevel="1">
      <c r="B40" s="181"/>
      <c r="C40" s="3" t="s">
        <v>304</v>
      </c>
      <c r="D40" s="3" t="s">
        <v>216</v>
      </c>
      <c r="E40" s="3"/>
      <c r="F40" s="3"/>
      <c r="G40" s="3"/>
      <c r="H40" s="3"/>
      <c r="I40" s="3"/>
      <c r="J40" s="182">
        <f>J284</f>
        <v>0.10860277351571095</v>
      </c>
      <c r="K40" s="209">
        <f>J40</f>
        <v>0.10860277351571095</v>
      </c>
      <c r="L40" s="209">
        <f t="shared" ref="L40:O40" si="1">K40</f>
        <v>0.10860277351571095</v>
      </c>
      <c r="M40" s="209">
        <f t="shared" si="1"/>
        <v>0.10860277351571095</v>
      </c>
      <c r="N40" s="209">
        <f t="shared" si="1"/>
        <v>0.10860277351571095</v>
      </c>
      <c r="O40" s="211">
        <f t="shared" si="1"/>
        <v>0.10860277351571095</v>
      </c>
    </row>
    <row r="41" spans="2:15" hidden="1" outlineLevel="1">
      <c r="B41" s="201" t="s">
        <v>307</v>
      </c>
      <c r="C41" s="179"/>
      <c r="D41" s="179"/>
      <c r="E41" s="179"/>
      <c r="F41" s="179"/>
      <c r="G41" s="179"/>
      <c r="H41" s="179"/>
      <c r="I41" s="179"/>
      <c r="J41" s="179"/>
      <c r="K41" s="195"/>
      <c r="L41" s="195"/>
      <c r="M41" s="195"/>
      <c r="N41" s="195"/>
      <c r="O41" s="196"/>
    </row>
    <row r="42" spans="2:15" hidden="1" outlineLevel="1">
      <c r="B42" s="178"/>
      <c r="C42" s="179" t="s">
        <v>305</v>
      </c>
      <c r="D42" s="179" t="s">
        <v>216</v>
      </c>
      <c r="E42" s="179"/>
      <c r="F42" s="179"/>
      <c r="G42" s="179"/>
      <c r="H42" s="179"/>
      <c r="I42" s="179"/>
      <c r="J42" s="180">
        <f>J289</f>
        <v>9.1881335108473183E-2</v>
      </c>
      <c r="K42" s="207">
        <f>J42-$J$43</f>
        <v>9.0297304168993064E-2</v>
      </c>
      <c r="L42" s="207">
        <f t="shared" ref="L42:O42" si="2">K42-$J$43</f>
        <v>8.8713273229512946E-2</v>
      </c>
      <c r="M42" s="207">
        <f t="shared" si="2"/>
        <v>8.7129242290032827E-2</v>
      </c>
      <c r="N42" s="207">
        <f t="shared" si="2"/>
        <v>8.5545211350552708E-2</v>
      </c>
      <c r="O42" s="208">
        <f t="shared" si="2"/>
        <v>8.3961180411072589E-2</v>
      </c>
    </row>
    <row r="43" spans="2:15" hidden="1" outlineLevel="1">
      <c r="B43" s="181"/>
      <c r="C43" s="3" t="s">
        <v>306</v>
      </c>
      <c r="D43" s="3" t="s">
        <v>216</v>
      </c>
      <c r="E43" s="3"/>
      <c r="F43" s="3"/>
      <c r="G43" s="3"/>
      <c r="H43" s="3"/>
      <c r="I43" s="3"/>
      <c r="J43" s="182">
        <f>J294</f>
        <v>1.5840309394801189E-3</v>
      </c>
      <c r="K43" s="113"/>
      <c r="L43" s="113"/>
      <c r="M43" s="113"/>
      <c r="N43" s="113"/>
      <c r="O43" s="197"/>
    </row>
    <row r="44" spans="2:15" hidden="1" outlineLevel="1">
      <c r="K44" s="8"/>
      <c r="L44" s="8"/>
      <c r="M44" s="8"/>
      <c r="N44" s="8"/>
      <c r="O44" s="8"/>
    </row>
    <row r="45" spans="2:15" hidden="1" outlineLevel="1">
      <c r="B45" s="183" t="s">
        <v>334</v>
      </c>
      <c r="C45" s="184"/>
      <c r="D45" s="184"/>
      <c r="E45" s="184"/>
      <c r="F45" s="184"/>
      <c r="G45" s="184"/>
      <c r="H45" s="184"/>
      <c r="I45" s="184"/>
      <c r="J45" s="184"/>
      <c r="K45" s="198"/>
      <c r="L45" s="198"/>
      <c r="M45" s="198"/>
      <c r="N45" s="198"/>
      <c r="O45" s="199"/>
    </row>
    <row r="46" spans="2:15" hidden="1" outlineLevel="1">
      <c r="B46" s="178"/>
      <c r="C46" s="179" t="s">
        <v>356</v>
      </c>
      <c r="D46" s="179" t="s">
        <v>208</v>
      </c>
      <c r="E46" s="179"/>
      <c r="F46" s="179"/>
      <c r="G46" s="179"/>
      <c r="H46" s="179"/>
      <c r="I46" s="179"/>
      <c r="J46" s="179"/>
      <c r="K46" s="219">
        <f>J346*(1+$J$47)</f>
        <v>165.66206896551725</v>
      </c>
      <c r="L46" s="219">
        <f>K46*(1+$J$47)</f>
        <v>168.97531034482759</v>
      </c>
      <c r="M46" s="219">
        <f>L46*(1+$J$47)</f>
        <v>172.35481655172416</v>
      </c>
      <c r="N46" s="219">
        <f>M46*(1+$J$47)</f>
        <v>175.80191288275864</v>
      </c>
      <c r="O46" s="220">
        <f>N46*(1+$J$47)</f>
        <v>179.31795114041381</v>
      </c>
    </row>
    <row r="47" spans="2:15" hidden="1" outlineLevel="1">
      <c r="B47" s="178"/>
      <c r="C47" s="179" t="s">
        <v>357</v>
      </c>
      <c r="D47" s="179" t="s">
        <v>216</v>
      </c>
      <c r="E47" s="179"/>
      <c r="F47" s="179"/>
      <c r="G47" s="179"/>
      <c r="H47" s="179"/>
      <c r="I47" s="179"/>
      <c r="J47" s="218">
        <v>0.02</v>
      </c>
      <c r="K47" s="195"/>
      <c r="L47" s="195"/>
      <c r="M47" s="195"/>
      <c r="N47" s="195"/>
      <c r="O47" s="196"/>
    </row>
    <row r="48" spans="2:15" hidden="1" outlineLevel="1">
      <c r="B48" s="181"/>
      <c r="C48" s="3" t="s">
        <v>358</v>
      </c>
      <c r="D48" s="3" t="s">
        <v>232</v>
      </c>
      <c r="E48" s="3"/>
      <c r="F48" s="3"/>
      <c r="G48" s="3"/>
      <c r="H48" s="3"/>
      <c r="I48" s="3"/>
      <c r="J48" s="3"/>
      <c r="K48" s="113">
        <v>3</v>
      </c>
      <c r="L48" s="113">
        <v>2</v>
      </c>
      <c r="M48" s="113">
        <v>2</v>
      </c>
      <c r="N48" s="113">
        <v>2</v>
      </c>
      <c r="O48" s="197">
        <v>2</v>
      </c>
    </row>
    <row r="49" spans="2:15" hidden="1" outlineLevel="1">
      <c r="K49" s="8"/>
      <c r="L49" s="8"/>
      <c r="M49" s="8"/>
      <c r="N49" s="8"/>
      <c r="O49" s="8"/>
    </row>
    <row r="50" spans="2:15" hidden="1" outlineLevel="1">
      <c r="B50" s="183" t="s">
        <v>190</v>
      </c>
      <c r="C50" s="184"/>
      <c r="D50" s="184"/>
      <c r="E50" s="184"/>
      <c r="F50" s="184"/>
      <c r="G50" s="184"/>
      <c r="H50" s="184"/>
      <c r="I50" s="184"/>
      <c r="J50" s="184"/>
      <c r="K50" s="198"/>
      <c r="L50" s="198"/>
      <c r="M50" s="198"/>
      <c r="N50" s="198"/>
      <c r="O50" s="199"/>
    </row>
    <row r="51" spans="2:15" hidden="1" outlineLevel="1">
      <c r="B51" s="178"/>
      <c r="C51" s="179" t="s">
        <v>360</v>
      </c>
      <c r="D51" s="173" t="s">
        <v>216</v>
      </c>
      <c r="E51" s="179"/>
      <c r="F51" s="179"/>
      <c r="G51" s="179"/>
      <c r="H51" s="179"/>
      <c r="I51" s="179"/>
      <c r="J51" s="179"/>
      <c r="K51" s="207">
        <v>3.3300000000000003E-2</v>
      </c>
      <c r="L51" s="207">
        <v>2.3300000000000001E-2</v>
      </c>
      <c r="M51" s="207">
        <v>1.4999999999999999E-2</v>
      </c>
      <c r="N51" s="207">
        <v>0.01</v>
      </c>
      <c r="O51" s="208">
        <v>0.01</v>
      </c>
    </row>
    <row r="52" spans="2:15" hidden="1" outlineLevel="1">
      <c r="B52" s="178"/>
      <c r="C52" s="179" t="s">
        <v>361</v>
      </c>
      <c r="D52" s="173" t="s">
        <v>208</v>
      </c>
      <c r="E52" s="179"/>
      <c r="F52" s="179"/>
      <c r="G52" s="179"/>
      <c r="H52" s="179"/>
      <c r="I52" s="179"/>
      <c r="J52" s="179"/>
      <c r="K52" s="195">
        <v>103</v>
      </c>
      <c r="L52" s="195">
        <v>76</v>
      </c>
      <c r="M52" s="195"/>
      <c r="N52" s="195"/>
      <c r="O52" s="196">
        <v>150</v>
      </c>
    </row>
    <row r="53" spans="2:15" hidden="1" outlineLevel="1">
      <c r="B53" s="178"/>
      <c r="C53" s="179" t="s">
        <v>362</v>
      </c>
      <c r="D53" s="179" t="s">
        <v>208</v>
      </c>
      <c r="E53" s="179"/>
      <c r="F53" s="179"/>
      <c r="G53" s="179"/>
      <c r="H53" s="179"/>
      <c r="I53" s="179"/>
      <c r="J53" s="179">
        <v>22</v>
      </c>
      <c r="K53" s="195">
        <f>J53-3</f>
        <v>19</v>
      </c>
      <c r="L53" s="195">
        <f t="shared" ref="L53:O53" si="3">K53-3</f>
        <v>16</v>
      </c>
      <c r="M53" s="195">
        <f t="shared" si="3"/>
        <v>13</v>
      </c>
      <c r="N53" s="195">
        <f t="shared" si="3"/>
        <v>10</v>
      </c>
      <c r="O53" s="196">
        <f t="shared" si="3"/>
        <v>7</v>
      </c>
    </row>
    <row r="54" spans="2:15" hidden="1" outlineLevel="1">
      <c r="B54" s="178"/>
      <c r="C54" s="179" t="s">
        <v>392</v>
      </c>
      <c r="D54" s="179" t="s">
        <v>208</v>
      </c>
      <c r="E54" s="179"/>
      <c r="F54" s="179"/>
      <c r="G54" s="179"/>
      <c r="H54" s="179"/>
      <c r="I54" s="179"/>
      <c r="J54" s="179"/>
      <c r="K54" s="195">
        <v>29</v>
      </c>
      <c r="L54" s="195">
        <v>29</v>
      </c>
      <c r="M54" s="195">
        <v>29</v>
      </c>
      <c r="N54" s="195">
        <v>29</v>
      </c>
      <c r="O54" s="196">
        <v>29</v>
      </c>
    </row>
    <row r="55" spans="2:15" hidden="1" outlineLevel="1">
      <c r="B55" s="178"/>
      <c r="C55" s="173" t="s">
        <v>404</v>
      </c>
      <c r="D55" s="179" t="s">
        <v>216</v>
      </c>
      <c r="E55" s="179"/>
      <c r="F55" s="179"/>
      <c r="G55" s="179"/>
      <c r="H55" s="179"/>
      <c r="I55" s="179" t="s">
        <v>406</v>
      </c>
      <c r="J55" s="180">
        <v>4.4000000000000003E-3</v>
      </c>
      <c r="K55" s="227">
        <f>K51+$J$55+0.01</f>
        <v>4.7700000000000006E-2</v>
      </c>
      <c r="L55" s="227">
        <f t="shared" ref="L55:O55" si="4">L51+$J$55+0.01</f>
        <v>3.7700000000000004E-2</v>
      </c>
      <c r="M55" s="227">
        <f t="shared" si="4"/>
        <v>2.9400000000000003E-2</v>
      </c>
      <c r="N55" s="227">
        <f t="shared" si="4"/>
        <v>2.4399999999999998E-2</v>
      </c>
      <c r="O55" s="227">
        <f t="shared" si="4"/>
        <v>2.4399999999999998E-2</v>
      </c>
    </row>
    <row r="56" spans="2:15" hidden="1" outlineLevel="1">
      <c r="B56" s="178"/>
      <c r="C56" s="173" t="s">
        <v>405</v>
      </c>
      <c r="D56" s="179" t="s">
        <v>208</v>
      </c>
      <c r="E56" s="179"/>
      <c r="F56" s="179"/>
      <c r="G56" s="179"/>
      <c r="H56" s="179"/>
      <c r="I56" s="179" t="s">
        <v>407</v>
      </c>
      <c r="J56" s="179">
        <v>10</v>
      </c>
      <c r="K56" s="213">
        <f>$J$56*K236</f>
        <v>9030</v>
      </c>
      <c r="L56" s="213">
        <f>$J$56*L236</f>
        <v>9295</v>
      </c>
      <c r="M56" s="213">
        <f>$J$56*M236</f>
        <v>9565</v>
      </c>
      <c r="N56" s="213">
        <f>$J$56*N236</f>
        <v>9835</v>
      </c>
      <c r="O56" s="229">
        <f>$J$56*O236</f>
        <v>10105</v>
      </c>
    </row>
    <row r="57" spans="2:15" hidden="1" outlineLevel="1">
      <c r="B57" s="181"/>
      <c r="C57" s="3" t="s">
        <v>364</v>
      </c>
      <c r="D57" s="3" t="s">
        <v>208</v>
      </c>
      <c r="E57" s="3"/>
      <c r="F57" s="3"/>
      <c r="G57" s="3"/>
      <c r="H57" s="3"/>
      <c r="I57" s="3"/>
      <c r="J57" s="3"/>
      <c r="K57" s="113">
        <v>204</v>
      </c>
      <c r="L57" s="113">
        <f>$K$57</f>
        <v>204</v>
      </c>
      <c r="M57" s="113">
        <f>$K$57</f>
        <v>204</v>
      </c>
      <c r="N57" s="113">
        <f>$K$57</f>
        <v>204</v>
      </c>
      <c r="O57" s="197">
        <f>$K$57</f>
        <v>204</v>
      </c>
    </row>
    <row r="58" spans="2:15" hidden="1" outlineLevel="1">
      <c r="K58" s="8"/>
      <c r="L58" s="8"/>
      <c r="M58" s="8"/>
      <c r="N58" s="8"/>
      <c r="O58" s="8"/>
    </row>
    <row r="59" spans="2:15" hidden="1" outlineLevel="1">
      <c r="B59" s="183" t="s">
        <v>82</v>
      </c>
      <c r="C59" s="184"/>
      <c r="D59" s="184"/>
      <c r="E59" s="184"/>
      <c r="F59" s="184"/>
      <c r="G59" s="184"/>
      <c r="H59" s="184"/>
      <c r="I59" s="184"/>
      <c r="J59" s="184"/>
      <c r="K59" s="198"/>
      <c r="L59" s="198"/>
      <c r="M59" s="198"/>
      <c r="N59" s="198"/>
      <c r="O59" s="199"/>
    </row>
    <row r="60" spans="2:15" hidden="1" outlineLevel="1">
      <c r="B60" s="181"/>
      <c r="C60" s="3" t="s">
        <v>452</v>
      </c>
      <c r="D60" s="3"/>
      <c r="E60" s="3"/>
      <c r="F60" s="3"/>
      <c r="G60" s="3"/>
      <c r="H60" s="3"/>
      <c r="I60" s="3"/>
      <c r="J60" s="188">
        <f>J476</f>
        <v>0.24926701946122307</v>
      </c>
      <c r="K60" s="239">
        <f>J60</f>
        <v>0.24926701946122307</v>
      </c>
      <c r="L60" s="239">
        <f t="shared" ref="L60:O60" si="5">K60</f>
        <v>0.24926701946122307</v>
      </c>
      <c r="M60" s="239">
        <f t="shared" si="5"/>
        <v>0.24926701946122307</v>
      </c>
      <c r="N60" s="239">
        <f t="shared" si="5"/>
        <v>0.24926701946122307</v>
      </c>
      <c r="O60" s="240">
        <f t="shared" si="5"/>
        <v>0.24926701946122307</v>
      </c>
    </row>
    <row r="61" spans="2:15" hidden="1" outlineLevel="1">
      <c r="K61" s="8"/>
      <c r="L61" s="8"/>
      <c r="M61" s="8"/>
      <c r="N61" s="8"/>
      <c r="O61" s="8"/>
    </row>
    <row r="62" spans="2:15" hidden="1" outlineLevel="1">
      <c r="B62" s="183" t="s">
        <v>193</v>
      </c>
      <c r="C62" s="184"/>
      <c r="D62" s="184"/>
      <c r="E62" s="184"/>
      <c r="F62" s="184"/>
      <c r="G62" s="184"/>
      <c r="H62" s="184"/>
      <c r="I62" s="184"/>
      <c r="J62" s="184"/>
      <c r="K62" s="198"/>
      <c r="L62" s="198"/>
      <c r="M62" s="198"/>
      <c r="N62" s="198"/>
      <c r="O62" s="199"/>
    </row>
    <row r="63" spans="2:15" hidden="1" outlineLevel="1">
      <c r="B63" s="178"/>
      <c r="C63" s="179" t="s">
        <v>453</v>
      </c>
      <c r="D63" s="179"/>
      <c r="E63" s="179"/>
      <c r="F63" s="179"/>
      <c r="G63" s="179"/>
      <c r="H63" s="179"/>
      <c r="I63" s="179"/>
      <c r="J63" s="179"/>
      <c r="K63" s="227">
        <f>$J$489</f>
        <v>6.8774098775576567E-2</v>
      </c>
      <c r="L63" s="227">
        <f t="shared" ref="L63:O63" si="6">$J$489</f>
        <v>6.8774098775576567E-2</v>
      </c>
      <c r="M63" s="227">
        <f t="shared" si="6"/>
        <v>6.8774098775576567E-2</v>
      </c>
      <c r="N63" s="227">
        <f t="shared" si="6"/>
        <v>6.8774098775576567E-2</v>
      </c>
      <c r="O63" s="228">
        <f t="shared" si="6"/>
        <v>6.8774098775576567E-2</v>
      </c>
    </row>
    <row r="64" spans="2:15" hidden="1" outlineLevel="1">
      <c r="B64" s="178"/>
      <c r="C64" s="179" t="s">
        <v>454</v>
      </c>
      <c r="D64" s="179"/>
      <c r="E64" s="179"/>
      <c r="F64" s="179"/>
      <c r="G64" s="179"/>
      <c r="H64" s="179"/>
      <c r="I64" s="179"/>
      <c r="J64" s="180">
        <f>J496</f>
        <v>0.45604610454764971</v>
      </c>
      <c r="K64" s="227">
        <f>J64</f>
        <v>0.45604610454764971</v>
      </c>
      <c r="L64" s="227">
        <f t="shared" ref="L64:O64" si="7">K64</f>
        <v>0.45604610454764971</v>
      </c>
      <c r="M64" s="227">
        <f t="shared" si="7"/>
        <v>0.45604610454764971</v>
      </c>
      <c r="N64" s="227">
        <f t="shared" si="7"/>
        <v>0.45604610454764971</v>
      </c>
      <c r="O64" s="228">
        <f t="shared" si="7"/>
        <v>0.45604610454764971</v>
      </c>
    </row>
    <row r="65" spans="1:15" hidden="1" outlineLevel="1">
      <c r="B65" s="178"/>
      <c r="C65" s="179" t="s">
        <v>456</v>
      </c>
      <c r="D65" s="179"/>
      <c r="E65" s="179"/>
      <c r="F65" s="179"/>
      <c r="G65" s="179"/>
      <c r="H65" s="179"/>
      <c r="I65" s="179"/>
      <c r="J65" s="243">
        <f>J502</f>
        <v>1.3517958608000313E-4</v>
      </c>
      <c r="K65" s="244">
        <f>J65</f>
        <v>1.3517958608000313E-4</v>
      </c>
      <c r="L65" s="244">
        <f t="shared" ref="L65:O65" si="8">K65</f>
        <v>1.3517958608000313E-4</v>
      </c>
      <c r="M65" s="244">
        <f t="shared" si="8"/>
        <v>1.3517958608000313E-4</v>
      </c>
      <c r="N65" s="244">
        <f t="shared" si="8"/>
        <v>1.3517958608000313E-4</v>
      </c>
      <c r="O65" s="245">
        <f t="shared" si="8"/>
        <v>1.3517958608000313E-4</v>
      </c>
    </row>
    <row r="66" spans="1:15" hidden="1" outlineLevel="1">
      <c r="B66" s="178"/>
      <c r="C66" s="179" t="s">
        <v>455</v>
      </c>
      <c r="D66" s="179"/>
      <c r="E66" s="179"/>
      <c r="F66" s="179"/>
      <c r="G66" s="179"/>
      <c r="H66" s="179"/>
      <c r="I66" s="179"/>
      <c r="J66" s="180">
        <f>J505</f>
        <v>1.9035218533318687E-3</v>
      </c>
      <c r="K66" s="244">
        <f>J66</f>
        <v>1.9035218533318687E-3</v>
      </c>
      <c r="L66" s="244">
        <f t="shared" ref="L66:O66" si="9">K66</f>
        <v>1.9035218533318687E-3</v>
      </c>
      <c r="M66" s="244">
        <f t="shared" si="9"/>
        <v>1.9035218533318687E-3</v>
      </c>
      <c r="N66" s="244">
        <f t="shared" si="9"/>
        <v>1.9035218533318687E-3</v>
      </c>
      <c r="O66" s="245">
        <f t="shared" si="9"/>
        <v>1.9035218533318687E-3</v>
      </c>
    </row>
    <row r="67" spans="1:15" hidden="1" outlineLevel="1">
      <c r="B67" s="181"/>
      <c r="C67" s="3" t="s">
        <v>457</v>
      </c>
      <c r="D67" s="3"/>
      <c r="E67" s="3"/>
      <c r="F67" s="3"/>
      <c r="G67" s="3"/>
      <c r="H67" s="3"/>
      <c r="I67" s="3"/>
      <c r="J67" s="182">
        <f>J518</f>
        <v>0.13660958054107719</v>
      </c>
      <c r="K67" s="239">
        <f>J67</f>
        <v>0.13660958054107719</v>
      </c>
      <c r="L67" s="239">
        <f t="shared" ref="L67:O67" si="10">K67</f>
        <v>0.13660958054107719</v>
      </c>
      <c r="M67" s="239">
        <f t="shared" si="10"/>
        <v>0.13660958054107719</v>
      </c>
      <c r="N67" s="239">
        <f t="shared" si="10"/>
        <v>0.13660958054107719</v>
      </c>
      <c r="O67" s="240">
        <f t="shared" si="10"/>
        <v>0.13660958054107719</v>
      </c>
    </row>
    <row r="68" spans="1:15" hidden="1" outlineLevel="1"/>
    <row r="69" spans="1:15" hidden="1" outlineLevel="1"/>
    <row r="70" spans="1:15" collapsed="1"/>
    <row r="71" spans="1:15">
      <c r="A71" s="115" t="s">
        <v>8</v>
      </c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</row>
    <row r="72" spans="1:15" hidden="1" outlineLevel="1"/>
    <row r="73" spans="1:15" hidden="1" outlineLevel="1">
      <c r="A73" s="1" t="s">
        <v>9</v>
      </c>
      <c r="B73" s="3"/>
      <c r="C73" s="3"/>
      <c r="D73" s="3"/>
      <c r="E73" s="3"/>
      <c r="F73" s="4">
        <f>G73-1</f>
        <v>2020</v>
      </c>
      <c r="G73" s="4">
        <f>H73-1</f>
        <v>2021</v>
      </c>
      <c r="H73" s="4">
        <f>I73-1</f>
        <v>2022</v>
      </c>
      <c r="I73" s="4">
        <f>J73-1</f>
        <v>2023</v>
      </c>
      <c r="J73" s="4">
        <f>K73-1</f>
        <v>2024</v>
      </c>
      <c r="K73" s="7">
        <f>K$8</f>
        <v>2025</v>
      </c>
      <c r="L73" s="7">
        <f>L$8</f>
        <v>2026</v>
      </c>
      <c r="M73" s="7">
        <f>M$8</f>
        <v>2027</v>
      </c>
      <c r="N73" s="7">
        <f>N$8</f>
        <v>2028</v>
      </c>
      <c r="O73" s="7">
        <f>O$8</f>
        <v>2029</v>
      </c>
    </row>
    <row r="74" spans="1:15" hidden="1" outlineLevel="1">
      <c r="B74" s="1" t="s">
        <v>10</v>
      </c>
      <c r="K74" s="8"/>
      <c r="L74" s="8"/>
      <c r="M74" s="8"/>
      <c r="N74" s="8"/>
      <c r="O74" s="8"/>
    </row>
    <row r="75" spans="1:15" hidden="1" outlineLevel="1">
      <c r="C75" t="s">
        <v>11</v>
      </c>
      <c r="F75" s="32">
        <v>163220</v>
      </c>
      <c r="G75" s="32">
        <v>192052</v>
      </c>
      <c r="H75" s="32">
        <v>222730</v>
      </c>
      <c r="I75" s="32">
        <v>237710</v>
      </c>
      <c r="J75" s="32">
        <v>249625</v>
      </c>
      <c r="K75" s="29">
        <f>K275</f>
        <v>268403.2836600141</v>
      </c>
      <c r="L75" s="29">
        <f t="shared" ref="L75:O75" si="11">L275</f>
        <v>288878.38322904473</v>
      </c>
      <c r="M75" s="29">
        <f t="shared" si="11"/>
        <v>311716.97432471259</v>
      </c>
      <c r="N75" s="29">
        <f t="shared" si="11"/>
        <v>337054.68275485904</v>
      </c>
      <c r="O75" s="29">
        <f t="shared" si="11"/>
        <v>365216.17518177838</v>
      </c>
    </row>
    <row r="76" spans="1:15" hidden="1" outlineLevel="1">
      <c r="C76" t="s">
        <v>12</v>
      </c>
      <c r="F76" s="32">
        <v>3541</v>
      </c>
      <c r="G76" s="32">
        <v>3877</v>
      </c>
      <c r="H76" s="32">
        <v>4224</v>
      </c>
      <c r="I76" s="32">
        <v>4580</v>
      </c>
      <c r="J76" s="32">
        <v>4828</v>
      </c>
      <c r="K76" s="29">
        <f>K232</f>
        <v>5333.1934330902905</v>
      </c>
      <c r="L76" s="29">
        <f t="shared" ref="L76:O76" si="12">L232</f>
        <v>5997.7395505613586</v>
      </c>
      <c r="M76" s="29">
        <f t="shared" si="12"/>
        <v>6629.8008692559415</v>
      </c>
      <c r="N76" s="29">
        <f t="shared" si="12"/>
        <v>7189.2317424077373</v>
      </c>
      <c r="O76" s="29">
        <f t="shared" si="12"/>
        <v>7795.1636469940922</v>
      </c>
    </row>
    <row r="77" spans="1:15" hidden="1" outlineLevel="1">
      <c r="B77" s="5" t="s">
        <v>13</v>
      </c>
      <c r="C77" s="5"/>
      <c r="D77" s="5"/>
      <c r="E77" s="5"/>
      <c r="F77" s="30">
        <f>SUM(F75:F76)</f>
        <v>166761</v>
      </c>
      <c r="G77" s="30">
        <f>SUM(G75:G76)</f>
        <v>195929</v>
      </c>
      <c r="H77" s="30">
        <f>SUM(H75:H76)</f>
        <v>226954</v>
      </c>
      <c r="I77" s="30">
        <f t="shared" ref="I77:O77" si="13">SUM(I75:I76)</f>
        <v>242290</v>
      </c>
      <c r="J77" s="30">
        <f t="shared" si="13"/>
        <v>254453</v>
      </c>
      <c r="K77" s="31">
        <f t="shared" si="13"/>
        <v>273736.47709310439</v>
      </c>
      <c r="L77" s="31">
        <f t="shared" si="13"/>
        <v>294876.12277960608</v>
      </c>
      <c r="M77" s="31">
        <f t="shared" si="13"/>
        <v>318346.77519396855</v>
      </c>
      <c r="N77" s="31">
        <f t="shared" si="13"/>
        <v>344243.91449726676</v>
      </c>
      <c r="O77" s="31">
        <f t="shared" si="13"/>
        <v>373011.33882877248</v>
      </c>
    </row>
    <row r="78" spans="1:15" hidden="1" outlineLevel="1">
      <c r="F78" s="108"/>
      <c r="G78" s="108"/>
      <c r="H78" s="108"/>
      <c r="I78" s="108"/>
      <c r="J78" s="108"/>
      <c r="K78" s="29"/>
      <c r="L78" s="29"/>
      <c r="M78" s="29"/>
      <c r="N78" s="29"/>
      <c r="O78" s="29"/>
    </row>
    <row r="79" spans="1:15" hidden="1" outlineLevel="1">
      <c r="B79" s="1" t="s">
        <v>14</v>
      </c>
      <c r="F79" s="108"/>
      <c r="G79" s="108"/>
      <c r="H79" s="108"/>
      <c r="I79" s="108"/>
      <c r="J79" s="108"/>
      <c r="K79" s="29"/>
      <c r="L79" s="29"/>
      <c r="M79" s="29"/>
      <c r="N79" s="29"/>
      <c r="O79" s="29"/>
    </row>
    <row r="80" spans="1:15" hidden="1" outlineLevel="1">
      <c r="C80" t="s">
        <v>15</v>
      </c>
      <c r="F80" s="32">
        <v>-144939</v>
      </c>
      <c r="G80" s="32">
        <v>-170684</v>
      </c>
      <c r="H80" s="32">
        <v>-199382</v>
      </c>
      <c r="I80" s="32">
        <v>-212586</v>
      </c>
      <c r="J80" s="32">
        <v>-222358</v>
      </c>
      <c r="K80" s="29">
        <f>-K285</f>
        <v>-239253.94263381249</v>
      </c>
      <c r="L80" s="29">
        <f t="shared" ref="L80:O80" si="14">-L285</f>
        <v>-257505.38960163604</v>
      </c>
      <c r="M80" s="29">
        <f t="shared" si="14"/>
        <v>-277863.64636112313</v>
      </c>
      <c r="N80" s="29">
        <f t="shared" si="14"/>
        <v>-300449.60938122327</v>
      </c>
      <c r="O80" s="29">
        <f t="shared" si="14"/>
        <v>-325552.68562423752</v>
      </c>
    </row>
    <row r="81" spans="2:15" hidden="1" outlineLevel="1">
      <c r="C81" t="s">
        <v>16</v>
      </c>
      <c r="F81" s="32">
        <v>-16387</v>
      </c>
      <c r="G81" s="32">
        <v>-18537</v>
      </c>
      <c r="H81" s="32">
        <v>-19779</v>
      </c>
      <c r="I81" s="32">
        <v>-21590</v>
      </c>
      <c r="J81" s="32">
        <v>-22810</v>
      </c>
      <c r="K81" s="29">
        <f>-K295</f>
        <v>-24236.092944604818</v>
      </c>
      <c r="L81" s="29">
        <f t="shared" ref="L81:O81" si="15">-L295</f>
        <v>-25627.346941498196</v>
      </c>
      <c r="M81" s="29">
        <f t="shared" si="15"/>
        <v>-27159.663781853826</v>
      </c>
      <c r="N81" s="29">
        <f t="shared" si="15"/>
        <v>-28833.414072957909</v>
      </c>
      <c r="O81" s="29">
        <f t="shared" si="15"/>
        <v>-30663.981173479187</v>
      </c>
    </row>
    <row r="82" spans="2:15" hidden="1" outlineLevel="1">
      <c r="B82" s="5" t="s">
        <v>17</v>
      </c>
      <c r="C82" s="5"/>
      <c r="D82" s="5"/>
      <c r="E82" s="5"/>
      <c r="F82" s="30">
        <f>SUM(F77,F80,F81)</f>
        <v>5435</v>
      </c>
      <c r="G82" s="30">
        <f t="shared" ref="G82:O82" si="16">SUM(G77,G80,G81)</f>
        <v>6708</v>
      </c>
      <c r="H82" s="30">
        <f t="shared" si="16"/>
        <v>7793</v>
      </c>
      <c r="I82" s="30">
        <f t="shared" si="16"/>
        <v>8114</v>
      </c>
      <c r="J82" s="30">
        <f t="shared" si="16"/>
        <v>9285</v>
      </c>
      <c r="K82" s="31">
        <f t="shared" si="16"/>
        <v>10246.441514687082</v>
      </c>
      <c r="L82" s="31">
        <f t="shared" si="16"/>
        <v>11743.386236471852</v>
      </c>
      <c r="M82" s="31">
        <f t="shared" si="16"/>
        <v>13323.465050991599</v>
      </c>
      <c r="N82" s="31">
        <f t="shared" si="16"/>
        <v>14960.891043085576</v>
      </c>
      <c r="O82" s="31">
        <f t="shared" si="16"/>
        <v>16794.672031055772</v>
      </c>
    </row>
    <row r="83" spans="2:15" hidden="1" outlineLevel="1">
      <c r="F83" s="28"/>
      <c r="G83" s="28"/>
      <c r="H83" s="28"/>
      <c r="I83" s="28"/>
      <c r="J83" s="28"/>
      <c r="K83" s="29"/>
      <c r="L83" s="29"/>
      <c r="M83" s="29"/>
      <c r="N83" s="29"/>
      <c r="O83" s="29"/>
    </row>
    <row r="84" spans="2:15" hidden="1" outlineLevel="1">
      <c r="B84" s="1" t="s">
        <v>18</v>
      </c>
      <c r="F84" s="28"/>
      <c r="G84" s="28"/>
      <c r="H84" s="28"/>
      <c r="I84" s="28"/>
      <c r="J84" s="28"/>
      <c r="K84" s="29"/>
      <c r="L84" s="29"/>
      <c r="M84" s="29"/>
      <c r="N84" s="29"/>
      <c r="O84" s="29"/>
    </row>
    <row r="85" spans="2:15" hidden="1" outlineLevel="1">
      <c r="C85" t="s">
        <v>19</v>
      </c>
      <c r="F85" s="32">
        <v>-160</v>
      </c>
      <c r="G85" s="32">
        <v>-171</v>
      </c>
      <c r="H85" s="32">
        <v>-158</v>
      </c>
      <c r="I85" s="32">
        <v>-160</v>
      </c>
      <c r="J85" s="32">
        <v>-169</v>
      </c>
      <c r="K85" s="231">
        <f ca="1">-K435</f>
        <v>-139.9555</v>
      </c>
      <c r="L85" s="231">
        <f t="shared" ref="L85:O85" ca="1" si="17">-L435</f>
        <v>-138.38030000000001</v>
      </c>
      <c r="M85" s="231">
        <f t="shared" ca="1" si="17"/>
        <v>-137.7115</v>
      </c>
      <c r="N85" s="231">
        <f t="shared" ca="1" si="17"/>
        <v>-90.524000000000001</v>
      </c>
      <c r="O85" s="231">
        <f t="shared" ca="1" si="17"/>
        <v>-89.204000000000008</v>
      </c>
    </row>
    <row r="86" spans="2:15" hidden="1" outlineLevel="1">
      <c r="C86" t="s">
        <v>20</v>
      </c>
      <c r="F86" s="32">
        <v>92</v>
      </c>
      <c r="G86" s="32">
        <v>143</v>
      </c>
      <c r="H86" s="32">
        <v>205</v>
      </c>
      <c r="I86" s="32">
        <v>533</v>
      </c>
      <c r="J86" s="32">
        <v>624</v>
      </c>
      <c r="K86" s="231">
        <f ca="1">K390</f>
        <v>521.23114041707413</v>
      </c>
      <c r="L86" s="231">
        <f t="shared" ref="L86:O86" ca="1" si="18">L390</f>
        <v>497.06315860543191</v>
      </c>
      <c r="M86" s="231">
        <f t="shared" ca="1" si="18"/>
        <v>365.23385790357395</v>
      </c>
      <c r="N86" s="231">
        <f t="shared" ca="1" si="18"/>
        <v>290.8817625101089</v>
      </c>
      <c r="O86" s="231">
        <f t="shared" ca="1" si="18"/>
        <v>366.20816168219483</v>
      </c>
    </row>
    <row r="87" spans="2:15" hidden="1" outlineLevel="1">
      <c r="B87" s="6" t="s">
        <v>21</v>
      </c>
      <c r="C87" s="5"/>
      <c r="D87" s="5"/>
      <c r="E87" s="5"/>
      <c r="F87" s="30">
        <f>SUM(F82,F85,F86)</f>
        <v>5367</v>
      </c>
      <c r="G87" s="30">
        <f t="shared" ref="G87:O87" si="19">SUM(G82,G85,G86)</f>
        <v>6680</v>
      </c>
      <c r="H87" s="30">
        <f t="shared" si="19"/>
        <v>7840</v>
      </c>
      <c r="I87" s="30">
        <f t="shared" si="19"/>
        <v>8487</v>
      </c>
      <c r="J87" s="30">
        <f t="shared" si="19"/>
        <v>9740</v>
      </c>
      <c r="K87" s="31">
        <f t="shared" ca="1" si="19"/>
        <v>10627.717155104156</v>
      </c>
      <c r="L87" s="31">
        <f t="shared" ca="1" si="19"/>
        <v>12102.069095077282</v>
      </c>
      <c r="M87" s="31">
        <f t="shared" ca="1" si="19"/>
        <v>13550.987408895173</v>
      </c>
      <c r="N87" s="31">
        <f t="shared" ca="1" si="19"/>
        <v>15161.248805595686</v>
      </c>
      <c r="O87" s="31">
        <f t="shared" ca="1" si="19"/>
        <v>17071.676192737967</v>
      </c>
    </row>
    <row r="88" spans="2:15" hidden="1" outlineLevel="1">
      <c r="C88" t="s">
        <v>22</v>
      </c>
      <c r="F88" s="32">
        <v>-1308</v>
      </c>
      <c r="G88" s="32">
        <v>-1601</v>
      </c>
      <c r="H88" s="32">
        <v>-1925</v>
      </c>
      <c r="I88" s="32">
        <v>-2195</v>
      </c>
      <c r="J88" s="32">
        <v>-2373</v>
      </c>
      <c r="K88" s="29">
        <f ca="1">-K478</f>
        <v>-2649.1393789297217</v>
      </c>
      <c r="L88" s="29">
        <f t="shared" ref="L88:O88" ca="1" si="20">-L478</f>
        <v>-3016.6466926436951</v>
      </c>
      <c r="M88" s="29">
        <f t="shared" ca="1" si="20"/>
        <v>-3377.8142421718617</v>
      </c>
      <c r="N88" s="29">
        <f t="shared" ca="1" si="20"/>
        <v>-3779.1993010808646</v>
      </c>
      <c r="O88" s="29">
        <f t="shared" ca="1" si="20"/>
        <v>-4255.405841770913</v>
      </c>
    </row>
    <row r="89" spans="2:15" hidden="1" outlineLevel="1">
      <c r="B89" s="5" t="s">
        <v>23</v>
      </c>
      <c r="C89" s="5"/>
      <c r="D89" s="5"/>
      <c r="E89" s="5"/>
      <c r="F89" s="30">
        <f>SUM(F88,F87)</f>
        <v>4059</v>
      </c>
      <c r="G89" s="30">
        <f t="shared" ref="G89:O89" si="21">SUM(G88,G87)</f>
        <v>5079</v>
      </c>
      <c r="H89" s="30">
        <f t="shared" si="21"/>
        <v>5915</v>
      </c>
      <c r="I89" s="30">
        <f t="shared" si="21"/>
        <v>6292</v>
      </c>
      <c r="J89" s="30">
        <f t="shared" si="21"/>
        <v>7367</v>
      </c>
      <c r="K89" s="31">
        <f t="shared" ca="1" si="21"/>
        <v>7978.5777761744339</v>
      </c>
      <c r="L89" s="31">
        <f t="shared" ca="1" si="21"/>
        <v>9085.4224024335872</v>
      </c>
      <c r="M89" s="31">
        <f t="shared" ca="1" si="21"/>
        <v>10173.173166723311</v>
      </c>
      <c r="N89" s="31">
        <f t="shared" ca="1" si="21"/>
        <v>11382.04950451482</v>
      </c>
      <c r="O89" s="31">
        <f t="shared" ca="1" si="21"/>
        <v>12816.270350967054</v>
      </c>
    </row>
    <row r="90" spans="2:15" hidden="1" outlineLevel="1">
      <c r="B90" t="s">
        <v>24</v>
      </c>
      <c r="F90" s="32">
        <v>-57</v>
      </c>
      <c r="G90" s="32">
        <v>-72</v>
      </c>
      <c r="H90" s="32">
        <v>-71</v>
      </c>
      <c r="I90" s="32">
        <v>0</v>
      </c>
      <c r="J90" s="32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</row>
    <row r="91" spans="2:15" hidden="1" outlineLevel="1">
      <c r="B91" s="6" t="s">
        <v>25</v>
      </c>
      <c r="C91" s="5"/>
      <c r="D91" s="5"/>
      <c r="E91" s="5"/>
      <c r="F91" s="30">
        <f>SUM(F90,F89)</f>
        <v>4002</v>
      </c>
      <c r="G91" s="30">
        <f t="shared" ref="G91:O91" si="22">SUM(G90,G89)</f>
        <v>5007</v>
      </c>
      <c r="H91" s="30">
        <f t="shared" si="22"/>
        <v>5844</v>
      </c>
      <c r="I91" s="30">
        <f t="shared" si="22"/>
        <v>6292</v>
      </c>
      <c r="J91" s="30">
        <f t="shared" si="22"/>
        <v>7367</v>
      </c>
      <c r="K91" s="31">
        <f t="shared" ca="1" si="22"/>
        <v>7978.5777761744339</v>
      </c>
      <c r="L91" s="31">
        <f t="shared" ca="1" si="22"/>
        <v>9085.4224024335872</v>
      </c>
      <c r="M91" s="31">
        <f t="shared" ca="1" si="22"/>
        <v>10173.173166723311</v>
      </c>
      <c r="N91" s="31">
        <f t="shared" ca="1" si="22"/>
        <v>11382.04950451482</v>
      </c>
      <c r="O91" s="31">
        <f t="shared" ca="1" si="22"/>
        <v>12816.270350967054</v>
      </c>
    </row>
    <row r="92" spans="2:15" hidden="1" outlineLevel="1">
      <c r="F92" s="28"/>
      <c r="G92" s="28"/>
      <c r="H92" s="28"/>
      <c r="I92" s="28"/>
      <c r="J92" s="28"/>
      <c r="K92" s="29"/>
      <c r="L92" s="29"/>
      <c r="M92" s="29"/>
      <c r="N92" s="29"/>
      <c r="O92" s="29"/>
    </row>
    <row r="93" spans="2:15" hidden="1" outlineLevel="1">
      <c r="F93" s="28"/>
      <c r="G93" s="28"/>
      <c r="H93" s="28"/>
      <c r="I93" s="28"/>
      <c r="J93" s="28"/>
      <c r="K93" s="29"/>
      <c r="L93" s="29"/>
      <c r="M93" s="29"/>
      <c r="N93" s="29"/>
      <c r="O93" s="29"/>
    </row>
    <row r="94" spans="2:15" hidden="1" outlineLevel="1">
      <c r="B94" t="s">
        <v>26</v>
      </c>
      <c r="D94" t="s">
        <v>51</v>
      </c>
      <c r="F94" s="32">
        <v>442297</v>
      </c>
      <c r="G94" s="32">
        <v>443089</v>
      </c>
      <c r="H94" s="32">
        <v>443651</v>
      </c>
      <c r="I94" s="32">
        <v>443854</v>
      </c>
      <c r="J94" s="32">
        <v>443914</v>
      </c>
      <c r="K94" s="29">
        <f>K501</f>
        <v>443974.00811077515</v>
      </c>
      <c r="L94" s="29">
        <f t="shared" ref="L94:O94" si="23">L501</f>
        <v>444034.02433342184</v>
      </c>
      <c r="M94" s="29">
        <f t="shared" si="23"/>
        <v>444094.04866903665</v>
      </c>
      <c r="N94" s="29">
        <f t="shared" si="23"/>
        <v>444154.08111871633</v>
      </c>
      <c r="O94" s="29">
        <f t="shared" si="23"/>
        <v>444214.12168355769</v>
      </c>
    </row>
    <row r="95" spans="2:15" hidden="1" outlineLevel="1">
      <c r="B95" t="s">
        <v>30</v>
      </c>
      <c r="D95" t="s">
        <v>51</v>
      </c>
      <c r="F95" s="32">
        <v>443901</v>
      </c>
      <c r="G95" s="32">
        <v>444346</v>
      </c>
      <c r="H95" s="32">
        <v>444757</v>
      </c>
      <c r="I95" s="32">
        <v>444452</v>
      </c>
      <c r="J95" s="32">
        <v>444759</v>
      </c>
      <c r="K95" s="29">
        <f>K503</f>
        <v>444758.99999999994</v>
      </c>
      <c r="L95" s="29">
        <f t="shared" ref="L95:O95" si="24">L503</f>
        <v>444819.12233752536</v>
      </c>
      <c r="M95" s="29">
        <f t="shared" si="24"/>
        <v>444879.25280236342</v>
      </c>
      <c r="N95" s="29">
        <f t="shared" si="24"/>
        <v>444939.39139561279</v>
      </c>
      <c r="O95" s="29">
        <f t="shared" si="24"/>
        <v>444999.53811837232</v>
      </c>
    </row>
    <row r="96" spans="2:15" hidden="1" outlineLevel="1">
      <c r="B96" t="s">
        <v>27</v>
      </c>
      <c r="F96" s="28"/>
      <c r="G96" s="28"/>
      <c r="H96" s="28"/>
      <c r="I96" s="28"/>
      <c r="J96" s="28"/>
      <c r="K96" s="29"/>
      <c r="L96" s="29"/>
      <c r="M96" s="29"/>
      <c r="N96" s="29"/>
      <c r="O96" s="29"/>
    </row>
    <row r="97" spans="1:15" hidden="1" outlineLevel="1">
      <c r="C97" t="s">
        <v>28</v>
      </c>
      <c r="D97" t="s">
        <v>52</v>
      </c>
      <c r="F97" s="15">
        <f>(F91*1000)/F94</f>
        <v>9.0482187308527973</v>
      </c>
      <c r="G97" s="15">
        <f>(G91*1000)/G94</f>
        <v>11.300212824060177</v>
      </c>
      <c r="H97" s="15">
        <f>(H91*1000)/H94</f>
        <v>13.172516234607833</v>
      </c>
      <c r="I97" s="15">
        <f>(I91*1000)/I94</f>
        <v>14.175832593600598</v>
      </c>
      <c r="J97" s="15">
        <f>(J91*1000)/J94</f>
        <v>16.595556797037265</v>
      </c>
      <c r="K97" s="225">
        <f t="shared" ref="K97:O97" ca="1" si="25">(K91*1000)/K94</f>
        <v>17.970821783296181</v>
      </c>
      <c r="L97" s="225">
        <f t="shared" ca="1" si="25"/>
        <v>20.461095106557444</v>
      </c>
      <c r="M97" s="225">
        <f t="shared" ca="1" si="25"/>
        <v>22.907699837934373</v>
      </c>
      <c r="N97" s="225">
        <f t="shared" ca="1" si="25"/>
        <v>25.626353529942133</v>
      </c>
      <c r="O97" s="225">
        <f t="shared" ca="1" si="25"/>
        <v>28.851559924285585</v>
      </c>
    </row>
    <row r="98" spans="1:15" hidden="1" outlineLevel="1">
      <c r="C98" t="s">
        <v>29</v>
      </c>
      <c r="D98" t="s">
        <v>52</v>
      </c>
      <c r="F98" s="15">
        <f>(F91*1000)/F95</f>
        <v>9.0155237316428671</v>
      </c>
      <c r="G98" s="15">
        <f>(G91*1000)/G95</f>
        <v>11.268245916470498</v>
      </c>
      <c r="H98" s="15">
        <f>(H91*1000)/H95</f>
        <v>13.139759464156832</v>
      </c>
      <c r="I98" s="15">
        <f>(I91*1000)/I95</f>
        <v>14.156759335091303</v>
      </c>
      <c r="J98" s="15">
        <f>(J91*1000)/J95</f>
        <v>16.564026810025204</v>
      </c>
      <c r="K98" s="225">
        <f t="shared" ref="K98:O98" ca="1" si="26">(K91*1000)/K95</f>
        <v>17.939103595822534</v>
      </c>
      <c r="L98" s="225">
        <f t="shared" ca="1" si="26"/>
        <v>20.424981630038012</v>
      </c>
      <c r="M98" s="225">
        <f t="shared" ca="1" si="26"/>
        <v>22.867268146673318</v>
      </c>
      <c r="N98" s="225">
        <f t="shared" ca="1" si="26"/>
        <v>25.581123462261854</v>
      </c>
      <c r="O98" s="225">
        <f t="shared" ca="1" si="26"/>
        <v>28.800637423488414</v>
      </c>
    </row>
    <row r="99" spans="1:15" hidden="1" outlineLevel="1">
      <c r="F99" s="15"/>
      <c r="G99" s="15"/>
      <c r="H99" s="15"/>
      <c r="I99" s="15"/>
      <c r="J99" s="15"/>
      <c r="K99" s="29"/>
      <c r="L99" s="29"/>
      <c r="M99" s="29"/>
      <c r="N99" s="29"/>
      <c r="O99" s="29"/>
    </row>
    <row r="100" spans="1:15" collapsed="1"/>
    <row r="101" spans="1:15">
      <c r="A101" s="115" t="s">
        <v>53</v>
      </c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</row>
    <row r="102" spans="1:15" hidden="1" outlineLevel="1"/>
    <row r="103" spans="1:15" hidden="1" outlineLevel="1">
      <c r="A103" s="2" t="s">
        <v>54</v>
      </c>
      <c r="B103" s="3"/>
      <c r="C103" s="3"/>
      <c r="D103" s="3"/>
      <c r="E103" s="3"/>
      <c r="F103" s="4">
        <f>G103-1</f>
        <v>2020</v>
      </c>
      <c r="G103" s="4">
        <f>H103-1</f>
        <v>2021</v>
      </c>
      <c r="H103" s="4">
        <f>I103-1</f>
        <v>2022</v>
      </c>
      <c r="I103" s="4">
        <f>J103-1</f>
        <v>2023</v>
      </c>
      <c r="J103" s="4">
        <f>K103-1</f>
        <v>2024</v>
      </c>
      <c r="K103" s="7">
        <f>K$8</f>
        <v>2025</v>
      </c>
      <c r="L103" s="7">
        <f>L$8</f>
        <v>2026</v>
      </c>
      <c r="M103" s="7">
        <f>M$8</f>
        <v>2027</v>
      </c>
      <c r="N103" s="7">
        <f>N$8</f>
        <v>2028</v>
      </c>
      <c r="O103" s="7">
        <f>O$8</f>
        <v>2029</v>
      </c>
    </row>
    <row r="104" spans="1:15" hidden="1" outlineLevel="1">
      <c r="B104" s="1" t="s">
        <v>65</v>
      </c>
      <c r="K104" s="8"/>
      <c r="L104" s="8"/>
      <c r="M104" s="8"/>
      <c r="N104" s="8"/>
      <c r="O104" s="8"/>
    </row>
    <row r="105" spans="1:15" hidden="1" outlineLevel="1">
      <c r="C105" t="s">
        <v>23</v>
      </c>
      <c r="F105" s="32">
        <v>4059</v>
      </c>
      <c r="G105" s="32">
        <v>5079</v>
      </c>
      <c r="H105" s="32">
        <v>5915</v>
      </c>
      <c r="I105" s="32">
        <v>6292</v>
      </c>
      <c r="J105" s="32">
        <v>7367</v>
      </c>
      <c r="K105" s="29">
        <f ca="1">K89</f>
        <v>7978.5777761744339</v>
      </c>
      <c r="L105" s="29">
        <f ca="1">L89</f>
        <v>9085.4224024335872</v>
      </c>
      <c r="M105" s="29">
        <f ca="1">M89</f>
        <v>10173.173166723311</v>
      </c>
      <c r="N105" s="29">
        <f ca="1">N89</f>
        <v>11382.04950451482</v>
      </c>
      <c r="O105" s="29">
        <f ca="1">O89</f>
        <v>12816.270350967054</v>
      </c>
    </row>
    <row r="106" spans="1:15" hidden="1" outlineLevel="1">
      <c r="C106" t="s">
        <v>55</v>
      </c>
      <c r="F106" s="32">
        <v>1645</v>
      </c>
      <c r="G106" s="32">
        <v>1781</v>
      </c>
      <c r="H106" s="32">
        <v>1900</v>
      </c>
      <c r="I106" s="32">
        <v>2077</v>
      </c>
      <c r="J106" s="32">
        <v>2237</v>
      </c>
      <c r="K106" s="29">
        <f>-K367</f>
        <v>2409.1035135608377</v>
      </c>
      <c r="L106" s="29">
        <f>-L367</f>
        <v>2601.0057317948117</v>
      </c>
      <c r="M106" s="29">
        <f>-M367</f>
        <v>2797.6916436195984</v>
      </c>
      <c r="N106" s="29">
        <f>-N367</f>
        <v>2999.2569229070127</v>
      </c>
      <c r="O106" s="29">
        <f>-O367</f>
        <v>3205.7991570063077</v>
      </c>
    </row>
    <row r="107" spans="1:15" hidden="1" outlineLevel="1">
      <c r="C107" t="s">
        <v>56</v>
      </c>
      <c r="F107" s="32">
        <v>194</v>
      </c>
      <c r="G107" s="32">
        <v>286</v>
      </c>
      <c r="H107" s="32">
        <v>377</v>
      </c>
      <c r="I107" s="32">
        <v>412</v>
      </c>
      <c r="J107" s="32">
        <v>315</v>
      </c>
      <c r="K107" s="29">
        <v>0</v>
      </c>
      <c r="L107" s="29">
        <f>K107</f>
        <v>0</v>
      </c>
      <c r="M107" s="29">
        <f t="shared" ref="M107:O107" si="27">L107</f>
        <v>0</v>
      </c>
      <c r="N107" s="29">
        <f t="shared" si="27"/>
        <v>0</v>
      </c>
      <c r="O107" s="29">
        <f t="shared" si="27"/>
        <v>0</v>
      </c>
    </row>
    <row r="108" spans="1:15" hidden="1" outlineLevel="1">
      <c r="C108" t="s">
        <v>57</v>
      </c>
      <c r="F108" s="32">
        <v>619</v>
      </c>
      <c r="G108" s="32">
        <v>665</v>
      </c>
      <c r="H108" s="32">
        <v>724</v>
      </c>
      <c r="I108" s="32">
        <v>774</v>
      </c>
      <c r="J108" s="32">
        <v>818</v>
      </c>
      <c r="K108" s="29">
        <f>K491</f>
        <v>874.25721279842162</v>
      </c>
      <c r="L108" s="29">
        <f t="shared" ref="L108:O108" si="28">L491</f>
        <v>934.38346470668046</v>
      </c>
      <c r="M108" s="29">
        <f t="shared" si="28"/>
        <v>998.64484540268313</v>
      </c>
      <c r="N108" s="29">
        <f t="shared" si="28"/>
        <v>1067.3257446421276</v>
      </c>
      <c r="O108" s="29">
        <f t="shared" si="28"/>
        <v>1140.7301108298609</v>
      </c>
    </row>
    <row r="109" spans="1:15" hidden="1" outlineLevel="1">
      <c r="C109" t="s">
        <v>58</v>
      </c>
      <c r="F109" s="32">
        <v>146</v>
      </c>
      <c r="G109" s="32">
        <v>144</v>
      </c>
      <c r="H109" s="32">
        <v>39</v>
      </c>
      <c r="I109" s="32">
        <v>495</v>
      </c>
      <c r="J109" s="32">
        <v>-9</v>
      </c>
      <c r="K109" s="29">
        <f>K461</f>
        <v>-35.149791818910217</v>
      </c>
      <c r="L109" s="29">
        <f t="shared" ref="L109:O109" si="29">L461</f>
        <v>-39.587194396777249</v>
      </c>
      <c r="M109" s="29">
        <f t="shared" si="29"/>
        <v>-45.361424460797934</v>
      </c>
      <c r="N109" s="29">
        <f t="shared" si="29"/>
        <v>-51.367209449050279</v>
      </c>
      <c r="O109" s="29">
        <f t="shared" si="29"/>
        <v>-58.615410485611392</v>
      </c>
    </row>
    <row r="110" spans="1:15" hidden="1" outlineLevel="1">
      <c r="C110" t="s">
        <v>59</v>
      </c>
      <c r="F110" s="28"/>
      <c r="G110" s="28"/>
      <c r="H110" s="28"/>
      <c r="I110" s="28"/>
      <c r="J110" s="28"/>
      <c r="K110" s="29"/>
      <c r="L110" s="29"/>
      <c r="M110" s="29"/>
      <c r="N110" s="29"/>
      <c r="O110" s="29"/>
    </row>
    <row r="111" spans="1:15" hidden="1" outlineLevel="1">
      <c r="C111" t="s">
        <v>60</v>
      </c>
      <c r="F111" s="32">
        <v>-791</v>
      </c>
      <c r="G111" s="32">
        <v>-1892</v>
      </c>
      <c r="H111" s="32">
        <v>-4003</v>
      </c>
      <c r="I111" s="32">
        <v>1228</v>
      </c>
      <c r="J111" s="32">
        <v>-2068</v>
      </c>
      <c r="K111" s="29">
        <f>K323</f>
        <v>-1416.8981655380121</v>
      </c>
      <c r="L111" s="29">
        <f t="shared" ref="L111:O111" si="30">L323</f>
        <v>-1530.5711132903052</v>
      </c>
      <c r="M111" s="29">
        <f t="shared" si="30"/>
        <v>-1707.2487330977783</v>
      </c>
      <c r="N111" s="29">
        <f t="shared" si="30"/>
        <v>-1894.0647623913101</v>
      </c>
      <c r="O111" s="29">
        <f t="shared" si="30"/>
        <v>-2105.1505351886917</v>
      </c>
    </row>
    <row r="112" spans="1:15" hidden="1" outlineLevel="1">
      <c r="C112" t="s">
        <v>61</v>
      </c>
      <c r="F112" s="32">
        <v>2261</v>
      </c>
      <c r="G112" s="32">
        <v>1838</v>
      </c>
      <c r="H112" s="32">
        <v>1891</v>
      </c>
      <c r="I112" s="32">
        <v>-382</v>
      </c>
      <c r="J112" s="32">
        <v>1938</v>
      </c>
      <c r="K112" s="29">
        <f>K324</f>
        <v>1475.7107992124074</v>
      </c>
      <c r="L112" s="29">
        <f t="shared" ref="L112:O112" si="31">L324</f>
        <v>1594.1020856551186</v>
      </c>
      <c r="M112" s="29">
        <f t="shared" si="31"/>
        <v>1778.1132431754122</v>
      </c>
      <c r="N112" s="29">
        <f t="shared" si="31"/>
        <v>1972.6836354588741</v>
      </c>
      <c r="O112" s="29">
        <f t="shared" si="31"/>
        <v>2192.5311601812391</v>
      </c>
    </row>
    <row r="113" spans="2:15" hidden="1" outlineLevel="1">
      <c r="C113" t="s">
        <v>62</v>
      </c>
      <c r="F113" s="32">
        <v>728</v>
      </c>
      <c r="G113" s="32">
        <v>1057</v>
      </c>
      <c r="H113" s="32">
        <v>549</v>
      </c>
      <c r="I113" s="32">
        <v>172</v>
      </c>
      <c r="J113" s="32">
        <v>741</v>
      </c>
      <c r="K113" s="29">
        <f>K336</f>
        <v>1167.4769021301263</v>
      </c>
      <c r="L113" s="29">
        <f t="shared" ref="L113:O113" si="32">L336</f>
        <v>1180.1876091418103</v>
      </c>
      <c r="M113" s="29">
        <f t="shared" si="32"/>
        <v>1167.4086632739532</v>
      </c>
      <c r="N113" s="29">
        <f t="shared" si="32"/>
        <v>1279.7296635687121</v>
      </c>
      <c r="O113" s="29">
        <f t="shared" si="32"/>
        <v>1402.085148300102</v>
      </c>
    </row>
    <row r="114" spans="2:15" hidden="1" outlineLevel="1">
      <c r="B114" s="5" t="s">
        <v>63</v>
      </c>
      <c r="C114" s="5"/>
      <c r="D114" s="5"/>
      <c r="E114" s="5"/>
      <c r="F114" s="30">
        <f>SUM(F111:F113,F105:F109)</f>
        <v>8861</v>
      </c>
      <c r="G114" s="30">
        <f>SUM(G111:G113,G105:G109)</f>
        <v>8958</v>
      </c>
      <c r="H114" s="30">
        <f>SUM(H111:H113,H105:H109)</f>
        <v>7392</v>
      </c>
      <c r="I114" s="30">
        <f>SUM(I111:I113,I105:I109)</f>
        <v>11068</v>
      </c>
      <c r="J114" s="30">
        <f>SUM(J111:J113,J105:J109)</f>
        <v>11339</v>
      </c>
      <c r="K114" s="31">
        <f t="shared" ref="K114:O114" ca="1" si="33">SUM(K111:K113,K105:K109)</f>
        <v>12453.078246519306</v>
      </c>
      <c r="L114" s="31">
        <f t="shared" ca="1" si="33"/>
        <v>13824.942986044925</v>
      </c>
      <c r="M114" s="31">
        <f t="shared" ca="1" si="33"/>
        <v>15162.421404636381</v>
      </c>
      <c r="N114" s="31">
        <f t="shared" ca="1" si="33"/>
        <v>16755.613499251187</v>
      </c>
      <c r="O114" s="31">
        <f t="shared" ca="1" si="33"/>
        <v>18593.649981610262</v>
      </c>
    </row>
    <row r="115" spans="2:15" hidden="1" outlineLevel="1">
      <c r="F115" s="28"/>
      <c r="G115" s="28"/>
      <c r="H115" s="28"/>
      <c r="I115" s="28"/>
      <c r="J115" s="28"/>
      <c r="K115" s="8"/>
      <c r="L115" s="8"/>
      <c r="M115" s="8"/>
      <c r="N115" s="8"/>
      <c r="O115" s="8"/>
    </row>
    <row r="116" spans="2:15" hidden="1" outlineLevel="1">
      <c r="B116" s="1" t="s">
        <v>64</v>
      </c>
      <c r="F116" s="28"/>
      <c r="G116" s="28"/>
      <c r="H116" s="28"/>
      <c r="I116" s="28"/>
      <c r="J116" s="28"/>
      <c r="K116" s="8"/>
      <c r="L116" s="8"/>
      <c r="M116" s="8"/>
      <c r="N116" s="8"/>
      <c r="O116" s="8"/>
    </row>
    <row r="117" spans="2:15" hidden="1" outlineLevel="1">
      <c r="C117" t="s">
        <v>66</v>
      </c>
      <c r="F117" s="32">
        <v>-2810</v>
      </c>
      <c r="G117" s="32">
        <v>-3588</v>
      </c>
      <c r="H117" s="32">
        <v>-3891</v>
      </c>
      <c r="I117" s="32">
        <v>-4323</v>
      </c>
      <c r="J117" s="32">
        <v>-4710</v>
      </c>
      <c r="K117" s="29">
        <f>-K349</f>
        <v>-4804.2000000000007</v>
      </c>
      <c r="L117" s="29">
        <f t="shared" ref="L117:O117" si="34">-L349</f>
        <v>-4900.2839999999997</v>
      </c>
      <c r="M117" s="29">
        <f t="shared" si="34"/>
        <v>-4998.2896800000008</v>
      </c>
      <c r="N117" s="29">
        <f t="shared" si="34"/>
        <v>-5098.2554736000011</v>
      </c>
      <c r="O117" s="29">
        <f t="shared" si="34"/>
        <v>-5200.2205830720004</v>
      </c>
    </row>
    <row r="118" spans="2:15" hidden="1" outlineLevel="1">
      <c r="C118" t="s">
        <v>67</v>
      </c>
      <c r="F118" s="32">
        <v>-1081</v>
      </c>
      <c r="G118" s="32">
        <v>53</v>
      </c>
      <c r="H118" s="32">
        <v>-24</v>
      </c>
      <c r="I118" s="32">
        <v>-649</v>
      </c>
      <c r="J118" s="32">
        <v>301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</row>
    <row r="119" spans="2:15" hidden="1" outlineLevel="1">
      <c r="B119" s="5" t="s">
        <v>68</v>
      </c>
      <c r="C119" s="5"/>
      <c r="D119" s="5"/>
      <c r="E119" s="5"/>
      <c r="F119" s="30">
        <f>SUM(F117:F118)</f>
        <v>-3891</v>
      </c>
      <c r="G119" s="30">
        <f>SUM(G117:G118)</f>
        <v>-3535</v>
      </c>
      <c r="H119" s="30">
        <f>SUM(H117:H118)</f>
        <v>-3915</v>
      </c>
      <c r="I119" s="30">
        <f>SUM(I117:I118)</f>
        <v>-4972</v>
      </c>
      <c r="J119" s="30">
        <f>SUM(J117:J118)</f>
        <v>-4409</v>
      </c>
      <c r="K119" s="31">
        <f t="shared" ref="K119:O119" si="35">SUM(K117:K118)</f>
        <v>-4804.2000000000007</v>
      </c>
      <c r="L119" s="31">
        <f t="shared" si="35"/>
        <v>-4900.2839999999997</v>
      </c>
      <c r="M119" s="31">
        <f t="shared" si="35"/>
        <v>-4998.2896800000008</v>
      </c>
      <c r="N119" s="31">
        <f t="shared" si="35"/>
        <v>-5098.2554736000011</v>
      </c>
      <c r="O119" s="31">
        <f t="shared" si="35"/>
        <v>-5200.2205830720004</v>
      </c>
    </row>
    <row r="120" spans="2:15" hidden="1" outlineLevel="1">
      <c r="F120" s="28"/>
      <c r="G120" s="28"/>
      <c r="H120" s="28"/>
      <c r="I120" s="28"/>
      <c r="J120" s="28"/>
      <c r="K120" s="8"/>
      <c r="L120" s="8"/>
      <c r="M120" s="8"/>
      <c r="N120" s="8"/>
      <c r="O120" s="8"/>
    </row>
    <row r="121" spans="2:15" hidden="1" outlineLevel="1">
      <c r="B121" s="1" t="s">
        <v>69</v>
      </c>
      <c r="F121" s="28"/>
      <c r="G121" s="28"/>
      <c r="H121" s="28"/>
      <c r="I121" s="28"/>
      <c r="J121" s="28"/>
      <c r="K121" s="8"/>
      <c r="L121" s="8"/>
      <c r="M121" s="8"/>
      <c r="N121" s="8"/>
      <c r="O121" s="8"/>
    </row>
    <row r="122" spans="2:15" hidden="1" outlineLevel="1">
      <c r="C122" t="s">
        <v>70</v>
      </c>
      <c r="F122" s="32">
        <v>929</v>
      </c>
      <c r="G122" s="32">
        <v>-53</v>
      </c>
      <c r="H122" s="32">
        <v>-753</v>
      </c>
      <c r="I122" s="32">
        <v>-93</v>
      </c>
      <c r="J122" s="32">
        <v>-571</v>
      </c>
      <c r="K122" s="163">
        <f>K425</f>
        <v>-103</v>
      </c>
      <c r="L122" s="163">
        <f t="shared" ref="L122:O122" si="36">L425</f>
        <v>-76</v>
      </c>
      <c r="M122" s="163">
        <f t="shared" si="36"/>
        <v>-2250</v>
      </c>
      <c r="N122" s="163">
        <f t="shared" si="36"/>
        <v>0</v>
      </c>
      <c r="O122" s="163">
        <f t="shared" si="36"/>
        <v>-150</v>
      </c>
    </row>
    <row r="123" spans="2:15" hidden="1" outlineLevel="1">
      <c r="C123" t="s">
        <v>71</v>
      </c>
      <c r="F123" s="32">
        <v>-196</v>
      </c>
      <c r="G123" s="32">
        <v>-496</v>
      </c>
      <c r="H123" s="32">
        <v>-439</v>
      </c>
      <c r="I123" s="32">
        <v>-676</v>
      </c>
      <c r="J123" s="32">
        <v>-700</v>
      </c>
      <c r="K123" s="29">
        <f>-K531</f>
        <v>-774</v>
      </c>
      <c r="L123" s="29">
        <f t="shared" ref="L123:O123" si="37">-L531</f>
        <v>-818</v>
      </c>
      <c r="M123" s="29">
        <f t="shared" si="37"/>
        <v>-874.25721279842162</v>
      </c>
      <c r="N123" s="29">
        <f t="shared" si="37"/>
        <v>-934.38346470668046</v>
      </c>
      <c r="O123" s="29">
        <f t="shared" si="37"/>
        <v>-998.64484540268313</v>
      </c>
    </row>
    <row r="124" spans="2:15" hidden="1" outlineLevel="1">
      <c r="C124" t="s">
        <v>72</v>
      </c>
      <c r="F124" s="32">
        <v>-1479</v>
      </c>
      <c r="G124" s="32">
        <v>-5748</v>
      </c>
      <c r="H124" s="32">
        <v>-1498</v>
      </c>
      <c r="I124" s="32">
        <v>-1251</v>
      </c>
      <c r="J124" s="32">
        <v>-9041</v>
      </c>
      <c r="K124" s="29">
        <f>-K519</f>
        <v>-2196.8438924676716</v>
      </c>
      <c r="L124" s="29">
        <f t="shared" ref="L124:O124" si="38">-L519</f>
        <v>-2497.2919524678455</v>
      </c>
      <c r="M124" s="29">
        <f t="shared" si="38"/>
        <v>-9488.4210707077909</v>
      </c>
      <c r="N124" s="29">
        <f t="shared" si="38"/>
        <v>-3227.078714162807</v>
      </c>
      <c r="O124" s="29">
        <f t="shared" si="38"/>
        <v>-3668.4252939884523</v>
      </c>
    </row>
    <row r="125" spans="2:15" hidden="1" outlineLevel="1">
      <c r="C125" t="s">
        <v>394</v>
      </c>
      <c r="F125" s="32"/>
      <c r="G125" s="32"/>
      <c r="H125" s="32"/>
      <c r="I125" s="32"/>
      <c r="J125" s="32"/>
      <c r="K125" s="8"/>
      <c r="L125" s="8"/>
      <c r="M125" s="8"/>
      <c r="N125" s="8"/>
      <c r="O125" s="8"/>
    </row>
    <row r="126" spans="2:15" hidden="1" outlineLevel="1">
      <c r="C126" t="s">
        <v>73</v>
      </c>
      <c r="F126" s="28"/>
      <c r="G126" s="32">
        <v>-67</v>
      </c>
      <c r="H126" s="32">
        <v>-180</v>
      </c>
      <c r="I126" s="32">
        <v>-291</v>
      </c>
      <c r="J126" s="32">
        <v>-137</v>
      </c>
      <c r="K126" s="8"/>
      <c r="L126" s="8"/>
      <c r="M126" s="8"/>
      <c r="N126" s="8"/>
      <c r="O126" s="8"/>
    </row>
    <row r="127" spans="2:15" hidden="1" outlineLevel="1">
      <c r="C127" t="s">
        <v>74</v>
      </c>
      <c r="F127" s="32">
        <v>-401</v>
      </c>
      <c r="G127" s="32">
        <v>-124</v>
      </c>
      <c r="H127" s="32">
        <v>-1413</v>
      </c>
      <c r="I127" s="32">
        <v>-303</v>
      </c>
      <c r="J127" s="32">
        <v>-315</v>
      </c>
      <c r="K127" s="29">
        <f>-K497</f>
        <v>-398.70159626940585</v>
      </c>
      <c r="L127" s="29">
        <f t="shared" ref="L127:O127" si="39">-L497</f>
        <v>-426.12193923321797</v>
      </c>
      <c r="M127" s="29">
        <f t="shared" si="39"/>
        <v>-455.42809157248354</v>
      </c>
      <c r="N127" s="29">
        <f t="shared" si="39"/>
        <v>-486.74974812746177</v>
      </c>
      <c r="O127" s="29">
        <f t="shared" si="39"/>
        <v>-520.22552338416676</v>
      </c>
    </row>
    <row r="128" spans="2:15" hidden="1" outlineLevel="1">
      <c r="B128" s="5" t="s">
        <v>75</v>
      </c>
      <c r="C128" s="5"/>
      <c r="D128" s="5"/>
      <c r="E128" s="5"/>
      <c r="F128" s="30">
        <f>SUM(F122:F127)</f>
        <v>-1147</v>
      </c>
      <c r="G128" s="30">
        <f>SUM(G122:G127)</f>
        <v>-6488</v>
      </c>
      <c r="H128" s="30">
        <f>SUM(H122:H127)</f>
        <v>-4283</v>
      </c>
      <c r="I128" s="30">
        <f>SUM(I122:I127)</f>
        <v>-2614</v>
      </c>
      <c r="J128" s="30">
        <f>SUM(J122:J127)</f>
        <v>-10764</v>
      </c>
      <c r="K128" s="31">
        <f t="shared" ref="K128:O128" si="40">SUM(K122:K127)</f>
        <v>-3472.5454887370774</v>
      </c>
      <c r="L128" s="31">
        <f t="shared" si="40"/>
        <v>-3817.4138917010632</v>
      </c>
      <c r="M128" s="31">
        <f t="shared" si="40"/>
        <v>-13068.106375078696</v>
      </c>
      <c r="N128" s="31">
        <f t="shared" si="40"/>
        <v>-4648.2119269969498</v>
      </c>
      <c r="O128" s="31">
        <f t="shared" si="40"/>
        <v>-5337.2956627753019</v>
      </c>
    </row>
    <row r="129" spans="1:15" hidden="1" outlineLevel="1">
      <c r="F129" s="28"/>
      <c r="G129" s="28"/>
      <c r="H129" s="28"/>
      <c r="I129" s="28"/>
      <c r="J129" s="28"/>
      <c r="K129" s="8"/>
      <c r="L129" s="8"/>
      <c r="M129" s="8"/>
      <c r="N129" s="8"/>
      <c r="O129" s="8"/>
    </row>
    <row r="130" spans="1:15" hidden="1" outlineLevel="1">
      <c r="B130" t="s">
        <v>76</v>
      </c>
      <c r="F130" s="32">
        <v>70</v>
      </c>
      <c r="G130" s="32">
        <v>46</v>
      </c>
      <c r="H130" s="32">
        <v>-249</v>
      </c>
      <c r="I130" s="32">
        <v>15</v>
      </c>
      <c r="J130" s="32">
        <v>40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</row>
    <row r="131" spans="1:15" hidden="1" outlineLevel="1">
      <c r="B131" s="5" t="s">
        <v>77</v>
      </c>
      <c r="C131" s="5"/>
      <c r="D131" s="5"/>
      <c r="E131" s="5"/>
      <c r="F131" s="30">
        <f t="shared" ref="F131:K131" si="41">F114+F119+F128+F130</f>
        <v>3893</v>
      </c>
      <c r="G131" s="30">
        <f t="shared" si="41"/>
        <v>-1019</v>
      </c>
      <c r="H131" s="30">
        <f t="shared" si="41"/>
        <v>-1055</v>
      </c>
      <c r="I131" s="30">
        <f t="shared" si="41"/>
        <v>3497</v>
      </c>
      <c r="J131" s="30">
        <f t="shared" si="41"/>
        <v>-3794</v>
      </c>
      <c r="K131" s="31">
        <f t="shared" ca="1" si="41"/>
        <v>4176.3327577822274</v>
      </c>
      <c r="L131" s="31">
        <f t="shared" ref="L131:O131" ca="1" si="42">L114+L119+L128+L130</f>
        <v>5107.2450943438625</v>
      </c>
      <c r="M131" s="31">
        <f t="shared" ca="1" si="42"/>
        <v>-2903.9746504423165</v>
      </c>
      <c r="N131" s="31">
        <f t="shared" ca="1" si="42"/>
        <v>7009.1460986542352</v>
      </c>
      <c r="O131" s="31">
        <f t="shared" ca="1" si="42"/>
        <v>8056.1337357629591</v>
      </c>
    </row>
    <row r="132" spans="1:15" hidden="1" outlineLevel="1">
      <c r="B132" t="s">
        <v>78</v>
      </c>
      <c r="F132" s="32">
        <v>8384</v>
      </c>
      <c r="G132" s="28">
        <f>F133</f>
        <v>12277</v>
      </c>
      <c r="H132" s="28">
        <f t="shared" ref="H132:O132" si="43">G133</f>
        <v>11258</v>
      </c>
      <c r="I132" s="28">
        <f t="shared" si="43"/>
        <v>10203</v>
      </c>
      <c r="J132" s="28">
        <f t="shared" si="43"/>
        <v>13700</v>
      </c>
      <c r="K132" s="29">
        <f t="shared" si="43"/>
        <v>9906</v>
      </c>
      <c r="L132" s="29">
        <f t="shared" ca="1" si="43"/>
        <v>14082.332757782227</v>
      </c>
      <c r="M132" s="29">
        <f t="shared" ca="1" si="43"/>
        <v>19189.577852126091</v>
      </c>
      <c r="N132" s="29">
        <f t="shared" ca="1" si="43"/>
        <v>16285.603201683774</v>
      </c>
      <c r="O132" s="29">
        <f t="shared" ca="1" si="43"/>
        <v>23294.749300338008</v>
      </c>
    </row>
    <row r="133" spans="1:15" ht="15" hidden="1" outlineLevel="1" thickBot="1">
      <c r="B133" s="33" t="s">
        <v>79</v>
      </c>
      <c r="C133" s="33"/>
      <c r="D133" s="33"/>
      <c r="E133" s="33"/>
      <c r="F133" s="100">
        <f t="shared" ref="F133:O133" si="44">F132+F131</f>
        <v>12277</v>
      </c>
      <c r="G133" s="100">
        <f t="shared" si="44"/>
        <v>11258</v>
      </c>
      <c r="H133" s="100">
        <f t="shared" si="44"/>
        <v>10203</v>
      </c>
      <c r="I133" s="100">
        <f t="shared" si="44"/>
        <v>13700</v>
      </c>
      <c r="J133" s="100">
        <f t="shared" si="44"/>
        <v>9906</v>
      </c>
      <c r="K133" s="101">
        <f t="shared" ca="1" si="44"/>
        <v>14082.332757782227</v>
      </c>
      <c r="L133" s="101">
        <f t="shared" ca="1" si="44"/>
        <v>19189.577852126091</v>
      </c>
      <c r="M133" s="101">
        <f t="shared" ca="1" si="44"/>
        <v>16285.603201683774</v>
      </c>
      <c r="N133" s="101">
        <f t="shared" ca="1" si="44"/>
        <v>23294.749300338008</v>
      </c>
      <c r="O133" s="101">
        <f t="shared" ca="1" si="44"/>
        <v>31350.883036100968</v>
      </c>
    </row>
    <row r="134" spans="1:15" ht="15" hidden="1" outlineLevel="1" thickTop="1">
      <c r="F134" s="28"/>
      <c r="G134" s="28"/>
      <c r="H134" s="28"/>
      <c r="I134" s="28"/>
      <c r="J134" s="28"/>
      <c r="K134" s="8"/>
      <c r="L134" s="8"/>
      <c r="M134" s="8"/>
      <c r="N134" s="8"/>
      <c r="O134" s="8"/>
    </row>
    <row r="135" spans="1:15" hidden="1" outlineLevel="1">
      <c r="B135" t="s">
        <v>80</v>
      </c>
      <c r="F135" s="28"/>
      <c r="G135" s="28"/>
      <c r="H135" s="28"/>
      <c r="I135" s="28"/>
      <c r="J135" s="28"/>
      <c r="K135" s="8"/>
      <c r="L135" s="8"/>
      <c r="M135" s="8"/>
      <c r="N135" s="8"/>
      <c r="O135" s="8"/>
    </row>
    <row r="136" spans="1:15" hidden="1" outlineLevel="1">
      <c r="B136" t="s">
        <v>81</v>
      </c>
      <c r="F136" s="28">
        <v>124</v>
      </c>
      <c r="G136" s="28">
        <v>149</v>
      </c>
      <c r="H136" s="28">
        <v>145</v>
      </c>
      <c r="I136" s="28">
        <v>125</v>
      </c>
      <c r="J136" s="28">
        <v>129</v>
      </c>
      <c r="K136" s="8"/>
      <c r="L136" s="8"/>
      <c r="M136" s="8"/>
      <c r="N136" s="8"/>
      <c r="O136" s="8"/>
    </row>
    <row r="137" spans="1:15" hidden="1" outlineLevel="1">
      <c r="B137" t="s">
        <v>82</v>
      </c>
      <c r="F137" s="28">
        <v>1052</v>
      </c>
      <c r="G137" s="28">
        <v>1527</v>
      </c>
      <c r="H137" s="28">
        <v>1940</v>
      </c>
      <c r="I137" s="28">
        <v>2234</v>
      </c>
      <c r="J137" s="28">
        <v>2319</v>
      </c>
      <c r="K137" s="8"/>
      <c r="L137" s="8"/>
      <c r="M137" s="8"/>
      <c r="N137" s="8"/>
      <c r="O137" s="8"/>
    </row>
    <row r="138" spans="1:15" hidden="1" outlineLevel="1">
      <c r="F138" s="28"/>
      <c r="G138" s="28"/>
      <c r="H138" s="28"/>
      <c r="I138" s="28"/>
      <c r="J138" s="28"/>
      <c r="K138" s="8"/>
      <c r="L138" s="8"/>
      <c r="M138" s="8"/>
      <c r="N138" s="8"/>
      <c r="O138" s="8"/>
    </row>
    <row r="139" spans="1:15" collapsed="1"/>
    <row r="140" spans="1:15">
      <c r="A140" s="115" t="s">
        <v>172</v>
      </c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</row>
    <row r="141" spans="1:15" hidden="1" outlineLevel="1">
      <c r="F141" s="212" t="str">
        <f>IF(F156=F180,"CHECK", "ERROR")</f>
        <v>CHECK</v>
      </c>
      <c r="G141" s="212" t="str">
        <f>IF(G156=G180,"CHECK", "ERROR")</f>
        <v>CHECK</v>
      </c>
      <c r="H141" s="212" t="str">
        <f>IF(H156=H180,"CHECK", "ERROR")</f>
        <v>CHECK</v>
      </c>
      <c r="I141" s="212" t="str">
        <f>IF(I156=I180,"CHECK", "ERROR")</f>
        <v>CHECK</v>
      </c>
      <c r="J141" s="212" t="str">
        <f>IF(J156=J180,"CHECK", "ERROR")</f>
        <v>CHECK</v>
      </c>
      <c r="K141" s="212" t="str">
        <f ca="1">IF(ABS(K156-K180)&lt;5,"CHECK", "ERROR")</f>
        <v>ERROR</v>
      </c>
      <c r="L141" s="212" t="str">
        <f t="shared" ref="L141:O141" ca="1" si="45">IF(ABS(L156-L180)&lt;5,"CHECK", "ERROR")</f>
        <v>ERROR</v>
      </c>
      <c r="M141" s="212" t="str">
        <f t="shared" ca="1" si="45"/>
        <v>ERROR</v>
      </c>
      <c r="N141" s="212" t="str">
        <f t="shared" ca="1" si="45"/>
        <v>ERROR</v>
      </c>
      <c r="O141" s="212" t="str">
        <f t="shared" ca="1" si="45"/>
        <v>ERROR</v>
      </c>
    </row>
    <row r="142" spans="1:15" hidden="1" outlineLevel="1"/>
    <row r="143" spans="1:15" hidden="1" outlineLevel="1">
      <c r="A143" s="2" t="s">
        <v>173</v>
      </c>
      <c r="B143" s="3"/>
      <c r="C143" s="3"/>
      <c r="D143" s="3"/>
      <c r="E143" s="3"/>
      <c r="F143" s="4">
        <f>G143-1</f>
        <v>2020</v>
      </c>
      <c r="G143" s="4">
        <f>H143-1</f>
        <v>2021</v>
      </c>
      <c r="H143" s="4">
        <f>I143-1</f>
        <v>2022</v>
      </c>
      <c r="I143" s="4">
        <f>J143-1</f>
        <v>2023</v>
      </c>
      <c r="J143" s="4">
        <f>K143-1</f>
        <v>2024</v>
      </c>
      <c r="K143" s="7">
        <f>K$8</f>
        <v>2025</v>
      </c>
      <c r="L143" s="7">
        <f>L$8</f>
        <v>2026</v>
      </c>
      <c r="M143" s="7">
        <f>M$8</f>
        <v>2027</v>
      </c>
      <c r="N143" s="7">
        <f>N$8</f>
        <v>2028</v>
      </c>
      <c r="O143" s="7">
        <f>O$8</f>
        <v>2029</v>
      </c>
    </row>
    <row r="144" spans="1:15" hidden="1" outlineLevel="1">
      <c r="B144" s="1" t="s">
        <v>174</v>
      </c>
      <c r="F144" s="28"/>
      <c r="G144" s="28"/>
      <c r="H144" s="28"/>
      <c r="I144" s="28"/>
      <c r="J144" s="28"/>
      <c r="K144" s="29"/>
      <c r="L144" s="29"/>
      <c r="M144" s="29"/>
      <c r="N144" s="29"/>
      <c r="O144" s="29"/>
    </row>
    <row r="145" spans="2:17" hidden="1" outlineLevel="1">
      <c r="C145" t="s">
        <v>175</v>
      </c>
      <c r="F145" s="32">
        <v>12277</v>
      </c>
      <c r="G145" s="32">
        <v>11258</v>
      </c>
      <c r="H145" s="32">
        <v>10203</v>
      </c>
      <c r="I145" s="32">
        <v>13700</v>
      </c>
      <c r="J145" s="32">
        <v>9906</v>
      </c>
      <c r="K145" s="29">
        <f ca="1">K133</f>
        <v>14082.332757782227</v>
      </c>
      <c r="L145" s="29">
        <f ca="1">L133</f>
        <v>19189.577852126091</v>
      </c>
      <c r="M145" s="29">
        <f ca="1">M133</f>
        <v>16285.603201683774</v>
      </c>
      <c r="N145" s="29">
        <f ca="1">N133</f>
        <v>23294.749300338008</v>
      </c>
      <c r="O145" s="29">
        <f ca="1">O133</f>
        <v>31350.883036100968</v>
      </c>
    </row>
    <row r="146" spans="2:17" hidden="1" outlineLevel="1">
      <c r="C146" t="s">
        <v>176</v>
      </c>
      <c r="F146" s="32">
        <v>1028</v>
      </c>
      <c r="G146" s="32">
        <v>917</v>
      </c>
      <c r="H146" s="32">
        <v>846</v>
      </c>
      <c r="I146" s="32">
        <v>1534</v>
      </c>
      <c r="J146" s="32">
        <v>1238</v>
      </c>
      <c r="K146" s="29">
        <f>K381</f>
        <v>1238</v>
      </c>
      <c r="L146" s="29">
        <f t="shared" ref="L146:O146" si="46">L381</f>
        <v>1238</v>
      </c>
      <c r="M146" s="29">
        <f t="shared" si="46"/>
        <v>1238</v>
      </c>
      <c r="N146" s="29">
        <f t="shared" si="46"/>
        <v>1238</v>
      </c>
      <c r="O146" s="29">
        <f t="shared" si="46"/>
        <v>1238</v>
      </c>
      <c r="Q146" s="233"/>
    </row>
    <row r="147" spans="2:17" hidden="1" outlineLevel="1">
      <c r="C147" t="s">
        <v>128</v>
      </c>
      <c r="F147" s="32">
        <v>1550</v>
      </c>
      <c r="G147" s="32">
        <v>1803</v>
      </c>
      <c r="H147" s="32">
        <v>2241</v>
      </c>
      <c r="I147" s="32">
        <v>2285</v>
      </c>
      <c r="J147" s="32">
        <v>2721</v>
      </c>
      <c r="K147" s="29">
        <f>K313</f>
        <v>2925.6898741668438</v>
      </c>
      <c r="L147" s="29">
        <f t="shared" ref="L147:O147" si="47">L313</f>
        <v>3148.8756365197028</v>
      </c>
      <c r="M147" s="29">
        <f t="shared" si="47"/>
        <v>3397.8242849776389</v>
      </c>
      <c r="N147" s="29">
        <f t="shared" si="47"/>
        <v>3674.0141883864658</v>
      </c>
      <c r="O147" s="29">
        <f t="shared" si="47"/>
        <v>3980.9843271692303</v>
      </c>
      <c r="Q147" s="233"/>
    </row>
    <row r="148" spans="2:17" hidden="1" outlineLevel="1">
      <c r="C148" t="s">
        <v>177</v>
      </c>
      <c r="F148" s="32">
        <v>12242</v>
      </c>
      <c r="G148" s="32">
        <v>14215</v>
      </c>
      <c r="H148" s="32">
        <v>17907</v>
      </c>
      <c r="I148" s="32">
        <v>16651</v>
      </c>
      <c r="J148" s="32">
        <v>18647</v>
      </c>
      <c r="K148" s="29">
        <f>K314</f>
        <v>20063.898165538012</v>
      </c>
      <c r="L148" s="29">
        <f t="shared" ref="L148:O148" si="48">L314</f>
        <v>21594.469278828317</v>
      </c>
      <c r="M148" s="29">
        <f t="shared" si="48"/>
        <v>23301.718011926096</v>
      </c>
      <c r="N148" s="29">
        <f t="shared" si="48"/>
        <v>25195.782774317406</v>
      </c>
      <c r="O148" s="29">
        <f t="shared" si="48"/>
        <v>27300.933309506097</v>
      </c>
      <c r="Q148" s="234"/>
    </row>
    <row r="149" spans="2:17" hidden="1" outlineLevel="1">
      <c r="C149" t="s">
        <v>310</v>
      </c>
      <c r="F149" s="32">
        <v>1023</v>
      </c>
      <c r="G149" s="32">
        <v>1312</v>
      </c>
      <c r="H149" s="32">
        <v>1499</v>
      </c>
      <c r="I149" s="32">
        <v>1709</v>
      </c>
      <c r="J149" s="32">
        <v>1734</v>
      </c>
      <c r="K149" s="29">
        <f>K315</f>
        <v>1864.4418382231925</v>
      </c>
      <c r="L149" s="29">
        <f t="shared" ref="L149:O149" si="49">L315</f>
        <v>2006.6704717843309</v>
      </c>
      <c r="M149" s="29">
        <f t="shared" si="49"/>
        <v>2165.3169092801268</v>
      </c>
      <c r="N149" s="29">
        <f t="shared" si="49"/>
        <v>2341.3232644844288</v>
      </c>
      <c r="O149" s="29">
        <f t="shared" si="49"/>
        <v>2536.9448082732247</v>
      </c>
      <c r="Q149" s="233"/>
    </row>
    <row r="150" spans="2:17" hidden="1" outlineLevel="1">
      <c r="B150" s="5" t="s">
        <v>178</v>
      </c>
      <c r="C150" s="5"/>
      <c r="D150" s="5"/>
      <c r="E150" s="5"/>
      <c r="F150" s="30">
        <f>SUM(F145:F149)</f>
        <v>28120</v>
      </c>
      <c r="G150" s="30">
        <f>SUM(G145:G149)</f>
        <v>29505</v>
      </c>
      <c r="H150" s="30">
        <f>SUM(H145:H149)</f>
        <v>32696</v>
      </c>
      <c r="I150" s="30">
        <f>SUM(I145:I149)</f>
        <v>35879</v>
      </c>
      <c r="J150" s="30">
        <f>SUM(J145:J149)</f>
        <v>34246</v>
      </c>
      <c r="K150" s="31">
        <f t="shared" ref="K150:O150" ca="1" si="50">SUM(K145:K149)</f>
        <v>40174.362635710277</v>
      </c>
      <c r="L150" s="31">
        <f t="shared" ca="1" si="50"/>
        <v>47177.593239258444</v>
      </c>
      <c r="M150" s="31">
        <f t="shared" ca="1" si="50"/>
        <v>46388.462407867635</v>
      </c>
      <c r="N150" s="31">
        <f t="shared" ca="1" si="50"/>
        <v>55743.869527526309</v>
      </c>
      <c r="O150" s="31">
        <f t="shared" ca="1" si="50"/>
        <v>66407.745481049526</v>
      </c>
      <c r="Q150" s="235"/>
    </row>
    <row r="151" spans="2:17" hidden="1" outlineLevel="1">
      <c r="F151" s="28"/>
      <c r="G151" s="28"/>
      <c r="H151" s="28"/>
      <c r="I151" s="28"/>
      <c r="J151" s="28"/>
      <c r="K151" s="29"/>
      <c r="L151" s="29"/>
      <c r="M151" s="29"/>
      <c r="N151" s="29"/>
      <c r="O151" s="29"/>
    </row>
    <row r="152" spans="2:17" hidden="1" outlineLevel="1">
      <c r="B152" s="1" t="s">
        <v>179</v>
      </c>
      <c r="F152" s="28"/>
      <c r="G152" s="28"/>
      <c r="H152" s="28"/>
      <c r="I152" s="28"/>
      <c r="J152" s="28"/>
      <c r="K152" s="29"/>
      <c r="L152" s="29"/>
      <c r="M152" s="29"/>
      <c r="N152" s="29"/>
      <c r="O152" s="29"/>
    </row>
    <row r="153" spans="2:17" hidden="1" outlineLevel="1">
      <c r="C153" t="s">
        <v>180</v>
      </c>
      <c r="F153" s="32">
        <v>21807</v>
      </c>
      <c r="G153" s="32">
        <v>23492</v>
      </c>
      <c r="H153" s="32">
        <v>24646</v>
      </c>
      <c r="I153" s="32">
        <v>26684</v>
      </c>
      <c r="J153" s="32">
        <v>29032</v>
      </c>
      <c r="K153" s="29">
        <f>K372</f>
        <v>31427.096486439161</v>
      </c>
      <c r="L153" s="29">
        <f t="shared" ref="L153:O153" si="51">L372</f>
        <v>33726.374754644348</v>
      </c>
      <c r="M153" s="29">
        <f t="shared" si="51"/>
        <v>35926.972791024753</v>
      </c>
      <c r="N153" s="29">
        <f t="shared" si="51"/>
        <v>38025.971341717741</v>
      </c>
      <c r="O153" s="29">
        <f t="shared" si="51"/>
        <v>40020.392767783429</v>
      </c>
    </row>
    <row r="154" spans="2:17" hidden="1" outlineLevel="1">
      <c r="C154" t="s">
        <v>181</v>
      </c>
      <c r="F154" s="32">
        <v>2788</v>
      </c>
      <c r="G154" s="32">
        <v>2890</v>
      </c>
      <c r="H154" s="32">
        <v>2774</v>
      </c>
      <c r="I154" s="32">
        <v>2713</v>
      </c>
      <c r="J154" s="32">
        <v>2617</v>
      </c>
      <c r="K154" s="29">
        <f>AVERAGE(F154:J154)</f>
        <v>2756.4</v>
      </c>
      <c r="L154" s="29">
        <f t="shared" ref="L154:O154" si="52">K154</f>
        <v>2756.4</v>
      </c>
      <c r="M154" s="29">
        <f t="shared" si="52"/>
        <v>2756.4</v>
      </c>
      <c r="N154" s="29">
        <f t="shared" si="52"/>
        <v>2756.4</v>
      </c>
      <c r="O154" s="29">
        <f t="shared" si="52"/>
        <v>2756.4</v>
      </c>
    </row>
    <row r="155" spans="2:17" hidden="1" outlineLevel="1">
      <c r="C155" t="s">
        <v>134</v>
      </c>
      <c r="F155" s="32">
        <v>2841</v>
      </c>
      <c r="G155" s="32">
        <v>3381</v>
      </c>
      <c r="H155" s="32">
        <v>4050</v>
      </c>
      <c r="I155" s="32">
        <v>3718</v>
      </c>
      <c r="J155" s="32">
        <v>3936</v>
      </c>
      <c r="K155" s="29">
        <f>K451</f>
        <v>4050.3581208847781</v>
      </c>
      <c r="L155" s="29">
        <f t="shared" ref="L155:O155" si="53">L451</f>
        <v>4175.7240051185308</v>
      </c>
      <c r="M155" s="29">
        <f t="shared" si="53"/>
        <v>4314.9136177121054</v>
      </c>
      <c r="N155" s="29">
        <f t="shared" si="53"/>
        <v>4468.4931911841304</v>
      </c>
      <c r="O155" s="29">
        <f t="shared" si="53"/>
        <v>4639.0946119425498</v>
      </c>
    </row>
    <row r="156" spans="2:17" ht="15" hidden="1" outlineLevel="1" thickBot="1">
      <c r="B156" s="102" t="s">
        <v>182</v>
      </c>
      <c r="C156" s="33"/>
      <c r="D156" s="33"/>
      <c r="E156" s="33"/>
      <c r="F156" s="100">
        <f>SUM(F153:F155,F150)</f>
        <v>55556</v>
      </c>
      <c r="G156" s="100">
        <f>SUM(G153:G155,G150)</f>
        <v>59268</v>
      </c>
      <c r="H156" s="100">
        <f>SUM(H153:H155,H150)</f>
        <v>64166</v>
      </c>
      <c r="I156" s="100">
        <f>SUM(I153:I155,I150)</f>
        <v>68994</v>
      </c>
      <c r="J156" s="100">
        <f>SUM(J153:J155,J150)</f>
        <v>69831</v>
      </c>
      <c r="K156" s="101">
        <f ca="1">SUM(K153:K155,K150)</f>
        <v>78408.217243034218</v>
      </c>
      <c r="L156" s="101">
        <f ca="1">SUM(L153:L155,L150)</f>
        <v>87836.09199902133</v>
      </c>
      <c r="M156" s="101">
        <f ca="1">SUM(M153:M155,M150)</f>
        <v>89386.748816604493</v>
      </c>
      <c r="N156" s="101">
        <f ca="1">SUM(N153:N155,N150)</f>
        <v>100994.73406042819</v>
      </c>
      <c r="O156" s="101">
        <f ca="1">SUM(O153:O155,O150)</f>
        <v>113823.63286077551</v>
      </c>
    </row>
    <row r="157" spans="2:17" ht="15" hidden="1" outlineLevel="1" thickTop="1">
      <c r="F157" s="28"/>
      <c r="G157" s="28"/>
      <c r="H157" s="28"/>
      <c r="I157" s="28"/>
      <c r="J157" s="28"/>
      <c r="K157" s="29"/>
      <c r="L157" s="29"/>
      <c r="M157" s="29"/>
      <c r="N157" s="29"/>
      <c r="O157" s="29"/>
    </row>
    <row r="158" spans="2:17" hidden="1" outlineLevel="1">
      <c r="B158" s="1" t="s">
        <v>183</v>
      </c>
      <c r="F158" s="28"/>
      <c r="G158" s="28"/>
      <c r="H158" s="28"/>
      <c r="I158" s="28"/>
      <c r="J158" s="28"/>
      <c r="K158" s="29"/>
      <c r="L158" s="29"/>
      <c r="M158" s="29"/>
      <c r="N158" s="29"/>
      <c r="O158" s="29"/>
    </row>
    <row r="159" spans="2:17" hidden="1" outlineLevel="1">
      <c r="C159" t="s">
        <v>61</v>
      </c>
      <c r="F159" s="32">
        <v>14172</v>
      </c>
      <c r="G159" s="32">
        <v>16278</v>
      </c>
      <c r="H159" s="32">
        <v>17848</v>
      </c>
      <c r="I159" s="32">
        <v>17483</v>
      </c>
      <c r="J159" s="32">
        <v>19421</v>
      </c>
      <c r="K159" s="29">
        <f>K317</f>
        <v>20896.710799212407</v>
      </c>
      <c r="L159" s="29">
        <f t="shared" ref="L159:O159" si="54">L317</f>
        <v>22490.812884867526</v>
      </c>
      <c r="M159" s="29">
        <f t="shared" si="54"/>
        <v>24268.926128042938</v>
      </c>
      <c r="N159" s="29">
        <f t="shared" si="54"/>
        <v>26241.609763501812</v>
      </c>
      <c r="O159" s="29">
        <f t="shared" si="54"/>
        <v>28434.140923683051</v>
      </c>
    </row>
    <row r="160" spans="2:17" hidden="1" outlineLevel="1">
      <c r="C160" t="s">
        <v>184</v>
      </c>
      <c r="F160" s="32">
        <v>3605</v>
      </c>
      <c r="G160" s="32">
        <v>4090</v>
      </c>
      <c r="H160" s="32">
        <v>4381</v>
      </c>
      <c r="I160" s="32">
        <v>4278</v>
      </c>
      <c r="J160" s="32">
        <v>4794</v>
      </c>
      <c r="K160" s="29">
        <f>K300</f>
        <v>5188.6909559295627</v>
      </c>
      <c r="L160" s="29">
        <f t="shared" ref="L160:O160" si="55">L300</f>
        <v>5486.5437099844812</v>
      </c>
      <c r="M160" s="29">
        <f t="shared" si="55"/>
        <v>5814.5965256484733</v>
      </c>
      <c r="N160" s="29">
        <f t="shared" si="55"/>
        <v>6172.9287460185678</v>
      </c>
      <c r="O160" s="29">
        <f t="shared" si="55"/>
        <v>6564.833785350057</v>
      </c>
    </row>
    <row r="161" spans="2:15" hidden="1" outlineLevel="1">
      <c r="C161" t="s">
        <v>185</v>
      </c>
      <c r="F161" s="32">
        <v>1393</v>
      </c>
      <c r="G161" s="32">
        <v>1671</v>
      </c>
      <c r="H161" s="32">
        <v>1911</v>
      </c>
      <c r="I161" s="32">
        <v>2150</v>
      </c>
      <c r="J161" s="32">
        <v>2435</v>
      </c>
      <c r="K161" s="29">
        <f>K272</f>
        <v>2778.1493779941638</v>
      </c>
      <c r="L161" s="29">
        <f t="shared" ref="L161:O161" si="56">L272</f>
        <v>3153.9523052301415</v>
      </c>
      <c r="M161" s="29">
        <f t="shared" si="56"/>
        <v>3566.4548327032235</v>
      </c>
      <c r="N161" s="29">
        <f t="shared" si="56"/>
        <v>4020.0445687305178</v>
      </c>
      <c r="O161" s="29">
        <f t="shared" si="56"/>
        <v>4519.7214969497145</v>
      </c>
    </row>
    <row r="162" spans="2:15" hidden="1" outlineLevel="1">
      <c r="C162" t="s">
        <v>186</v>
      </c>
      <c r="F162" s="32">
        <v>1851</v>
      </c>
      <c r="G162" s="32">
        <v>2042</v>
      </c>
      <c r="H162" s="32">
        <v>2174</v>
      </c>
      <c r="I162" s="32">
        <v>2337</v>
      </c>
      <c r="J162" s="32">
        <v>2501</v>
      </c>
      <c r="K162" s="29">
        <f>K230</f>
        <v>2798.6149845375976</v>
      </c>
      <c r="L162" s="29">
        <f t="shared" ref="L162:O162" si="57">L230</f>
        <v>3161.1957867254223</v>
      </c>
      <c r="M162" s="29">
        <f t="shared" si="57"/>
        <v>3427.4813457290124</v>
      </c>
      <c r="N162" s="29">
        <f t="shared" si="57"/>
        <v>3717.1511328406177</v>
      </c>
      <c r="O162" s="29">
        <f t="shared" si="57"/>
        <v>4029.6636507588128</v>
      </c>
    </row>
    <row r="163" spans="2:15" hidden="1" outlineLevel="1">
      <c r="C163" t="s">
        <v>187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29">
        <f ca="1">K400</f>
        <v>0</v>
      </c>
      <c r="L163" s="29">
        <f t="shared" ref="L163:O163" ca="1" si="58">L400</f>
        <v>0</v>
      </c>
      <c r="M163" s="29">
        <f t="shared" ca="1" si="58"/>
        <v>0</v>
      </c>
      <c r="N163" s="29">
        <f t="shared" ca="1" si="58"/>
        <v>0</v>
      </c>
      <c r="O163" s="29">
        <f t="shared" ca="1" si="58"/>
        <v>0</v>
      </c>
    </row>
    <row r="164" spans="2:15" hidden="1" outlineLevel="1">
      <c r="C164" t="s">
        <v>311</v>
      </c>
      <c r="F164" s="32">
        <v>3728</v>
      </c>
      <c r="G164" s="32">
        <v>4561</v>
      </c>
      <c r="H164" s="32">
        <v>5611</v>
      </c>
      <c r="I164" s="32">
        <v>6254</v>
      </c>
      <c r="J164" s="32">
        <v>6210</v>
      </c>
      <c r="K164" s="29">
        <f>K321</f>
        <v>6677.1532960588384</v>
      </c>
      <c r="L164" s="29">
        <f t="shared" ref="L164:O164" si="59">L321</f>
        <v>7186.5188176359252</v>
      </c>
      <c r="M164" s="29">
        <f t="shared" si="59"/>
        <v>7754.6816647229462</v>
      </c>
      <c r="N164" s="29">
        <f t="shared" si="59"/>
        <v>8385.0158433957931</v>
      </c>
      <c r="O164" s="29">
        <f t="shared" si="59"/>
        <v>9085.5981887985745</v>
      </c>
    </row>
    <row r="165" spans="2:15" hidden="1" outlineLevel="1">
      <c r="B165" s="5" t="s">
        <v>188</v>
      </c>
      <c r="C165" s="5"/>
      <c r="D165" s="5"/>
      <c r="E165" s="5"/>
      <c r="F165" s="30">
        <f>SUM(F159:F164)</f>
        <v>24749</v>
      </c>
      <c r="G165" s="30">
        <f>SUM(G159:G164)</f>
        <v>28642</v>
      </c>
      <c r="H165" s="30">
        <f>SUM(H159:H164)</f>
        <v>31925</v>
      </c>
      <c r="I165" s="30">
        <f>SUM(I159:I164)</f>
        <v>32502</v>
      </c>
      <c r="J165" s="30">
        <f>SUM(J159:J164)</f>
        <v>35361</v>
      </c>
      <c r="K165" s="31">
        <f t="shared" ref="K165:O165" ca="1" si="60">SUM(K159:K164)</f>
        <v>38339.31941373257</v>
      </c>
      <c r="L165" s="31">
        <f t="shared" ca="1" si="60"/>
        <v>41479.023504443496</v>
      </c>
      <c r="M165" s="31">
        <f t="shared" ca="1" si="60"/>
        <v>44832.140496846594</v>
      </c>
      <c r="N165" s="31">
        <f t="shared" ca="1" si="60"/>
        <v>48536.750054487311</v>
      </c>
      <c r="O165" s="31">
        <f t="shared" ca="1" si="60"/>
        <v>52633.95804554021</v>
      </c>
    </row>
    <row r="166" spans="2:15" hidden="1" outlineLevel="1">
      <c r="F166" s="28"/>
      <c r="G166" s="28"/>
      <c r="H166" s="28"/>
      <c r="I166" s="28"/>
      <c r="J166" s="28"/>
      <c r="K166" s="29"/>
      <c r="L166" s="29"/>
      <c r="M166" s="29"/>
      <c r="N166" s="29"/>
      <c r="O166" s="29"/>
    </row>
    <row r="167" spans="2:15" hidden="1" outlineLevel="1">
      <c r="B167" s="1" t="s">
        <v>189</v>
      </c>
      <c r="F167" s="28"/>
      <c r="G167" s="28"/>
      <c r="H167" s="28"/>
      <c r="I167" s="28"/>
      <c r="J167" s="28"/>
      <c r="K167" s="29"/>
      <c r="L167" s="29"/>
      <c r="M167" s="29"/>
      <c r="N167" s="29"/>
      <c r="O167" s="29"/>
    </row>
    <row r="168" spans="2:15" hidden="1" outlineLevel="1">
      <c r="C168" t="s">
        <v>190</v>
      </c>
      <c r="F168" s="32">
        <v>7609</v>
      </c>
      <c r="G168" s="32">
        <v>7491</v>
      </c>
      <c r="H168" s="32">
        <v>6557</v>
      </c>
      <c r="I168" s="32">
        <v>6458</v>
      </c>
      <c r="J168" s="32">
        <v>5897</v>
      </c>
      <c r="K168" s="29">
        <f>K426</f>
        <v>5794</v>
      </c>
      <c r="L168" s="29">
        <f t="shared" ref="L168:O168" si="61">L426</f>
        <v>5718</v>
      </c>
      <c r="M168" s="29">
        <f t="shared" si="61"/>
        <v>3468</v>
      </c>
      <c r="N168" s="29">
        <f t="shared" si="61"/>
        <v>3468</v>
      </c>
      <c r="O168" s="29">
        <f t="shared" si="61"/>
        <v>3318</v>
      </c>
    </row>
    <row r="169" spans="2:15" hidden="1" outlineLevel="1">
      <c r="C169" t="s">
        <v>191</v>
      </c>
      <c r="F169" s="32">
        <v>2558</v>
      </c>
      <c r="G169" s="32">
        <v>2642</v>
      </c>
      <c r="H169" s="32">
        <v>2482</v>
      </c>
      <c r="I169" s="32">
        <v>2426</v>
      </c>
      <c r="J169" s="32">
        <v>2375</v>
      </c>
      <c r="K169" s="29">
        <f>AVERAGE(F169:J169)</f>
        <v>2496.6</v>
      </c>
      <c r="L169" s="29">
        <f>K169</f>
        <v>2496.6</v>
      </c>
      <c r="M169" s="29">
        <f t="shared" ref="M169:O169" si="62">L169</f>
        <v>2496.6</v>
      </c>
      <c r="N169" s="29">
        <f t="shared" si="62"/>
        <v>2496.6</v>
      </c>
      <c r="O169" s="29">
        <f t="shared" si="62"/>
        <v>2496.6</v>
      </c>
    </row>
    <row r="170" spans="2:15" hidden="1" outlineLevel="1">
      <c r="C170" t="s">
        <v>147</v>
      </c>
      <c r="F170" s="32">
        <v>1935</v>
      </c>
      <c r="G170" s="32">
        <v>2415</v>
      </c>
      <c r="H170" s="32">
        <v>2555</v>
      </c>
      <c r="I170" s="32">
        <v>2550</v>
      </c>
      <c r="J170" s="32">
        <v>2576</v>
      </c>
      <c r="K170" s="29">
        <f>K457</f>
        <v>2655.2083290658679</v>
      </c>
      <c r="L170" s="29">
        <f t="shared" ref="L170:O170" si="63">L457</f>
        <v>2740.9870189028434</v>
      </c>
      <c r="M170" s="29">
        <f t="shared" si="63"/>
        <v>2834.81520703562</v>
      </c>
      <c r="N170" s="29">
        <f t="shared" si="63"/>
        <v>2937.0275710585947</v>
      </c>
      <c r="O170" s="29">
        <f t="shared" si="63"/>
        <v>3049.0135813314027</v>
      </c>
    </row>
    <row r="171" spans="2:15" hidden="1" outlineLevel="1">
      <c r="B171" s="5" t="s">
        <v>192</v>
      </c>
      <c r="C171" s="5"/>
      <c r="D171" s="5"/>
      <c r="E171" s="5"/>
      <c r="F171" s="30">
        <f>SUM(F168:F170,F165)</f>
        <v>36851</v>
      </c>
      <c r="G171" s="30">
        <f>SUM(G168:G170,G165)</f>
        <v>41190</v>
      </c>
      <c r="H171" s="30">
        <f>SUM(H168:H170,H165)</f>
        <v>43519</v>
      </c>
      <c r="I171" s="30">
        <f>SUM(I168:I170,I165)</f>
        <v>43936</v>
      </c>
      <c r="J171" s="30">
        <f>SUM(J168:J170,J165)</f>
        <v>46209</v>
      </c>
      <c r="K171" s="31">
        <f ca="1">SUM(K168:K170,K165)</f>
        <v>49285.127742798439</v>
      </c>
      <c r="L171" s="31">
        <f ca="1">SUM(L168:L170,L165)</f>
        <v>52434.610523346339</v>
      </c>
      <c r="M171" s="31">
        <f ca="1">SUM(M168:M170,M165)</f>
        <v>53631.555703882215</v>
      </c>
      <c r="N171" s="31">
        <f ca="1">SUM(N168:N170,N165)</f>
        <v>57438.377625545909</v>
      </c>
      <c r="O171" s="31">
        <f ca="1">SUM(O168:O170,O165)</f>
        <v>61497.571626871613</v>
      </c>
    </row>
    <row r="172" spans="2:15" hidden="1" outlineLevel="1">
      <c r="F172" s="28"/>
      <c r="G172" s="28"/>
      <c r="H172" s="28"/>
      <c r="I172" s="28"/>
      <c r="J172" s="28"/>
      <c r="K172" s="29"/>
      <c r="L172" s="29"/>
      <c r="M172" s="29"/>
      <c r="N172" s="29"/>
      <c r="O172" s="29"/>
    </row>
    <row r="173" spans="2:15" hidden="1" outlineLevel="1">
      <c r="B173" s="1" t="s">
        <v>193</v>
      </c>
      <c r="F173" s="28"/>
      <c r="G173" s="28"/>
      <c r="H173" s="28"/>
      <c r="I173" s="28"/>
      <c r="J173" s="28"/>
      <c r="K173" s="29"/>
      <c r="L173" s="29"/>
      <c r="M173" s="29"/>
      <c r="N173" s="29"/>
      <c r="O173" s="29"/>
    </row>
    <row r="174" spans="2:15" hidden="1" outlineLevel="1">
      <c r="B174" s="1"/>
      <c r="C174" t="s">
        <v>194</v>
      </c>
      <c r="F174" s="32">
        <v>6702</v>
      </c>
      <c r="G174" s="32">
        <v>7035</v>
      </c>
      <c r="H174" s="32">
        <v>6886</v>
      </c>
      <c r="I174" s="32">
        <v>7342</v>
      </c>
      <c r="J174" s="32">
        <v>7831</v>
      </c>
      <c r="K174" s="29">
        <f>K498</f>
        <v>8306.5556165290163</v>
      </c>
      <c r="L174" s="29">
        <f t="shared" ref="L174:O174" si="64">L498</f>
        <v>8814.8171420024773</v>
      </c>
      <c r="M174" s="29">
        <f t="shared" si="64"/>
        <v>9358.0338958326774</v>
      </c>
      <c r="N174" s="29">
        <f t="shared" si="64"/>
        <v>9938.6098923473437</v>
      </c>
      <c r="O174" s="29">
        <f t="shared" si="64"/>
        <v>10559.114479793039</v>
      </c>
    </row>
    <row r="175" spans="2:15" hidden="1" outlineLevel="1">
      <c r="C175" t="s">
        <v>195</v>
      </c>
      <c r="F175" s="32">
        <v>-1297</v>
      </c>
      <c r="G175" s="32">
        <v>-1137</v>
      </c>
      <c r="H175" s="32">
        <v>-1829</v>
      </c>
      <c r="I175" s="32">
        <v>-1805</v>
      </c>
      <c r="J175" s="32">
        <v>-1828</v>
      </c>
      <c r="K175" s="29">
        <f>J175</f>
        <v>-1828</v>
      </c>
      <c r="L175" s="29">
        <f t="shared" ref="L175:O175" si="65">K175</f>
        <v>-1828</v>
      </c>
      <c r="M175" s="29">
        <f t="shared" si="65"/>
        <v>-1828</v>
      </c>
      <c r="N175" s="29">
        <f t="shared" si="65"/>
        <v>-1828</v>
      </c>
      <c r="O175" s="29">
        <f t="shared" si="65"/>
        <v>-1828</v>
      </c>
    </row>
    <row r="176" spans="2:15" hidden="1" outlineLevel="1">
      <c r="C176" t="s">
        <v>196</v>
      </c>
      <c r="F176" s="32">
        <v>12879</v>
      </c>
      <c r="G176" s="32">
        <v>11666</v>
      </c>
      <c r="H176" s="32">
        <v>15585</v>
      </c>
      <c r="I176" s="32">
        <v>19521</v>
      </c>
      <c r="J176" s="32">
        <v>17619</v>
      </c>
      <c r="K176" s="29">
        <f ca="1">J176+K91+K124+K123</f>
        <v>22626.733883706762</v>
      </c>
      <c r="L176" s="29">
        <f t="shared" ref="L176:O176" ca="1" si="66">K176+L91+L124+L123</f>
        <v>28396.864333672507</v>
      </c>
      <c r="M176" s="29">
        <f t="shared" ca="1" si="66"/>
        <v>28207.359216889607</v>
      </c>
      <c r="N176" s="29">
        <f t="shared" ca="1" si="66"/>
        <v>35427.946542534934</v>
      </c>
      <c r="O176" s="29">
        <f t="shared" ca="1" si="66"/>
        <v>43577.14675411085</v>
      </c>
    </row>
    <row r="177" spans="1:15" hidden="1" outlineLevel="1">
      <c r="B177" s="5" t="s">
        <v>197</v>
      </c>
      <c r="C177" s="5"/>
      <c r="D177" s="5"/>
      <c r="E177" s="5"/>
      <c r="F177" s="30">
        <f>SUM(F174:F176)</f>
        <v>18284</v>
      </c>
      <c r="G177" s="30">
        <f>SUM(G174:G176)</f>
        <v>17564</v>
      </c>
      <c r="H177" s="30">
        <f>SUM(H174:H176)</f>
        <v>20642</v>
      </c>
      <c r="I177" s="30">
        <f t="shared" ref="I177:O177" si="67">SUM(I174:I176)</f>
        <v>25058</v>
      </c>
      <c r="J177" s="30">
        <f t="shared" si="67"/>
        <v>23622</v>
      </c>
      <c r="K177" s="31">
        <f t="shared" ca="1" si="67"/>
        <v>29105.289500235776</v>
      </c>
      <c r="L177" s="31">
        <f t="shared" ca="1" si="67"/>
        <v>35383.681475674981</v>
      </c>
      <c r="M177" s="31">
        <f t="shared" ca="1" si="67"/>
        <v>35737.393112722282</v>
      </c>
      <c r="N177" s="31">
        <f t="shared" ca="1" si="67"/>
        <v>43538.556434882281</v>
      </c>
      <c r="O177" s="31">
        <f t="shared" ca="1" si="67"/>
        <v>52308.26123390389</v>
      </c>
    </row>
    <row r="178" spans="1:15" hidden="1" outlineLevel="1">
      <c r="C178" t="s">
        <v>198</v>
      </c>
      <c r="F178" s="32">
        <v>421</v>
      </c>
      <c r="G178" s="32">
        <v>514</v>
      </c>
      <c r="H178" s="32">
        <v>5</v>
      </c>
      <c r="I178" s="32">
        <v>0</v>
      </c>
      <c r="J178" s="32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</row>
    <row r="179" spans="1:15" hidden="1" outlineLevel="1">
      <c r="B179" s="5" t="s">
        <v>199</v>
      </c>
      <c r="C179" s="5"/>
      <c r="D179" s="5"/>
      <c r="E179" s="5"/>
      <c r="F179" s="30">
        <f>SUM(F177:F178)</f>
        <v>18705</v>
      </c>
      <c r="G179" s="30">
        <f t="shared" ref="G179:O179" si="68">SUM(G177:G178)</f>
        <v>18078</v>
      </c>
      <c r="H179" s="30">
        <f t="shared" si="68"/>
        <v>20647</v>
      </c>
      <c r="I179" s="30">
        <f t="shared" si="68"/>
        <v>25058</v>
      </c>
      <c r="J179" s="30">
        <f t="shared" si="68"/>
        <v>23622</v>
      </c>
      <c r="K179" s="31">
        <f t="shared" ca="1" si="68"/>
        <v>29105.289500235776</v>
      </c>
      <c r="L179" s="31">
        <f t="shared" ca="1" si="68"/>
        <v>35383.681475674981</v>
      </c>
      <c r="M179" s="31">
        <f t="shared" ca="1" si="68"/>
        <v>35737.393112722282</v>
      </c>
      <c r="N179" s="31">
        <f t="shared" ca="1" si="68"/>
        <v>43538.556434882281</v>
      </c>
      <c r="O179" s="31">
        <f t="shared" ca="1" si="68"/>
        <v>52308.26123390389</v>
      </c>
    </row>
    <row r="180" spans="1:15" ht="15" hidden="1" outlineLevel="1" thickBot="1">
      <c r="B180" s="102" t="s">
        <v>200</v>
      </c>
      <c r="C180" s="33"/>
      <c r="D180" s="33"/>
      <c r="E180" s="33"/>
      <c r="F180" s="100">
        <f>SUM(F179,F171)</f>
        <v>55556</v>
      </c>
      <c r="G180" s="100">
        <f t="shared" ref="G180:O180" si="69">SUM(G179,G171)</f>
        <v>59268</v>
      </c>
      <c r="H180" s="100">
        <f t="shared" si="69"/>
        <v>64166</v>
      </c>
      <c r="I180" s="100">
        <f t="shared" si="69"/>
        <v>68994</v>
      </c>
      <c r="J180" s="100">
        <f t="shared" si="69"/>
        <v>69831</v>
      </c>
      <c r="K180" s="101">
        <f t="shared" ca="1" si="69"/>
        <v>78390.417243034215</v>
      </c>
      <c r="L180" s="101">
        <f t="shared" ca="1" si="69"/>
        <v>87818.291999021312</v>
      </c>
      <c r="M180" s="101">
        <f t="shared" ca="1" si="69"/>
        <v>89368.948816604505</v>
      </c>
      <c r="N180" s="101">
        <f t="shared" ca="1" si="69"/>
        <v>100976.93406042819</v>
      </c>
      <c r="O180" s="101">
        <f t="shared" ca="1" si="69"/>
        <v>113805.8328607755</v>
      </c>
    </row>
    <row r="181" spans="1:15" ht="15" hidden="1" outlineLevel="1" thickTop="1">
      <c r="K181" s="237">
        <f t="shared" ref="K181:N181" ca="1" si="70">K180-K156</f>
        <v>-17.80000000000291</v>
      </c>
      <c r="L181" s="237">
        <f t="shared" ca="1" si="70"/>
        <v>-17.800000000017462</v>
      </c>
      <c r="M181" s="237">
        <f t="shared" ca="1" si="70"/>
        <v>-17.799999999988358</v>
      </c>
      <c r="N181" s="237">
        <f t="shared" ca="1" si="70"/>
        <v>-17.80000000000291</v>
      </c>
      <c r="O181" s="237">
        <f ca="1">O180-O156</f>
        <v>-17.800000000017462</v>
      </c>
    </row>
    <row r="182" spans="1:15" collapsed="1">
      <c r="K182" s="111"/>
      <c r="L182" s="111"/>
    </row>
    <row r="183" spans="1:15">
      <c r="A183" s="115" t="s">
        <v>201</v>
      </c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</row>
    <row r="184" spans="1:15" hidden="1" outlineLevel="1"/>
    <row r="185" spans="1:15" hidden="1" outlineLevel="1">
      <c r="A185" s="2" t="s">
        <v>277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idden="1" outlineLevel="1">
      <c r="B186" s="1" t="s">
        <v>202</v>
      </c>
    </row>
    <row r="187" spans="1:15" hidden="1" outlineLevel="1">
      <c r="B187" s="2" t="s">
        <v>203</v>
      </c>
      <c r="C187" s="3"/>
      <c r="D187" s="3"/>
      <c r="E187" s="4">
        <f t="shared" ref="E187:J187" si="71">F187-1</f>
        <v>2019</v>
      </c>
      <c r="F187" s="4">
        <f t="shared" si="71"/>
        <v>2020</v>
      </c>
      <c r="G187" s="4">
        <f t="shared" si="71"/>
        <v>2021</v>
      </c>
      <c r="H187" s="4">
        <f t="shared" si="71"/>
        <v>2022</v>
      </c>
      <c r="I187" s="4">
        <f t="shared" si="71"/>
        <v>2023</v>
      </c>
      <c r="J187" s="4">
        <f t="shared" si="71"/>
        <v>2024</v>
      </c>
      <c r="K187" s="7">
        <f>K$8</f>
        <v>2025</v>
      </c>
      <c r="L187" s="7">
        <f>L$8</f>
        <v>2026</v>
      </c>
      <c r="M187" s="7">
        <f>M$8</f>
        <v>2027</v>
      </c>
      <c r="N187" s="7">
        <f>N$8</f>
        <v>2028</v>
      </c>
      <c r="O187" s="7">
        <f>O$8</f>
        <v>2029</v>
      </c>
    </row>
    <row r="188" spans="1:15" hidden="1" outlineLevel="1">
      <c r="C188" t="s">
        <v>204</v>
      </c>
      <c r="D188" t="s">
        <v>51</v>
      </c>
      <c r="E188" s="169">
        <v>53900</v>
      </c>
      <c r="F188" s="169">
        <v>58100</v>
      </c>
      <c r="G188" s="169">
        <v>61700</v>
      </c>
      <c r="H188" s="169">
        <v>65800</v>
      </c>
      <c r="I188" s="170">
        <v>71000</v>
      </c>
      <c r="J188" s="169">
        <v>76200</v>
      </c>
      <c r="K188" s="8"/>
      <c r="L188" s="8"/>
      <c r="M188" s="8"/>
      <c r="N188" s="8"/>
      <c r="O188" s="8"/>
    </row>
    <row r="189" spans="1:15" hidden="1" outlineLevel="1">
      <c r="C189" t="s">
        <v>205</v>
      </c>
      <c r="D189" t="s">
        <v>51</v>
      </c>
      <c r="E189" s="170">
        <v>20800</v>
      </c>
      <c r="F189" s="170">
        <v>22600</v>
      </c>
      <c r="G189" s="170">
        <v>25600</v>
      </c>
      <c r="H189" s="169">
        <v>29100</v>
      </c>
      <c r="I189" s="169">
        <v>32300</v>
      </c>
      <c r="J189" s="169">
        <v>35400</v>
      </c>
      <c r="K189" s="8"/>
      <c r="L189" s="8"/>
      <c r="M189" s="8"/>
      <c r="N189" s="8"/>
      <c r="O189" s="8"/>
    </row>
    <row r="190" spans="1:15" hidden="1" outlineLevel="1">
      <c r="B190" s="5"/>
      <c r="C190" s="5" t="s">
        <v>206</v>
      </c>
      <c r="D190" s="5" t="s">
        <v>51</v>
      </c>
      <c r="E190" s="106">
        <f t="shared" ref="E190:J190" si="72">SUM(E188:E189)</f>
        <v>74700</v>
      </c>
      <c r="F190" s="106">
        <f t="shared" si="72"/>
        <v>80700</v>
      </c>
      <c r="G190" s="106">
        <f t="shared" si="72"/>
        <v>87300</v>
      </c>
      <c r="H190" s="106">
        <f t="shared" si="72"/>
        <v>94900</v>
      </c>
      <c r="I190" s="106">
        <f t="shared" si="72"/>
        <v>103300</v>
      </c>
      <c r="J190" s="106">
        <f t="shared" si="72"/>
        <v>111600</v>
      </c>
      <c r="K190" s="105"/>
      <c r="L190" s="105"/>
      <c r="M190" s="105"/>
      <c r="N190" s="105"/>
      <c r="O190" s="105"/>
    </row>
    <row r="191" spans="1:15" hidden="1" outlineLevel="1">
      <c r="E191" s="112"/>
      <c r="F191" s="112"/>
      <c r="G191" s="112"/>
      <c r="H191" s="112"/>
      <c r="I191" s="112"/>
      <c r="J191" s="112"/>
      <c r="K191" s="8"/>
      <c r="L191" s="8"/>
      <c r="M191" s="8"/>
      <c r="N191" s="8"/>
      <c r="O191" s="8"/>
    </row>
    <row r="192" spans="1:15" hidden="1" outlineLevel="1">
      <c r="F192" s="111"/>
      <c r="G192" s="111"/>
      <c r="H192" s="111"/>
      <c r="I192" s="111"/>
      <c r="J192" s="111"/>
      <c r="K192" s="8"/>
      <c r="L192" s="8"/>
      <c r="M192" s="8"/>
      <c r="N192" s="8"/>
      <c r="O192" s="8"/>
    </row>
    <row r="193" spans="2:15" hidden="1" outlineLevel="1">
      <c r="C193" t="s">
        <v>207</v>
      </c>
      <c r="D193" t="s">
        <v>208</v>
      </c>
      <c r="E193" s="32">
        <v>3352</v>
      </c>
      <c r="F193" s="28">
        <f>F76</f>
        <v>3541</v>
      </c>
      <c r="G193" s="28">
        <f>G76</f>
        <v>3877</v>
      </c>
      <c r="H193" s="28">
        <f>H76</f>
        <v>4224</v>
      </c>
      <c r="I193" s="28">
        <f>I76</f>
        <v>4580</v>
      </c>
      <c r="J193" s="28">
        <f>J76</f>
        <v>4828</v>
      </c>
      <c r="K193" s="8"/>
      <c r="L193" s="8"/>
      <c r="M193" s="8"/>
      <c r="N193" s="8"/>
      <c r="O193" s="8"/>
    </row>
    <row r="194" spans="2:15" hidden="1" outlineLevel="1">
      <c r="C194" t="s">
        <v>209</v>
      </c>
      <c r="D194" t="s">
        <v>208</v>
      </c>
      <c r="E194" s="32">
        <v>1711</v>
      </c>
      <c r="F194" s="28">
        <f>F162</f>
        <v>1851</v>
      </c>
      <c r="G194" s="28">
        <f>G162</f>
        <v>2042</v>
      </c>
      <c r="H194" s="28">
        <f>H162</f>
        <v>2174</v>
      </c>
      <c r="I194" s="28">
        <f>I162</f>
        <v>2337</v>
      </c>
      <c r="J194" s="28">
        <f>J162</f>
        <v>2501</v>
      </c>
      <c r="K194" s="8"/>
      <c r="L194" s="8"/>
      <c r="M194" s="8"/>
      <c r="N194" s="8"/>
      <c r="O194" s="8"/>
    </row>
    <row r="195" spans="2:15" hidden="1" outlineLevel="1">
      <c r="C195" t="s">
        <v>210</v>
      </c>
      <c r="D195" t="s">
        <v>208</v>
      </c>
      <c r="E195" s="28"/>
      <c r="F195" s="28">
        <f>F194-E194</f>
        <v>140</v>
      </c>
      <c r="G195" s="28">
        <f t="shared" ref="G195:J195" si="73">G194-F194</f>
        <v>191</v>
      </c>
      <c r="H195" s="28">
        <f t="shared" si="73"/>
        <v>132</v>
      </c>
      <c r="I195" s="28">
        <f t="shared" si="73"/>
        <v>163</v>
      </c>
      <c r="J195" s="28">
        <f t="shared" si="73"/>
        <v>164</v>
      </c>
      <c r="K195" s="8"/>
      <c r="L195" s="8"/>
      <c r="M195" s="8"/>
      <c r="N195" s="8"/>
      <c r="O195" s="8"/>
    </row>
    <row r="196" spans="2:15" hidden="1" outlineLevel="1">
      <c r="K196" s="8"/>
      <c r="L196" s="8"/>
      <c r="M196" s="8"/>
      <c r="N196" s="8"/>
      <c r="O196" s="8"/>
    </row>
    <row r="197" spans="2:15" hidden="1" outlineLevel="1">
      <c r="C197" t="s">
        <v>227</v>
      </c>
      <c r="D197" t="s">
        <v>208</v>
      </c>
      <c r="F197" s="170">
        <v>0</v>
      </c>
      <c r="G197" s="170">
        <v>0</v>
      </c>
      <c r="H197" s="170">
        <v>42</v>
      </c>
      <c r="I197" s="170">
        <v>76</v>
      </c>
      <c r="J197" s="170">
        <v>0</v>
      </c>
      <c r="K197" s="8"/>
      <c r="L197" s="8"/>
      <c r="M197" s="8"/>
      <c r="N197" s="8"/>
      <c r="O197" s="8"/>
    </row>
    <row r="198" spans="2:15" hidden="1" outlineLevel="1">
      <c r="B198" s="5"/>
      <c r="C198" s="5" t="s">
        <v>211</v>
      </c>
      <c r="D198" s="5" t="s">
        <v>208</v>
      </c>
      <c r="E198" s="107"/>
      <c r="F198" s="107">
        <f>SUM(F197,F195,F193)</f>
        <v>3681</v>
      </c>
      <c r="G198" s="107">
        <f t="shared" ref="G198:J198" si="74">SUM(G197,G195,G193)</f>
        <v>4068</v>
      </c>
      <c r="H198" s="107">
        <f t="shared" si="74"/>
        <v>4398</v>
      </c>
      <c r="I198" s="107">
        <f t="shared" si="74"/>
        <v>4819</v>
      </c>
      <c r="J198" s="107">
        <f t="shared" si="74"/>
        <v>4992</v>
      </c>
      <c r="K198" s="105"/>
      <c r="L198" s="105"/>
      <c r="M198" s="105"/>
      <c r="N198" s="105"/>
      <c r="O198" s="105"/>
    </row>
    <row r="199" spans="2:15" hidden="1" outlineLevel="1">
      <c r="K199" s="8"/>
      <c r="L199" s="8"/>
      <c r="M199" s="8"/>
      <c r="N199" s="8"/>
      <c r="O199" s="8"/>
    </row>
    <row r="200" spans="2:15" hidden="1" outlineLevel="1">
      <c r="C200" t="s">
        <v>212</v>
      </c>
      <c r="D200" t="s">
        <v>216</v>
      </c>
      <c r="F200" s="108">
        <f>F194/F198</f>
        <v>0.50285248573757135</v>
      </c>
      <c r="G200" s="108">
        <f>G194/G198</f>
        <v>0.50196656833824971</v>
      </c>
      <c r="H200" s="108">
        <f>H194/H198</f>
        <v>0.49431559799909047</v>
      </c>
      <c r="I200" s="108">
        <f>I194/I198</f>
        <v>0.48495538493463375</v>
      </c>
      <c r="J200" s="108">
        <f>J194/J198</f>
        <v>0.50100160256410253</v>
      </c>
      <c r="K200" s="8"/>
      <c r="L200" s="8"/>
      <c r="M200" s="8"/>
      <c r="N200" s="8"/>
      <c r="O200" s="8"/>
    </row>
    <row r="201" spans="2:15" hidden="1" outlineLevel="1">
      <c r="C201" t="s">
        <v>213</v>
      </c>
      <c r="D201" t="s">
        <v>216</v>
      </c>
      <c r="J201" s="109">
        <f>AVERAGE(F200:J200)</f>
        <v>0.49701832791472961</v>
      </c>
      <c r="K201" s="8"/>
      <c r="L201" s="8"/>
      <c r="M201" s="8"/>
      <c r="N201" s="8"/>
      <c r="O201" s="8"/>
    </row>
    <row r="202" spans="2:15" hidden="1" outlineLevel="1">
      <c r="F202" s="108"/>
      <c r="G202" s="108"/>
      <c r="H202" s="108"/>
      <c r="I202" s="108"/>
      <c r="J202" s="108"/>
      <c r="K202" s="8"/>
      <c r="L202" s="8"/>
      <c r="M202" s="8"/>
      <c r="N202" s="8"/>
      <c r="O202" s="8"/>
    </row>
    <row r="203" spans="2:15" hidden="1" outlineLevel="1">
      <c r="C203" t="s">
        <v>214</v>
      </c>
      <c r="D203" t="s">
        <v>51</v>
      </c>
      <c r="E203" s="32">
        <v>72800</v>
      </c>
      <c r="F203" s="28">
        <f>(F190+E190)/2</f>
        <v>77700</v>
      </c>
      <c r="G203" s="28">
        <f t="shared" ref="G203:J203" si="75">(G190+F190)/2</f>
        <v>84000</v>
      </c>
      <c r="H203" s="28">
        <f t="shared" si="75"/>
        <v>91100</v>
      </c>
      <c r="I203" s="28">
        <f t="shared" si="75"/>
        <v>99100</v>
      </c>
      <c r="J203" s="28">
        <f t="shared" si="75"/>
        <v>107450</v>
      </c>
      <c r="K203" s="8"/>
      <c r="L203" s="8"/>
      <c r="M203" s="8"/>
      <c r="N203" s="8"/>
      <c r="O203" s="8"/>
    </row>
    <row r="204" spans="2:15" hidden="1" outlineLevel="1">
      <c r="B204" s="5"/>
      <c r="C204" s="5" t="s">
        <v>215</v>
      </c>
      <c r="D204" s="5" t="s">
        <v>52</v>
      </c>
      <c r="E204" s="110"/>
      <c r="F204" s="110">
        <f>(F198*1000)/F203</f>
        <v>47.374517374517374</v>
      </c>
      <c r="G204" s="110">
        <f>(G198*1000)/G203</f>
        <v>48.428571428571431</v>
      </c>
      <c r="H204" s="110">
        <f>(H198*1000)/H203</f>
        <v>48.276619099890233</v>
      </c>
      <c r="I204" s="110">
        <f>(I198*1000)/I203</f>
        <v>48.627648839556002</v>
      </c>
      <c r="J204" s="110">
        <f>(J198*1000)/J203</f>
        <v>46.458818054909258</v>
      </c>
      <c r="K204" s="105"/>
      <c r="L204" s="105"/>
      <c r="M204" s="105"/>
      <c r="N204" s="105"/>
      <c r="O204" s="105"/>
    </row>
    <row r="205" spans="2:15" hidden="1" outlineLevel="1">
      <c r="C205" t="s">
        <v>217</v>
      </c>
      <c r="D205" t="s">
        <v>216</v>
      </c>
      <c r="E205" s="108"/>
      <c r="F205" s="108"/>
      <c r="G205" s="108">
        <f>(G204/F204)-1</f>
        <v>2.2249388753056376E-2</v>
      </c>
      <c r="H205" s="108">
        <f>(H204/G204)-1</f>
        <v>-3.1376587043314697E-3</v>
      </c>
      <c r="I205" s="108">
        <f>(I204/H204)-1</f>
        <v>7.2712162991248608E-3</v>
      </c>
      <c r="J205" s="108">
        <f>(J204/I204)-1</f>
        <v>-4.4600774176902336E-2</v>
      </c>
      <c r="K205" s="8"/>
      <c r="L205" s="8"/>
      <c r="M205" s="8"/>
      <c r="N205" s="8"/>
      <c r="O205" s="8"/>
    </row>
    <row r="206" spans="2:15" hidden="1" outlineLevel="1">
      <c r="K206" s="8"/>
      <c r="L206" s="8"/>
      <c r="M206" s="8"/>
      <c r="N206" s="8"/>
      <c r="O206" s="8"/>
    </row>
    <row r="207" spans="2:15" hidden="1" outlineLevel="1">
      <c r="C207" t="s">
        <v>228</v>
      </c>
      <c r="D207" t="s">
        <v>216</v>
      </c>
      <c r="I207" s="108"/>
      <c r="J207" s="108">
        <f>(I204/F204)^0.03333 -1</f>
        <v>8.7055166095661995E-4</v>
      </c>
      <c r="K207" s="8"/>
      <c r="L207" s="8"/>
      <c r="M207" s="8"/>
      <c r="N207" s="8"/>
      <c r="O207" s="8"/>
    </row>
    <row r="208" spans="2:15" hidden="1" outlineLevel="1">
      <c r="C208" t="s">
        <v>229</v>
      </c>
      <c r="D208" t="s">
        <v>216</v>
      </c>
      <c r="J208" s="171">
        <v>8.3299999999999999E-2</v>
      </c>
      <c r="K208" s="8"/>
      <c r="L208" s="8"/>
      <c r="M208" s="8"/>
      <c r="N208" s="8"/>
      <c r="O208" s="8"/>
    </row>
    <row r="209" spans="2:16" hidden="1" outlineLevel="1">
      <c r="C209" t="s">
        <v>230</v>
      </c>
      <c r="D209" t="s">
        <v>52</v>
      </c>
      <c r="I209" s="109"/>
      <c r="K209" s="165">
        <f>K26</f>
        <v>48.435957154090985</v>
      </c>
      <c r="L209" s="164">
        <f>L26</f>
        <v>50.497236986532279</v>
      </c>
      <c r="M209" s="164">
        <f>M26</f>
        <v>50.541197440064622</v>
      </c>
      <c r="N209" s="164">
        <f>N26</f>
        <v>50.585196163442809</v>
      </c>
      <c r="O209" s="164">
        <f>O26</f>
        <v>50.629233189982713</v>
      </c>
    </row>
    <row r="210" spans="2:16" hidden="1" outlineLevel="1">
      <c r="K210" s="8"/>
      <c r="L210" s="8"/>
      <c r="M210" s="8"/>
      <c r="N210" s="8"/>
      <c r="O210" s="8"/>
    </row>
    <row r="211" spans="2:16" hidden="1" outlineLevel="1">
      <c r="B211" s="2" t="s">
        <v>231</v>
      </c>
      <c r="C211" s="3"/>
      <c r="D211" s="3"/>
      <c r="E211" s="3"/>
      <c r="F211" s="3"/>
      <c r="G211" s="3"/>
      <c r="H211" s="3"/>
      <c r="I211" s="3"/>
      <c r="J211" s="3"/>
      <c r="K211" s="113"/>
      <c r="L211" s="113"/>
      <c r="M211" s="113"/>
      <c r="N211" s="113"/>
      <c r="O211" s="113"/>
    </row>
    <row r="212" spans="2:16" hidden="1" outlineLevel="1">
      <c r="C212" t="s">
        <v>234</v>
      </c>
      <c r="D212" t="s">
        <v>232</v>
      </c>
      <c r="E212" s="28"/>
      <c r="F212" s="28">
        <f>E214</f>
        <v>782</v>
      </c>
      <c r="G212" s="28">
        <f t="shared" ref="G212:O212" si="76">F214</f>
        <v>795</v>
      </c>
      <c r="H212" s="28">
        <f t="shared" si="76"/>
        <v>815</v>
      </c>
      <c r="I212" s="28">
        <f t="shared" si="76"/>
        <v>838</v>
      </c>
      <c r="J212" s="28">
        <f t="shared" si="76"/>
        <v>861</v>
      </c>
      <c r="K212" s="29">
        <f t="shared" si="76"/>
        <v>890</v>
      </c>
      <c r="L212" s="29">
        <f t="shared" si="76"/>
        <v>916</v>
      </c>
      <c r="M212" s="29">
        <f t="shared" si="76"/>
        <v>943</v>
      </c>
      <c r="N212" s="29">
        <f t="shared" si="76"/>
        <v>970</v>
      </c>
      <c r="O212" s="29">
        <f t="shared" si="76"/>
        <v>997</v>
      </c>
      <c r="P212" s="28"/>
    </row>
    <row r="213" spans="2:16" hidden="1" outlineLevel="1">
      <c r="C213" t="s">
        <v>235</v>
      </c>
      <c r="D213" t="s">
        <v>232</v>
      </c>
      <c r="E213" s="28"/>
      <c r="F213" s="32">
        <v>13</v>
      </c>
      <c r="G213" s="32">
        <v>20</v>
      </c>
      <c r="H213" s="32">
        <v>23</v>
      </c>
      <c r="I213" s="32">
        <v>23</v>
      </c>
      <c r="J213" s="32">
        <v>29</v>
      </c>
      <c r="K213" s="29">
        <f>K12</f>
        <v>26</v>
      </c>
      <c r="L213" s="29">
        <f>L12</f>
        <v>27</v>
      </c>
      <c r="M213" s="29">
        <f>M12</f>
        <v>27</v>
      </c>
      <c r="N213" s="29">
        <f>N12</f>
        <v>27</v>
      </c>
      <c r="O213" s="29">
        <f>O12</f>
        <v>27</v>
      </c>
      <c r="P213" s="28"/>
    </row>
    <row r="214" spans="2:16" hidden="1" outlineLevel="1">
      <c r="B214" s="5"/>
      <c r="C214" s="5" t="s">
        <v>233</v>
      </c>
      <c r="D214" s="5" t="s">
        <v>232</v>
      </c>
      <c r="E214" s="175">
        <v>782</v>
      </c>
      <c r="F214" s="30">
        <f>F213+F212</f>
        <v>795</v>
      </c>
      <c r="G214" s="30">
        <f t="shared" ref="G214:O214" si="77">G213+G212</f>
        <v>815</v>
      </c>
      <c r="H214" s="30">
        <f t="shared" si="77"/>
        <v>838</v>
      </c>
      <c r="I214" s="30">
        <f t="shared" si="77"/>
        <v>861</v>
      </c>
      <c r="J214" s="30">
        <f t="shared" si="77"/>
        <v>890</v>
      </c>
      <c r="K214" s="31">
        <f t="shared" si="77"/>
        <v>916</v>
      </c>
      <c r="L214" s="31">
        <f t="shared" si="77"/>
        <v>943</v>
      </c>
      <c r="M214" s="31">
        <f t="shared" si="77"/>
        <v>970</v>
      </c>
      <c r="N214" s="31">
        <f t="shared" si="77"/>
        <v>997</v>
      </c>
      <c r="O214" s="31">
        <f t="shared" si="77"/>
        <v>1024</v>
      </c>
      <c r="P214" s="28"/>
    </row>
    <row r="215" spans="2:16" hidden="1" outlineLevel="1">
      <c r="K215" s="8"/>
      <c r="L215" s="8"/>
      <c r="M215" s="8"/>
      <c r="N215" s="8"/>
      <c r="O215" s="8"/>
    </row>
    <row r="216" spans="2:16" hidden="1" outlineLevel="1">
      <c r="C216" t="s">
        <v>237</v>
      </c>
      <c r="D216" t="s">
        <v>216</v>
      </c>
      <c r="F216" s="108">
        <f>F213/F212/2</f>
        <v>8.3120204603580571E-3</v>
      </c>
      <c r="G216" s="108">
        <f t="shared" ref="G216:O216" si="78">G213/G212/2</f>
        <v>1.2578616352201259E-2</v>
      </c>
      <c r="H216" s="108">
        <f t="shared" si="78"/>
        <v>1.4110429447852761E-2</v>
      </c>
      <c r="I216" s="108">
        <f t="shared" si="78"/>
        <v>1.3723150357995227E-2</v>
      </c>
      <c r="J216" s="108">
        <f t="shared" si="78"/>
        <v>1.6840882694541232E-2</v>
      </c>
      <c r="K216" s="114">
        <f t="shared" si="78"/>
        <v>1.4606741573033709E-2</v>
      </c>
      <c r="L216" s="114">
        <f t="shared" si="78"/>
        <v>1.4737991266375546E-2</v>
      </c>
      <c r="M216" s="114">
        <f t="shared" si="78"/>
        <v>1.4316012725344645E-2</v>
      </c>
      <c r="N216" s="114">
        <f t="shared" si="78"/>
        <v>1.3917525773195877E-2</v>
      </c>
      <c r="O216" s="114">
        <f t="shared" si="78"/>
        <v>1.354062186559679E-2</v>
      </c>
    </row>
    <row r="217" spans="2:16" hidden="1" outlineLevel="1">
      <c r="K217" s="8"/>
      <c r="L217" s="8"/>
      <c r="M217" s="8"/>
      <c r="N217" s="8"/>
      <c r="O217" s="8"/>
    </row>
    <row r="218" spans="2:16" hidden="1" outlineLevel="1">
      <c r="C218" t="s">
        <v>238</v>
      </c>
      <c r="D218" t="s">
        <v>216</v>
      </c>
      <c r="F218" s="108">
        <f>F203/E203-1</f>
        <v>6.7307692307692291E-2</v>
      </c>
      <c r="G218" s="108">
        <f t="shared" ref="G218:J218" si="79">G203/F203-1</f>
        <v>8.1081081081081141E-2</v>
      </c>
      <c r="H218" s="108">
        <f t="shared" si="79"/>
        <v>8.4523809523809446E-2</v>
      </c>
      <c r="I218" s="108">
        <f t="shared" si="79"/>
        <v>8.7815587266739881E-2</v>
      </c>
      <c r="J218" s="108">
        <f t="shared" si="79"/>
        <v>8.425832492431895E-2</v>
      </c>
      <c r="K218" s="8"/>
      <c r="L218" s="8"/>
      <c r="M218" s="8"/>
      <c r="N218" s="8"/>
      <c r="O218" s="8"/>
    </row>
    <row r="219" spans="2:16" hidden="1" outlineLevel="1">
      <c r="B219" s="5"/>
      <c r="C219" s="5" t="s">
        <v>239</v>
      </c>
      <c r="D219" s="5" t="s">
        <v>216</v>
      </c>
      <c r="E219" s="5"/>
      <c r="F219" s="157">
        <f>(1+F218)/(1+F216) -1</f>
        <v>5.8509341007755733E-2</v>
      </c>
      <c r="G219" s="157">
        <f t="shared" ref="G219:J219" si="80">(1+G218)/(1+G216) -1</f>
        <v>6.765150243411111E-2</v>
      </c>
      <c r="H219" s="157">
        <f t="shared" si="80"/>
        <v>6.9433641575202376E-2</v>
      </c>
      <c r="I219" s="157">
        <f t="shared" si="80"/>
        <v>7.3089419811098288E-2</v>
      </c>
      <c r="J219" s="157">
        <f t="shared" si="80"/>
        <v>6.6300876938707676E-2</v>
      </c>
      <c r="K219" s="105"/>
      <c r="L219" s="105"/>
      <c r="M219" s="105"/>
      <c r="N219" s="105"/>
      <c r="O219" s="105"/>
    </row>
    <row r="220" spans="2:16" hidden="1" outlineLevel="1">
      <c r="K220" s="8"/>
      <c r="L220" s="8"/>
      <c r="M220" s="8"/>
      <c r="N220" s="8"/>
      <c r="O220" s="8"/>
    </row>
    <row r="221" spans="2:16" hidden="1" outlineLevel="1">
      <c r="C221" t="s">
        <v>240</v>
      </c>
      <c r="D221" t="s">
        <v>244</v>
      </c>
      <c r="F221">
        <f>F6</f>
        <v>364</v>
      </c>
      <c r="G221">
        <f>G6</f>
        <v>364</v>
      </c>
      <c r="H221">
        <f>H6</f>
        <v>364</v>
      </c>
      <c r="I221">
        <f>I6</f>
        <v>371</v>
      </c>
      <c r="J221">
        <f>J6</f>
        <v>364</v>
      </c>
      <c r="K221" s="8">
        <f>K6</f>
        <v>364</v>
      </c>
      <c r="L221" s="8">
        <f>L6</f>
        <v>364</v>
      </c>
      <c r="M221" s="8">
        <f>M6</f>
        <v>364</v>
      </c>
      <c r="N221" s="8">
        <f>N6</f>
        <v>371</v>
      </c>
      <c r="O221" s="8">
        <f>O6</f>
        <v>364</v>
      </c>
    </row>
    <row r="222" spans="2:16" hidden="1" outlineLevel="1">
      <c r="C222" t="s">
        <v>241</v>
      </c>
      <c r="D222" t="s">
        <v>216</v>
      </c>
      <c r="F222" s="108">
        <f>IF(F221=364,F219,(F219/371)*364)</f>
        <v>5.8509341007755733E-2</v>
      </c>
      <c r="G222" s="108">
        <f t="shared" ref="G222:O222" si="81">IF(G221=364,G219,(G219/371)*364)</f>
        <v>6.765150243411111E-2</v>
      </c>
      <c r="H222" s="108">
        <f t="shared" si="81"/>
        <v>6.9433641575202376E-2</v>
      </c>
      <c r="I222" s="108">
        <f t="shared" si="81"/>
        <v>7.1710374154285106E-2</v>
      </c>
      <c r="J222" s="108">
        <f t="shared" si="81"/>
        <v>6.6300876938707676E-2</v>
      </c>
      <c r="K222" s="114">
        <f t="shared" si="81"/>
        <v>0</v>
      </c>
      <c r="L222" s="114">
        <f t="shared" si="81"/>
        <v>0</v>
      </c>
      <c r="M222" s="114">
        <f t="shared" si="81"/>
        <v>0</v>
      </c>
      <c r="N222" s="114">
        <f t="shared" si="81"/>
        <v>0</v>
      </c>
      <c r="O222" s="114">
        <f t="shared" si="81"/>
        <v>0</v>
      </c>
    </row>
    <row r="223" spans="2:16" hidden="1" outlineLevel="1">
      <c r="C223" t="s">
        <v>242</v>
      </c>
      <c r="D223" t="s">
        <v>216</v>
      </c>
      <c r="J223" s="109">
        <f>AVERAGE(G222:J222)</f>
        <v>6.8774098775576567E-2</v>
      </c>
      <c r="K223" s="159">
        <f>IF(K221=364,$J$223,($J$223*371)/364)</f>
        <v>6.8774098775576567E-2</v>
      </c>
      <c r="L223" s="159">
        <f t="shared" ref="L223:O223" si="82">IF(L221=364,$J$223,($J$223*371)/364)</f>
        <v>6.8774098775576567E-2</v>
      </c>
      <c r="M223" s="159">
        <f t="shared" si="82"/>
        <v>6.8774098775576567E-2</v>
      </c>
      <c r="N223" s="159">
        <f t="shared" si="82"/>
        <v>7.0096677598183804E-2</v>
      </c>
      <c r="O223" s="159">
        <f t="shared" si="82"/>
        <v>6.8774098775576567E-2</v>
      </c>
    </row>
    <row r="224" spans="2:16" hidden="1" outlineLevel="1">
      <c r="B224" s="5"/>
      <c r="C224" s="5" t="s">
        <v>243</v>
      </c>
      <c r="D224" s="5" t="s">
        <v>216</v>
      </c>
      <c r="E224" s="5"/>
      <c r="F224" s="5"/>
      <c r="G224" s="5"/>
      <c r="H224" s="5"/>
      <c r="I224" s="5"/>
      <c r="J224" s="5"/>
      <c r="K224" s="161">
        <f>K216+K223</f>
        <v>8.3380840348610277E-2</v>
      </c>
      <c r="L224" s="161">
        <f t="shared" ref="L224:O224" si="83">L216+L223</f>
        <v>8.3512090041952119E-2</v>
      </c>
      <c r="M224" s="161">
        <f t="shared" si="83"/>
        <v>8.3090111500921215E-2</v>
      </c>
      <c r="N224" s="161">
        <f t="shared" si="83"/>
        <v>8.4014203371379687E-2</v>
      </c>
      <c r="O224" s="161">
        <f t="shared" si="83"/>
        <v>8.2314720641173358E-2</v>
      </c>
    </row>
    <row r="225" spans="1:15" hidden="1" outlineLevel="1">
      <c r="K225" s="8"/>
      <c r="L225" s="8"/>
      <c r="M225" s="8"/>
      <c r="N225" s="8"/>
      <c r="O225" s="8"/>
    </row>
    <row r="226" spans="1:15" hidden="1" outlineLevel="1">
      <c r="B226" t="s">
        <v>246</v>
      </c>
      <c r="C226" t="s">
        <v>245</v>
      </c>
      <c r="D226" t="s">
        <v>51</v>
      </c>
      <c r="J226" s="12">
        <f>J190</f>
        <v>111600</v>
      </c>
      <c r="K226" s="29">
        <f>J226*(1+K224)</f>
        <v>120905.30178290491</v>
      </c>
      <c r="L226" s="29">
        <f t="shared" ref="L226:O226" si="84">K226*(1+L224)</f>
        <v>131002.35623194826</v>
      </c>
      <c r="M226" s="29">
        <f t="shared" si="84"/>
        <v>141887.35661814426</v>
      </c>
      <c r="N226" s="29">
        <f t="shared" si="84"/>
        <v>153807.90985288852</v>
      </c>
      <c r="O226" s="29">
        <f t="shared" si="84"/>
        <v>166468.56498483181</v>
      </c>
    </row>
    <row r="227" spans="1:15" hidden="1" outlineLevel="1">
      <c r="B227" t="s">
        <v>247</v>
      </c>
      <c r="C227" t="s">
        <v>280</v>
      </c>
      <c r="D227" t="s">
        <v>52</v>
      </c>
      <c r="K227" s="164">
        <f>K209</f>
        <v>48.435957154090985</v>
      </c>
      <c r="L227" s="164">
        <f t="shared" ref="L227:O227" si="85">L209</f>
        <v>50.497236986532279</v>
      </c>
      <c r="M227" s="164">
        <f t="shared" si="85"/>
        <v>50.541197440064622</v>
      </c>
      <c r="N227" s="164">
        <f t="shared" si="85"/>
        <v>50.585196163442809</v>
      </c>
      <c r="O227" s="164">
        <f t="shared" si="85"/>
        <v>50.629233189982713</v>
      </c>
    </row>
    <row r="228" spans="1:15" hidden="1" outlineLevel="1">
      <c r="B228" s="5"/>
      <c r="C228" s="5" t="s">
        <v>248</v>
      </c>
      <c r="D228" s="5" t="s">
        <v>208</v>
      </c>
      <c r="E228" s="5"/>
      <c r="F228" s="5"/>
      <c r="G228" s="5"/>
      <c r="H228" s="5"/>
      <c r="I228" s="5"/>
      <c r="J228" s="5"/>
      <c r="K228" s="168">
        <f>K227*(AVERAGE(J226:K226)/1000)</f>
        <v>5630.808417627888</v>
      </c>
      <c r="L228" s="168">
        <f t="shared" ref="L228:O228" si="86">L227*(AVERAGE(K226:L226)/1000)</f>
        <v>6360.3203527491833</v>
      </c>
      <c r="M228" s="168">
        <f t="shared" si="86"/>
        <v>6896.0864282595321</v>
      </c>
      <c r="N228" s="168">
        <f t="shared" si="86"/>
        <v>7478.9015295193431</v>
      </c>
      <c r="O228" s="168">
        <f t="shared" si="86"/>
        <v>8107.6761649122873</v>
      </c>
    </row>
    <row r="229" spans="1:15" hidden="1" outlineLevel="1">
      <c r="K229" s="176"/>
      <c r="L229" s="176"/>
      <c r="M229" s="176"/>
      <c r="N229" s="176"/>
      <c r="O229" s="176"/>
    </row>
    <row r="230" spans="1:15" hidden="1" outlineLevel="1">
      <c r="C230" t="s">
        <v>249</v>
      </c>
      <c r="D230" t="s">
        <v>208</v>
      </c>
      <c r="J230" s="104">
        <f>J194</f>
        <v>2501</v>
      </c>
      <c r="K230" s="176">
        <f>K228*$J$201</f>
        <v>2798.6149845375976</v>
      </c>
      <c r="L230" s="176">
        <f t="shared" ref="L230:O230" si="87">L228*$J$201</f>
        <v>3161.1957867254223</v>
      </c>
      <c r="M230" s="176">
        <f t="shared" si="87"/>
        <v>3427.4813457290124</v>
      </c>
      <c r="N230" s="176">
        <f t="shared" si="87"/>
        <v>3717.1511328406177</v>
      </c>
      <c r="O230" s="176">
        <f t="shared" si="87"/>
        <v>4029.6636507588128</v>
      </c>
    </row>
    <row r="231" spans="1:15" hidden="1" outlineLevel="1">
      <c r="C231" t="s">
        <v>250</v>
      </c>
      <c r="D231" t="s">
        <v>208</v>
      </c>
      <c r="K231" s="176">
        <f>K230-J230</f>
        <v>297.61498453759759</v>
      </c>
      <c r="L231" s="176">
        <f t="shared" ref="L231:O231" si="88">L230-K230</f>
        <v>362.5808021878247</v>
      </c>
      <c r="M231" s="176">
        <f t="shared" si="88"/>
        <v>266.28555900359015</v>
      </c>
      <c r="N231" s="176">
        <f t="shared" si="88"/>
        <v>289.66978711160527</v>
      </c>
      <c r="O231" s="176">
        <f t="shared" si="88"/>
        <v>312.51251791819504</v>
      </c>
    </row>
    <row r="232" spans="1:15" ht="15" hidden="1" outlineLevel="1" thickBot="1">
      <c r="B232" s="33" t="s">
        <v>251</v>
      </c>
      <c r="C232" s="33"/>
      <c r="D232" s="33" t="s">
        <v>208</v>
      </c>
      <c r="E232" s="33"/>
      <c r="F232" s="33"/>
      <c r="G232" s="33"/>
      <c r="H232" s="33"/>
      <c r="I232" s="33"/>
      <c r="J232" s="33"/>
      <c r="K232" s="202">
        <f>K228-K231</f>
        <v>5333.1934330902905</v>
      </c>
      <c r="L232" s="202">
        <f t="shared" ref="L232:O232" si="89">L228-L231</f>
        <v>5997.7395505613586</v>
      </c>
      <c r="M232" s="202">
        <f t="shared" si="89"/>
        <v>6629.8008692559415</v>
      </c>
      <c r="N232" s="202">
        <f t="shared" si="89"/>
        <v>7189.2317424077373</v>
      </c>
      <c r="O232" s="202">
        <f t="shared" si="89"/>
        <v>7795.1636469940922</v>
      </c>
    </row>
    <row r="233" spans="1:15" ht="15" hidden="1" outlineLevel="1" thickTop="1">
      <c r="K233" s="8"/>
      <c r="L233" s="8"/>
      <c r="M233" s="8"/>
      <c r="N233" s="8"/>
      <c r="O233" s="8"/>
    </row>
    <row r="234" spans="1:15" hidden="1" outlineLevel="1">
      <c r="B234" s="1" t="s">
        <v>252</v>
      </c>
      <c r="K234" s="8"/>
      <c r="L234" s="8"/>
      <c r="M234" s="8"/>
      <c r="N234" s="8"/>
      <c r="O234" s="8"/>
    </row>
    <row r="235" spans="1:15" hidden="1" outlineLevel="1">
      <c r="A235" s="5"/>
      <c r="B235" s="5"/>
      <c r="C235" s="5" t="s">
        <v>253</v>
      </c>
      <c r="D235" s="5" t="s">
        <v>254</v>
      </c>
      <c r="E235" s="30"/>
      <c r="F235" s="175">
        <v>147</v>
      </c>
      <c r="G235" s="30"/>
      <c r="H235" s="30"/>
      <c r="I235" s="30"/>
      <c r="J235" s="30"/>
      <c r="K235" s="31"/>
      <c r="L235" s="31"/>
      <c r="M235" s="31"/>
      <c r="N235" s="31"/>
      <c r="O235" s="31"/>
    </row>
    <row r="236" spans="1:15" hidden="1" outlineLevel="1">
      <c r="C236" t="s">
        <v>255</v>
      </c>
      <c r="D236" s="173" t="s">
        <v>232</v>
      </c>
      <c r="E236" s="32">
        <v>772</v>
      </c>
      <c r="F236" s="28">
        <f>(F212+F214)/2</f>
        <v>788.5</v>
      </c>
      <c r="G236" s="28">
        <f t="shared" ref="G236:O236" si="90">(G212+G214)/2</f>
        <v>805</v>
      </c>
      <c r="H236" s="28">
        <f t="shared" si="90"/>
        <v>826.5</v>
      </c>
      <c r="I236" s="28">
        <f t="shared" si="90"/>
        <v>849.5</v>
      </c>
      <c r="J236" s="28">
        <f t="shared" si="90"/>
        <v>875.5</v>
      </c>
      <c r="K236" s="29">
        <f t="shared" si="90"/>
        <v>903</v>
      </c>
      <c r="L236" s="29">
        <f t="shared" si="90"/>
        <v>929.5</v>
      </c>
      <c r="M236" s="29">
        <f t="shared" si="90"/>
        <v>956.5</v>
      </c>
      <c r="N236" s="29">
        <f t="shared" si="90"/>
        <v>983.5</v>
      </c>
      <c r="O236" s="29">
        <f t="shared" si="90"/>
        <v>1010.5</v>
      </c>
    </row>
    <row r="237" spans="1:15" hidden="1" outlineLevel="1">
      <c r="B237" s="5"/>
      <c r="C237" s="5" t="s">
        <v>256</v>
      </c>
      <c r="D237" s="172" t="s">
        <v>208</v>
      </c>
      <c r="E237" s="30">
        <f>(E236*$F$235)/1000</f>
        <v>113.48399999999999</v>
      </c>
      <c r="F237" s="30">
        <f t="shared" ref="F237:O237" si="91">(F236*$F$235)/1000</f>
        <v>115.90949999999999</v>
      </c>
      <c r="G237" s="30">
        <f t="shared" si="91"/>
        <v>118.33499999999999</v>
      </c>
      <c r="H237" s="30">
        <f t="shared" si="91"/>
        <v>121.49550000000001</v>
      </c>
      <c r="I237" s="30">
        <f t="shared" si="91"/>
        <v>124.87649999999999</v>
      </c>
      <c r="J237" s="30">
        <f t="shared" si="91"/>
        <v>128.6985</v>
      </c>
      <c r="K237" s="31">
        <f t="shared" si="91"/>
        <v>132.74100000000001</v>
      </c>
      <c r="L237" s="31">
        <f t="shared" si="91"/>
        <v>136.63650000000001</v>
      </c>
      <c r="M237" s="31">
        <f t="shared" si="91"/>
        <v>140.60550000000001</v>
      </c>
      <c r="N237" s="31">
        <f t="shared" si="91"/>
        <v>144.5745</v>
      </c>
      <c r="O237" s="31">
        <f t="shared" si="91"/>
        <v>148.54349999999999</v>
      </c>
    </row>
    <row r="238" spans="1:15" hidden="1" outlineLevel="1">
      <c r="E238" s="28"/>
      <c r="F238" s="28"/>
      <c r="G238" s="28"/>
      <c r="H238" s="28"/>
      <c r="I238" s="28"/>
      <c r="J238" s="28"/>
      <c r="K238" s="29"/>
      <c r="L238" s="29"/>
      <c r="M238" s="29"/>
      <c r="N238" s="29"/>
      <c r="O238" s="29"/>
    </row>
    <row r="239" spans="1:15" hidden="1" outlineLevel="1">
      <c r="C239" t="s">
        <v>185</v>
      </c>
      <c r="D239" t="s">
        <v>208</v>
      </c>
      <c r="E239" s="28"/>
      <c r="F239" s="28"/>
      <c r="G239" s="28"/>
      <c r="H239" s="28"/>
      <c r="I239" s="28"/>
      <c r="J239" s="28"/>
      <c r="K239" s="29"/>
      <c r="L239" s="29"/>
      <c r="M239" s="29"/>
      <c r="N239" s="29"/>
      <c r="O239" s="29"/>
    </row>
    <row r="240" spans="1:15" hidden="1" outlineLevel="1">
      <c r="C240" t="s">
        <v>261</v>
      </c>
      <c r="D240" t="s">
        <v>208</v>
      </c>
      <c r="E240" s="28"/>
      <c r="F240" s="28">
        <f>E244</f>
        <v>1180</v>
      </c>
      <c r="G240" s="28">
        <f t="shared" ref="G240:J240" si="92">F244</f>
        <v>1393</v>
      </c>
      <c r="H240" s="28">
        <f t="shared" si="92"/>
        <v>1671</v>
      </c>
      <c r="I240" s="28">
        <f t="shared" si="92"/>
        <v>1911</v>
      </c>
      <c r="J240" s="28">
        <f t="shared" si="92"/>
        <v>2150</v>
      </c>
      <c r="K240" s="29"/>
      <c r="L240" s="29"/>
      <c r="M240" s="29"/>
      <c r="N240" s="29"/>
      <c r="O240" s="29"/>
    </row>
    <row r="241" spans="2:15" hidden="1" outlineLevel="1">
      <c r="C241" t="s">
        <v>262</v>
      </c>
      <c r="D241" t="s">
        <v>208</v>
      </c>
      <c r="E241" s="28"/>
      <c r="F241" s="32">
        <v>1707</v>
      </c>
      <c r="G241" s="32">
        <v>2047</v>
      </c>
      <c r="H241" s="32">
        <v>2307</v>
      </c>
      <c r="I241" s="32">
        <v>2576</v>
      </c>
      <c r="J241" s="32">
        <v>2804</v>
      </c>
      <c r="K241" s="29"/>
      <c r="L241" s="29"/>
      <c r="M241" s="29"/>
      <c r="N241" s="29"/>
      <c r="O241" s="29"/>
    </row>
    <row r="242" spans="2:15" hidden="1" outlineLevel="1">
      <c r="B242" s="5"/>
      <c r="C242" s="5" t="s">
        <v>258</v>
      </c>
      <c r="D242" s="5" t="s">
        <v>208</v>
      </c>
      <c r="E242" s="30">
        <f>E240+E241</f>
        <v>0</v>
      </c>
      <c r="F242" s="30">
        <f t="shared" ref="F242:J242" si="93">F240+F241</f>
        <v>2887</v>
      </c>
      <c r="G242" s="30">
        <f t="shared" si="93"/>
        <v>3440</v>
      </c>
      <c r="H242" s="30">
        <f t="shared" si="93"/>
        <v>3978</v>
      </c>
      <c r="I242" s="30">
        <f t="shared" si="93"/>
        <v>4487</v>
      </c>
      <c r="J242" s="30">
        <f t="shared" si="93"/>
        <v>4954</v>
      </c>
      <c r="K242" s="31"/>
      <c r="L242" s="31"/>
      <c r="M242" s="31"/>
      <c r="N242" s="31"/>
      <c r="O242" s="31"/>
    </row>
    <row r="243" spans="2:15" hidden="1" outlineLevel="1">
      <c r="E243" s="28"/>
      <c r="F243" s="28"/>
      <c r="G243" s="28"/>
      <c r="H243" s="28"/>
      <c r="I243" s="28"/>
      <c r="J243" s="28"/>
      <c r="K243" s="29"/>
      <c r="L243" s="29"/>
      <c r="M243" s="29"/>
      <c r="N243" s="29"/>
      <c r="O243" s="29"/>
    </row>
    <row r="244" spans="2:15" hidden="1" outlineLevel="1">
      <c r="C244" t="s">
        <v>259</v>
      </c>
      <c r="D244" t="s">
        <v>208</v>
      </c>
      <c r="E244" s="32">
        <v>1180</v>
      </c>
      <c r="F244" s="28">
        <f>F161</f>
        <v>1393</v>
      </c>
      <c r="G244" s="28">
        <f>G161</f>
        <v>1671</v>
      </c>
      <c r="H244" s="28">
        <f>H161</f>
        <v>1911</v>
      </c>
      <c r="I244" s="28">
        <f>I161</f>
        <v>2150</v>
      </c>
      <c r="J244" s="28">
        <f>J161</f>
        <v>2435</v>
      </c>
      <c r="K244" s="29"/>
      <c r="L244" s="29"/>
      <c r="M244" s="29"/>
      <c r="N244" s="29"/>
      <c r="O244" s="29"/>
    </row>
    <row r="245" spans="2:15" hidden="1" outlineLevel="1">
      <c r="B245" s="5"/>
      <c r="C245" s="5" t="s">
        <v>260</v>
      </c>
      <c r="D245" s="5" t="s">
        <v>208</v>
      </c>
      <c r="E245" s="30">
        <f>E242-E244</f>
        <v>-1180</v>
      </c>
      <c r="F245" s="30">
        <f t="shared" ref="F245:J245" si="94">F242-F244</f>
        <v>1494</v>
      </c>
      <c r="G245" s="30">
        <f t="shared" si="94"/>
        <v>1769</v>
      </c>
      <c r="H245" s="30">
        <f t="shared" si="94"/>
        <v>2067</v>
      </c>
      <c r="I245" s="30">
        <f t="shared" si="94"/>
        <v>2337</v>
      </c>
      <c r="J245" s="30">
        <f t="shared" si="94"/>
        <v>2519</v>
      </c>
      <c r="K245" s="31"/>
      <c r="L245" s="31"/>
      <c r="M245" s="31"/>
      <c r="N245" s="31"/>
      <c r="O245" s="31"/>
    </row>
    <row r="246" spans="2:15" hidden="1" outlineLevel="1">
      <c r="E246" s="28"/>
      <c r="F246" s="28"/>
      <c r="G246" s="28"/>
      <c r="H246" s="28"/>
      <c r="I246" s="28"/>
      <c r="J246" s="28"/>
      <c r="K246" s="29"/>
      <c r="L246" s="29"/>
      <c r="M246" s="29"/>
      <c r="N246" s="29"/>
      <c r="O246" s="29"/>
    </row>
    <row r="247" spans="2:15" hidden="1" outlineLevel="1">
      <c r="C247" t="s">
        <v>263</v>
      </c>
      <c r="D247" t="s">
        <v>208</v>
      </c>
      <c r="E247" s="32">
        <v>123</v>
      </c>
      <c r="F247" s="28">
        <f>F244-E244</f>
        <v>213</v>
      </c>
      <c r="G247" s="28">
        <f>G244-F244</f>
        <v>278</v>
      </c>
      <c r="H247" s="28">
        <f t="shared" ref="H247:J247" si="95">H244-G244</f>
        <v>240</v>
      </c>
      <c r="I247" s="28">
        <f t="shared" si="95"/>
        <v>239</v>
      </c>
      <c r="J247" s="28">
        <f t="shared" si="95"/>
        <v>285</v>
      </c>
      <c r="K247" s="29"/>
      <c r="L247" s="29"/>
      <c r="M247" s="29"/>
      <c r="N247" s="29"/>
      <c r="O247" s="29"/>
    </row>
    <row r="248" spans="2:15" hidden="1" outlineLevel="1">
      <c r="E248" s="28"/>
      <c r="F248" s="28"/>
      <c r="G248" s="28"/>
      <c r="H248" s="28"/>
      <c r="I248" s="28"/>
      <c r="J248" s="28"/>
      <c r="K248" s="29"/>
      <c r="L248" s="29"/>
      <c r="M248" s="29"/>
      <c r="N248" s="29"/>
      <c r="O248" s="29"/>
    </row>
    <row r="249" spans="2:15" hidden="1" outlineLevel="1">
      <c r="C249" t="s">
        <v>264</v>
      </c>
      <c r="D249" t="s">
        <v>208</v>
      </c>
      <c r="E249" s="32">
        <v>149351</v>
      </c>
      <c r="F249" s="28">
        <f>F75</f>
        <v>163220</v>
      </c>
      <c r="G249" s="28">
        <f>G75</f>
        <v>192052</v>
      </c>
      <c r="H249" s="28">
        <f>H75</f>
        <v>222730</v>
      </c>
      <c r="I249" s="28">
        <f>I75</f>
        <v>237710</v>
      </c>
      <c r="J249" s="28">
        <f>J75</f>
        <v>249625</v>
      </c>
      <c r="K249" s="29"/>
      <c r="L249" s="29"/>
      <c r="M249" s="29"/>
      <c r="N249" s="29"/>
      <c r="O249" s="29"/>
    </row>
    <row r="250" spans="2:15" hidden="1" outlineLevel="1">
      <c r="B250" s="5"/>
      <c r="C250" s="5" t="s">
        <v>265</v>
      </c>
      <c r="D250" s="5" t="s">
        <v>208</v>
      </c>
      <c r="E250" s="30">
        <f>SUM(E249,E247)</f>
        <v>149474</v>
      </c>
      <c r="F250" s="30">
        <f t="shared" ref="F250:J250" si="96">SUM(F249,F247)</f>
        <v>163433</v>
      </c>
      <c r="G250" s="30">
        <f t="shared" si="96"/>
        <v>192330</v>
      </c>
      <c r="H250" s="30">
        <f t="shared" si="96"/>
        <v>222970</v>
      </c>
      <c r="I250" s="30">
        <f t="shared" si="96"/>
        <v>237949</v>
      </c>
      <c r="J250" s="30">
        <f t="shared" si="96"/>
        <v>249910</v>
      </c>
      <c r="K250" s="31"/>
      <c r="L250" s="31"/>
      <c r="M250" s="31"/>
      <c r="N250" s="31"/>
      <c r="O250" s="31"/>
    </row>
    <row r="251" spans="2:15" hidden="1" outlineLevel="1">
      <c r="K251" s="8"/>
      <c r="L251" s="8"/>
      <c r="M251" s="8"/>
      <c r="N251" s="8"/>
      <c r="O251" s="8"/>
    </row>
    <row r="252" spans="2:15" hidden="1" outlineLevel="1">
      <c r="C252" t="s">
        <v>266</v>
      </c>
      <c r="D252" t="s">
        <v>52</v>
      </c>
      <c r="E252" s="28">
        <f>E250/E237</f>
        <v>1317.1372175813331</v>
      </c>
      <c r="F252" s="28">
        <f t="shared" ref="F252:J252" si="97">F250/F237</f>
        <v>1410.0052195894211</v>
      </c>
      <c r="G252" s="28">
        <f t="shared" si="97"/>
        <v>1625.3010520978578</v>
      </c>
      <c r="H252" s="28">
        <f t="shared" si="97"/>
        <v>1835.2120037367638</v>
      </c>
      <c r="I252" s="28">
        <f t="shared" si="97"/>
        <v>1905.4746089136067</v>
      </c>
      <c r="J252" s="28">
        <f t="shared" si="97"/>
        <v>1941.82527379884</v>
      </c>
      <c r="K252" s="8"/>
      <c r="L252" s="8"/>
      <c r="M252" s="8"/>
      <c r="N252" s="8"/>
      <c r="O252" s="8"/>
    </row>
    <row r="253" spans="2:15" hidden="1" outlineLevel="1">
      <c r="K253" s="8"/>
      <c r="L253" s="8"/>
      <c r="M253" s="8"/>
      <c r="N253" s="8"/>
      <c r="O253" s="8"/>
    </row>
    <row r="254" spans="2:15" hidden="1" outlineLevel="1">
      <c r="C254" t="s">
        <v>267</v>
      </c>
      <c r="D254" t="s">
        <v>216</v>
      </c>
      <c r="F254" s="108">
        <f>(F252/E252)-1</f>
        <v>7.0507461765162205E-2</v>
      </c>
      <c r="G254" s="108">
        <f t="shared" ref="G254:J254" si="98">(G252/F252)-1</f>
        <v>0.15269151455420049</v>
      </c>
      <c r="H254" s="108">
        <f t="shared" si="98"/>
        <v>0.1291520431663804</v>
      </c>
      <c r="I254" s="108">
        <f t="shared" si="98"/>
        <v>3.8285824762358756E-2</v>
      </c>
      <c r="J254" s="108">
        <f t="shared" si="98"/>
        <v>1.9076961044344865E-2</v>
      </c>
      <c r="K254" s="187">
        <f>AVERAGE(I254:J254,F254)</f>
        <v>4.2623415857288606E-2</v>
      </c>
      <c r="L254" s="114">
        <f>L33</f>
        <v>4.5623415857288609E-2</v>
      </c>
      <c r="M254" s="114">
        <f>M33</f>
        <v>4.8623415857288611E-2</v>
      </c>
      <c r="N254" s="114">
        <f>N33</f>
        <v>5.1623415857288614E-2</v>
      </c>
      <c r="O254" s="114">
        <f>O33</f>
        <v>5.4623415857288617E-2</v>
      </c>
    </row>
    <row r="255" spans="2:15" hidden="1" outlineLevel="1">
      <c r="C255" t="s">
        <v>268</v>
      </c>
      <c r="D255" t="s">
        <v>216</v>
      </c>
      <c r="F255" s="108">
        <f>(F237/E237)-1</f>
        <v>2.1373056994818729E-2</v>
      </c>
      <c r="G255" s="108">
        <f t="shared" ref="G255:O255" si="99">(G237/F237)-1</f>
        <v>2.0925808497146425E-2</v>
      </c>
      <c r="H255" s="108">
        <f t="shared" si="99"/>
        <v>2.6708074534161685E-2</v>
      </c>
      <c r="I255" s="108">
        <f t="shared" si="99"/>
        <v>2.7828191167573957E-2</v>
      </c>
      <c r="J255" s="108">
        <f t="shared" si="99"/>
        <v>3.0606238964096644E-2</v>
      </c>
      <c r="K255" s="114">
        <f t="shared" si="99"/>
        <v>3.1410622501427898E-2</v>
      </c>
      <c r="L255" s="114">
        <f t="shared" si="99"/>
        <v>2.9346622369878173E-2</v>
      </c>
      <c r="M255" s="114">
        <f t="shared" si="99"/>
        <v>2.9047875201721363E-2</v>
      </c>
      <c r="N255" s="114">
        <f t="shared" si="99"/>
        <v>2.8227914270778864E-2</v>
      </c>
      <c r="O255" s="114">
        <f t="shared" si="99"/>
        <v>2.7452974072191161E-2</v>
      </c>
    </row>
    <row r="256" spans="2:15" hidden="1" outlineLevel="1">
      <c r="K256" s="8"/>
      <c r="L256" s="8"/>
      <c r="M256" s="8"/>
      <c r="N256" s="8"/>
      <c r="O256" s="8"/>
    </row>
    <row r="257" spans="2:15" hidden="1" outlineLevel="1">
      <c r="C257" t="s">
        <v>269</v>
      </c>
      <c r="D257" t="s">
        <v>216</v>
      </c>
      <c r="F257" s="108">
        <f>(1+F254)*(1+F255)-1</f>
        <v>9.3387478758847786E-2</v>
      </c>
      <c r="G257" s="108">
        <f t="shared" ref="G257:O257" si="100">(1+G254)*(1+G255)-1</f>
        <v>0.17681251644404727</v>
      </c>
      <c r="H257" s="108">
        <f t="shared" si="100"/>
        <v>0.15930952009566912</v>
      </c>
      <c r="I257" s="108">
        <f t="shared" si="100"/>
        <v>6.7179441180427846E-2</v>
      </c>
      <c r="J257" s="108">
        <f t="shared" si="100"/>
        <v>5.0267074036873582E-2</v>
      </c>
      <c r="K257" s="114">
        <f t="shared" si="100"/>
        <v>7.5372866383931258E-2</v>
      </c>
      <c r="L257" s="114">
        <f t="shared" si="100"/>
        <v>7.6308931383554546E-2</v>
      </c>
      <c r="M257" s="114">
        <f t="shared" si="100"/>
        <v>7.908369797471404E-2</v>
      </c>
      <c r="N257" s="114">
        <f t="shared" si="100"/>
        <v>8.1308551485251845E-2</v>
      </c>
      <c r="O257" s="114">
        <f t="shared" si="100"/>
        <v>8.3575965148744435E-2</v>
      </c>
    </row>
    <row r="258" spans="2:15" hidden="1" outlineLevel="1">
      <c r="K258" s="8"/>
      <c r="L258" s="8"/>
      <c r="M258" s="8"/>
      <c r="N258" s="8"/>
      <c r="O258" s="8"/>
    </row>
    <row r="259" spans="2:15" hidden="1" outlineLevel="1">
      <c r="C259" t="s">
        <v>265</v>
      </c>
      <c r="D259" t="s">
        <v>208</v>
      </c>
      <c r="J259" s="104">
        <f>J250</f>
        <v>249910</v>
      </c>
      <c r="K259" s="167">
        <f>J259*(1+K257)</f>
        <v>268746.43303800828</v>
      </c>
      <c r="L259" s="167">
        <f>K259*(1+L257)</f>
        <v>289254.18615628069</v>
      </c>
      <c r="M259" s="167">
        <f>L259*(1+M257)</f>
        <v>312129.47685218567</v>
      </c>
      <c r="N259" s="167">
        <f>M259*(1+N257)</f>
        <v>337508.27249088633</v>
      </c>
      <c r="O259" s="167">
        <f>N259*(1+O257)</f>
        <v>365715.85210999759</v>
      </c>
    </row>
    <row r="260" spans="2:15" hidden="1" outlineLevel="1">
      <c r="K260" s="8"/>
      <c r="L260" s="8"/>
      <c r="M260" s="8"/>
      <c r="N260" s="8"/>
      <c r="O260" s="8"/>
    </row>
    <row r="261" spans="2:15" hidden="1" outlineLevel="1">
      <c r="C261" t="s">
        <v>270</v>
      </c>
      <c r="D261" t="s">
        <v>208</v>
      </c>
      <c r="F261" s="104">
        <f>F241</f>
        <v>1707</v>
      </c>
      <c r="G261" s="104">
        <f t="shared" ref="G261:J261" si="101">G241</f>
        <v>2047</v>
      </c>
      <c r="H261" s="104">
        <f t="shared" si="101"/>
        <v>2307</v>
      </c>
      <c r="I261" s="104">
        <f t="shared" si="101"/>
        <v>2576</v>
      </c>
      <c r="J261" s="104">
        <f t="shared" si="101"/>
        <v>2804</v>
      </c>
      <c r="K261" s="8"/>
      <c r="L261" s="8"/>
      <c r="M261" s="8"/>
      <c r="N261" s="8"/>
      <c r="O261" s="8"/>
    </row>
    <row r="262" spans="2:15" hidden="1" outlineLevel="1">
      <c r="C262" t="s">
        <v>271</v>
      </c>
      <c r="D262" t="s">
        <v>216</v>
      </c>
      <c r="F262" s="108">
        <f>F261/F250</f>
        <v>1.0444647041907082E-2</v>
      </c>
      <c r="G262" s="108">
        <f t="shared" ref="G262:J262" si="102">G261/G250</f>
        <v>1.0643165392814433E-2</v>
      </c>
      <c r="H262" s="108">
        <f t="shared" si="102"/>
        <v>1.034668341032426E-2</v>
      </c>
      <c r="I262" s="108">
        <f t="shared" si="102"/>
        <v>1.0825849236601121E-2</v>
      </c>
      <c r="J262" s="108">
        <f t="shared" si="102"/>
        <v>1.1220039214117083E-2</v>
      </c>
      <c r="K262" s="186">
        <f>K35</f>
        <v>1.1420039214117083E-2</v>
      </c>
      <c r="L262" s="185">
        <f>L35</f>
        <v>1.1620039214117084E-2</v>
      </c>
      <c r="M262" s="185">
        <f>M35</f>
        <v>1.1820039214117084E-2</v>
      </c>
      <c r="N262" s="185">
        <f>N35</f>
        <v>1.2020039214117085E-2</v>
      </c>
      <c r="O262" s="185">
        <f>O35</f>
        <v>1.2220039214117085E-2</v>
      </c>
    </row>
    <row r="263" spans="2:15" hidden="1" outlineLevel="1">
      <c r="J263" s="109"/>
      <c r="K263" s="8"/>
      <c r="L263" s="8"/>
      <c r="M263" s="8"/>
      <c r="N263" s="8"/>
      <c r="O263" s="8"/>
    </row>
    <row r="264" spans="2:15" hidden="1" outlineLevel="1">
      <c r="C264" t="s">
        <v>272</v>
      </c>
      <c r="D264" t="s">
        <v>216</v>
      </c>
      <c r="F264" s="108">
        <f>F245/F241</f>
        <v>0.87521968365553604</v>
      </c>
      <c r="G264" s="108">
        <f t="shared" ref="G264:J264" si="103">G245/G241</f>
        <v>0.86419149975574006</v>
      </c>
      <c r="H264" s="108">
        <f t="shared" si="103"/>
        <v>0.89596879063719115</v>
      </c>
      <c r="I264" s="108">
        <f t="shared" si="103"/>
        <v>0.90722049689440998</v>
      </c>
      <c r="J264" s="108">
        <f t="shared" si="103"/>
        <v>0.89835948644793151</v>
      </c>
      <c r="K264" s="8"/>
      <c r="L264" s="8"/>
      <c r="M264" s="8"/>
      <c r="N264" s="8"/>
      <c r="O264" s="8"/>
    </row>
    <row r="265" spans="2:15" hidden="1" outlineLevel="1">
      <c r="C265" t="s">
        <v>273</v>
      </c>
      <c r="D265" t="s">
        <v>216</v>
      </c>
      <c r="J265" s="109">
        <f>AVERAGE(F264:J264)</f>
        <v>0.88819199147816175</v>
      </c>
      <c r="K265" s="8"/>
      <c r="L265" s="8"/>
      <c r="M265" s="8"/>
      <c r="N265" s="8"/>
      <c r="O265" s="8"/>
    </row>
    <row r="266" spans="2:15" hidden="1" outlineLevel="1">
      <c r="K266" s="8"/>
      <c r="L266" s="8"/>
      <c r="M266" s="8"/>
      <c r="N266" s="8"/>
      <c r="O266" s="8"/>
    </row>
    <row r="267" spans="2:15" hidden="1" outlineLevel="1">
      <c r="C267" t="s">
        <v>185</v>
      </c>
      <c r="D267" t="s">
        <v>208</v>
      </c>
      <c r="K267" s="8"/>
      <c r="L267" s="8"/>
      <c r="M267" s="8"/>
      <c r="N267" s="8"/>
      <c r="O267" s="8"/>
    </row>
    <row r="268" spans="2:15" hidden="1" outlineLevel="1">
      <c r="C268" t="s">
        <v>257</v>
      </c>
      <c r="D268" t="s">
        <v>208</v>
      </c>
      <c r="J268" s="104">
        <f>J240</f>
        <v>2150</v>
      </c>
      <c r="K268" s="176">
        <f>J272</f>
        <v>2435</v>
      </c>
      <c r="L268" s="176">
        <f t="shared" ref="L268:O268" si="104">K272</f>
        <v>2778.1493779941638</v>
      </c>
      <c r="M268" s="176">
        <f t="shared" si="104"/>
        <v>3153.9523052301415</v>
      </c>
      <c r="N268" s="176">
        <f t="shared" si="104"/>
        <v>3566.4548327032235</v>
      </c>
      <c r="O268" s="176">
        <f t="shared" si="104"/>
        <v>4020.0445687305178</v>
      </c>
    </row>
    <row r="269" spans="2:15" hidden="1" outlineLevel="1">
      <c r="C269" t="s">
        <v>274</v>
      </c>
      <c r="D269" t="s">
        <v>208</v>
      </c>
      <c r="J269" s="104">
        <f>J241</f>
        <v>2804</v>
      </c>
      <c r="K269" s="167">
        <f>K259*K262</f>
        <v>3069.0948039481455</v>
      </c>
      <c r="L269" s="167">
        <f t="shared" ref="L269:O269" si="105">L259*L262</f>
        <v>3361.1449859835047</v>
      </c>
      <c r="M269" s="167">
        <f t="shared" si="105"/>
        <v>3689.3826562746854</v>
      </c>
      <c r="N269" s="167">
        <f t="shared" si="105"/>
        <v>4056.8626704293683</v>
      </c>
      <c r="O269" s="167">
        <f t="shared" si="105"/>
        <v>4469.0620540084155</v>
      </c>
    </row>
    <row r="270" spans="2:15" hidden="1" outlineLevel="1">
      <c r="B270" s="5"/>
      <c r="C270" s="5" t="s">
        <v>275</v>
      </c>
      <c r="D270" s="5" t="s">
        <v>208</v>
      </c>
      <c r="E270" s="5"/>
      <c r="F270" s="5"/>
      <c r="G270" s="5"/>
      <c r="H270" s="5"/>
      <c r="I270" s="5"/>
      <c r="J270" s="107">
        <f>SUM(J268:J269)</f>
        <v>4954</v>
      </c>
      <c r="K270" s="168">
        <f t="shared" ref="K270:O270" si="106">SUM(K268:K269)</f>
        <v>5504.0948039481455</v>
      </c>
      <c r="L270" s="168">
        <f t="shared" si="106"/>
        <v>6139.2943639776686</v>
      </c>
      <c r="M270" s="168">
        <f t="shared" si="106"/>
        <v>6843.3349615048264</v>
      </c>
      <c r="N270" s="168">
        <f t="shared" si="106"/>
        <v>7623.3175031325918</v>
      </c>
      <c r="O270" s="168">
        <f t="shared" si="106"/>
        <v>8489.1066227389329</v>
      </c>
    </row>
    <row r="271" spans="2:15" hidden="1" outlineLevel="1">
      <c r="C271" t="s">
        <v>260</v>
      </c>
      <c r="D271" t="s">
        <v>208</v>
      </c>
      <c r="J271" s="104">
        <f>J245</f>
        <v>2519</v>
      </c>
      <c r="K271" s="167">
        <f>K269*$J$265</f>
        <v>2725.9454259539816</v>
      </c>
      <c r="L271" s="167">
        <f t="shared" ref="L271:O271" si="107">L269*$J$265</f>
        <v>2985.3420587475271</v>
      </c>
      <c r="M271" s="167">
        <f t="shared" si="107"/>
        <v>3276.880128801603</v>
      </c>
      <c r="N271" s="167">
        <f t="shared" si="107"/>
        <v>3603.272934402074</v>
      </c>
      <c r="O271" s="167">
        <f t="shared" si="107"/>
        <v>3969.3851257892188</v>
      </c>
    </row>
    <row r="272" spans="2:15" hidden="1" outlineLevel="1">
      <c r="B272" s="5"/>
      <c r="C272" s="5" t="s">
        <v>279</v>
      </c>
      <c r="D272" s="5" t="s">
        <v>208</v>
      </c>
      <c r="E272" s="5"/>
      <c r="F272" s="5"/>
      <c r="G272" s="5"/>
      <c r="H272" s="5"/>
      <c r="I272" s="5"/>
      <c r="J272" s="107">
        <f>J270-J271</f>
        <v>2435</v>
      </c>
      <c r="K272" s="168">
        <f t="shared" ref="K272:O272" si="108">K270-K271</f>
        <v>2778.1493779941638</v>
      </c>
      <c r="L272" s="168">
        <f t="shared" si="108"/>
        <v>3153.9523052301415</v>
      </c>
      <c r="M272" s="168">
        <f t="shared" si="108"/>
        <v>3566.4548327032235</v>
      </c>
      <c r="N272" s="168">
        <f t="shared" si="108"/>
        <v>4020.0445687305178</v>
      </c>
      <c r="O272" s="168">
        <f t="shared" si="108"/>
        <v>4519.7214969497145</v>
      </c>
    </row>
    <row r="273" spans="1:15" hidden="1" outlineLevel="1">
      <c r="K273" s="8"/>
      <c r="L273" s="8"/>
      <c r="M273" s="8"/>
      <c r="N273" s="8"/>
      <c r="O273" s="8"/>
    </row>
    <row r="274" spans="1:15" hidden="1" outlineLevel="1">
      <c r="C274" t="s">
        <v>276</v>
      </c>
      <c r="D274" t="s">
        <v>208</v>
      </c>
      <c r="K274" s="176">
        <f>K272-J272</f>
        <v>343.14937799416384</v>
      </c>
      <c r="L274" s="176">
        <f t="shared" ref="L274:O274" si="109">L272-K272</f>
        <v>375.80292723597768</v>
      </c>
      <c r="M274" s="176">
        <f t="shared" si="109"/>
        <v>412.50252747308195</v>
      </c>
      <c r="N274" s="176">
        <f t="shared" si="109"/>
        <v>453.58973602729429</v>
      </c>
      <c r="O274" s="176">
        <f t="shared" si="109"/>
        <v>499.67692821919672</v>
      </c>
    </row>
    <row r="275" spans="1:15" ht="15" hidden="1" outlineLevel="1" thickBot="1">
      <c r="B275" s="33" t="s">
        <v>278</v>
      </c>
      <c r="C275" s="33"/>
      <c r="D275" s="33" t="s">
        <v>208</v>
      </c>
      <c r="E275" s="33"/>
      <c r="F275" s="33"/>
      <c r="G275" s="33"/>
      <c r="H275" s="33"/>
      <c r="I275" s="33"/>
      <c r="J275" s="33"/>
      <c r="K275" s="101">
        <f>K259-K274</f>
        <v>268403.2836600141</v>
      </c>
      <c r="L275" s="101">
        <f t="shared" ref="L275:O275" si="110">L259-L274</f>
        <v>288878.38322904473</v>
      </c>
      <c r="M275" s="101">
        <f t="shared" si="110"/>
        <v>311716.97432471259</v>
      </c>
      <c r="N275" s="101">
        <f t="shared" si="110"/>
        <v>337054.68275485904</v>
      </c>
      <c r="O275" s="101">
        <f t="shared" si="110"/>
        <v>365216.17518177838</v>
      </c>
    </row>
    <row r="276" spans="1:15" ht="15" hidden="1" outlineLevel="1" thickTop="1"/>
    <row r="277" spans="1:15" collapsed="1"/>
    <row r="278" spans="1:15">
      <c r="A278" s="115" t="s">
        <v>285</v>
      </c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</row>
    <row r="279" spans="1:15" hidden="1" outlineLevel="1"/>
    <row r="280" spans="1:15" hidden="1" outlineLevel="1">
      <c r="A280" s="2" t="s">
        <v>15</v>
      </c>
      <c r="B280" s="2"/>
      <c r="C280" s="2"/>
      <c r="D280" s="2"/>
      <c r="E280" s="4"/>
      <c r="F280" s="4">
        <f t="shared" ref="F280:J280" si="111">G280-1</f>
        <v>2020</v>
      </c>
      <c r="G280" s="4">
        <f t="shared" si="111"/>
        <v>2021</v>
      </c>
      <c r="H280" s="4">
        <f t="shared" si="111"/>
        <v>2022</v>
      </c>
      <c r="I280" s="4">
        <f t="shared" si="111"/>
        <v>2023</v>
      </c>
      <c r="J280" s="4">
        <f t="shared" si="111"/>
        <v>2024</v>
      </c>
      <c r="K280" s="7">
        <f>K$8</f>
        <v>2025</v>
      </c>
      <c r="L280" s="7">
        <f>L$8</f>
        <v>2026</v>
      </c>
      <c r="M280" s="7">
        <f>M$8</f>
        <v>2027</v>
      </c>
      <c r="N280" s="7">
        <f>N$8</f>
        <v>2028</v>
      </c>
      <c r="O280" s="7">
        <f>O$8</f>
        <v>2029</v>
      </c>
    </row>
    <row r="281" spans="1:15" hidden="1" outlineLevel="1">
      <c r="B281" t="s">
        <v>11</v>
      </c>
      <c r="D281" t="s">
        <v>208</v>
      </c>
      <c r="F281" s="28">
        <f>F75</f>
        <v>163220</v>
      </c>
      <c r="G281" s="28">
        <f>G75</f>
        <v>192052</v>
      </c>
      <c r="H281" s="28">
        <f>H75</f>
        <v>222730</v>
      </c>
      <c r="I281" s="28">
        <f>I75</f>
        <v>237710</v>
      </c>
      <c r="J281" s="28">
        <f>J75</f>
        <v>249625</v>
      </c>
      <c r="K281" s="29">
        <f>K75</f>
        <v>268403.2836600141</v>
      </c>
      <c r="L281" s="29">
        <f>L75</f>
        <v>288878.38322904473</v>
      </c>
      <c r="M281" s="29">
        <f>M75</f>
        <v>311716.97432471259</v>
      </c>
      <c r="N281" s="29">
        <f>N75</f>
        <v>337054.68275485904</v>
      </c>
      <c r="O281" s="29">
        <f>O75</f>
        <v>365216.17518177838</v>
      </c>
    </row>
    <row r="282" spans="1:15" hidden="1" outlineLevel="1">
      <c r="B282" t="s">
        <v>286</v>
      </c>
      <c r="D282" t="s">
        <v>208</v>
      </c>
      <c r="F282" s="28">
        <f>-F80</f>
        <v>144939</v>
      </c>
      <c r="G282" s="28">
        <f>-G80</f>
        <v>170684</v>
      </c>
      <c r="H282" s="28">
        <f>-H80</f>
        <v>199382</v>
      </c>
      <c r="I282" s="28">
        <f>-I80</f>
        <v>212586</v>
      </c>
      <c r="J282" s="28">
        <f>-J80</f>
        <v>222358</v>
      </c>
      <c r="K282" s="29"/>
      <c r="L282" s="29"/>
      <c r="M282" s="29"/>
      <c r="N282" s="29"/>
      <c r="O282" s="29"/>
    </row>
    <row r="283" spans="1:15" hidden="1" outlineLevel="1">
      <c r="B283" s="5" t="s">
        <v>224</v>
      </c>
      <c r="C283" s="5"/>
      <c r="D283" s="5" t="s">
        <v>216</v>
      </c>
      <c r="E283" s="5"/>
      <c r="F283" s="157">
        <f>1-(F282/F281)</f>
        <v>0.11200220561205732</v>
      </c>
      <c r="G283" s="157">
        <f t="shared" ref="G283:J283" si="112">1-(G282/G281)</f>
        <v>0.11126153333472188</v>
      </c>
      <c r="H283" s="157">
        <f t="shared" si="112"/>
        <v>0.10482647151259372</v>
      </c>
      <c r="I283" s="157">
        <f t="shared" si="112"/>
        <v>0.10569180934752431</v>
      </c>
      <c r="J283" s="157">
        <f t="shared" si="112"/>
        <v>0.10923184777165751</v>
      </c>
      <c r="K283" s="105"/>
      <c r="L283" s="105"/>
      <c r="M283" s="105"/>
      <c r="N283" s="105"/>
      <c r="O283" s="105"/>
    </row>
    <row r="284" spans="1:15" hidden="1" outlineLevel="1">
      <c r="B284" s="173" t="s">
        <v>287</v>
      </c>
      <c r="D284" t="s">
        <v>216</v>
      </c>
      <c r="J284" s="109">
        <f>AVERAGE(F283:J283)</f>
        <v>0.10860277351571095</v>
      </c>
      <c r="K284" s="159">
        <f>K40</f>
        <v>0.10860277351571095</v>
      </c>
      <c r="L284" s="159">
        <f>L40</f>
        <v>0.10860277351571095</v>
      </c>
      <c r="M284" s="159">
        <f>M40</f>
        <v>0.10860277351571095</v>
      </c>
      <c r="N284" s="159">
        <f>N40</f>
        <v>0.10860277351571095</v>
      </c>
      <c r="O284" s="159">
        <f>O40</f>
        <v>0.10860277351571095</v>
      </c>
    </row>
    <row r="285" spans="1:15" hidden="1" outlineLevel="1">
      <c r="B285" s="5" t="s">
        <v>289</v>
      </c>
      <c r="C285" s="5"/>
      <c r="D285" s="5" t="s">
        <v>208</v>
      </c>
      <c r="E285" s="5"/>
      <c r="F285" s="5"/>
      <c r="G285" s="5"/>
      <c r="H285" s="5"/>
      <c r="I285" s="5"/>
      <c r="J285" s="5"/>
      <c r="K285" s="31">
        <f>(1-K284)*K281</f>
        <v>239253.94263381249</v>
      </c>
      <c r="L285" s="31">
        <f>(1-L284)*L281</f>
        <v>257505.38960163604</v>
      </c>
      <c r="M285" s="31">
        <f>(1-M284)*M281</f>
        <v>277863.64636112313</v>
      </c>
      <c r="N285" s="31">
        <f>(1-N284)*N281</f>
        <v>300449.60938122327</v>
      </c>
      <c r="O285" s="31">
        <f>(1-O284)*O281</f>
        <v>325552.68562423752</v>
      </c>
    </row>
    <row r="286" spans="1:15" hidden="1" outlineLevel="1">
      <c r="B286" s="200" t="s">
        <v>288</v>
      </c>
      <c r="K286" s="8"/>
      <c r="L286" s="8"/>
      <c r="M286" s="8"/>
      <c r="N286" s="8"/>
      <c r="O286" s="8"/>
    </row>
    <row r="287" spans="1:15" hidden="1" outlineLevel="1">
      <c r="B287" s="173" t="s">
        <v>290</v>
      </c>
      <c r="D287" t="s">
        <v>208</v>
      </c>
      <c r="F287" s="104">
        <f>-F81</f>
        <v>16387</v>
      </c>
      <c r="G287">
        <f>-G81</f>
        <v>18537</v>
      </c>
      <c r="H287">
        <f>-H81</f>
        <v>19779</v>
      </c>
      <c r="I287">
        <f>-I81</f>
        <v>21590</v>
      </c>
      <c r="J287">
        <f>-J81</f>
        <v>22810</v>
      </c>
      <c r="K287" s="8"/>
      <c r="L287" s="8"/>
      <c r="M287" s="8"/>
      <c r="N287" s="8"/>
      <c r="O287" s="8"/>
    </row>
    <row r="288" spans="1:15" hidden="1" outlineLevel="1">
      <c r="C288" s="173" t="s">
        <v>291</v>
      </c>
      <c r="D288" t="s">
        <v>216</v>
      </c>
      <c r="F288" s="108">
        <f>F287/F281</f>
        <v>0.10039823551035412</v>
      </c>
      <c r="G288" s="108">
        <f t="shared" ref="G288:J288" si="113">G287/G281</f>
        <v>9.6520733967883701E-2</v>
      </c>
      <c r="H288" s="108">
        <f t="shared" si="113"/>
        <v>8.8802586090782565E-2</v>
      </c>
      <c r="I288" s="108">
        <f t="shared" si="113"/>
        <v>9.0824954776828906E-2</v>
      </c>
      <c r="J288" s="108">
        <f t="shared" si="113"/>
        <v>9.1377065598397603E-2</v>
      </c>
      <c r="K288" s="8"/>
      <c r="L288" s="8"/>
      <c r="M288" s="8"/>
      <c r="N288" s="8"/>
      <c r="O288" s="8"/>
    </row>
    <row r="289" spans="1:15" hidden="1" outlineLevel="1">
      <c r="C289" t="s">
        <v>297</v>
      </c>
      <c r="D289" t="s">
        <v>216</v>
      </c>
      <c r="J289" s="109">
        <f>AVERAGE(G288:J288)</f>
        <v>9.1881335108473183E-2</v>
      </c>
      <c r="K289" s="159">
        <f>K42</f>
        <v>9.0297304168993064E-2</v>
      </c>
      <c r="L289" s="159">
        <f>L42</f>
        <v>8.8713273229512946E-2</v>
      </c>
      <c r="M289" s="159">
        <f>M42</f>
        <v>8.7129242290032827E-2</v>
      </c>
      <c r="N289" s="159">
        <f>N42</f>
        <v>8.5545211350552708E-2</v>
      </c>
      <c r="O289" s="159">
        <f>O42</f>
        <v>8.3961180411072589E-2</v>
      </c>
    </row>
    <row r="290" spans="1:15" hidden="1" outlineLevel="1">
      <c r="C290" t="s">
        <v>293</v>
      </c>
      <c r="D290" t="s">
        <v>216</v>
      </c>
      <c r="J290" s="108">
        <f>(J281/G281)-1</f>
        <v>0.29977818507487553</v>
      </c>
      <c r="K290" s="8"/>
      <c r="L290" s="8"/>
      <c r="M290" s="8"/>
      <c r="N290" s="8"/>
      <c r="O290" s="8"/>
    </row>
    <row r="291" spans="1:15" hidden="1" outlineLevel="1">
      <c r="C291" t="s">
        <v>294</v>
      </c>
      <c r="D291" t="s">
        <v>216</v>
      </c>
      <c r="J291" s="109">
        <f>G288-J288</f>
        <v>5.1436683694860985E-3</v>
      </c>
      <c r="K291" s="8"/>
      <c r="L291" s="8"/>
      <c r="M291" s="8"/>
      <c r="N291" s="8"/>
      <c r="O291" s="8"/>
    </row>
    <row r="292" spans="1:15" hidden="1" outlineLevel="1">
      <c r="C292" t="s">
        <v>296</v>
      </c>
      <c r="D292" t="s">
        <v>216</v>
      </c>
      <c r="J292" s="108">
        <f>(O281/J281)-1</f>
        <v>0.46305928966160592</v>
      </c>
      <c r="K292" s="8"/>
      <c r="L292" s="8"/>
      <c r="M292" s="8"/>
      <c r="N292" s="8"/>
      <c r="O292" s="8"/>
    </row>
    <row r="293" spans="1:15" hidden="1" outlineLevel="1">
      <c r="C293" t="s">
        <v>295</v>
      </c>
      <c r="D293" t="s">
        <v>216</v>
      </c>
      <c r="J293" s="108">
        <f>(J291/J290)*J292</f>
        <v>7.9452860148385915E-3</v>
      </c>
      <c r="K293" s="8"/>
      <c r="L293" s="8"/>
      <c r="M293" s="8"/>
      <c r="N293" s="8"/>
      <c r="O293" s="8"/>
    </row>
    <row r="294" spans="1:15" hidden="1" outlineLevel="1">
      <c r="C294" t="s">
        <v>298</v>
      </c>
      <c r="D294" t="s">
        <v>216</v>
      </c>
      <c r="J294" s="108">
        <f>(1+J293)^0.2-1</f>
        <v>1.5840309394801189E-3</v>
      </c>
      <c r="K294" s="8"/>
      <c r="L294" s="8"/>
      <c r="M294" s="8"/>
      <c r="N294" s="8"/>
      <c r="O294" s="8"/>
    </row>
    <row r="295" spans="1:15" hidden="1" outlineLevel="1">
      <c r="B295" s="5" t="s">
        <v>299</v>
      </c>
      <c r="C295" s="5"/>
      <c r="D295" s="5"/>
      <c r="E295" s="5"/>
      <c r="F295" s="5"/>
      <c r="G295" s="5"/>
      <c r="H295" s="5"/>
      <c r="I295" s="5"/>
      <c r="J295" s="157"/>
      <c r="K295" s="166">
        <f>K289*K281</f>
        <v>24236.092944604818</v>
      </c>
      <c r="L295" s="166">
        <f t="shared" ref="L295:O295" si="114">L289*L281</f>
        <v>25627.346941498196</v>
      </c>
      <c r="M295" s="166">
        <f t="shared" si="114"/>
        <v>27159.663781853826</v>
      </c>
      <c r="N295" s="166">
        <f t="shared" si="114"/>
        <v>28833.414072957909</v>
      </c>
      <c r="O295" s="166">
        <f t="shared" si="114"/>
        <v>30663.981173479187</v>
      </c>
    </row>
    <row r="296" spans="1:15" hidden="1" outlineLevel="1">
      <c r="K296" s="8"/>
      <c r="L296" s="8"/>
      <c r="M296" s="8"/>
      <c r="N296" s="8"/>
      <c r="O296" s="8"/>
    </row>
    <row r="297" spans="1:15" hidden="1" outlineLevel="1">
      <c r="C297" t="s">
        <v>300</v>
      </c>
      <c r="D297" t="s">
        <v>208</v>
      </c>
      <c r="F297" s="104">
        <f>F160</f>
        <v>3605</v>
      </c>
      <c r="G297" s="104">
        <f>G160</f>
        <v>4090</v>
      </c>
      <c r="H297" s="104">
        <f>H160</f>
        <v>4381</v>
      </c>
      <c r="I297" s="104">
        <f>I160</f>
        <v>4278</v>
      </c>
      <c r="J297" s="104">
        <f>J160</f>
        <v>4794</v>
      </c>
      <c r="K297" s="8"/>
      <c r="L297" s="8"/>
      <c r="M297" s="8"/>
      <c r="N297" s="8"/>
      <c r="O297" s="8"/>
    </row>
    <row r="298" spans="1:15" hidden="1" outlineLevel="1">
      <c r="C298" t="s">
        <v>301</v>
      </c>
      <c r="D298" t="s">
        <v>216</v>
      </c>
      <c r="F298" s="108">
        <f>F297/F287</f>
        <v>0.21999145664246048</v>
      </c>
      <c r="G298" s="108">
        <f t="shared" ref="G298:J298" si="115">G297/G287</f>
        <v>0.22063980147812484</v>
      </c>
      <c r="H298" s="108">
        <f t="shared" si="115"/>
        <v>0.22149754790434298</v>
      </c>
      <c r="I298" s="108">
        <f t="shared" si="115"/>
        <v>0.19814729041222789</v>
      </c>
      <c r="J298" s="108">
        <f t="shared" si="115"/>
        <v>0.21017097764138537</v>
      </c>
      <c r="K298" s="8"/>
      <c r="L298" s="8"/>
      <c r="M298" s="8"/>
      <c r="N298" s="8"/>
      <c r="O298" s="8"/>
    </row>
    <row r="299" spans="1:15" hidden="1" outlineLevel="1">
      <c r="C299" t="s">
        <v>302</v>
      </c>
      <c r="D299" t="s">
        <v>216</v>
      </c>
      <c r="F299" s="108"/>
      <c r="G299" s="108"/>
      <c r="H299" s="108"/>
      <c r="I299" s="108"/>
      <c r="J299" s="108">
        <f>AVERAGE(F298:J298)</f>
        <v>0.21408941481570834</v>
      </c>
      <c r="K299" s="159">
        <f>$J$299</f>
        <v>0.21408941481570834</v>
      </c>
      <c r="L299" s="159">
        <f t="shared" ref="L299:O299" si="116">$J$299</f>
        <v>0.21408941481570834</v>
      </c>
      <c r="M299" s="159">
        <f t="shared" si="116"/>
        <v>0.21408941481570834</v>
      </c>
      <c r="N299" s="159">
        <f t="shared" si="116"/>
        <v>0.21408941481570834</v>
      </c>
      <c r="O299" s="159">
        <f t="shared" si="116"/>
        <v>0.21408941481570834</v>
      </c>
    </row>
    <row r="300" spans="1:15" hidden="1" outlineLevel="1">
      <c r="C300" t="s">
        <v>303</v>
      </c>
      <c r="D300" t="s">
        <v>208</v>
      </c>
      <c r="K300" s="167">
        <f>K299*K295</f>
        <v>5188.6909559295627</v>
      </c>
      <c r="L300" s="167">
        <f t="shared" ref="L300:O300" si="117">L299*L295</f>
        <v>5486.5437099844812</v>
      </c>
      <c r="M300" s="167">
        <f t="shared" si="117"/>
        <v>5814.5965256484733</v>
      </c>
      <c r="N300" s="167">
        <f t="shared" si="117"/>
        <v>6172.9287460185678</v>
      </c>
      <c r="O300" s="167">
        <f t="shared" si="117"/>
        <v>6564.833785350057</v>
      </c>
    </row>
    <row r="301" spans="1:15" hidden="1" outlineLevel="1"/>
    <row r="302" spans="1:15" collapsed="1"/>
    <row r="303" spans="1:15">
      <c r="A303" s="115" t="s">
        <v>308</v>
      </c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</row>
    <row r="304" spans="1:15" hidden="1" outlineLevel="1"/>
    <row r="305" spans="1:15" hidden="1" outlineLevel="1">
      <c r="A305" s="2" t="s">
        <v>329</v>
      </c>
      <c r="B305" s="2"/>
      <c r="C305" s="2"/>
      <c r="D305" s="2"/>
      <c r="E305" s="4"/>
      <c r="F305" s="4">
        <f t="shared" ref="F305:J305" si="118">G305-1</f>
        <v>2020</v>
      </c>
      <c r="G305" s="4">
        <f t="shared" si="118"/>
        <v>2021</v>
      </c>
      <c r="H305" s="4">
        <f t="shared" si="118"/>
        <v>2022</v>
      </c>
      <c r="I305" s="4">
        <f t="shared" si="118"/>
        <v>2023</v>
      </c>
      <c r="J305" s="4">
        <f t="shared" si="118"/>
        <v>2024</v>
      </c>
      <c r="K305" s="7">
        <f>K$8</f>
        <v>2025</v>
      </c>
      <c r="L305" s="7">
        <f>L$8</f>
        <v>2026</v>
      </c>
      <c r="M305" s="7">
        <f>M$8</f>
        <v>2027</v>
      </c>
      <c r="N305" s="7">
        <f>N$8</f>
        <v>2028</v>
      </c>
      <c r="O305" s="7">
        <f>O$8</f>
        <v>2029</v>
      </c>
    </row>
    <row r="306" spans="1:15" hidden="1" outlineLevel="1">
      <c r="B306" s="1" t="s">
        <v>312</v>
      </c>
      <c r="K306" s="8"/>
      <c r="L306" s="8"/>
      <c r="M306" s="8"/>
      <c r="N306" s="8"/>
      <c r="O306" s="8"/>
    </row>
    <row r="307" spans="1:15" hidden="1" outlineLevel="1">
      <c r="C307" t="s">
        <v>252</v>
      </c>
      <c r="D307" t="s">
        <v>208</v>
      </c>
      <c r="J307" s="104">
        <f>J75</f>
        <v>249625</v>
      </c>
      <c r="K307" s="176">
        <f>K75</f>
        <v>268403.2836600141</v>
      </c>
      <c r="L307" s="176">
        <f>L75</f>
        <v>288878.38322904473</v>
      </c>
      <c r="M307" s="176">
        <f>M75</f>
        <v>311716.97432471259</v>
      </c>
      <c r="N307" s="176">
        <f>N75</f>
        <v>337054.68275485904</v>
      </c>
      <c r="O307" s="176">
        <f>O75</f>
        <v>365216.17518177838</v>
      </c>
    </row>
    <row r="308" spans="1:15" hidden="1" outlineLevel="1">
      <c r="C308" t="s">
        <v>313</v>
      </c>
      <c r="D308" t="s">
        <v>216</v>
      </c>
      <c r="K308" s="114">
        <f>(K307/J307)-1</f>
        <v>7.5225973600457019E-2</v>
      </c>
      <c r="L308" s="114">
        <f t="shared" ref="L308:O308" si="119">(L307/K307)-1</f>
        <v>7.6284832621371423E-2</v>
      </c>
      <c r="M308" s="114">
        <f t="shared" si="119"/>
        <v>7.9059536543998554E-2</v>
      </c>
      <c r="N308" s="114">
        <f t="shared" si="119"/>
        <v>8.1284339696408026E-2</v>
      </c>
      <c r="O308" s="114">
        <f t="shared" si="119"/>
        <v>8.3551702046523069E-2</v>
      </c>
    </row>
    <row r="309" spans="1:15" hidden="1" outlineLevel="1">
      <c r="C309" t="s">
        <v>15</v>
      </c>
      <c r="D309" t="s">
        <v>208</v>
      </c>
      <c r="J309" s="104">
        <f>-J80</f>
        <v>222358</v>
      </c>
      <c r="K309" s="176">
        <f>-K80</f>
        <v>239253.94263381249</v>
      </c>
      <c r="L309" s="176">
        <f>-L80</f>
        <v>257505.38960163604</v>
      </c>
      <c r="M309" s="176">
        <f>-M80</f>
        <v>277863.64636112313</v>
      </c>
      <c r="N309" s="176">
        <f>-N80</f>
        <v>300449.60938122327</v>
      </c>
      <c r="O309" s="176">
        <f>-O80</f>
        <v>325552.68562423752</v>
      </c>
    </row>
    <row r="310" spans="1:15" hidden="1" outlineLevel="1">
      <c r="C310" t="s">
        <v>313</v>
      </c>
      <c r="D310" t="s">
        <v>216</v>
      </c>
      <c r="K310" s="114">
        <f>(K309/J309)-1</f>
        <v>7.59853148247982E-2</v>
      </c>
      <c r="L310" s="114">
        <f t="shared" ref="L310:O310" si="120">(L309/K309)-1</f>
        <v>7.6284832621371201E-2</v>
      </c>
      <c r="M310" s="114">
        <f t="shared" si="120"/>
        <v>7.9059536543998332E-2</v>
      </c>
      <c r="N310" s="114">
        <f t="shared" si="120"/>
        <v>8.1284339696408026E-2</v>
      </c>
      <c r="O310" s="114">
        <f t="shared" si="120"/>
        <v>8.3551702046523291E-2</v>
      </c>
    </row>
    <row r="311" spans="1:15" hidden="1" outlineLevel="1">
      <c r="K311" s="8"/>
      <c r="L311" s="8"/>
      <c r="M311" s="8"/>
      <c r="N311" s="8"/>
      <c r="O311" s="8"/>
    </row>
    <row r="312" spans="1:15" hidden="1" outlineLevel="1">
      <c r="B312" s="1" t="s">
        <v>314</v>
      </c>
      <c r="K312" s="8"/>
      <c r="L312" s="8"/>
      <c r="M312" s="8"/>
      <c r="N312" s="8"/>
      <c r="O312" s="8"/>
    </row>
    <row r="313" spans="1:15" hidden="1" outlineLevel="1">
      <c r="C313" t="s">
        <v>315</v>
      </c>
      <c r="J313" s="104">
        <f>J147</f>
        <v>2721</v>
      </c>
      <c r="K313" s="29">
        <f>J313*(1+K308)</f>
        <v>2925.6898741668438</v>
      </c>
      <c r="L313" s="29">
        <f t="shared" ref="L313:O313" si="121">K313*(1+L308)</f>
        <v>3148.8756365197028</v>
      </c>
      <c r="M313" s="29">
        <f t="shared" si="121"/>
        <v>3397.8242849776389</v>
      </c>
      <c r="N313" s="29">
        <f t="shared" si="121"/>
        <v>3674.0141883864658</v>
      </c>
      <c r="O313" s="29">
        <f t="shared" si="121"/>
        <v>3980.9843271692303</v>
      </c>
    </row>
    <row r="314" spans="1:15" hidden="1" outlineLevel="1">
      <c r="C314" t="s">
        <v>316</v>
      </c>
      <c r="J314" s="104">
        <f>J148</f>
        <v>18647</v>
      </c>
      <c r="K314" s="29">
        <f>J314*(1+K310)</f>
        <v>20063.898165538012</v>
      </c>
      <c r="L314" s="29">
        <f t="shared" ref="L314:O314" si="122">K314*(1+L310)</f>
        <v>21594.469278828317</v>
      </c>
      <c r="M314" s="29">
        <f t="shared" si="122"/>
        <v>23301.718011926096</v>
      </c>
      <c r="N314" s="29">
        <f t="shared" si="122"/>
        <v>25195.782774317406</v>
      </c>
      <c r="O314" s="29">
        <f t="shared" si="122"/>
        <v>27300.933309506097</v>
      </c>
    </row>
    <row r="315" spans="1:15" hidden="1" outlineLevel="1">
      <c r="C315" t="s">
        <v>310</v>
      </c>
      <c r="J315" s="104">
        <f>J149</f>
        <v>1734</v>
      </c>
      <c r="K315" s="29">
        <f>J315*(1+K308)</f>
        <v>1864.4418382231925</v>
      </c>
      <c r="L315" s="29">
        <f t="shared" ref="L315:O315" si="123">K315*(1+L308)</f>
        <v>2006.6704717843309</v>
      </c>
      <c r="M315" s="29">
        <f t="shared" si="123"/>
        <v>2165.3169092801268</v>
      </c>
      <c r="N315" s="29">
        <f t="shared" si="123"/>
        <v>2341.3232644844288</v>
      </c>
      <c r="O315" s="29">
        <f t="shared" si="123"/>
        <v>2536.9448082732247</v>
      </c>
    </row>
    <row r="316" spans="1:15" hidden="1" outlineLevel="1">
      <c r="K316" s="29"/>
      <c r="L316" s="29"/>
      <c r="M316" s="29"/>
      <c r="N316" s="29"/>
      <c r="O316" s="29"/>
    </row>
    <row r="317" spans="1:15" hidden="1" outlineLevel="1">
      <c r="C317" t="s">
        <v>61</v>
      </c>
      <c r="J317" s="104">
        <f>J159</f>
        <v>19421</v>
      </c>
      <c r="K317" s="29">
        <f>J317*(1+K310)</f>
        <v>20896.710799212407</v>
      </c>
      <c r="L317" s="29">
        <f t="shared" ref="L317:O317" si="124">K317*(1+L310)</f>
        <v>22490.812884867526</v>
      </c>
      <c r="M317" s="29">
        <f t="shared" si="124"/>
        <v>24268.926128042938</v>
      </c>
      <c r="N317" s="29">
        <f t="shared" si="124"/>
        <v>26241.609763501812</v>
      </c>
      <c r="O317" s="29">
        <f t="shared" si="124"/>
        <v>28434.140923683051</v>
      </c>
    </row>
    <row r="318" spans="1:15" hidden="1" outlineLevel="1">
      <c r="C318" t="s">
        <v>184</v>
      </c>
      <c r="J318" s="104">
        <f>J160</f>
        <v>4794</v>
      </c>
      <c r="K318" s="29">
        <f>K160</f>
        <v>5188.6909559295627</v>
      </c>
      <c r="L318" s="29">
        <f>L160</f>
        <v>5486.5437099844812</v>
      </c>
      <c r="M318" s="29">
        <f>M160</f>
        <v>5814.5965256484733</v>
      </c>
      <c r="N318" s="29">
        <f>N160</f>
        <v>6172.9287460185678</v>
      </c>
      <c r="O318" s="29">
        <f>O160</f>
        <v>6564.833785350057</v>
      </c>
    </row>
    <row r="319" spans="1:15" hidden="1" outlineLevel="1">
      <c r="C319" t="s">
        <v>185</v>
      </c>
      <c r="J319" s="104">
        <f>J161</f>
        <v>2435</v>
      </c>
      <c r="K319" s="29">
        <f>K161</f>
        <v>2778.1493779941638</v>
      </c>
      <c r="L319" s="29">
        <f>L161</f>
        <v>3153.9523052301415</v>
      </c>
      <c r="M319" s="29">
        <f>M161</f>
        <v>3566.4548327032235</v>
      </c>
      <c r="N319" s="29">
        <f>N161</f>
        <v>4020.0445687305178</v>
      </c>
      <c r="O319" s="29">
        <f>O161</f>
        <v>4519.7214969497145</v>
      </c>
    </row>
    <row r="320" spans="1:15" hidden="1" outlineLevel="1">
      <c r="C320" t="s">
        <v>186</v>
      </c>
      <c r="J320" s="104">
        <f>J162</f>
        <v>2501</v>
      </c>
      <c r="K320" s="29">
        <f>K162</f>
        <v>2798.6149845375976</v>
      </c>
      <c r="L320" s="29">
        <f>L162</f>
        <v>3161.1957867254223</v>
      </c>
      <c r="M320" s="29">
        <f>M162</f>
        <v>3427.4813457290124</v>
      </c>
      <c r="N320" s="29">
        <f>N162</f>
        <v>3717.1511328406177</v>
      </c>
      <c r="O320" s="29">
        <f>O162</f>
        <v>4029.6636507588128</v>
      </c>
    </row>
    <row r="321" spans="2:15" hidden="1" outlineLevel="1">
      <c r="C321" t="s">
        <v>317</v>
      </c>
      <c r="J321" s="104">
        <f>J164</f>
        <v>6210</v>
      </c>
      <c r="K321" s="29">
        <f>J321*(1+K308)</f>
        <v>6677.1532960588384</v>
      </c>
      <c r="L321" s="29">
        <f t="shared" ref="L321:O321" si="125">K321*(1+L308)</f>
        <v>7186.5188176359252</v>
      </c>
      <c r="M321" s="29">
        <f t="shared" si="125"/>
        <v>7754.6816647229462</v>
      </c>
      <c r="N321" s="29">
        <f t="shared" si="125"/>
        <v>8385.0158433957931</v>
      </c>
      <c r="O321" s="29">
        <f t="shared" si="125"/>
        <v>9085.5981887985745</v>
      </c>
    </row>
    <row r="322" spans="2:15" hidden="1" outlineLevel="1">
      <c r="K322" s="8"/>
      <c r="L322" s="8"/>
      <c r="M322" s="8"/>
      <c r="N322" s="8"/>
      <c r="O322" s="8"/>
    </row>
    <row r="323" spans="2:15" hidden="1" outlineLevel="1">
      <c r="C323" t="s">
        <v>318</v>
      </c>
      <c r="K323" s="29">
        <f>J314-K314</f>
        <v>-1416.8981655380121</v>
      </c>
      <c r="L323" s="29">
        <f t="shared" ref="L323:O323" si="126">K314-L314</f>
        <v>-1530.5711132903052</v>
      </c>
      <c r="M323" s="29">
        <f t="shared" si="126"/>
        <v>-1707.2487330977783</v>
      </c>
      <c r="N323" s="29">
        <f t="shared" si="126"/>
        <v>-1894.0647623913101</v>
      </c>
      <c r="O323" s="29">
        <f t="shared" si="126"/>
        <v>-2105.1505351886917</v>
      </c>
    </row>
    <row r="324" spans="2:15" hidden="1" outlineLevel="1">
      <c r="C324" t="s">
        <v>319</v>
      </c>
      <c r="K324" s="29">
        <f>K317-J317</f>
        <v>1475.7107992124074</v>
      </c>
      <c r="L324" s="29">
        <f t="shared" ref="L324:O324" si="127">L317-K317</f>
        <v>1594.1020856551186</v>
      </c>
      <c r="M324" s="29">
        <f t="shared" si="127"/>
        <v>1778.1132431754122</v>
      </c>
      <c r="N324" s="29">
        <f t="shared" si="127"/>
        <v>1972.6836354588741</v>
      </c>
      <c r="O324" s="29">
        <f t="shared" si="127"/>
        <v>2192.5311601812391</v>
      </c>
    </row>
    <row r="325" spans="2:15" hidden="1" outlineLevel="1">
      <c r="K325" s="29"/>
      <c r="L325" s="29"/>
      <c r="M325" s="29"/>
      <c r="N325" s="29"/>
      <c r="O325" s="29"/>
    </row>
    <row r="326" spans="2:15" hidden="1" outlineLevel="1">
      <c r="C326" t="s">
        <v>320</v>
      </c>
      <c r="K326" s="29">
        <f>J313-K313</f>
        <v>-204.68987416684377</v>
      </c>
      <c r="L326" s="29">
        <f t="shared" ref="L326:O326" si="128">K313-L313</f>
        <v>-223.185762352859</v>
      </c>
      <c r="M326" s="29">
        <f t="shared" si="128"/>
        <v>-248.94864845793609</v>
      </c>
      <c r="N326" s="29">
        <f t="shared" si="128"/>
        <v>-276.18990340882692</v>
      </c>
      <c r="O326" s="29">
        <f t="shared" si="128"/>
        <v>-306.97013878276448</v>
      </c>
    </row>
    <row r="327" spans="2:15" hidden="1" outlineLevel="1">
      <c r="C327" t="s">
        <v>321</v>
      </c>
      <c r="K327" s="29">
        <f>J315-K315</f>
        <v>-130.44183822319246</v>
      </c>
      <c r="L327" s="29">
        <f t="shared" ref="L327:O327" si="129">K315-L315</f>
        <v>-142.22863356113839</v>
      </c>
      <c r="M327" s="29">
        <f t="shared" si="129"/>
        <v>-158.64643749579591</v>
      </c>
      <c r="N327" s="29">
        <f t="shared" si="129"/>
        <v>-176.00635520430205</v>
      </c>
      <c r="O327" s="29">
        <f t="shared" si="129"/>
        <v>-195.62154378879586</v>
      </c>
    </row>
    <row r="328" spans="2:15" hidden="1" outlineLevel="1">
      <c r="B328" s="5"/>
      <c r="C328" s="6" t="s">
        <v>322</v>
      </c>
      <c r="D328" s="5"/>
      <c r="E328" s="5"/>
      <c r="F328" s="5"/>
      <c r="G328" s="5"/>
      <c r="H328" s="5"/>
      <c r="I328" s="5"/>
      <c r="J328" s="5"/>
      <c r="K328" s="31">
        <f>SUM(K326:K327)</f>
        <v>-335.13171239003623</v>
      </c>
      <c r="L328" s="31">
        <f t="shared" ref="L328:O328" si="130">SUM(L326:L327)</f>
        <v>-365.4143959139974</v>
      </c>
      <c r="M328" s="31">
        <f t="shared" si="130"/>
        <v>-407.595085953732</v>
      </c>
      <c r="N328" s="31">
        <f t="shared" si="130"/>
        <v>-452.19625861312898</v>
      </c>
      <c r="O328" s="31">
        <f t="shared" si="130"/>
        <v>-502.59168257156034</v>
      </c>
    </row>
    <row r="329" spans="2:15" hidden="1" outlineLevel="1">
      <c r="K329" s="29"/>
      <c r="L329" s="29"/>
      <c r="M329" s="29"/>
      <c r="N329" s="29"/>
      <c r="O329" s="29"/>
    </row>
    <row r="330" spans="2:15" hidden="1" outlineLevel="1">
      <c r="C330" t="s">
        <v>323</v>
      </c>
      <c r="K330" s="29">
        <f>K318-J318</f>
        <v>394.69095592956273</v>
      </c>
      <c r="L330" s="29">
        <f t="shared" ref="L330:O330" si="131">L318-K318</f>
        <v>297.85275405491848</v>
      </c>
      <c r="M330" s="29">
        <f t="shared" si="131"/>
        <v>328.05281566399208</v>
      </c>
      <c r="N330" s="29">
        <f t="shared" si="131"/>
        <v>358.33222037009455</v>
      </c>
      <c r="O330" s="29">
        <f t="shared" si="131"/>
        <v>391.90503933148921</v>
      </c>
    </row>
    <row r="331" spans="2:15" hidden="1" outlineLevel="1">
      <c r="C331" t="s">
        <v>324</v>
      </c>
      <c r="K331" s="29">
        <f>K319-J319</f>
        <v>343.14937799416384</v>
      </c>
      <c r="L331" s="29">
        <f t="shared" ref="L331:O331" si="132">L319-K319</f>
        <v>375.80292723597768</v>
      </c>
      <c r="M331" s="29">
        <f t="shared" si="132"/>
        <v>412.50252747308195</v>
      </c>
      <c r="N331" s="29">
        <f t="shared" si="132"/>
        <v>453.58973602729429</v>
      </c>
      <c r="O331" s="29">
        <f t="shared" si="132"/>
        <v>499.67692821919672</v>
      </c>
    </row>
    <row r="332" spans="2:15" hidden="1" outlineLevel="1">
      <c r="C332" t="s">
        <v>325</v>
      </c>
      <c r="K332" s="29">
        <f>K320-J320</f>
        <v>297.61498453759759</v>
      </c>
      <c r="L332" s="29">
        <f t="shared" ref="L332:O332" si="133">L320-K320</f>
        <v>362.5808021878247</v>
      </c>
      <c r="M332" s="29">
        <f t="shared" si="133"/>
        <v>266.28555900359015</v>
      </c>
      <c r="N332" s="29">
        <f t="shared" si="133"/>
        <v>289.66978711160527</v>
      </c>
      <c r="O332" s="29">
        <f t="shared" si="133"/>
        <v>312.51251791819504</v>
      </c>
    </row>
    <row r="333" spans="2:15" hidden="1" outlineLevel="1">
      <c r="C333" t="s">
        <v>326</v>
      </c>
      <c r="K333" s="29">
        <f>K321-J321</f>
        <v>467.15329605883835</v>
      </c>
      <c r="L333" s="29">
        <f t="shared" ref="L333:O333" si="134">L321-K321</f>
        <v>509.36552157708684</v>
      </c>
      <c r="M333" s="29">
        <f t="shared" si="134"/>
        <v>568.16284708702096</v>
      </c>
      <c r="N333" s="29">
        <f t="shared" si="134"/>
        <v>630.33417867284697</v>
      </c>
      <c r="O333" s="29">
        <f t="shared" si="134"/>
        <v>700.58234540278136</v>
      </c>
    </row>
    <row r="334" spans="2:15" hidden="1" outlineLevel="1">
      <c r="B334" s="5"/>
      <c r="C334" s="6" t="s">
        <v>327</v>
      </c>
      <c r="D334" s="5"/>
      <c r="E334" s="5"/>
      <c r="F334" s="5"/>
      <c r="G334" s="5"/>
      <c r="H334" s="5"/>
      <c r="I334" s="5"/>
      <c r="J334" s="5"/>
      <c r="K334" s="31">
        <f>SUM(K330:K333)</f>
        <v>1502.6086145201625</v>
      </c>
      <c r="L334" s="31">
        <f t="shared" ref="L334:O334" si="135">SUM(L330:L333)</f>
        <v>1545.6020050558077</v>
      </c>
      <c r="M334" s="31">
        <f t="shared" si="135"/>
        <v>1575.0037492276851</v>
      </c>
      <c r="N334" s="31">
        <f t="shared" si="135"/>
        <v>1731.9259221818411</v>
      </c>
      <c r="O334" s="31">
        <f t="shared" si="135"/>
        <v>1904.6768308716623</v>
      </c>
    </row>
    <row r="335" spans="2:15" hidden="1" outlineLevel="1">
      <c r="K335" s="29"/>
      <c r="L335" s="29"/>
      <c r="M335" s="29"/>
      <c r="N335" s="29"/>
      <c r="O335" s="29"/>
    </row>
    <row r="336" spans="2:15" hidden="1" outlineLevel="1">
      <c r="C336" t="s">
        <v>328</v>
      </c>
      <c r="K336" s="29">
        <f>SUM(K334,K328)</f>
        <v>1167.4769021301263</v>
      </c>
      <c r="L336" s="29">
        <f t="shared" ref="L336:O336" si="136">SUM(L334,L328)</f>
        <v>1180.1876091418103</v>
      </c>
      <c r="M336" s="29">
        <f t="shared" si="136"/>
        <v>1167.4086632739532</v>
      </c>
      <c r="N336" s="29">
        <f t="shared" si="136"/>
        <v>1279.7296635687121</v>
      </c>
      <c r="O336" s="29">
        <f t="shared" si="136"/>
        <v>1402.085148300102</v>
      </c>
    </row>
    <row r="337" spans="1:15" hidden="1" outlineLevel="1"/>
    <row r="338" spans="1:15" collapsed="1"/>
    <row r="339" spans="1:15">
      <c r="A339" s="115" t="s">
        <v>353</v>
      </c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</row>
    <row r="340" spans="1:15" hidden="1" outlineLevel="1"/>
    <row r="341" spans="1:15" hidden="1" outlineLevel="1">
      <c r="A341" s="2" t="s">
        <v>354</v>
      </c>
      <c r="B341" s="2"/>
      <c r="C341" s="2"/>
      <c r="D341" s="2"/>
      <c r="E341" s="4"/>
      <c r="F341" s="4">
        <f t="shared" ref="F341:J341" si="137">G341-1</f>
        <v>2020</v>
      </c>
      <c r="G341" s="4">
        <f t="shared" si="137"/>
        <v>2021</v>
      </c>
      <c r="H341" s="4">
        <f t="shared" si="137"/>
        <v>2022</v>
      </c>
      <c r="I341" s="4">
        <f t="shared" si="137"/>
        <v>2023</v>
      </c>
      <c r="J341" s="4">
        <f t="shared" si="137"/>
        <v>2024</v>
      </c>
      <c r="K341" s="7">
        <f>K$8</f>
        <v>2025</v>
      </c>
      <c r="L341" s="7">
        <f>L$8</f>
        <v>2026</v>
      </c>
      <c r="M341" s="7">
        <f>M$8</f>
        <v>2027</v>
      </c>
      <c r="N341" s="7">
        <f>N$8</f>
        <v>2028</v>
      </c>
      <c r="O341" s="7">
        <f>O$8</f>
        <v>2029</v>
      </c>
    </row>
    <row r="342" spans="1:15" hidden="1" outlineLevel="1">
      <c r="A342" s="221"/>
      <c r="B342" s="221"/>
      <c r="C342" s="221"/>
      <c r="D342" s="221"/>
      <c r="E342" s="222"/>
      <c r="F342" s="222"/>
      <c r="G342" s="222"/>
      <c r="H342" s="222"/>
      <c r="I342" s="222"/>
      <c r="J342" s="222"/>
      <c r="K342" s="223"/>
      <c r="L342" s="223"/>
      <c r="M342" s="223"/>
      <c r="N342" s="223"/>
      <c r="O342" s="223"/>
    </row>
    <row r="343" spans="1:15" hidden="1" outlineLevel="1">
      <c r="C343" t="s">
        <v>358</v>
      </c>
      <c r="K343" s="8">
        <f>K48</f>
        <v>3</v>
      </c>
      <c r="L343" s="8">
        <f>L48</f>
        <v>2</v>
      </c>
      <c r="M343" s="8">
        <f>M48</f>
        <v>2</v>
      </c>
      <c r="N343" s="8">
        <f>N48</f>
        <v>2</v>
      </c>
      <c r="O343" s="8">
        <f>O48</f>
        <v>2</v>
      </c>
    </row>
    <row r="344" spans="1:15" hidden="1" outlineLevel="1">
      <c r="C344" t="s">
        <v>333</v>
      </c>
      <c r="D344" t="s">
        <v>232</v>
      </c>
      <c r="F344" s="28">
        <f>F213</f>
        <v>13</v>
      </c>
      <c r="G344" s="28">
        <f t="shared" ref="G344:O344" si="138">G213</f>
        <v>20</v>
      </c>
      <c r="H344" s="28">
        <f t="shared" si="138"/>
        <v>23</v>
      </c>
      <c r="I344" s="28">
        <f t="shared" si="138"/>
        <v>23</v>
      </c>
      <c r="J344" s="28">
        <f t="shared" si="138"/>
        <v>29</v>
      </c>
      <c r="K344" s="29">
        <f t="shared" si="138"/>
        <v>26</v>
      </c>
      <c r="L344" s="29">
        <f t="shared" si="138"/>
        <v>27</v>
      </c>
      <c r="M344" s="29">
        <f t="shared" si="138"/>
        <v>27</v>
      </c>
      <c r="N344" s="29">
        <f t="shared" si="138"/>
        <v>27</v>
      </c>
      <c r="O344" s="29">
        <f t="shared" si="138"/>
        <v>27</v>
      </c>
    </row>
    <row r="345" spans="1:15" hidden="1" outlineLevel="1">
      <c r="C345" t="s">
        <v>334</v>
      </c>
      <c r="D345" t="s">
        <v>208</v>
      </c>
      <c r="F345" s="28">
        <f>-F117</f>
        <v>2810</v>
      </c>
      <c r="G345" s="28">
        <f>-G117</f>
        <v>3588</v>
      </c>
      <c r="H345" s="28">
        <f>-H117</f>
        <v>3891</v>
      </c>
      <c r="I345" s="28">
        <f>-I117</f>
        <v>4323</v>
      </c>
      <c r="J345" s="28">
        <f>-J117</f>
        <v>4710</v>
      </c>
      <c r="K345" s="29"/>
      <c r="L345" s="29"/>
      <c r="M345" s="29"/>
      <c r="N345" s="29"/>
      <c r="O345" s="29"/>
    </row>
    <row r="346" spans="1:15" hidden="1" outlineLevel="1">
      <c r="C346" t="s">
        <v>335</v>
      </c>
      <c r="D346" t="s">
        <v>208</v>
      </c>
      <c r="F346" s="28">
        <f>F345/F344</f>
        <v>216.15384615384616</v>
      </c>
      <c r="G346" s="28">
        <f t="shared" ref="G346:J346" si="139">G345/G344</f>
        <v>179.4</v>
      </c>
      <c r="H346" s="28">
        <f t="shared" si="139"/>
        <v>169.17391304347825</v>
      </c>
      <c r="I346" s="28">
        <f t="shared" si="139"/>
        <v>187.95652173913044</v>
      </c>
      <c r="J346" s="28">
        <f t="shared" si="139"/>
        <v>162.41379310344828</v>
      </c>
      <c r="K346" s="29">
        <f>K46</f>
        <v>165.66206896551725</v>
      </c>
      <c r="L346" s="29">
        <f>L46</f>
        <v>168.97531034482759</v>
      </c>
      <c r="M346" s="29">
        <f>M46</f>
        <v>172.35481655172416</v>
      </c>
      <c r="N346" s="29">
        <f>N46</f>
        <v>175.80191288275864</v>
      </c>
      <c r="O346" s="29">
        <f>O46</f>
        <v>179.31795114041381</v>
      </c>
    </row>
    <row r="347" spans="1:15" hidden="1" outlineLevel="1">
      <c r="B347" s="5"/>
      <c r="C347" s="5" t="s">
        <v>359</v>
      </c>
      <c r="D347" s="5"/>
      <c r="E347" s="5"/>
      <c r="F347" s="30"/>
      <c r="G347" s="30"/>
      <c r="H347" s="157"/>
      <c r="I347" s="157"/>
      <c r="J347" s="215"/>
      <c r="K347" s="31">
        <f>K346*K344</f>
        <v>4307.2137931034486</v>
      </c>
      <c r="L347" s="31">
        <f t="shared" ref="L347:O347" si="140">L346*L344</f>
        <v>4562.3333793103448</v>
      </c>
      <c r="M347" s="31">
        <f t="shared" si="140"/>
        <v>4653.5800468965526</v>
      </c>
      <c r="N347" s="31">
        <f t="shared" si="140"/>
        <v>4746.6516478344838</v>
      </c>
      <c r="O347" s="31">
        <f t="shared" si="140"/>
        <v>4841.584680791173</v>
      </c>
    </row>
    <row r="348" spans="1:15" hidden="1" outlineLevel="1">
      <c r="B348" s="179"/>
      <c r="C348" s="173" t="s">
        <v>358</v>
      </c>
      <c r="D348" s="179"/>
      <c r="E348" s="179"/>
      <c r="F348" s="214"/>
      <c r="G348" s="214"/>
      <c r="H348" s="112"/>
      <c r="I348" s="112"/>
      <c r="J348" s="224"/>
      <c r="K348" s="213">
        <f>K343*K346</f>
        <v>496.98620689655172</v>
      </c>
      <c r="L348" s="213">
        <f t="shared" ref="L348:O348" si="141">L343*L346</f>
        <v>337.95062068965518</v>
      </c>
      <c r="M348" s="213">
        <f t="shared" si="141"/>
        <v>344.70963310344831</v>
      </c>
      <c r="N348" s="213">
        <f t="shared" si="141"/>
        <v>351.60382576551729</v>
      </c>
      <c r="O348" s="213">
        <f t="shared" si="141"/>
        <v>358.63590228082762</v>
      </c>
    </row>
    <row r="349" spans="1:15" hidden="1" outlineLevel="1">
      <c r="B349" s="5"/>
      <c r="C349" s="5" t="s">
        <v>336</v>
      </c>
      <c r="D349" s="5" t="s">
        <v>208</v>
      </c>
      <c r="E349" s="5"/>
      <c r="F349" s="30"/>
      <c r="G349" s="30"/>
      <c r="H349" s="30"/>
      <c r="I349" s="30"/>
      <c r="J349" s="30"/>
      <c r="K349" s="31">
        <f>SUM(K347:K348)</f>
        <v>4804.2000000000007</v>
      </c>
      <c r="L349" s="31">
        <f t="shared" ref="L349:O349" si="142">SUM(L347:L348)</f>
        <v>4900.2839999999997</v>
      </c>
      <c r="M349" s="31">
        <f t="shared" si="142"/>
        <v>4998.2896800000008</v>
      </c>
      <c r="N349" s="31">
        <f t="shared" si="142"/>
        <v>5098.2554736000011</v>
      </c>
      <c r="O349" s="31">
        <f t="shared" si="142"/>
        <v>5200.2205830720004</v>
      </c>
    </row>
    <row r="350" spans="1:15" hidden="1" outlineLevel="1">
      <c r="F350" s="28"/>
      <c r="G350" s="28"/>
      <c r="H350" s="28"/>
      <c r="I350" s="28"/>
      <c r="J350" s="28"/>
      <c r="K350" s="29"/>
      <c r="L350" s="29"/>
      <c r="M350" s="29"/>
      <c r="N350" s="29"/>
      <c r="O350" s="29"/>
    </row>
    <row r="351" spans="1:15" hidden="1" outlineLevel="1">
      <c r="C351" t="s">
        <v>337</v>
      </c>
      <c r="F351" s="28">
        <f>E356</f>
        <v>32626</v>
      </c>
      <c r="G351" s="28">
        <f t="shared" ref="G351:O351" si="143">F356</f>
        <v>34703</v>
      </c>
      <c r="H351" s="28">
        <f t="shared" si="143"/>
        <v>37658</v>
      </c>
      <c r="I351" s="28">
        <f t="shared" si="143"/>
        <v>39932</v>
      </c>
      <c r="J351" s="28">
        <f t="shared" si="143"/>
        <v>43369</v>
      </c>
      <c r="K351" s="29">
        <f t="shared" si="143"/>
        <v>46950</v>
      </c>
      <c r="L351" s="29">
        <f t="shared" si="143"/>
        <v>50795</v>
      </c>
      <c r="M351" s="29">
        <f t="shared" si="143"/>
        <v>54736.084000000003</v>
      </c>
      <c r="N351" s="29">
        <f t="shared" si="143"/>
        <v>58775.173680000007</v>
      </c>
      <c r="O351" s="29">
        <f t="shared" si="143"/>
        <v>62914.229153600012</v>
      </c>
    </row>
    <row r="352" spans="1:15" hidden="1" outlineLevel="1">
      <c r="C352" t="s">
        <v>334</v>
      </c>
      <c r="F352" s="28">
        <f>F345</f>
        <v>2810</v>
      </c>
      <c r="G352" s="28">
        <f>G345</f>
        <v>3588</v>
      </c>
      <c r="H352" s="28">
        <f>H345</f>
        <v>3891</v>
      </c>
      <c r="I352" s="28">
        <f>I345</f>
        <v>4323</v>
      </c>
      <c r="J352" s="28">
        <f>J345</f>
        <v>4710</v>
      </c>
      <c r="K352" s="29">
        <f>K349</f>
        <v>4804.2000000000007</v>
      </c>
      <c r="L352" s="29">
        <f t="shared" ref="L352:O352" si="144">L349</f>
        <v>4900.2839999999997</v>
      </c>
      <c r="M352" s="29">
        <f t="shared" si="144"/>
        <v>4998.2896800000008</v>
      </c>
      <c r="N352" s="29">
        <f t="shared" si="144"/>
        <v>5098.2554736000011</v>
      </c>
      <c r="O352" s="29">
        <f t="shared" si="144"/>
        <v>5200.2205830720004</v>
      </c>
    </row>
    <row r="353" spans="2:15" hidden="1" outlineLevel="1">
      <c r="B353" s="5"/>
      <c r="C353" s="5" t="s">
        <v>347</v>
      </c>
      <c r="D353" s="5"/>
      <c r="E353" s="5"/>
      <c r="F353" s="30">
        <f>SUM(F351:F352)</f>
        <v>35436</v>
      </c>
      <c r="G353" s="30">
        <f t="shared" ref="G353:O353" si="145">SUM(G351:G352)</f>
        <v>38291</v>
      </c>
      <c r="H353" s="30">
        <f t="shared" si="145"/>
        <v>41549</v>
      </c>
      <c r="I353" s="30">
        <f t="shared" si="145"/>
        <v>44255</v>
      </c>
      <c r="J353" s="30">
        <f t="shared" si="145"/>
        <v>48079</v>
      </c>
      <c r="K353" s="31">
        <f t="shared" si="145"/>
        <v>51754.2</v>
      </c>
      <c r="L353" s="31">
        <f t="shared" si="145"/>
        <v>55695.284</v>
      </c>
      <c r="M353" s="31">
        <f t="shared" si="145"/>
        <v>59734.373680000004</v>
      </c>
      <c r="N353" s="31">
        <f t="shared" si="145"/>
        <v>63873.429153600009</v>
      </c>
      <c r="O353" s="31">
        <f t="shared" si="145"/>
        <v>68114.449736672017</v>
      </c>
    </row>
    <row r="354" spans="2:15" hidden="1" outlineLevel="1">
      <c r="C354" t="s">
        <v>348</v>
      </c>
      <c r="F354" s="28"/>
      <c r="G354" s="28"/>
      <c r="H354" s="28"/>
      <c r="I354" s="28"/>
      <c r="J354" s="28"/>
      <c r="K354" s="29">
        <f>$J$360</f>
        <v>959.2</v>
      </c>
      <c r="L354" s="29">
        <f t="shared" ref="L354:O354" si="146">$J$360</f>
        <v>959.2</v>
      </c>
      <c r="M354" s="29">
        <f t="shared" si="146"/>
        <v>959.2</v>
      </c>
      <c r="N354" s="29">
        <f t="shared" si="146"/>
        <v>959.2</v>
      </c>
      <c r="O354" s="29">
        <f t="shared" si="146"/>
        <v>959.2</v>
      </c>
    </row>
    <row r="355" spans="2:15" hidden="1" outlineLevel="1">
      <c r="F355" s="28"/>
      <c r="G355" s="28"/>
      <c r="H355" s="28"/>
      <c r="I355" s="28"/>
      <c r="J355" s="28"/>
      <c r="K355" s="29"/>
      <c r="L355" s="29"/>
      <c r="M355" s="29"/>
      <c r="N355" s="29"/>
      <c r="O355" s="29"/>
    </row>
    <row r="356" spans="2:15" hidden="1" outlineLevel="1">
      <c r="C356" t="s">
        <v>337</v>
      </c>
      <c r="D356" t="s">
        <v>208</v>
      </c>
      <c r="E356" s="216">
        <v>32626</v>
      </c>
      <c r="F356" s="216">
        <v>34703</v>
      </c>
      <c r="G356" s="216">
        <v>37658</v>
      </c>
      <c r="H356" s="216">
        <v>39932</v>
      </c>
      <c r="I356" s="216">
        <v>43369</v>
      </c>
      <c r="J356" s="216">
        <v>46950</v>
      </c>
      <c r="K356" s="29">
        <f>K353-K354</f>
        <v>50795</v>
      </c>
      <c r="L356" s="29">
        <f t="shared" ref="L356:O356" si="147">L353-L354</f>
        <v>54736.084000000003</v>
      </c>
      <c r="M356" s="29">
        <f t="shared" si="147"/>
        <v>58775.173680000007</v>
      </c>
      <c r="N356" s="29">
        <f t="shared" si="147"/>
        <v>62914.229153600012</v>
      </c>
      <c r="O356" s="29">
        <f t="shared" si="147"/>
        <v>67155.24973667202</v>
      </c>
    </row>
    <row r="357" spans="2:15" hidden="1" outlineLevel="1">
      <c r="B357" s="5"/>
      <c r="C357" s="5" t="s">
        <v>338</v>
      </c>
      <c r="D357" s="5" t="s">
        <v>208</v>
      </c>
      <c r="E357" s="5"/>
      <c r="F357" s="30">
        <f>F353-F356</f>
        <v>733</v>
      </c>
      <c r="G357" s="30">
        <f t="shared" ref="G357:J357" si="148">G353-G356</f>
        <v>633</v>
      </c>
      <c r="H357" s="30">
        <f t="shared" si="148"/>
        <v>1617</v>
      </c>
      <c r="I357" s="30">
        <f t="shared" si="148"/>
        <v>886</v>
      </c>
      <c r="J357" s="30">
        <f t="shared" si="148"/>
        <v>1129</v>
      </c>
      <c r="K357" s="31"/>
      <c r="L357" s="31"/>
      <c r="M357" s="31"/>
      <c r="N357" s="31"/>
      <c r="O357" s="31"/>
    </row>
    <row r="358" spans="2:15" hidden="1" outlineLevel="1">
      <c r="C358" t="s">
        <v>349</v>
      </c>
      <c r="D358" t="s">
        <v>208</v>
      </c>
      <c r="F358" s="216">
        <v>0</v>
      </c>
      <c r="G358" s="216">
        <v>-84</v>
      </c>
      <c r="H358" s="216">
        <v>-118</v>
      </c>
      <c r="I358" s="216">
        <v>0</v>
      </c>
      <c r="J358" s="216">
        <v>0</v>
      </c>
      <c r="K358" s="29"/>
      <c r="L358" s="29"/>
      <c r="M358" s="29"/>
      <c r="N358" s="29"/>
      <c r="O358" s="29"/>
    </row>
    <row r="359" spans="2:15" hidden="1" outlineLevel="1">
      <c r="B359" s="5"/>
      <c r="C359" s="5" t="s">
        <v>339</v>
      </c>
      <c r="D359" s="5" t="s">
        <v>208</v>
      </c>
      <c r="E359" s="5"/>
      <c r="F359" s="30">
        <f t="shared" ref="F359:G359" si="149">F357+F358</f>
        <v>733</v>
      </c>
      <c r="G359" s="30">
        <f t="shared" si="149"/>
        <v>549</v>
      </c>
      <c r="H359" s="30">
        <f>H357+H358</f>
        <v>1499</v>
      </c>
      <c r="I359" s="30">
        <f t="shared" ref="I359:J359" si="150">I357+I358</f>
        <v>886</v>
      </c>
      <c r="J359" s="30">
        <f t="shared" si="150"/>
        <v>1129</v>
      </c>
      <c r="K359" s="31"/>
      <c r="L359" s="31"/>
      <c r="M359" s="31"/>
      <c r="N359" s="31"/>
      <c r="O359" s="31"/>
    </row>
    <row r="360" spans="2:15" hidden="1" outlineLevel="1">
      <c r="B360" s="179"/>
      <c r="C360" s="173" t="s">
        <v>351</v>
      </c>
      <c r="D360" s="173" t="s">
        <v>208</v>
      </c>
      <c r="E360" s="179"/>
      <c r="F360" s="214"/>
      <c r="G360" s="214"/>
      <c r="H360" s="214"/>
      <c r="I360" s="214"/>
      <c r="J360" s="214">
        <f>AVERAGE(F359:J359)</f>
        <v>959.2</v>
      </c>
      <c r="K360" s="213"/>
      <c r="L360" s="213"/>
      <c r="M360" s="213"/>
      <c r="N360" s="213"/>
      <c r="O360" s="213"/>
    </row>
    <row r="361" spans="2:15" hidden="1" outlineLevel="1">
      <c r="F361" s="28"/>
      <c r="G361" s="28"/>
      <c r="H361" s="28"/>
      <c r="I361" s="28"/>
      <c r="J361" s="28"/>
      <c r="K361" s="29"/>
      <c r="L361" s="29"/>
      <c r="M361" s="29"/>
      <c r="N361" s="29"/>
      <c r="O361" s="29"/>
    </row>
    <row r="362" spans="2:15" hidden="1" outlineLevel="1">
      <c r="C362" t="s">
        <v>340</v>
      </c>
      <c r="D362" t="s">
        <v>208</v>
      </c>
      <c r="F362" s="28">
        <f>(E356+F356)/2</f>
        <v>33664.5</v>
      </c>
      <c r="G362" s="28">
        <f t="shared" ref="G362:O362" si="151">(F356+G356)/2</f>
        <v>36180.5</v>
      </c>
      <c r="H362" s="28">
        <f t="shared" si="151"/>
        <v>38795</v>
      </c>
      <c r="I362" s="28">
        <f t="shared" si="151"/>
        <v>41650.5</v>
      </c>
      <c r="J362" s="28">
        <f t="shared" si="151"/>
        <v>45159.5</v>
      </c>
      <c r="K362" s="29">
        <f t="shared" si="151"/>
        <v>48872.5</v>
      </c>
      <c r="L362" s="29">
        <f t="shared" si="151"/>
        <v>52765.542000000001</v>
      </c>
      <c r="M362" s="29">
        <f t="shared" si="151"/>
        <v>56755.628840000005</v>
      </c>
      <c r="N362" s="29">
        <f t="shared" si="151"/>
        <v>60844.70141680001</v>
      </c>
      <c r="O362" s="29">
        <f t="shared" si="151"/>
        <v>65034.739445136016</v>
      </c>
    </row>
    <row r="363" spans="2:15" hidden="1" outlineLevel="1">
      <c r="C363" t="s">
        <v>341</v>
      </c>
      <c r="D363" t="s">
        <v>208</v>
      </c>
      <c r="F363" s="28">
        <f>-F106</f>
        <v>-1645</v>
      </c>
      <c r="G363" s="28">
        <f>-G106</f>
        <v>-1781</v>
      </c>
      <c r="H363" s="28">
        <f>-H106</f>
        <v>-1900</v>
      </c>
      <c r="I363" s="28">
        <f>-I106</f>
        <v>-2077</v>
      </c>
      <c r="J363" s="28">
        <f>-J106</f>
        <v>-2237</v>
      </c>
      <c r="K363" s="29"/>
      <c r="L363" s="29"/>
      <c r="M363" s="29"/>
      <c r="N363" s="29"/>
      <c r="O363" s="29"/>
    </row>
    <row r="364" spans="2:15" hidden="1" outlineLevel="1">
      <c r="B364" s="5"/>
      <c r="C364" s="5" t="s">
        <v>342</v>
      </c>
      <c r="D364" s="5" t="s">
        <v>216</v>
      </c>
      <c r="E364" s="5"/>
      <c r="F364" s="157">
        <f>-F363/F362</f>
        <v>4.8864530885651056E-2</v>
      </c>
      <c r="G364" s="157">
        <f t="shared" ref="G364:J364" si="152">-G363/G362</f>
        <v>4.9225411478558891E-2</v>
      </c>
      <c r="H364" s="157">
        <f t="shared" si="152"/>
        <v>4.8975383425699189E-2</v>
      </c>
      <c r="I364" s="157">
        <f t="shared" si="152"/>
        <v>4.9867348531230114E-2</v>
      </c>
      <c r="J364" s="157">
        <f t="shared" si="152"/>
        <v>4.953553515871522E-2</v>
      </c>
      <c r="K364" s="31"/>
      <c r="L364" s="31"/>
      <c r="M364" s="31"/>
      <c r="N364" s="31"/>
      <c r="O364" s="31"/>
    </row>
    <row r="365" spans="2:15" hidden="1" outlineLevel="1">
      <c r="B365" s="179"/>
      <c r="C365" s="173" t="s">
        <v>352</v>
      </c>
      <c r="D365" s="179"/>
      <c r="E365" s="179"/>
      <c r="F365" s="112"/>
      <c r="G365" s="112"/>
      <c r="H365" s="112"/>
      <c r="I365" s="112"/>
      <c r="J365" s="112">
        <f>AVERAGE(F364:J364)</f>
        <v>4.9293641895970894E-2</v>
      </c>
      <c r="K365" s="213"/>
      <c r="L365" s="213"/>
      <c r="M365" s="213"/>
      <c r="N365" s="213"/>
      <c r="O365" s="213"/>
    </row>
    <row r="366" spans="2:15" hidden="1" outlineLevel="1">
      <c r="F366" s="28"/>
      <c r="G366" s="28"/>
      <c r="H366" s="28"/>
      <c r="I366" s="28"/>
      <c r="J366" s="28"/>
      <c r="K366" s="8"/>
      <c r="L366" s="8"/>
      <c r="M366" s="8"/>
      <c r="N366" s="8"/>
      <c r="O366" s="8"/>
    </row>
    <row r="367" spans="2:15" hidden="1" outlineLevel="1">
      <c r="C367" t="s">
        <v>343</v>
      </c>
      <c r="D367" t="s">
        <v>208</v>
      </c>
      <c r="F367" s="28"/>
      <c r="G367" s="28"/>
      <c r="H367" s="28"/>
      <c r="I367" s="28"/>
      <c r="J367" s="28"/>
      <c r="K367" s="29">
        <f>-K362*$J$365</f>
        <v>-2409.1035135608377</v>
      </c>
      <c r="L367" s="29">
        <f>-L362*$J$365</f>
        <v>-2601.0057317948117</v>
      </c>
      <c r="M367" s="29">
        <f>-M362*$J$365</f>
        <v>-2797.6916436195984</v>
      </c>
      <c r="N367" s="29">
        <f>-N362*$J$365</f>
        <v>-2999.2569229070127</v>
      </c>
      <c r="O367" s="29">
        <f>-O362*$J$365</f>
        <v>-3205.7991570063077</v>
      </c>
    </row>
    <row r="368" spans="2:15" hidden="1" outlineLevel="1">
      <c r="F368" s="28"/>
      <c r="G368" s="28"/>
      <c r="H368" s="28"/>
      <c r="I368" s="28"/>
      <c r="J368" s="28"/>
      <c r="K368" s="29"/>
      <c r="L368" s="29"/>
      <c r="M368" s="29"/>
      <c r="N368" s="29"/>
      <c r="O368" s="29"/>
    </row>
    <row r="369" spans="1:16" hidden="1" outlineLevel="1">
      <c r="C369" t="s">
        <v>344</v>
      </c>
      <c r="D369" t="s">
        <v>208</v>
      </c>
      <c r="F369" s="28"/>
      <c r="G369" s="28"/>
      <c r="H369" s="28"/>
      <c r="I369" s="28"/>
      <c r="J369" s="28"/>
      <c r="K369" s="29">
        <f>J372</f>
        <v>29032</v>
      </c>
      <c r="L369" s="29">
        <f t="shared" ref="L369:O369" si="153">K372</f>
        <v>31427.096486439161</v>
      </c>
      <c r="M369" s="29">
        <f t="shared" si="153"/>
        <v>33726.374754644348</v>
      </c>
      <c r="N369" s="29">
        <f t="shared" si="153"/>
        <v>35926.972791024753</v>
      </c>
      <c r="O369" s="29">
        <f t="shared" si="153"/>
        <v>38025.971341717741</v>
      </c>
    </row>
    <row r="370" spans="1:16" hidden="1" outlineLevel="1">
      <c r="C370" t="s">
        <v>345</v>
      </c>
      <c r="D370" t="s">
        <v>208</v>
      </c>
      <c r="F370" s="28"/>
      <c r="G370" s="28"/>
      <c r="H370" s="28"/>
      <c r="I370" s="28"/>
      <c r="J370" s="28"/>
      <c r="K370" s="29">
        <f>K352</f>
        <v>4804.2000000000007</v>
      </c>
      <c r="L370" s="29">
        <f t="shared" ref="L370:O370" si="154">L352</f>
        <v>4900.2839999999997</v>
      </c>
      <c r="M370" s="29">
        <f t="shared" si="154"/>
        <v>4998.2896800000008</v>
      </c>
      <c r="N370" s="29">
        <f t="shared" si="154"/>
        <v>5098.2554736000011</v>
      </c>
      <c r="O370" s="29">
        <f t="shared" si="154"/>
        <v>5200.2205830720004</v>
      </c>
    </row>
    <row r="371" spans="1:16" hidden="1" outlineLevel="1">
      <c r="C371" t="s">
        <v>346</v>
      </c>
      <c r="D371" t="s">
        <v>208</v>
      </c>
      <c r="F371" s="28"/>
      <c r="G371" s="28"/>
      <c r="H371" s="28"/>
      <c r="I371" s="28"/>
      <c r="J371" s="28"/>
      <c r="K371" s="29">
        <f>K367</f>
        <v>-2409.1035135608377</v>
      </c>
      <c r="L371" s="29">
        <f t="shared" ref="L371:O371" si="155">L367</f>
        <v>-2601.0057317948117</v>
      </c>
      <c r="M371" s="29">
        <f t="shared" si="155"/>
        <v>-2797.6916436195984</v>
      </c>
      <c r="N371" s="29">
        <f t="shared" si="155"/>
        <v>-2999.2569229070127</v>
      </c>
      <c r="O371" s="29">
        <f t="shared" si="155"/>
        <v>-3205.7991570063077</v>
      </c>
    </row>
    <row r="372" spans="1:16" hidden="1" outlineLevel="1">
      <c r="B372" s="5"/>
      <c r="C372" s="5" t="s">
        <v>350</v>
      </c>
      <c r="D372" s="5" t="s">
        <v>208</v>
      </c>
      <c r="E372" s="5"/>
      <c r="F372" s="30"/>
      <c r="G372" s="30"/>
      <c r="H372" s="30"/>
      <c r="I372" s="30"/>
      <c r="J372" s="217">
        <v>29032</v>
      </c>
      <c r="K372" s="31">
        <f>SUM(K369:K371)</f>
        <v>31427.096486439161</v>
      </c>
      <c r="L372" s="31">
        <f t="shared" ref="L372:O372" si="156">SUM(L369:L371)</f>
        <v>33726.374754644348</v>
      </c>
      <c r="M372" s="31">
        <f t="shared" si="156"/>
        <v>35926.972791024753</v>
      </c>
      <c r="N372" s="31">
        <f t="shared" si="156"/>
        <v>38025.971341717741</v>
      </c>
      <c r="O372" s="31">
        <f t="shared" si="156"/>
        <v>40020.392767783429</v>
      </c>
    </row>
    <row r="373" spans="1:16" hidden="1" outlineLevel="1">
      <c r="F373" s="28"/>
      <c r="G373" s="28"/>
      <c r="H373" s="28"/>
      <c r="I373" s="28"/>
      <c r="J373" s="28"/>
      <c r="K373" s="28"/>
      <c r="L373" s="28"/>
      <c r="M373" s="28"/>
      <c r="N373" s="28"/>
      <c r="O373" s="28"/>
    </row>
    <row r="374" spans="1:16" collapsed="1">
      <c r="F374" s="28"/>
      <c r="G374" s="28"/>
      <c r="H374" s="28"/>
      <c r="I374" s="28"/>
      <c r="J374" s="28"/>
      <c r="K374" s="28"/>
      <c r="L374" s="28"/>
      <c r="M374" s="28"/>
      <c r="N374" s="28"/>
      <c r="O374" s="28"/>
    </row>
    <row r="375" spans="1:16">
      <c r="A375" s="115" t="s">
        <v>355</v>
      </c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</row>
    <row r="376" spans="1:16" hidden="1" outlineLevel="1"/>
    <row r="377" spans="1:16" hidden="1" outlineLevel="1">
      <c r="A377" s="2"/>
      <c r="B377" s="2"/>
      <c r="C377" s="2"/>
      <c r="D377" s="2"/>
      <c r="E377" s="4">
        <f t="shared" ref="E377:J377" si="157">F377-1</f>
        <v>2019</v>
      </c>
      <c r="F377" s="4">
        <f t="shared" si="157"/>
        <v>2020</v>
      </c>
      <c r="G377" s="4">
        <f t="shared" si="157"/>
        <v>2021</v>
      </c>
      <c r="H377" s="4">
        <f t="shared" si="157"/>
        <v>2022</v>
      </c>
      <c r="I377" s="4">
        <f t="shared" si="157"/>
        <v>2023</v>
      </c>
      <c r="J377" s="4">
        <f t="shared" si="157"/>
        <v>2024</v>
      </c>
      <c r="K377" s="7">
        <f>K$8</f>
        <v>2025</v>
      </c>
      <c r="L377" s="7">
        <f>L$8</f>
        <v>2026</v>
      </c>
      <c r="M377" s="7">
        <f>M$8</f>
        <v>2027</v>
      </c>
      <c r="N377" s="7">
        <f>N$8</f>
        <v>2028</v>
      </c>
      <c r="O377" s="7">
        <f>O$8</f>
        <v>2029</v>
      </c>
      <c r="P377" s="7">
        <f>P$8</f>
        <v>2030</v>
      </c>
    </row>
    <row r="378" spans="1:16" hidden="1" outlineLevel="1">
      <c r="K378" s="8"/>
      <c r="L378" s="8"/>
      <c r="M378" s="8"/>
      <c r="N378" s="8"/>
      <c r="O378" s="8"/>
      <c r="P378" s="8"/>
    </row>
    <row r="379" spans="1:16" hidden="1" outlineLevel="1">
      <c r="B379" s="1" t="s">
        <v>365</v>
      </c>
      <c r="K379" s="8"/>
      <c r="L379" s="8"/>
      <c r="M379" s="8"/>
      <c r="N379" s="8"/>
      <c r="O379" s="8"/>
      <c r="P379" s="8"/>
    </row>
    <row r="380" spans="1:16" hidden="1" outlineLevel="1">
      <c r="C380" t="s">
        <v>366</v>
      </c>
      <c r="E380" s="32">
        <v>8384</v>
      </c>
      <c r="F380" s="28">
        <f>F145</f>
        <v>12277</v>
      </c>
      <c r="G380" s="28">
        <f>G145</f>
        <v>11258</v>
      </c>
      <c r="H380" s="28">
        <f>H145</f>
        <v>10203</v>
      </c>
      <c r="I380" s="28">
        <f>I145</f>
        <v>13700</v>
      </c>
      <c r="J380" s="28">
        <f>J145</f>
        <v>9906</v>
      </c>
      <c r="K380" s="29">
        <f ca="1">K145</f>
        <v>14082.332757782227</v>
      </c>
      <c r="L380" s="29">
        <f ca="1">L145</f>
        <v>19189.577852126091</v>
      </c>
      <c r="M380" s="29">
        <f ca="1">M145</f>
        <v>16285.603201683774</v>
      </c>
      <c r="N380" s="29">
        <f ca="1">N145</f>
        <v>23294.749300338008</v>
      </c>
      <c r="O380" s="29">
        <f ca="1">O145</f>
        <v>31350.883036100968</v>
      </c>
      <c r="P380" s="8"/>
    </row>
    <row r="381" spans="1:16" hidden="1" outlineLevel="1">
      <c r="C381" t="s">
        <v>367</v>
      </c>
      <c r="E381" s="32">
        <v>1060</v>
      </c>
      <c r="F381" s="28">
        <f>F146</f>
        <v>1028</v>
      </c>
      <c r="G381" s="28">
        <f>G146</f>
        <v>917</v>
      </c>
      <c r="H381" s="28">
        <f>H146</f>
        <v>846</v>
      </c>
      <c r="I381" s="28">
        <f>I146</f>
        <v>1534</v>
      </c>
      <c r="J381" s="28">
        <f>J146</f>
        <v>1238</v>
      </c>
      <c r="K381" s="29">
        <f>$J$381</f>
        <v>1238</v>
      </c>
      <c r="L381" s="29">
        <f t="shared" ref="L381:O381" si="158">$J$381</f>
        <v>1238</v>
      </c>
      <c r="M381" s="29">
        <f t="shared" si="158"/>
        <v>1238</v>
      </c>
      <c r="N381" s="29">
        <f t="shared" si="158"/>
        <v>1238</v>
      </c>
      <c r="O381" s="29">
        <f t="shared" si="158"/>
        <v>1238</v>
      </c>
      <c r="P381" s="8"/>
    </row>
    <row r="382" spans="1:16" hidden="1" outlineLevel="1">
      <c r="B382" s="5"/>
      <c r="C382" s="5" t="s">
        <v>368</v>
      </c>
      <c r="D382" s="5"/>
      <c r="E382" s="30">
        <f>SUM(E380:E381)</f>
        <v>9444</v>
      </c>
      <c r="F382" s="30">
        <f t="shared" ref="F382:O382" si="159">SUM(F380:F381)</f>
        <v>13305</v>
      </c>
      <c r="G382" s="30">
        <f t="shared" si="159"/>
        <v>12175</v>
      </c>
      <c r="H382" s="30">
        <f t="shared" si="159"/>
        <v>11049</v>
      </c>
      <c r="I382" s="30">
        <f t="shared" si="159"/>
        <v>15234</v>
      </c>
      <c r="J382" s="30">
        <f t="shared" si="159"/>
        <v>11144</v>
      </c>
      <c r="K382" s="31">
        <f t="shared" ca="1" si="159"/>
        <v>15320.332757782227</v>
      </c>
      <c r="L382" s="31">
        <f t="shared" ca="1" si="159"/>
        <v>20427.577852126091</v>
      </c>
      <c r="M382" s="31">
        <f t="shared" ca="1" si="159"/>
        <v>17523.603201683774</v>
      </c>
      <c r="N382" s="31">
        <f t="shared" ca="1" si="159"/>
        <v>24532.749300338008</v>
      </c>
      <c r="O382" s="31">
        <f t="shared" ca="1" si="159"/>
        <v>32588.883036100968</v>
      </c>
      <c r="P382" s="8"/>
    </row>
    <row r="383" spans="1:16" hidden="1" outlineLevel="1">
      <c r="C383" s="173" t="s">
        <v>369</v>
      </c>
      <c r="E383" s="28"/>
      <c r="F383" s="28">
        <f>AVERAGE(E382:F382)</f>
        <v>11374.5</v>
      </c>
      <c r="G383" s="28">
        <f>AVERAGE(F382:G382)</f>
        <v>12740</v>
      </c>
      <c r="H383" s="28">
        <f>AVERAGE(G382:H382)</f>
        <v>11612</v>
      </c>
      <c r="I383" s="28">
        <f>AVERAGE(H382:I382)</f>
        <v>13141.5</v>
      </c>
      <c r="J383" s="28">
        <f>AVERAGE(I382:J382)</f>
        <v>13189</v>
      </c>
      <c r="K383" s="29">
        <f ca="1">AVERAGE(J382:K382)</f>
        <v>13232.166378891114</v>
      </c>
      <c r="L383" s="29">
        <f ca="1">AVERAGE(K382:L382)</f>
        <v>17873.955304954157</v>
      </c>
      <c r="M383" s="29">
        <f ca="1">AVERAGE(L382:M382)</f>
        <v>18975.590526904933</v>
      </c>
      <c r="N383" s="29">
        <f ca="1">AVERAGE(M382:N382)</f>
        <v>21028.176251010889</v>
      </c>
      <c r="O383" s="29">
        <f ca="1">AVERAGE(N382:O382)</f>
        <v>28560.816168219488</v>
      </c>
      <c r="P383" s="8"/>
    </row>
    <row r="384" spans="1:16" hidden="1" outlineLevel="1">
      <c r="E384" s="28"/>
      <c r="F384" s="28"/>
      <c r="G384" s="28"/>
      <c r="H384" s="28"/>
      <c r="I384" s="28"/>
      <c r="J384" s="28"/>
      <c r="K384" s="29"/>
      <c r="L384" s="29"/>
      <c r="M384" s="29"/>
      <c r="N384" s="29"/>
      <c r="O384" s="29"/>
      <c r="P384" s="8"/>
    </row>
    <row r="385" spans="2:16" hidden="1" outlineLevel="1">
      <c r="C385" t="s">
        <v>370</v>
      </c>
      <c r="E385" s="28"/>
      <c r="F385" s="108">
        <f t="shared" ref="F385:I385" si="160">F387/F383</f>
        <v>7.8245197591102905E-3</v>
      </c>
      <c r="G385" s="108">
        <f t="shared" si="160"/>
        <v>3.218210361067504E-3</v>
      </c>
      <c r="H385" s="108">
        <f t="shared" si="160"/>
        <v>5.2531863589390286E-3</v>
      </c>
      <c r="I385" s="108">
        <f t="shared" si="160"/>
        <v>3.5764562645055738E-2</v>
      </c>
      <c r="J385" s="108">
        <f>J387/J383</f>
        <v>4.0412464932898629E-2</v>
      </c>
      <c r="K385" s="114">
        <f>K51</f>
        <v>3.3300000000000003E-2</v>
      </c>
      <c r="L385" s="114">
        <f>L51</f>
        <v>2.3300000000000001E-2</v>
      </c>
      <c r="M385" s="114">
        <f>M51</f>
        <v>1.4999999999999999E-2</v>
      </c>
      <c r="N385" s="114">
        <f>N51</f>
        <v>0.01</v>
      </c>
      <c r="O385" s="114">
        <f>O51</f>
        <v>0.01</v>
      </c>
      <c r="P385" s="8"/>
    </row>
    <row r="386" spans="2:16" hidden="1" outlineLevel="1">
      <c r="C386" t="s">
        <v>371</v>
      </c>
      <c r="E386" s="28"/>
      <c r="F386" s="28">
        <f>F86</f>
        <v>92</v>
      </c>
      <c r="G386" s="28">
        <f>G86</f>
        <v>143</v>
      </c>
      <c r="H386" s="28">
        <f>H86</f>
        <v>205</v>
      </c>
      <c r="I386" s="28">
        <f>I86</f>
        <v>533</v>
      </c>
      <c r="J386" s="28">
        <f>J86</f>
        <v>624</v>
      </c>
      <c r="K386" s="29"/>
      <c r="L386" s="29"/>
      <c r="M386" s="29"/>
      <c r="N386" s="29"/>
      <c r="O386" s="29"/>
      <c r="P386" s="8"/>
    </row>
    <row r="387" spans="2:16" hidden="1" outlineLevel="1">
      <c r="C387" t="s">
        <v>372</v>
      </c>
      <c r="E387" s="28"/>
      <c r="F387" s="32">
        <v>89</v>
      </c>
      <c r="G387" s="32">
        <v>41</v>
      </c>
      <c r="H387" s="32">
        <v>61</v>
      </c>
      <c r="I387" s="32">
        <v>470</v>
      </c>
      <c r="J387" s="32">
        <v>533</v>
      </c>
      <c r="K387" s="231">
        <f ca="1">IF($D$9=1,J383*K385,K383*K385)</f>
        <v>440.63114041707411</v>
      </c>
      <c r="L387" s="231">
        <f t="shared" ref="L387:O387" ca="1" si="161">IF($D$9=1,K383*L385,L383*L385)</f>
        <v>416.46315860543189</v>
      </c>
      <c r="M387" s="231">
        <f t="shared" ca="1" si="161"/>
        <v>284.63385790357398</v>
      </c>
      <c r="N387" s="231">
        <f t="shared" ca="1" si="161"/>
        <v>210.2817625101089</v>
      </c>
      <c r="O387" s="231">
        <f t="shared" ca="1" si="161"/>
        <v>285.60816168219486</v>
      </c>
      <c r="P387" s="8"/>
    </row>
    <row r="388" spans="2:16" hidden="1" outlineLevel="1">
      <c r="B388" s="5"/>
      <c r="C388" s="5" t="s">
        <v>373</v>
      </c>
      <c r="D388" s="5"/>
      <c r="E388" s="30"/>
      <c r="F388" s="30">
        <f>F386-F387</f>
        <v>3</v>
      </c>
      <c r="G388" s="30">
        <f t="shared" ref="G388:J388" si="162">G386-G387</f>
        <v>102</v>
      </c>
      <c r="H388" s="30">
        <f t="shared" si="162"/>
        <v>144</v>
      </c>
      <c r="I388" s="30">
        <f t="shared" si="162"/>
        <v>63</v>
      </c>
      <c r="J388" s="30">
        <f t="shared" si="162"/>
        <v>91</v>
      </c>
      <c r="K388" s="31"/>
      <c r="L388" s="31"/>
      <c r="M388" s="31"/>
      <c r="N388" s="31"/>
      <c r="O388" s="31"/>
      <c r="P388" s="8"/>
    </row>
    <row r="389" spans="2:16" hidden="1" outlineLevel="1">
      <c r="E389" s="28"/>
      <c r="F389" s="28"/>
      <c r="G389" s="28"/>
      <c r="H389" s="28"/>
      <c r="I389" s="28"/>
      <c r="J389" s="28">
        <f>AVERAGE(F388:J388)</f>
        <v>80.599999999999994</v>
      </c>
      <c r="K389" s="29">
        <f>$J$389</f>
        <v>80.599999999999994</v>
      </c>
      <c r="L389" s="29">
        <f t="shared" ref="L389:O389" si="163">$J$389</f>
        <v>80.599999999999994</v>
      </c>
      <c r="M389" s="29">
        <f t="shared" si="163"/>
        <v>80.599999999999994</v>
      </c>
      <c r="N389" s="29">
        <f t="shared" si="163"/>
        <v>80.599999999999994</v>
      </c>
      <c r="O389" s="29">
        <f t="shared" si="163"/>
        <v>80.599999999999994</v>
      </c>
      <c r="P389" s="8"/>
    </row>
    <row r="390" spans="2:16" ht="15" hidden="1" outlineLevel="1" thickBot="1">
      <c r="B390" s="33"/>
      <c r="C390" s="33" t="s">
        <v>374</v>
      </c>
      <c r="D390" s="33"/>
      <c r="E390" s="100"/>
      <c r="F390" s="100"/>
      <c r="G390" s="100"/>
      <c r="H390" s="100"/>
      <c r="I390" s="100"/>
      <c r="J390" s="100"/>
      <c r="K390" s="101">
        <f ca="1">K387+K389</f>
        <v>521.23114041707413</v>
      </c>
      <c r="L390" s="101">
        <f t="shared" ref="L390:O390" ca="1" si="164">L387+L389</f>
        <v>497.06315860543191</v>
      </c>
      <c r="M390" s="101">
        <f t="shared" ca="1" si="164"/>
        <v>365.23385790357395</v>
      </c>
      <c r="N390" s="101">
        <f t="shared" ca="1" si="164"/>
        <v>290.8817625101089</v>
      </c>
      <c r="O390" s="101">
        <f t="shared" ca="1" si="164"/>
        <v>366.20816168219483</v>
      </c>
      <c r="P390" s="8"/>
    </row>
    <row r="391" spans="2:16" ht="15" hidden="1" outlineLevel="1" thickTop="1">
      <c r="B391" s="179"/>
      <c r="C391" s="179"/>
      <c r="D391" s="179"/>
      <c r="E391" s="214"/>
      <c r="F391" s="214"/>
      <c r="G391" s="214"/>
      <c r="H391" s="214"/>
      <c r="I391" s="214"/>
      <c r="J391" s="214"/>
      <c r="K391" s="213"/>
      <c r="L391" s="213"/>
      <c r="M391" s="213"/>
      <c r="N391" s="213"/>
      <c r="O391" s="213"/>
      <c r="P391" s="8"/>
    </row>
    <row r="392" spans="2:16" hidden="1" outlineLevel="1">
      <c r="B392" s="221" t="s">
        <v>394</v>
      </c>
      <c r="C392" s="179"/>
      <c r="D392" s="179"/>
      <c r="E392" s="214"/>
      <c r="F392" s="214"/>
      <c r="G392" s="214"/>
      <c r="H392" s="214"/>
      <c r="I392" s="214"/>
      <c r="J392" s="214"/>
      <c r="K392" s="213"/>
      <c r="L392" s="213"/>
      <c r="M392" s="213"/>
      <c r="N392" s="213"/>
      <c r="O392" s="213"/>
      <c r="P392" s="8"/>
    </row>
    <row r="393" spans="2:16" hidden="1" outlineLevel="1">
      <c r="B393" s="179"/>
      <c r="C393" s="179" t="s">
        <v>395</v>
      </c>
      <c r="D393" s="179"/>
      <c r="E393" s="214"/>
      <c r="F393" s="214"/>
      <c r="G393" s="214"/>
      <c r="H393" s="214"/>
      <c r="I393" s="214"/>
      <c r="J393" s="214"/>
      <c r="K393" s="213">
        <f>K132</f>
        <v>9906</v>
      </c>
      <c r="L393" s="213">
        <f ca="1">L132</f>
        <v>14082.332757782227</v>
      </c>
      <c r="M393" s="213">
        <f ca="1">M132</f>
        <v>19189.577852126091</v>
      </c>
      <c r="N393" s="213">
        <f ca="1">N132</f>
        <v>16285.603201683774</v>
      </c>
      <c r="O393" s="213">
        <f ca="1">O132</f>
        <v>23294.749300338008</v>
      </c>
      <c r="P393" s="8"/>
    </row>
    <row r="394" spans="2:16" hidden="1" outlineLevel="1">
      <c r="B394" s="179"/>
      <c r="C394" s="179" t="s">
        <v>396</v>
      </c>
      <c r="D394" s="179"/>
      <c r="E394" s="214"/>
      <c r="F394" s="214"/>
      <c r="G394" s="214"/>
      <c r="H394" s="214"/>
      <c r="I394" s="214"/>
      <c r="J394" s="214"/>
      <c r="K394" s="213">
        <f>-K56</f>
        <v>-9030</v>
      </c>
      <c r="L394" s="213">
        <f>-L56</f>
        <v>-9295</v>
      </c>
      <c r="M394" s="213">
        <f>-M56</f>
        <v>-9565</v>
      </c>
      <c r="N394" s="213">
        <f>-N56</f>
        <v>-9835</v>
      </c>
      <c r="O394" s="213">
        <f>-O56</f>
        <v>-10105</v>
      </c>
      <c r="P394" s="8"/>
    </row>
    <row r="395" spans="2:16" hidden="1" outlineLevel="1">
      <c r="B395" s="179"/>
      <c r="C395" s="173" t="s">
        <v>397</v>
      </c>
      <c r="D395" s="179"/>
      <c r="E395" s="214"/>
      <c r="F395" s="214"/>
      <c r="G395" s="214"/>
      <c r="H395" s="214"/>
      <c r="I395" s="214"/>
      <c r="J395" s="214"/>
      <c r="K395" s="213">
        <f ca="1">K114+K119+K122+K123+K124+K126+K127</f>
        <v>4176.3327577822274</v>
      </c>
      <c r="L395" s="213">
        <f t="shared" ref="L395:O395" ca="1" si="165">L114+L119+L122+L123+L124+L126+L127</f>
        <v>5107.2450943438625</v>
      </c>
      <c r="M395" s="213">
        <f t="shared" ca="1" si="165"/>
        <v>-2903.974650442316</v>
      </c>
      <c r="N395" s="213">
        <f t="shared" ca="1" si="165"/>
        <v>7009.146098654237</v>
      </c>
      <c r="O395" s="213">
        <f t="shared" ca="1" si="165"/>
        <v>8056.1337357629591</v>
      </c>
      <c r="P395" s="8"/>
    </row>
    <row r="396" spans="2:16" hidden="1" outlineLevel="1">
      <c r="B396" s="5"/>
      <c r="C396" s="226" t="s">
        <v>398</v>
      </c>
      <c r="D396" s="5"/>
      <c r="E396" s="30"/>
      <c r="F396" s="30"/>
      <c r="G396" s="30"/>
      <c r="H396" s="30"/>
      <c r="I396" s="30"/>
      <c r="J396" s="30"/>
      <c r="K396" s="31">
        <f ca="1">SUM(K393:K395)</f>
        <v>5052.3327577822274</v>
      </c>
      <c r="L396" s="31">
        <f t="shared" ref="L396:O396" ca="1" si="166">SUM(L393:L395)</f>
        <v>9894.5778521260909</v>
      </c>
      <c r="M396" s="31">
        <f t="shared" ca="1" si="166"/>
        <v>6720.6032016837744</v>
      </c>
      <c r="N396" s="31">
        <f t="shared" ca="1" si="166"/>
        <v>13459.749300338011</v>
      </c>
      <c r="O396" s="31">
        <f t="shared" ca="1" si="166"/>
        <v>21245.883036100968</v>
      </c>
      <c r="P396" s="8"/>
    </row>
    <row r="397" spans="2:16" hidden="1" outlineLevel="1">
      <c r="B397" s="179"/>
      <c r="C397" s="179"/>
      <c r="D397" s="179"/>
      <c r="E397" s="214"/>
      <c r="F397" s="214"/>
      <c r="G397" s="214"/>
      <c r="H397" s="214"/>
      <c r="I397" s="214"/>
      <c r="J397" s="214"/>
      <c r="K397" s="213"/>
      <c r="L397" s="213"/>
      <c r="M397" s="213"/>
      <c r="N397" s="213"/>
      <c r="O397" s="213"/>
      <c r="P397" s="8"/>
    </row>
    <row r="398" spans="2:16" hidden="1" outlineLevel="1">
      <c r="B398" s="179"/>
      <c r="C398" s="173" t="s">
        <v>399</v>
      </c>
      <c r="D398" s="179"/>
      <c r="E398" s="214"/>
      <c r="F398" s="214"/>
      <c r="G398" s="214"/>
      <c r="H398" s="214"/>
      <c r="I398" s="214"/>
      <c r="J398" s="214"/>
      <c r="K398" s="213">
        <f>J400</f>
        <v>0</v>
      </c>
      <c r="L398" s="213">
        <f t="shared" ref="L398:O398" ca="1" si="167">K400</f>
        <v>0</v>
      </c>
      <c r="M398" s="213">
        <f t="shared" ca="1" si="167"/>
        <v>0</v>
      </c>
      <c r="N398" s="213">
        <f t="shared" ca="1" si="167"/>
        <v>0</v>
      </c>
      <c r="O398" s="213">
        <f t="shared" ca="1" si="167"/>
        <v>0</v>
      </c>
      <c r="P398" s="8"/>
    </row>
    <row r="399" spans="2:16" hidden="1" outlineLevel="1">
      <c r="B399" s="179"/>
      <c r="C399" s="173" t="s">
        <v>400</v>
      </c>
      <c r="D399" s="179"/>
      <c r="E399" s="214"/>
      <c r="F399" s="214"/>
      <c r="G399" s="214"/>
      <c r="H399" s="214"/>
      <c r="I399" s="214"/>
      <c r="J399" s="214"/>
      <c r="K399" s="213">
        <f ca="1">-(MIN(K398,K396))</f>
        <v>0</v>
      </c>
      <c r="L399" s="213">
        <f t="shared" ref="L399:O399" ca="1" si="168">-(MIN(L398,L396))</f>
        <v>0</v>
      </c>
      <c r="M399" s="213">
        <f t="shared" ca="1" si="168"/>
        <v>0</v>
      </c>
      <c r="N399" s="213">
        <f t="shared" ca="1" si="168"/>
        <v>0</v>
      </c>
      <c r="O399" s="213">
        <f t="shared" ca="1" si="168"/>
        <v>0</v>
      </c>
      <c r="P399" s="8"/>
    </row>
    <row r="400" spans="2:16" hidden="1" outlineLevel="1">
      <c r="B400" s="5"/>
      <c r="C400" s="226" t="s">
        <v>401</v>
      </c>
      <c r="D400" s="5"/>
      <c r="E400" s="30"/>
      <c r="F400" s="30"/>
      <c r="G400" s="30"/>
      <c r="H400" s="30"/>
      <c r="I400" s="30"/>
      <c r="J400" s="30">
        <f>J163</f>
        <v>0</v>
      </c>
      <c r="K400" s="31">
        <f ca="1">SUM(K398:K399)</f>
        <v>0</v>
      </c>
      <c r="L400" s="31">
        <f t="shared" ref="L400:O400" ca="1" si="169">SUM(L398:L399)</f>
        <v>0</v>
      </c>
      <c r="M400" s="31">
        <f t="shared" ca="1" si="169"/>
        <v>0</v>
      </c>
      <c r="N400" s="31">
        <f t="shared" ca="1" si="169"/>
        <v>0</v>
      </c>
      <c r="O400" s="31">
        <f t="shared" ca="1" si="169"/>
        <v>0</v>
      </c>
      <c r="P400" s="8"/>
    </row>
    <row r="401" spans="2:16" hidden="1" outlineLevel="1">
      <c r="B401" s="179"/>
      <c r="C401" s="173" t="s">
        <v>123</v>
      </c>
      <c r="D401" s="179"/>
      <c r="E401" s="214"/>
      <c r="F401" s="214"/>
      <c r="G401" s="214"/>
      <c r="H401" s="214"/>
      <c r="I401" s="214"/>
      <c r="J401" s="214"/>
      <c r="K401" s="230" t="str">
        <f ca="1">IF(K400&lt;0,"ERROR","OK")</f>
        <v>OK</v>
      </c>
      <c r="L401" s="230" t="str">
        <f t="shared" ref="L401:O401" ca="1" si="170">IF(L400&lt;0,"ERROR","OK")</f>
        <v>OK</v>
      </c>
      <c r="M401" s="230" t="str">
        <f t="shared" ca="1" si="170"/>
        <v>OK</v>
      </c>
      <c r="N401" s="230" t="str">
        <f t="shared" ca="1" si="170"/>
        <v>OK</v>
      </c>
      <c r="O401" s="230" t="str">
        <f t="shared" ca="1" si="170"/>
        <v>OK</v>
      </c>
      <c r="P401" s="8"/>
    </row>
    <row r="402" spans="2:16" hidden="1" outlineLevel="1">
      <c r="B402" s="179"/>
      <c r="C402" s="179"/>
      <c r="D402" s="179"/>
      <c r="E402" s="214"/>
      <c r="F402" s="214"/>
      <c r="G402" s="214"/>
      <c r="H402" s="214"/>
      <c r="I402" s="214"/>
      <c r="J402" s="214"/>
      <c r="K402" s="213"/>
      <c r="L402" s="213"/>
      <c r="M402" s="213"/>
      <c r="N402" s="213"/>
      <c r="O402" s="213"/>
      <c r="P402" s="8"/>
    </row>
    <row r="403" spans="2:16" hidden="1" outlineLevel="1">
      <c r="B403" s="179"/>
      <c r="C403" s="173" t="s">
        <v>402</v>
      </c>
      <c r="D403" s="179"/>
      <c r="E403" s="214"/>
      <c r="F403" s="214"/>
      <c r="G403" s="214"/>
      <c r="H403" s="214"/>
      <c r="I403" s="214"/>
      <c r="J403" s="214"/>
      <c r="K403" s="227">
        <f>K55</f>
        <v>4.7700000000000006E-2</v>
      </c>
      <c r="L403" s="227">
        <f>L55</f>
        <v>3.7700000000000004E-2</v>
      </c>
      <c r="M403" s="227">
        <f>M55</f>
        <v>2.9400000000000003E-2</v>
      </c>
      <c r="N403" s="227">
        <f>N55</f>
        <v>2.4399999999999998E-2</v>
      </c>
      <c r="O403" s="227">
        <f>O55</f>
        <v>2.4399999999999998E-2</v>
      </c>
      <c r="P403" s="8"/>
    </row>
    <row r="404" spans="2:16" hidden="1" outlineLevel="1">
      <c r="B404" s="5"/>
      <c r="C404" s="226" t="s">
        <v>403</v>
      </c>
      <c r="D404" s="5"/>
      <c r="E404" s="30"/>
      <c r="F404" s="30"/>
      <c r="G404" s="30"/>
      <c r="H404" s="30"/>
      <c r="I404" s="30"/>
      <c r="J404" s="30"/>
      <c r="K404" s="31">
        <f ca="1">(AVERAGE(K398,K400)*K403)</f>
        <v>0</v>
      </c>
      <c r="L404" s="31">
        <f t="shared" ref="L404:O404" ca="1" si="171">(AVERAGE(L398,L400)*L403)</f>
        <v>0</v>
      </c>
      <c r="M404" s="31">
        <f t="shared" ca="1" si="171"/>
        <v>0</v>
      </c>
      <c r="N404" s="31">
        <f t="shared" ca="1" si="171"/>
        <v>0</v>
      </c>
      <c r="O404" s="31">
        <f t="shared" ca="1" si="171"/>
        <v>0</v>
      </c>
      <c r="P404" s="8"/>
    </row>
    <row r="405" spans="2:16" hidden="1" outlineLevel="1">
      <c r="E405" s="28"/>
      <c r="F405" s="28"/>
      <c r="G405" s="28"/>
      <c r="H405" s="28"/>
      <c r="I405" s="28"/>
      <c r="J405" s="28"/>
      <c r="K405" s="29"/>
      <c r="L405" s="29"/>
      <c r="M405" s="29"/>
      <c r="N405" s="29"/>
      <c r="O405" s="29"/>
      <c r="P405" s="8"/>
    </row>
    <row r="406" spans="2:16" hidden="1" outlineLevel="1">
      <c r="B406" s="1" t="s">
        <v>190</v>
      </c>
      <c r="E406" s="28"/>
      <c r="F406" s="28"/>
      <c r="G406" s="28"/>
      <c r="H406" s="28"/>
      <c r="I406" s="28"/>
      <c r="J406" s="28"/>
      <c r="K406" s="29"/>
      <c r="L406" s="29"/>
      <c r="M406" s="29"/>
      <c r="N406" s="29"/>
      <c r="O406" s="29"/>
      <c r="P406" s="8"/>
    </row>
    <row r="407" spans="2:16" hidden="1" outlineLevel="1">
      <c r="C407" t="s">
        <v>375</v>
      </c>
      <c r="E407" s="28"/>
      <c r="F407" s="28"/>
      <c r="G407" s="28"/>
      <c r="H407" s="28"/>
      <c r="I407" s="28"/>
      <c r="J407" s="28"/>
      <c r="K407" s="29"/>
      <c r="L407" s="29"/>
      <c r="M407" s="29"/>
      <c r="N407" s="29"/>
      <c r="O407" s="29"/>
      <c r="P407" s="8"/>
    </row>
    <row r="408" spans="2:16" hidden="1" outlineLevel="1">
      <c r="C408" t="s">
        <v>376</v>
      </c>
      <c r="D408" s="170">
        <v>2027</v>
      </c>
      <c r="E408" s="28"/>
      <c r="F408" s="28"/>
      <c r="G408" s="28"/>
      <c r="H408" s="28"/>
      <c r="I408" s="28"/>
      <c r="J408" s="32">
        <v>1000</v>
      </c>
      <c r="K408" s="29">
        <f>IF($D408&gt;=K$377,$J408,0)</f>
        <v>1000</v>
      </c>
      <c r="L408" s="29">
        <f t="shared" ref="L408:P411" si="172">IF($D408&gt;=L$377,$J408,0)</f>
        <v>1000</v>
      </c>
      <c r="M408" s="29">
        <f t="shared" si="172"/>
        <v>1000</v>
      </c>
      <c r="N408" s="29">
        <f t="shared" si="172"/>
        <v>0</v>
      </c>
      <c r="O408" s="29">
        <f t="shared" si="172"/>
        <v>0</v>
      </c>
      <c r="P408" s="29">
        <f t="shared" si="172"/>
        <v>0</v>
      </c>
    </row>
    <row r="409" spans="2:16" hidden="1" outlineLevel="1">
      <c r="C409" t="s">
        <v>377</v>
      </c>
      <c r="D409" s="170">
        <v>2027</v>
      </c>
      <c r="E409" s="28"/>
      <c r="F409" s="28"/>
      <c r="G409" s="28"/>
      <c r="H409" s="28"/>
      <c r="I409" s="28"/>
      <c r="J409" s="32">
        <v>1250</v>
      </c>
      <c r="K409" s="29">
        <f t="shared" ref="K409:K411" si="173">IF($D409&gt;=K$377,$J409,0)</f>
        <v>1250</v>
      </c>
      <c r="L409" s="29">
        <f t="shared" si="172"/>
        <v>1250</v>
      </c>
      <c r="M409" s="29">
        <f t="shared" si="172"/>
        <v>1250</v>
      </c>
      <c r="N409" s="29">
        <f t="shared" si="172"/>
        <v>0</v>
      </c>
      <c r="O409" s="29">
        <f t="shared" si="172"/>
        <v>0</v>
      </c>
      <c r="P409" s="29">
        <f t="shared" si="172"/>
        <v>0</v>
      </c>
    </row>
    <row r="410" spans="2:16" hidden="1" outlineLevel="1">
      <c r="C410" t="s">
        <v>384</v>
      </c>
      <c r="D410" s="170">
        <v>2030</v>
      </c>
      <c r="E410" s="28"/>
      <c r="F410" s="28"/>
      <c r="G410" s="28"/>
      <c r="H410" s="28"/>
      <c r="I410" s="28"/>
      <c r="J410" s="32">
        <v>1750</v>
      </c>
      <c r="K410" s="29">
        <f t="shared" si="173"/>
        <v>1750</v>
      </c>
      <c r="L410" s="29">
        <f t="shared" si="172"/>
        <v>1750</v>
      </c>
      <c r="M410" s="29">
        <f t="shared" si="172"/>
        <v>1750</v>
      </c>
      <c r="N410" s="29">
        <f t="shared" si="172"/>
        <v>1750</v>
      </c>
      <c r="O410" s="29">
        <f t="shared" si="172"/>
        <v>1750</v>
      </c>
      <c r="P410" s="29">
        <f t="shared" si="172"/>
        <v>1750</v>
      </c>
    </row>
    <row r="411" spans="2:16" hidden="1" outlineLevel="1">
      <c r="C411" t="s">
        <v>379</v>
      </c>
      <c r="D411" s="170">
        <v>2032</v>
      </c>
      <c r="E411" s="28"/>
      <c r="F411" s="28"/>
      <c r="G411" s="28"/>
      <c r="H411" s="28"/>
      <c r="I411" s="28"/>
      <c r="J411" s="32">
        <v>1000</v>
      </c>
      <c r="K411" s="29">
        <f t="shared" si="173"/>
        <v>1000</v>
      </c>
      <c r="L411" s="29">
        <f t="shared" si="172"/>
        <v>1000</v>
      </c>
      <c r="M411" s="29">
        <f t="shared" si="172"/>
        <v>1000</v>
      </c>
      <c r="N411" s="29">
        <f t="shared" si="172"/>
        <v>1000</v>
      </c>
      <c r="O411" s="29">
        <f t="shared" si="172"/>
        <v>1000</v>
      </c>
      <c r="P411" s="29">
        <f t="shared" si="172"/>
        <v>1000</v>
      </c>
    </row>
    <row r="412" spans="2:16" hidden="1" outlineLevel="1">
      <c r="E412" s="28"/>
      <c r="F412" s="28"/>
      <c r="G412" s="28"/>
      <c r="H412" s="28"/>
      <c r="I412" s="28"/>
      <c r="J412" s="28"/>
      <c r="K412" s="29"/>
      <c r="L412" s="29"/>
      <c r="M412" s="29"/>
      <c r="N412" s="29"/>
      <c r="O412" s="29"/>
      <c r="P412" s="29"/>
    </row>
    <row r="413" spans="2:16" hidden="1" outlineLevel="1">
      <c r="C413" t="s">
        <v>380</v>
      </c>
      <c r="E413" s="28"/>
      <c r="F413" s="28"/>
      <c r="G413" s="28"/>
      <c r="H413" s="28"/>
      <c r="I413" s="28"/>
      <c r="J413" s="32">
        <v>919</v>
      </c>
      <c r="K413" s="29">
        <f>J413-K52</f>
        <v>816</v>
      </c>
      <c r="L413" s="29">
        <f>K413-L52</f>
        <v>740</v>
      </c>
      <c r="M413" s="29">
        <f>L413-M52</f>
        <v>740</v>
      </c>
      <c r="N413" s="29">
        <f>M413-N52</f>
        <v>740</v>
      </c>
      <c r="O413" s="29">
        <f>N413-O52</f>
        <v>590</v>
      </c>
      <c r="P413" s="8"/>
    </row>
    <row r="414" spans="2:16" hidden="1" outlineLevel="1">
      <c r="E414" s="28"/>
      <c r="F414" s="28"/>
      <c r="G414" s="28"/>
      <c r="H414" s="28"/>
      <c r="I414" s="28"/>
      <c r="J414" s="28"/>
      <c r="K414" s="29"/>
      <c r="L414" s="29"/>
      <c r="M414" s="29"/>
      <c r="N414" s="29"/>
      <c r="O414" s="29"/>
      <c r="P414" s="8"/>
    </row>
    <row r="415" spans="2:16" hidden="1" outlineLevel="1">
      <c r="C415" t="s">
        <v>381</v>
      </c>
      <c r="E415" s="28"/>
      <c r="F415" s="28"/>
      <c r="G415" s="28"/>
      <c r="H415" s="28"/>
      <c r="I415" s="28"/>
      <c r="J415" s="28"/>
      <c r="K415" s="29"/>
      <c r="L415" s="29"/>
      <c r="M415" s="29"/>
      <c r="N415" s="29"/>
      <c r="O415" s="29"/>
      <c r="P415" s="8"/>
    </row>
    <row r="416" spans="2:16" hidden="1" outlineLevel="1">
      <c r="C416" t="s">
        <v>376</v>
      </c>
      <c r="D416" s="171">
        <v>0.03</v>
      </c>
      <c r="E416" s="28"/>
      <c r="F416" s="28"/>
      <c r="G416" s="28"/>
      <c r="H416" s="28"/>
      <c r="I416" s="28"/>
      <c r="J416" s="15"/>
      <c r="K416" s="162">
        <f t="shared" ref="K416:O416" si="174">$D416*K408</f>
        <v>30</v>
      </c>
      <c r="L416" s="162">
        <f t="shared" si="174"/>
        <v>30</v>
      </c>
      <c r="M416" s="162">
        <f t="shared" si="174"/>
        <v>30</v>
      </c>
      <c r="N416" s="162">
        <f t="shared" si="174"/>
        <v>0</v>
      </c>
      <c r="O416" s="162">
        <f t="shared" si="174"/>
        <v>0</v>
      </c>
      <c r="P416" s="8"/>
    </row>
    <row r="417" spans="2:16" hidden="1" outlineLevel="1">
      <c r="C417" t="s">
        <v>377</v>
      </c>
      <c r="D417" s="171">
        <v>1.375E-2</v>
      </c>
      <c r="E417" s="28"/>
      <c r="F417" s="28"/>
      <c r="G417" s="28"/>
      <c r="H417" s="28"/>
      <c r="I417" s="28"/>
      <c r="J417" s="15"/>
      <c r="K417" s="162">
        <f>$D417*K409</f>
        <v>17.1875</v>
      </c>
      <c r="L417" s="162">
        <f>$D417*L409</f>
        <v>17.1875</v>
      </c>
      <c r="M417" s="162">
        <f>$D417*M409</f>
        <v>17.1875</v>
      </c>
      <c r="N417" s="162">
        <f>$D417*N409</f>
        <v>0</v>
      </c>
      <c r="O417" s="162">
        <f>$D417*O409</f>
        <v>0</v>
      </c>
      <c r="P417" s="8"/>
    </row>
    <row r="418" spans="2:16" hidden="1" outlineLevel="1">
      <c r="C418" t="s">
        <v>378</v>
      </c>
      <c r="D418" s="171">
        <v>1.6E-2</v>
      </c>
      <c r="E418" s="28"/>
      <c r="F418" s="28"/>
      <c r="G418" s="28"/>
      <c r="H418" s="28"/>
      <c r="I418" s="28"/>
      <c r="J418" s="15"/>
      <c r="K418" s="162">
        <f>$D418*K410</f>
        <v>28</v>
      </c>
      <c r="L418" s="162">
        <f>$D418*L410</f>
        <v>28</v>
      </c>
      <c r="M418" s="162">
        <f>$D418*M410</f>
        <v>28</v>
      </c>
      <c r="N418" s="162">
        <f>$D418*N410</f>
        <v>28</v>
      </c>
      <c r="O418" s="162">
        <f>$D418*O410</f>
        <v>28</v>
      </c>
      <c r="P418" s="8"/>
    </row>
    <row r="419" spans="2:16" hidden="1" outlineLevel="1">
      <c r="C419" t="s">
        <v>379</v>
      </c>
      <c r="D419" s="171">
        <v>1.7500000000000002E-2</v>
      </c>
      <c r="E419" s="28"/>
      <c r="F419" s="28"/>
      <c r="G419" s="28"/>
      <c r="H419" s="28"/>
      <c r="I419" s="28"/>
      <c r="J419" s="15"/>
      <c r="K419" s="162">
        <f>$D419*K411</f>
        <v>17.5</v>
      </c>
      <c r="L419" s="162">
        <f>$D419*L411</f>
        <v>17.5</v>
      </c>
      <c r="M419" s="162">
        <f>$D419*M411</f>
        <v>17.5</v>
      </c>
      <c r="N419" s="162">
        <f>$D419*N411</f>
        <v>17.5</v>
      </c>
      <c r="O419" s="162">
        <f>$D419*O411</f>
        <v>17.5</v>
      </c>
      <c r="P419" s="8"/>
    </row>
    <row r="420" spans="2:16" hidden="1" outlineLevel="1">
      <c r="C420" t="s">
        <v>382</v>
      </c>
      <c r="D420" s="171">
        <v>1.7600000000000001E-2</v>
      </c>
      <c r="E420" s="28"/>
      <c r="F420" s="28"/>
      <c r="G420" s="28"/>
      <c r="H420" s="28"/>
      <c r="I420" s="28"/>
      <c r="J420" s="28"/>
      <c r="K420" s="29">
        <f>AVERAGE(J413:K413)*$D$420</f>
        <v>15.268000000000001</v>
      </c>
      <c r="L420" s="29">
        <f t="shared" ref="L420:O420" si="175">AVERAGE(K413:L413)*$D$420</f>
        <v>13.6928</v>
      </c>
      <c r="M420" s="29">
        <f t="shared" si="175"/>
        <v>13.024000000000001</v>
      </c>
      <c r="N420" s="29">
        <f t="shared" si="175"/>
        <v>13.024000000000001</v>
      </c>
      <c r="O420" s="29">
        <f t="shared" si="175"/>
        <v>11.704000000000001</v>
      </c>
      <c r="P420" s="8"/>
    </row>
    <row r="421" spans="2:16" hidden="1" outlineLevel="1">
      <c r="B421" s="5"/>
      <c r="C421" s="5" t="s">
        <v>383</v>
      </c>
      <c r="D421" s="5"/>
      <c r="E421" s="30"/>
      <c r="F421" s="30"/>
      <c r="G421" s="30"/>
      <c r="H421" s="30"/>
      <c r="I421" s="30"/>
      <c r="J421" s="30"/>
      <c r="K421" s="31">
        <f t="shared" ref="K421:O421" si="176">SUM(K416:K420)</f>
        <v>107.9555</v>
      </c>
      <c r="L421" s="31">
        <f t="shared" si="176"/>
        <v>106.38030000000001</v>
      </c>
      <c r="M421" s="31">
        <f t="shared" si="176"/>
        <v>105.7115</v>
      </c>
      <c r="N421" s="31">
        <f t="shared" si="176"/>
        <v>58.524000000000001</v>
      </c>
      <c r="O421" s="31">
        <f t="shared" si="176"/>
        <v>57.204000000000001</v>
      </c>
      <c r="P421" s="8"/>
    </row>
    <row r="422" spans="2:16" hidden="1" outlineLevel="1">
      <c r="E422" s="28"/>
      <c r="F422" s="28"/>
      <c r="G422" s="28"/>
      <c r="H422" s="28"/>
      <c r="I422" s="28"/>
      <c r="J422" s="28"/>
      <c r="K422" s="29"/>
      <c r="L422" s="29"/>
      <c r="M422" s="29"/>
      <c r="N422" s="29"/>
      <c r="O422" s="29"/>
      <c r="P422" s="8"/>
    </row>
    <row r="423" spans="2:16" hidden="1" outlineLevel="1">
      <c r="C423" t="s">
        <v>362</v>
      </c>
      <c r="F423" s="170">
        <v>48</v>
      </c>
      <c r="G423" s="170">
        <v>40</v>
      </c>
      <c r="H423" s="170">
        <v>33</v>
      </c>
      <c r="I423" s="170">
        <v>26</v>
      </c>
      <c r="J423" s="170">
        <v>22</v>
      </c>
      <c r="K423" s="8">
        <f>K53</f>
        <v>19</v>
      </c>
      <c r="L423" s="8">
        <f>L53</f>
        <v>16</v>
      </c>
      <c r="M423" s="8">
        <f>M53</f>
        <v>13</v>
      </c>
      <c r="N423" s="8">
        <f>N53</f>
        <v>10</v>
      </c>
      <c r="O423" s="8">
        <f>O53</f>
        <v>7</v>
      </c>
      <c r="P423" s="8"/>
    </row>
    <row r="424" spans="2:16" hidden="1" outlineLevel="1">
      <c r="C424" t="s">
        <v>385</v>
      </c>
      <c r="I424" s="104"/>
      <c r="K424" s="29">
        <f>J426</f>
        <v>5897</v>
      </c>
      <c r="L424" s="29">
        <f t="shared" ref="L424:O424" si="177">K426</f>
        <v>5794</v>
      </c>
      <c r="M424" s="29">
        <f t="shared" si="177"/>
        <v>5718</v>
      </c>
      <c r="N424" s="29">
        <f t="shared" si="177"/>
        <v>3468</v>
      </c>
      <c r="O424" s="29">
        <f t="shared" si="177"/>
        <v>3468</v>
      </c>
      <c r="P424" s="8"/>
    </row>
    <row r="425" spans="2:16" hidden="1" outlineLevel="1">
      <c r="C425" t="s">
        <v>386</v>
      </c>
      <c r="K425" s="29">
        <f>SUM(L408:L411)-SUM(K408:K411)+K413-J413</f>
        <v>-103</v>
      </c>
      <c r="L425" s="29">
        <f t="shared" ref="L425:O425" si="178">SUM(M408:M411)-SUM(L408:L411)+L413-K413</f>
        <v>-76</v>
      </c>
      <c r="M425" s="29">
        <f t="shared" si="178"/>
        <v>-2250</v>
      </c>
      <c r="N425" s="29">
        <f t="shared" si="178"/>
        <v>0</v>
      </c>
      <c r="O425" s="29">
        <f t="shared" si="178"/>
        <v>-150</v>
      </c>
      <c r="P425" s="8"/>
    </row>
    <row r="426" spans="2:16" ht="15" hidden="1" outlineLevel="1" thickBot="1">
      <c r="B426" s="33"/>
      <c r="C426" s="33" t="s">
        <v>387</v>
      </c>
      <c r="D426" s="33"/>
      <c r="E426" s="33"/>
      <c r="F426" s="33"/>
      <c r="G426" s="33"/>
      <c r="H426" s="33"/>
      <c r="I426" s="33"/>
      <c r="J426" s="100">
        <f>SUM(J408:J413)-J423</f>
        <v>5897</v>
      </c>
      <c r="K426" s="101">
        <f>SUM(K424:K425)</f>
        <v>5794</v>
      </c>
      <c r="L426" s="101">
        <f t="shared" ref="L426:O426" si="179">SUM(L424:L425)</f>
        <v>5718</v>
      </c>
      <c r="M426" s="101">
        <f t="shared" si="179"/>
        <v>3468</v>
      </c>
      <c r="N426" s="101">
        <f t="shared" si="179"/>
        <v>3468</v>
      </c>
      <c r="O426" s="101">
        <f t="shared" si="179"/>
        <v>3318</v>
      </c>
      <c r="P426" s="8"/>
    </row>
    <row r="427" spans="2:16" ht="15" hidden="1" outlineLevel="1" thickTop="1">
      <c r="K427" s="8"/>
      <c r="L427" s="8"/>
      <c r="M427" s="8"/>
      <c r="N427" s="8"/>
      <c r="O427" s="8"/>
      <c r="P427" s="8"/>
    </row>
    <row r="428" spans="2:16" hidden="1" outlineLevel="1">
      <c r="C428" t="s">
        <v>388</v>
      </c>
      <c r="F428" s="28"/>
      <c r="G428" s="28"/>
      <c r="H428" s="28"/>
      <c r="I428" s="28"/>
      <c r="J428" s="28"/>
      <c r="K428" s="29">
        <f>J53-K53</f>
        <v>3</v>
      </c>
      <c r="L428" s="29">
        <f>K53-L53</f>
        <v>3</v>
      </c>
      <c r="M428" s="29">
        <f>L53-M53</f>
        <v>3</v>
      </c>
      <c r="N428" s="29">
        <f>M53-N53</f>
        <v>3</v>
      </c>
      <c r="O428" s="29">
        <f>N53-O53</f>
        <v>3</v>
      </c>
      <c r="P428" s="8"/>
    </row>
    <row r="429" spans="2:16" hidden="1" outlineLevel="1">
      <c r="F429" s="28"/>
      <c r="G429" s="28"/>
      <c r="H429" s="28"/>
      <c r="I429" s="28"/>
      <c r="J429" s="28"/>
      <c r="K429" s="29"/>
      <c r="L429" s="29"/>
      <c r="M429" s="29"/>
      <c r="N429" s="29"/>
      <c r="O429" s="29"/>
      <c r="P429" s="8"/>
    </row>
    <row r="430" spans="2:16" hidden="1" outlineLevel="1">
      <c r="B430" s="1" t="s">
        <v>389</v>
      </c>
      <c r="F430" s="28"/>
      <c r="G430" s="28"/>
      <c r="H430" s="28"/>
      <c r="I430" s="28"/>
      <c r="J430" s="28"/>
      <c r="K430" s="29"/>
      <c r="L430" s="29"/>
      <c r="M430" s="29"/>
      <c r="N430" s="29"/>
      <c r="O430" s="29"/>
      <c r="P430" s="8"/>
    </row>
    <row r="431" spans="2:16" hidden="1" outlineLevel="1">
      <c r="C431" t="s">
        <v>390</v>
      </c>
      <c r="F431" s="32">
        <v>688</v>
      </c>
      <c r="G431" s="32">
        <v>1052</v>
      </c>
      <c r="H431" s="32">
        <v>1628</v>
      </c>
      <c r="I431" s="32">
        <v>1432</v>
      </c>
      <c r="J431" s="32">
        <v>1498</v>
      </c>
      <c r="K431" s="29"/>
      <c r="L431" s="29"/>
      <c r="M431" s="29"/>
      <c r="N431" s="29"/>
      <c r="O431" s="29"/>
      <c r="P431" s="8"/>
    </row>
    <row r="432" spans="2:16" hidden="1" outlineLevel="1">
      <c r="C432" t="s">
        <v>363</v>
      </c>
      <c r="F432" s="32">
        <v>33</v>
      </c>
      <c r="G432" s="32">
        <v>37</v>
      </c>
      <c r="H432" s="32">
        <v>45</v>
      </c>
      <c r="I432" s="32">
        <v>54</v>
      </c>
      <c r="J432" s="32">
        <v>58</v>
      </c>
      <c r="K432" s="29">
        <f>K54</f>
        <v>29</v>
      </c>
      <c r="L432" s="29">
        <f>L54</f>
        <v>29</v>
      </c>
      <c r="M432" s="29">
        <f>M54</f>
        <v>29</v>
      </c>
      <c r="N432" s="29">
        <f>N54</f>
        <v>29</v>
      </c>
      <c r="O432" s="29">
        <f>O54</f>
        <v>29</v>
      </c>
      <c r="P432" s="8">
        <f>P54</f>
        <v>0</v>
      </c>
    </row>
    <row r="433" spans="1:16" hidden="1" outlineLevel="1">
      <c r="C433" t="s">
        <v>370</v>
      </c>
      <c r="F433" s="232">
        <v>6.3399999999999998E-2</v>
      </c>
      <c r="G433" s="232">
        <v>4.9099999999999998E-2</v>
      </c>
      <c r="H433" s="232">
        <v>3.9699999999999999E-2</v>
      </c>
      <c r="I433" s="232">
        <v>4.4699999999999997E-2</v>
      </c>
      <c r="J433" s="232">
        <v>4.5900000000000003E-2</v>
      </c>
      <c r="K433" s="29"/>
      <c r="L433" s="29"/>
      <c r="M433" s="29"/>
      <c r="N433" s="29"/>
      <c r="O433" s="29"/>
      <c r="P433" s="8"/>
    </row>
    <row r="434" spans="1:16" hidden="1" outlineLevel="1">
      <c r="F434" s="28"/>
      <c r="G434" s="28"/>
      <c r="H434" s="28"/>
      <c r="I434" s="28"/>
      <c r="J434" s="28"/>
      <c r="K434" s="29"/>
      <c r="L434" s="29"/>
      <c r="M434" s="29"/>
      <c r="N434" s="29"/>
      <c r="O434" s="29"/>
      <c r="P434" s="8"/>
    </row>
    <row r="435" spans="1:16" ht="15" hidden="1" outlineLevel="1" thickBot="1">
      <c r="B435" s="33"/>
      <c r="C435" s="33" t="s">
        <v>391</v>
      </c>
      <c r="D435" s="33"/>
      <c r="E435" s="33"/>
      <c r="F435" s="100"/>
      <c r="G435" s="100"/>
      <c r="H435" s="100"/>
      <c r="I435" s="100"/>
      <c r="J435" s="100"/>
      <c r="K435" s="101">
        <f ca="1">K421+K428+K432+K404</f>
        <v>139.9555</v>
      </c>
      <c r="L435" s="101">
        <f t="shared" ref="L435:O435" ca="1" si="180">L421+L428+L432+L404</f>
        <v>138.38030000000001</v>
      </c>
      <c r="M435" s="101">
        <f t="shared" ca="1" si="180"/>
        <v>137.7115</v>
      </c>
      <c r="N435" s="101">
        <f t="shared" ca="1" si="180"/>
        <v>90.524000000000001</v>
      </c>
      <c r="O435" s="101">
        <f t="shared" ca="1" si="180"/>
        <v>89.204000000000008</v>
      </c>
      <c r="P435" s="8"/>
    </row>
    <row r="436" spans="1:16" ht="15" hidden="1" outlineLevel="1" thickTop="1"/>
    <row r="437" spans="1:16" collapsed="1"/>
    <row r="438" spans="1:16">
      <c r="A438" s="115" t="s">
        <v>423</v>
      </c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</row>
    <row r="439" spans="1:16" hidden="1" outlineLevel="1"/>
    <row r="440" spans="1:16" hidden="1" outlineLevel="1">
      <c r="A440" s="2"/>
      <c r="B440" s="2"/>
      <c r="C440" s="2"/>
      <c r="D440" s="2"/>
      <c r="E440" s="4">
        <f t="shared" ref="E440:J440" si="181">F440-1</f>
        <v>2019</v>
      </c>
      <c r="F440" s="4">
        <f t="shared" si="181"/>
        <v>2020</v>
      </c>
      <c r="G440" s="4">
        <f t="shared" si="181"/>
        <v>2021</v>
      </c>
      <c r="H440" s="4">
        <f t="shared" si="181"/>
        <v>2022</v>
      </c>
      <c r="I440" s="4">
        <f t="shared" si="181"/>
        <v>2023</v>
      </c>
      <c r="J440" s="4">
        <f t="shared" si="181"/>
        <v>2024</v>
      </c>
      <c r="K440" s="7">
        <f>K$8</f>
        <v>2025</v>
      </c>
      <c r="L440" s="7">
        <f>L$8</f>
        <v>2026</v>
      </c>
      <c r="M440" s="7">
        <f>M$8</f>
        <v>2027</v>
      </c>
      <c r="N440" s="7">
        <f>N$8</f>
        <v>2028</v>
      </c>
      <c r="O440" s="7">
        <f>O$8</f>
        <v>2029</v>
      </c>
    </row>
    <row r="441" spans="1:16" hidden="1" outlineLevel="1">
      <c r="C441" t="s">
        <v>13</v>
      </c>
      <c r="D441" t="s">
        <v>208</v>
      </c>
      <c r="E441" s="28"/>
      <c r="F441" s="28"/>
      <c r="G441" s="28"/>
      <c r="H441" s="28"/>
      <c r="I441" s="28"/>
      <c r="J441" s="28">
        <f>J77</f>
        <v>254453</v>
      </c>
      <c r="K441" s="29">
        <f>K77</f>
        <v>273736.47709310439</v>
      </c>
      <c r="L441" s="29">
        <f>L77</f>
        <v>294876.12277960608</v>
      </c>
      <c r="M441" s="29">
        <f>M77</f>
        <v>318346.77519396855</v>
      </c>
      <c r="N441" s="29">
        <f>N77</f>
        <v>344243.91449726676</v>
      </c>
      <c r="O441" s="29">
        <f>O77</f>
        <v>373011.33882877248</v>
      </c>
    </row>
    <row r="442" spans="1:16" hidden="1" outlineLevel="1">
      <c r="C442" t="s">
        <v>313</v>
      </c>
      <c r="D442" t="s">
        <v>216</v>
      </c>
      <c r="E442" s="28"/>
      <c r="F442" s="28"/>
      <c r="G442" s="28"/>
      <c r="H442" s="28"/>
      <c r="I442" s="28"/>
      <c r="J442" s="108"/>
      <c r="K442" s="114">
        <f>K441/J441-1</f>
        <v>7.5784042998527701E-2</v>
      </c>
      <c r="L442" s="114">
        <f t="shared" ref="L442:O442" si="182">L441/K441-1</f>
        <v>7.7226264877046757E-2</v>
      </c>
      <c r="M442" s="114">
        <f t="shared" si="182"/>
        <v>7.9594957343849471E-2</v>
      </c>
      <c r="N442" s="114">
        <f t="shared" si="182"/>
        <v>8.1348835047941215E-2</v>
      </c>
      <c r="O442" s="114">
        <f t="shared" si="182"/>
        <v>8.3566980039480487E-2</v>
      </c>
    </row>
    <row r="443" spans="1:16" hidden="1" outlineLevel="1">
      <c r="C443" t="s">
        <v>408</v>
      </c>
      <c r="D443" t="s">
        <v>216</v>
      </c>
      <c r="E443" s="28"/>
      <c r="F443" s="28"/>
      <c r="G443" s="28"/>
      <c r="H443" s="28"/>
      <c r="I443" s="28"/>
      <c r="J443" s="108">
        <f>J433</f>
        <v>4.5900000000000003E-2</v>
      </c>
      <c r="K443" s="114"/>
      <c r="L443" s="114"/>
      <c r="M443" s="114"/>
      <c r="N443" s="114"/>
      <c r="O443" s="114"/>
    </row>
    <row r="444" spans="1:16" hidden="1" outlineLevel="1">
      <c r="E444" s="28"/>
      <c r="F444" s="28"/>
      <c r="G444" s="28"/>
      <c r="H444" s="28"/>
      <c r="I444" s="28"/>
      <c r="J444" s="28"/>
      <c r="K444" s="29"/>
      <c r="L444" s="29"/>
      <c r="M444" s="29"/>
      <c r="N444" s="29"/>
      <c r="O444" s="29"/>
    </row>
    <row r="445" spans="1:16" hidden="1" outlineLevel="1">
      <c r="B445" s="1" t="s">
        <v>409</v>
      </c>
      <c r="E445" s="28"/>
      <c r="F445" s="28"/>
      <c r="G445" s="28"/>
      <c r="H445" s="28"/>
      <c r="I445" s="28"/>
      <c r="J445" s="28"/>
      <c r="K445" s="29"/>
      <c r="L445" s="29"/>
      <c r="M445" s="29"/>
      <c r="N445" s="29"/>
      <c r="O445" s="29"/>
    </row>
    <row r="446" spans="1:16" hidden="1" outlineLevel="1">
      <c r="C446" t="s">
        <v>410</v>
      </c>
      <c r="D446" t="s">
        <v>208</v>
      </c>
      <c r="E446" s="28"/>
      <c r="F446" s="28"/>
      <c r="G446" s="28"/>
      <c r="H446" s="28"/>
      <c r="I446" s="28"/>
      <c r="J446" s="28">
        <v>994</v>
      </c>
      <c r="K446" s="29">
        <f>$J$446</f>
        <v>994</v>
      </c>
      <c r="L446" s="29">
        <f t="shared" ref="L446:O446" si="183">$J$446</f>
        <v>994</v>
      </c>
      <c r="M446" s="29">
        <f t="shared" si="183"/>
        <v>994</v>
      </c>
      <c r="N446" s="29">
        <f t="shared" si="183"/>
        <v>994</v>
      </c>
      <c r="O446" s="29">
        <f t="shared" si="183"/>
        <v>994</v>
      </c>
    </row>
    <row r="447" spans="1:16" hidden="1" outlineLevel="1">
      <c r="C447" t="s">
        <v>411</v>
      </c>
      <c r="D447" t="s">
        <v>208</v>
      </c>
      <c r="E447" s="28"/>
      <c r="F447" s="28"/>
      <c r="G447" s="28"/>
      <c r="H447" s="28"/>
      <c r="I447" s="28"/>
      <c r="J447" s="28">
        <v>1433</v>
      </c>
      <c r="K447" s="29">
        <f>$J$447</f>
        <v>1433</v>
      </c>
      <c r="L447" s="29">
        <f t="shared" ref="L447:O447" si="184">$J$447</f>
        <v>1433</v>
      </c>
      <c r="M447" s="29">
        <f t="shared" si="184"/>
        <v>1433</v>
      </c>
      <c r="N447" s="29">
        <f t="shared" si="184"/>
        <v>1433</v>
      </c>
      <c r="O447" s="29">
        <f t="shared" si="184"/>
        <v>1433</v>
      </c>
    </row>
    <row r="448" spans="1:16" hidden="1" outlineLevel="1">
      <c r="C448" t="s">
        <v>412</v>
      </c>
      <c r="D448" t="s">
        <v>208</v>
      </c>
      <c r="E448" s="28"/>
      <c r="F448" s="28"/>
      <c r="G448" s="28"/>
      <c r="H448" s="28"/>
      <c r="I448" s="28"/>
      <c r="J448" s="28">
        <v>548</v>
      </c>
      <c r="K448" s="29">
        <f>J448*(1+K442)</f>
        <v>589.52965556319316</v>
      </c>
      <c r="L448" s="29">
        <f t="shared" ref="L448:O448" si="185">K448*(1+L442)</f>
        <v>635.05682889659045</v>
      </c>
      <c r="M448" s="29">
        <f t="shared" si="185"/>
        <v>685.60415010353483</v>
      </c>
      <c r="N448" s="29">
        <f t="shared" si="185"/>
        <v>741.37724901849117</v>
      </c>
      <c r="O448" s="29">
        <f t="shared" si="185"/>
        <v>803.33190678894437</v>
      </c>
    </row>
    <row r="449" spans="1:15" hidden="1" outlineLevel="1">
      <c r="C449" t="s">
        <v>413</v>
      </c>
      <c r="D449" t="s">
        <v>208</v>
      </c>
      <c r="E449" s="28"/>
      <c r="F449" s="28"/>
      <c r="G449" s="28"/>
      <c r="H449" s="28"/>
      <c r="I449" s="28"/>
      <c r="J449" s="28">
        <v>0</v>
      </c>
      <c r="K449" s="29">
        <v>0</v>
      </c>
      <c r="L449" s="29">
        <v>0</v>
      </c>
      <c r="M449" s="29">
        <v>0</v>
      </c>
      <c r="N449" s="29">
        <v>0</v>
      </c>
      <c r="O449" s="29">
        <v>0</v>
      </c>
    </row>
    <row r="450" spans="1:15" hidden="1" outlineLevel="1">
      <c r="C450" t="s">
        <v>166</v>
      </c>
      <c r="D450" t="s">
        <v>208</v>
      </c>
      <c r="E450" s="28"/>
      <c r="F450" s="28"/>
      <c r="G450" s="28"/>
      <c r="H450" s="28"/>
      <c r="I450" s="28"/>
      <c r="J450" s="28">
        <v>961</v>
      </c>
      <c r="K450" s="29">
        <f>J450*(1+K442)</f>
        <v>1033.8284653215851</v>
      </c>
      <c r="L450" s="29">
        <f t="shared" ref="L450:O450" si="186">K450*(1+L442)</f>
        <v>1113.6671762219405</v>
      </c>
      <c r="M450" s="29">
        <f t="shared" si="186"/>
        <v>1202.3094676085711</v>
      </c>
      <c r="N450" s="29">
        <f t="shared" si="186"/>
        <v>1300.1159421656389</v>
      </c>
      <c r="O450" s="29">
        <f t="shared" si="186"/>
        <v>1408.7627051536051</v>
      </c>
    </row>
    <row r="451" spans="1:15" ht="15" hidden="1" outlineLevel="1" thickBot="1">
      <c r="B451" s="33" t="s">
        <v>414</v>
      </c>
      <c r="C451" s="33"/>
      <c r="D451" s="33" t="s">
        <v>208</v>
      </c>
      <c r="E451" s="100"/>
      <c r="F451" s="100"/>
      <c r="G451" s="100"/>
      <c r="H451" s="100"/>
      <c r="I451" s="100"/>
      <c r="J451" s="100">
        <f>SUM(J446:J450)</f>
        <v>3936</v>
      </c>
      <c r="K451" s="101">
        <f t="shared" ref="K451:O451" si="187">SUM(K446:K450)</f>
        <v>4050.3581208847781</v>
      </c>
      <c r="L451" s="101">
        <f t="shared" si="187"/>
        <v>4175.7240051185308</v>
      </c>
      <c r="M451" s="101">
        <f t="shared" si="187"/>
        <v>4314.9136177121054</v>
      </c>
      <c r="N451" s="101">
        <f t="shared" si="187"/>
        <v>4468.4931911841304</v>
      </c>
      <c r="O451" s="101">
        <f t="shared" si="187"/>
        <v>4639.0946119425498</v>
      </c>
    </row>
    <row r="452" spans="1:15" ht="15" hidden="1" outlineLevel="1" thickTop="1">
      <c r="E452" s="28"/>
      <c r="F452" s="28"/>
      <c r="G452" s="28"/>
      <c r="H452" s="28"/>
      <c r="I452" s="28"/>
      <c r="J452" s="28"/>
      <c r="K452" s="29"/>
      <c r="L452" s="29"/>
      <c r="M452" s="29"/>
      <c r="N452" s="29"/>
      <c r="O452" s="29"/>
    </row>
    <row r="453" spans="1:15" hidden="1" outlineLevel="1">
      <c r="B453" s="1" t="s">
        <v>415</v>
      </c>
      <c r="E453" s="28"/>
      <c r="F453" s="28"/>
      <c r="G453" s="28"/>
      <c r="H453" s="28"/>
      <c r="I453" s="28"/>
      <c r="J453" s="28"/>
      <c r="K453" s="29"/>
      <c r="L453" s="29"/>
      <c r="M453" s="29"/>
      <c r="N453" s="29"/>
      <c r="O453" s="29"/>
    </row>
    <row r="454" spans="1:15" hidden="1" outlineLevel="1">
      <c r="C454" t="s">
        <v>416</v>
      </c>
      <c r="D454" t="s">
        <v>208</v>
      </c>
      <c r="E454" s="28"/>
      <c r="F454" s="28"/>
      <c r="G454" s="28"/>
      <c r="H454" s="28"/>
      <c r="I454" s="28"/>
      <c r="J454" s="28">
        <v>1351</v>
      </c>
      <c r="K454" s="29">
        <f>$J$454</f>
        <v>1351</v>
      </c>
      <c r="L454" s="29">
        <f t="shared" ref="L454:O454" si="188">$J$454</f>
        <v>1351</v>
      </c>
      <c r="M454" s="29">
        <f t="shared" si="188"/>
        <v>1351</v>
      </c>
      <c r="N454" s="29">
        <f t="shared" si="188"/>
        <v>1351</v>
      </c>
      <c r="O454" s="29">
        <f t="shared" si="188"/>
        <v>1351</v>
      </c>
    </row>
    <row r="455" spans="1:15" hidden="1" outlineLevel="1">
      <c r="C455" t="s">
        <v>417</v>
      </c>
      <c r="D455" t="s">
        <v>208</v>
      </c>
      <c r="E455" s="28"/>
      <c r="F455" s="28"/>
      <c r="G455" s="28"/>
      <c r="H455" s="28"/>
      <c r="I455" s="28"/>
      <c r="J455" s="28">
        <v>769</v>
      </c>
      <c r="K455" s="29">
        <f>J455*(1+K442)</f>
        <v>827.27792906586785</v>
      </c>
      <c r="L455" s="29">
        <f t="shared" ref="L455:O455" si="189">K455*(1+L442)</f>
        <v>891.16551354284331</v>
      </c>
      <c r="M455" s="29">
        <f t="shared" si="189"/>
        <v>962.09779457959564</v>
      </c>
      <c r="N455" s="29">
        <f t="shared" si="189"/>
        <v>1040.3633293708392</v>
      </c>
      <c r="O455" s="29">
        <f t="shared" si="189"/>
        <v>1127.3033509501795</v>
      </c>
    </row>
    <row r="456" spans="1:15" hidden="1" outlineLevel="1">
      <c r="C456" t="s">
        <v>418</v>
      </c>
      <c r="D456" t="s">
        <v>208</v>
      </c>
      <c r="E456" s="28"/>
      <c r="F456" s="28"/>
      <c r="G456" s="28"/>
      <c r="H456" s="28"/>
      <c r="I456" s="28"/>
      <c r="J456" s="28">
        <v>456</v>
      </c>
      <c r="K456" s="29">
        <f>(1+$J$443)*J456</f>
        <v>476.93040000000002</v>
      </c>
      <c r="L456" s="29">
        <f t="shared" ref="L456:O456" si="190">(1+$J$443)*K456</f>
        <v>498.82150536000006</v>
      </c>
      <c r="M456" s="29">
        <f t="shared" si="190"/>
        <v>521.71741245602414</v>
      </c>
      <c r="N456" s="29">
        <f t="shared" si="190"/>
        <v>545.66424168775563</v>
      </c>
      <c r="O456" s="29">
        <f t="shared" si="190"/>
        <v>570.7102303812236</v>
      </c>
    </row>
    <row r="457" spans="1:15" ht="15" hidden="1" outlineLevel="1" thickBot="1">
      <c r="B457" s="33" t="s">
        <v>419</v>
      </c>
      <c r="C457" s="33"/>
      <c r="D457" s="33" t="s">
        <v>208</v>
      </c>
      <c r="E457" s="100"/>
      <c r="F457" s="100"/>
      <c r="G457" s="100"/>
      <c r="H457" s="100"/>
      <c r="I457" s="100"/>
      <c r="J457" s="100">
        <f>SUM(J454:J456)</f>
        <v>2576</v>
      </c>
      <c r="K457" s="101">
        <f>SUM(K454:K456)</f>
        <v>2655.2083290658679</v>
      </c>
      <c r="L457" s="101">
        <f t="shared" ref="L457:O457" si="191">SUM(L454:L456)</f>
        <v>2740.9870189028434</v>
      </c>
      <c r="M457" s="101">
        <f t="shared" si="191"/>
        <v>2834.81520703562</v>
      </c>
      <c r="N457" s="101">
        <f t="shared" si="191"/>
        <v>2937.0275710585947</v>
      </c>
      <c r="O457" s="101">
        <f t="shared" si="191"/>
        <v>3049.0135813314027</v>
      </c>
    </row>
    <row r="458" spans="1:15" ht="15" hidden="1" outlineLevel="1" thickTop="1">
      <c r="E458" s="28"/>
      <c r="F458" s="28"/>
      <c r="G458" s="28"/>
      <c r="H458" s="28"/>
      <c r="I458" s="28"/>
      <c r="J458" s="28"/>
      <c r="K458" s="29"/>
      <c r="L458" s="29"/>
      <c r="M458" s="29"/>
      <c r="N458" s="29"/>
      <c r="O458" s="29"/>
    </row>
    <row r="459" spans="1:15" hidden="1" outlineLevel="1">
      <c r="C459" t="s">
        <v>420</v>
      </c>
      <c r="D459" t="s">
        <v>208</v>
      </c>
      <c r="E459" s="28"/>
      <c r="F459" s="28"/>
      <c r="G459" s="28"/>
      <c r="H459" s="28"/>
      <c r="I459" s="28"/>
      <c r="J459" s="28"/>
      <c r="K459" s="29">
        <f>J451-K451</f>
        <v>-114.35812088477815</v>
      </c>
      <c r="L459" s="29">
        <f t="shared" ref="L459:O459" si="192">K451-L451</f>
        <v>-125.36588423375269</v>
      </c>
      <c r="M459" s="29">
        <f t="shared" si="192"/>
        <v>-139.18961259357457</v>
      </c>
      <c r="N459" s="29">
        <f t="shared" si="192"/>
        <v>-153.579573472025</v>
      </c>
      <c r="O459" s="29">
        <f t="shared" si="192"/>
        <v>-170.60142075841941</v>
      </c>
    </row>
    <row r="460" spans="1:15" hidden="1" outlineLevel="1">
      <c r="C460" t="s">
        <v>421</v>
      </c>
      <c r="D460" t="s">
        <v>208</v>
      </c>
      <c r="E460" s="28"/>
      <c r="F460" s="28"/>
      <c r="G460" s="28"/>
      <c r="H460" s="28"/>
      <c r="I460" s="28"/>
      <c r="J460" s="28"/>
      <c r="K460" s="29">
        <f>K457-J457</f>
        <v>79.208329065867929</v>
      </c>
      <c r="L460" s="29">
        <f t="shared" ref="L460:O460" si="193">L457-K457</f>
        <v>85.778689836975445</v>
      </c>
      <c r="M460" s="29">
        <f t="shared" si="193"/>
        <v>93.828188132776631</v>
      </c>
      <c r="N460" s="29">
        <f t="shared" si="193"/>
        <v>102.21236402297473</v>
      </c>
      <c r="O460" s="29">
        <f t="shared" si="193"/>
        <v>111.98601027280802</v>
      </c>
    </row>
    <row r="461" spans="1:15" ht="15" hidden="1" outlineLevel="1" thickBot="1">
      <c r="B461" s="33"/>
      <c r="C461" s="33" t="s">
        <v>422</v>
      </c>
      <c r="D461" s="33" t="s">
        <v>208</v>
      </c>
      <c r="E461" s="100"/>
      <c r="F461" s="100"/>
      <c r="G461" s="100"/>
      <c r="H461" s="100"/>
      <c r="I461" s="100"/>
      <c r="J461" s="100"/>
      <c r="K461" s="101">
        <f>SUM(K459:K460)</f>
        <v>-35.149791818910217</v>
      </c>
      <c r="L461" s="101">
        <f t="shared" ref="L461:O461" si="194">SUM(L459:L460)</f>
        <v>-39.587194396777249</v>
      </c>
      <c r="M461" s="101">
        <f t="shared" si="194"/>
        <v>-45.361424460797934</v>
      </c>
      <c r="N461" s="101">
        <f t="shared" si="194"/>
        <v>-51.367209449050279</v>
      </c>
      <c r="O461" s="101">
        <f t="shared" si="194"/>
        <v>-58.615410485611392</v>
      </c>
    </row>
    <row r="462" spans="1:15" ht="15" hidden="1" outlineLevel="1" thickTop="1">
      <c r="C462" s="173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</row>
    <row r="463" spans="1:15" collapsed="1"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</row>
    <row r="464" spans="1:15">
      <c r="A464" s="115" t="s">
        <v>393</v>
      </c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</row>
    <row r="465" spans="1:15" hidden="1" outlineLevel="1"/>
    <row r="466" spans="1:15" hidden="1" outlineLevel="1">
      <c r="A466" s="2"/>
      <c r="B466" s="2"/>
      <c r="C466" s="2"/>
      <c r="D466" s="2"/>
      <c r="E466" s="4">
        <f t="shared" ref="E466:J466" si="195">F466-1</f>
        <v>2019</v>
      </c>
      <c r="F466" s="4">
        <f t="shared" si="195"/>
        <v>2020</v>
      </c>
      <c r="G466" s="4">
        <f t="shared" si="195"/>
        <v>2021</v>
      </c>
      <c r="H466" s="4">
        <f t="shared" si="195"/>
        <v>2022</v>
      </c>
      <c r="I466" s="4">
        <f t="shared" si="195"/>
        <v>2023</v>
      </c>
      <c r="J466" s="4">
        <f t="shared" si="195"/>
        <v>2024</v>
      </c>
      <c r="K466" s="7">
        <f>K$8</f>
        <v>2025</v>
      </c>
      <c r="L466" s="7">
        <f>L$8</f>
        <v>2026</v>
      </c>
      <c r="M466" s="7">
        <f>M$8</f>
        <v>2027</v>
      </c>
      <c r="N466" s="7">
        <f>N$8</f>
        <v>2028</v>
      </c>
      <c r="O466" s="7">
        <f>O$8</f>
        <v>2029</v>
      </c>
    </row>
    <row r="467" spans="1:15" hidden="1" outlineLevel="1">
      <c r="B467" s="1" t="s">
        <v>171</v>
      </c>
      <c r="E467" s="28"/>
      <c r="F467" s="28"/>
      <c r="G467" s="28"/>
      <c r="H467" s="28"/>
      <c r="I467" s="28"/>
      <c r="J467" s="28"/>
      <c r="K467" s="29"/>
      <c r="L467" s="29"/>
      <c r="M467" s="29"/>
      <c r="N467" s="29"/>
      <c r="O467" s="29"/>
    </row>
    <row r="468" spans="1:15" hidden="1" outlineLevel="1">
      <c r="C468" t="s">
        <v>424</v>
      </c>
      <c r="D468" t="s">
        <v>208</v>
      </c>
      <c r="E468" s="28"/>
      <c r="F468" s="28"/>
      <c r="G468" s="28"/>
      <c r="H468" s="28">
        <f>H137</f>
        <v>1940</v>
      </c>
      <c r="I468" s="28">
        <f>I137</f>
        <v>2234</v>
      </c>
      <c r="J468" s="28">
        <f>J137</f>
        <v>2319</v>
      </c>
      <c r="K468" s="29"/>
      <c r="L468" s="29"/>
      <c r="M468" s="29"/>
      <c r="N468" s="29"/>
      <c r="O468" s="29"/>
    </row>
    <row r="469" spans="1:15" hidden="1" outlineLevel="1">
      <c r="C469" t="s">
        <v>425</v>
      </c>
      <c r="D469" t="s">
        <v>208</v>
      </c>
      <c r="E469" s="28"/>
      <c r="F469" s="28"/>
      <c r="G469" s="28"/>
      <c r="H469" s="28">
        <f>-H88</f>
        <v>1925</v>
      </c>
      <c r="I469" s="28">
        <f>-I88</f>
        <v>2195</v>
      </c>
      <c r="J469" s="28">
        <f>-J88</f>
        <v>2373</v>
      </c>
      <c r="K469" s="29"/>
      <c r="L469" s="29"/>
      <c r="M469" s="29"/>
      <c r="N469" s="29"/>
      <c r="O469" s="29"/>
    </row>
    <row r="470" spans="1:15" hidden="1" outlineLevel="1">
      <c r="E470" s="28"/>
      <c r="F470" s="28"/>
      <c r="G470" s="28"/>
      <c r="H470" s="28"/>
      <c r="I470" s="28"/>
      <c r="J470" s="28"/>
      <c r="K470" s="29"/>
      <c r="L470" s="29"/>
      <c r="M470" s="29"/>
      <c r="N470" s="29"/>
      <c r="O470" s="29"/>
    </row>
    <row r="471" spans="1:15" hidden="1" outlineLevel="1">
      <c r="C471" t="s">
        <v>430</v>
      </c>
      <c r="D471" t="s">
        <v>208</v>
      </c>
      <c r="E471" s="28"/>
      <c r="F471" s="28"/>
      <c r="G471" s="28"/>
      <c r="H471" s="28">
        <f>H87</f>
        <v>7840</v>
      </c>
      <c r="I471" s="28">
        <f>I87</f>
        <v>8487</v>
      </c>
      <c r="J471" s="28">
        <f>J87</f>
        <v>9740</v>
      </c>
      <c r="K471" s="231">
        <f ca="1">K87</f>
        <v>10627.717155104156</v>
      </c>
      <c r="L471" s="231">
        <f t="shared" ref="L471:O471" ca="1" si="196">L87</f>
        <v>12102.069095077282</v>
      </c>
      <c r="M471" s="231">
        <f t="shared" ca="1" si="196"/>
        <v>13550.987408895173</v>
      </c>
      <c r="N471" s="231">
        <f t="shared" ca="1" si="196"/>
        <v>15161.248805595686</v>
      </c>
      <c r="O471" s="231">
        <f t="shared" ca="1" si="196"/>
        <v>17071.676192737967</v>
      </c>
    </row>
    <row r="472" spans="1:15" hidden="1" outlineLevel="1">
      <c r="E472" s="28"/>
      <c r="F472" s="28"/>
      <c r="G472" s="28"/>
      <c r="H472" s="28"/>
      <c r="I472" s="28"/>
      <c r="J472" s="28"/>
      <c r="K472" s="29"/>
      <c r="L472" s="29"/>
      <c r="M472" s="29"/>
      <c r="N472" s="29"/>
      <c r="O472" s="29"/>
    </row>
    <row r="473" spans="1:15" hidden="1" outlineLevel="1">
      <c r="C473" t="s">
        <v>426</v>
      </c>
      <c r="D473" t="s">
        <v>216</v>
      </c>
      <c r="E473" s="28"/>
      <c r="F473" s="108"/>
      <c r="G473" s="108"/>
      <c r="H473" s="108">
        <f t="shared" ref="H473:J473" si="197">H468/H471</f>
        <v>0.24744897959183673</v>
      </c>
      <c r="I473" s="108">
        <f t="shared" si="197"/>
        <v>0.26322611052197481</v>
      </c>
      <c r="J473" s="108">
        <f t="shared" si="197"/>
        <v>0.23809034907597537</v>
      </c>
      <c r="K473" s="29"/>
      <c r="L473" s="29"/>
      <c r="M473" s="29"/>
      <c r="N473" s="29"/>
      <c r="O473" s="29"/>
    </row>
    <row r="474" spans="1:15" hidden="1" outlineLevel="1">
      <c r="C474" t="s">
        <v>427</v>
      </c>
      <c r="D474" t="s">
        <v>216</v>
      </c>
      <c r="E474" s="28"/>
      <c r="F474" s="108"/>
      <c r="G474" s="108"/>
      <c r="H474" s="108"/>
      <c r="I474" s="108"/>
      <c r="J474" s="108">
        <f>AVERAGE(H473:J473)</f>
        <v>0.24958847972992895</v>
      </c>
      <c r="K474" s="29"/>
      <c r="L474" s="29"/>
      <c r="M474" s="29"/>
      <c r="N474" s="29"/>
      <c r="O474" s="29"/>
    </row>
    <row r="475" spans="1:15" hidden="1" outlineLevel="1">
      <c r="C475" t="s">
        <v>428</v>
      </c>
      <c r="D475" t="s">
        <v>216</v>
      </c>
      <c r="E475" s="28"/>
      <c r="F475" s="108"/>
      <c r="G475" s="108"/>
      <c r="H475" s="108">
        <f t="shared" ref="H475:J475" si="198">H469/H471</f>
        <v>0.24553571428571427</v>
      </c>
      <c r="I475" s="108">
        <f t="shared" si="198"/>
        <v>0.25863084717803697</v>
      </c>
      <c r="J475" s="108">
        <f t="shared" si="198"/>
        <v>0.24363449691991787</v>
      </c>
      <c r="K475" s="29"/>
      <c r="L475" s="29"/>
      <c r="M475" s="29"/>
      <c r="N475" s="29"/>
      <c r="O475" s="29"/>
    </row>
    <row r="476" spans="1:15" hidden="1" outlineLevel="1">
      <c r="C476" t="s">
        <v>427</v>
      </c>
      <c r="D476" t="s">
        <v>216</v>
      </c>
      <c r="E476" s="28"/>
      <c r="F476" s="28"/>
      <c r="G476" s="28"/>
      <c r="H476" s="28"/>
      <c r="I476" s="28"/>
      <c r="J476" s="108">
        <f>AVERAGE(H475:J475)</f>
        <v>0.24926701946122307</v>
      </c>
      <c r="K476" s="114">
        <f>K60</f>
        <v>0.24926701946122307</v>
      </c>
      <c r="L476" s="114">
        <f t="shared" ref="L476:O476" si="199">L60</f>
        <v>0.24926701946122307</v>
      </c>
      <c r="M476" s="114">
        <f t="shared" si="199"/>
        <v>0.24926701946122307</v>
      </c>
      <c r="N476" s="114">
        <f t="shared" si="199"/>
        <v>0.24926701946122307</v>
      </c>
      <c r="O476" s="114">
        <f t="shared" si="199"/>
        <v>0.24926701946122307</v>
      </c>
    </row>
    <row r="477" spans="1:15" hidden="1" outlineLevel="1">
      <c r="E477" s="28"/>
      <c r="F477" s="28"/>
      <c r="G477" s="28"/>
      <c r="H477" s="28"/>
      <c r="I477" s="28"/>
      <c r="J477" s="28"/>
      <c r="K477" s="29"/>
      <c r="L477" s="29"/>
      <c r="M477" s="29"/>
      <c r="N477" s="29"/>
      <c r="O477" s="29"/>
    </row>
    <row r="478" spans="1:15" ht="15" hidden="1" outlineLevel="1" thickBot="1">
      <c r="B478" s="33"/>
      <c r="C478" s="33" t="s">
        <v>429</v>
      </c>
      <c r="D478" s="33" t="s">
        <v>208</v>
      </c>
      <c r="E478" s="100"/>
      <c r="F478" s="100"/>
      <c r="G478" s="100"/>
      <c r="H478" s="100"/>
      <c r="I478" s="100"/>
      <c r="J478" s="100"/>
      <c r="K478" s="101">
        <f ca="1">K476*K471</f>
        <v>2649.1393789297217</v>
      </c>
      <c r="L478" s="101">
        <f t="shared" ref="L478:O478" ca="1" si="200">L476*L471</f>
        <v>3016.6466926436951</v>
      </c>
      <c r="M478" s="101">
        <f t="shared" ca="1" si="200"/>
        <v>3377.8142421718617</v>
      </c>
      <c r="N478" s="101">
        <f t="shared" ca="1" si="200"/>
        <v>3779.1993010808646</v>
      </c>
      <c r="O478" s="101">
        <f t="shared" ca="1" si="200"/>
        <v>4255.405841770913</v>
      </c>
    </row>
    <row r="479" spans="1:15" ht="15" hidden="1" outlineLevel="1" thickTop="1"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</row>
    <row r="480" spans="1:15" collapsed="1"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</row>
    <row r="481" spans="1:15">
      <c r="A481" s="115" t="s">
        <v>431</v>
      </c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</row>
    <row r="482" spans="1:15" hidden="1" outlineLevel="1"/>
    <row r="483" spans="1:15" hidden="1" outlineLevel="1">
      <c r="A483" s="2"/>
      <c r="B483" s="2"/>
      <c r="C483" s="2"/>
      <c r="D483" s="2"/>
      <c r="E483" s="4">
        <f t="shared" ref="E483:J483" si="201">F483-1</f>
        <v>2019</v>
      </c>
      <c r="F483" s="4">
        <f t="shared" si="201"/>
        <v>2020</v>
      </c>
      <c r="G483" s="4">
        <f t="shared" si="201"/>
        <v>2021</v>
      </c>
      <c r="H483" s="4">
        <f t="shared" si="201"/>
        <v>2022</v>
      </c>
      <c r="I483" s="4">
        <f t="shared" si="201"/>
        <v>2023</v>
      </c>
      <c r="J483" s="4">
        <f t="shared" si="201"/>
        <v>2024</v>
      </c>
      <c r="K483" s="7">
        <f>K$8</f>
        <v>2025</v>
      </c>
      <c r="L483" s="7">
        <f>L$8</f>
        <v>2026</v>
      </c>
      <c r="M483" s="7">
        <f>M$8</f>
        <v>2027</v>
      </c>
      <c r="N483" s="7">
        <f>N$8</f>
        <v>2028</v>
      </c>
      <c r="O483" s="7">
        <f>O$8</f>
        <v>2029</v>
      </c>
    </row>
    <row r="484" spans="1:15" hidden="1" outlineLevel="1">
      <c r="B484" s="1" t="s">
        <v>432</v>
      </c>
      <c r="E484" s="28"/>
      <c r="K484" s="29"/>
      <c r="L484" s="29"/>
      <c r="M484" s="29"/>
      <c r="N484" s="29"/>
      <c r="O484" s="29"/>
    </row>
    <row r="485" spans="1:15" hidden="1" outlineLevel="1">
      <c r="C485" t="s">
        <v>433</v>
      </c>
      <c r="D485" t="s">
        <v>208</v>
      </c>
      <c r="E485" s="28"/>
      <c r="F485" s="28">
        <f>F108</f>
        <v>619</v>
      </c>
      <c r="G485" s="28">
        <f>G108</f>
        <v>665</v>
      </c>
      <c r="H485" s="28">
        <f>H108</f>
        <v>724</v>
      </c>
      <c r="I485" s="28">
        <f>I108</f>
        <v>774</v>
      </c>
      <c r="J485" s="28">
        <f>J108</f>
        <v>818</v>
      </c>
      <c r="K485" s="29"/>
      <c r="L485" s="29"/>
      <c r="M485" s="29"/>
      <c r="N485" s="29"/>
      <c r="O485" s="29"/>
    </row>
    <row r="486" spans="1:15" hidden="1" outlineLevel="1">
      <c r="C486" t="s">
        <v>434</v>
      </c>
      <c r="D486" t="s">
        <v>216</v>
      </c>
      <c r="E486" s="28"/>
      <c r="F486" s="28"/>
      <c r="G486" s="108">
        <f>G485/F485-1</f>
        <v>7.4313408723748031E-2</v>
      </c>
      <c r="H486" s="108">
        <f>H485/G485-1</f>
        <v>8.8721804511278091E-2</v>
      </c>
      <c r="I486" s="108">
        <f>I485/H485-1</f>
        <v>6.9060773480662974E-2</v>
      </c>
      <c r="J486" s="108">
        <f>J485/I485-1</f>
        <v>5.6847545219638196E-2</v>
      </c>
      <c r="K486" s="29"/>
      <c r="L486" s="29"/>
      <c r="M486" s="29"/>
      <c r="N486" s="29"/>
      <c r="O486" s="29"/>
    </row>
    <row r="487" spans="1:15" hidden="1" outlineLevel="1">
      <c r="C487" t="s">
        <v>435</v>
      </c>
      <c r="D487" t="s">
        <v>216</v>
      </c>
      <c r="E487" s="28"/>
      <c r="F487" s="28"/>
      <c r="G487" s="28"/>
      <c r="H487" s="28"/>
      <c r="I487" s="28"/>
      <c r="J487" s="108">
        <f>AVERAGE(G486:J486)</f>
        <v>7.2235882983831823E-2</v>
      </c>
      <c r="K487" s="29"/>
      <c r="L487" s="29"/>
      <c r="M487" s="29"/>
      <c r="N487" s="29"/>
      <c r="O487" s="29"/>
    </row>
    <row r="488" spans="1:15" hidden="1" outlineLevel="1">
      <c r="C488" t="s">
        <v>436</v>
      </c>
      <c r="D488" t="s">
        <v>216</v>
      </c>
      <c r="E488" s="28"/>
      <c r="F488" s="28"/>
      <c r="G488" s="108">
        <f t="shared" ref="G488:J488" si="202">G222</f>
        <v>6.765150243411111E-2</v>
      </c>
      <c r="H488" s="108">
        <f t="shared" si="202"/>
        <v>6.9433641575202376E-2</v>
      </c>
      <c r="I488" s="108">
        <f t="shared" si="202"/>
        <v>7.1710374154285106E-2</v>
      </c>
      <c r="J488" s="108">
        <f t="shared" si="202"/>
        <v>6.6300876938707676E-2</v>
      </c>
      <c r="K488" s="29"/>
      <c r="L488" s="29"/>
      <c r="M488" s="29"/>
      <c r="N488" s="29"/>
      <c r="O488" s="29"/>
    </row>
    <row r="489" spans="1:15" hidden="1" outlineLevel="1">
      <c r="C489" t="s">
        <v>435</v>
      </c>
      <c r="D489" t="s">
        <v>216</v>
      </c>
      <c r="E489" s="28"/>
      <c r="F489" s="28"/>
      <c r="G489" s="28"/>
      <c r="H489" s="28"/>
      <c r="I489" s="28"/>
      <c r="J489" s="108">
        <f>AVERAGE(G488:J488)</f>
        <v>6.8774098775576567E-2</v>
      </c>
      <c r="K489" s="29"/>
      <c r="L489" s="29"/>
      <c r="M489" s="29"/>
      <c r="N489" s="29"/>
      <c r="O489" s="29"/>
    </row>
    <row r="490" spans="1:15" hidden="1" outlineLevel="1">
      <c r="C490" t="s">
        <v>437</v>
      </c>
      <c r="D490" t="s">
        <v>216</v>
      </c>
      <c r="E490" s="28"/>
      <c r="F490" s="28"/>
      <c r="G490" s="108"/>
      <c r="H490" s="108"/>
      <c r="I490" s="108"/>
      <c r="J490" s="108">
        <f>CORREL(G488:J488,G486:J486)</f>
        <v>0.40209169840455122</v>
      </c>
      <c r="K490" s="29"/>
      <c r="L490" s="29"/>
      <c r="M490" s="29"/>
      <c r="N490" s="29"/>
      <c r="O490" s="29"/>
    </row>
    <row r="491" spans="1:15" hidden="1" outlineLevel="1">
      <c r="C491" t="s">
        <v>438</v>
      </c>
      <c r="D491" t="s">
        <v>208</v>
      </c>
      <c r="E491" s="28"/>
      <c r="F491" s="28"/>
      <c r="G491" s="28"/>
      <c r="H491" s="28"/>
      <c r="I491" s="28"/>
      <c r="J491" s="238">
        <f>J485</f>
        <v>818</v>
      </c>
      <c r="K491" s="29">
        <f>J491*(1+K63)</f>
        <v>874.25721279842162</v>
      </c>
      <c r="L491" s="29">
        <f t="shared" ref="L491:O491" si="203">K491*(1+L63)</f>
        <v>934.38346470668046</v>
      </c>
      <c r="M491" s="29">
        <f t="shared" si="203"/>
        <v>998.64484540268313</v>
      </c>
      <c r="N491" s="29">
        <f t="shared" si="203"/>
        <v>1067.3257446421276</v>
      </c>
      <c r="O491" s="29">
        <f t="shared" si="203"/>
        <v>1140.7301108298609</v>
      </c>
    </row>
    <row r="492" spans="1:15" hidden="1" outlineLevel="1">
      <c r="E492" s="28"/>
      <c r="F492" s="28"/>
      <c r="G492" s="28"/>
      <c r="H492" s="108"/>
      <c r="I492" s="108"/>
      <c r="J492" s="108"/>
      <c r="K492" s="29"/>
      <c r="L492" s="29"/>
      <c r="M492" s="29"/>
      <c r="N492" s="29"/>
      <c r="O492" s="29"/>
    </row>
    <row r="493" spans="1:15" hidden="1" outlineLevel="1">
      <c r="C493" t="s">
        <v>439</v>
      </c>
      <c r="E493" s="28"/>
      <c r="F493" s="28">
        <f>F485</f>
        <v>619</v>
      </c>
      <c r="G493" s="28">
        <f t="shared" ref="G493:J493" si="204">G485</f>
        <v>665</v>
      </c>
      <c r="H493" s="28">
        <f t="shared" si="204"/>
        <v>724</v>
      </c>
      <c r="I493" s="28">
        <f t="shared" si="204"/>
        <v>774</v>
      </c>
      <c r="J493" s="28">
        <f t="shared" si="204"/>
        <v>818</v>
      </c>
      <c r="K493" s="29"/>
      <c r="L493" s="29"/>
      <c r="M493" s="29"/>
      <c r="N493" s="29"/>
      <c r="O493" s="29"/>
    </row>
    <row r="494" spans="1:15" hidden="1" outlineLevel="1">
      <c r="C494" t="s">
        <v>440</v>
      </c>
      <c r="E494" s="28"/>
      <c r="F494" s="28">
        <v>330</v>
      </c>
      <c r="G494" s="28">
        <v>312</v>
      </c>
      <c r="H494" s="28">
        <v>363</v>
      </c>
      <c r="I494" s="28">
        <v>303</v>
      </c>
      <c r="J494" s="28">
        <v>315</v>
      </c>
      <c r="K494" s="29"/>
      <c r="L494" s="29"/>
      <c r="M494" s="29"/>
      <c r="N494" s="29"/>
      <c r="O494" s="29"/>
    </row>
    <row r="495" spans="1:15" hidden="1" outlineLevel="1">
      <c r="C495" t="s">
        <v>441</v>
      </c>
      <c r="E495" s="28"/>
      <c r="F495" s="108">
        <f>F494/F493</f>
        <v>0.53311793214862679</v>
      </c>
      <c r="G495" s="108">
        <f t="shared" ref="G495:J495" si="205">G494/G493</f>
        <v>0.46917293233082707</v>
      </c>
      <c r="H495" s="108">
        <f t="shared" si="205"/>
        <v>0.50138121546961323</v>
      </c>
      <c r="I495" s="108">
        <f t="shared" si="205"/>
        <v>0.39147286821705424</v>
      </c>
      <c r="J495" s="108">
        <f t="shared" si="205"/>
        <v>0.38508557457212717</v>
      </c>
      <c r="K495" s="29"/>
      <c r="L495" s="29"/>
      <c r="M495" s="29"/>
      <c r="N495" s="29"/>
      <c r="O495" s="29"/>
    </row>
    <row r="496" spans="1:15" hidden="1" outlineLevel="1">
      <c r="C496" t="s">
        <v>442</v>
      </c>
      <c r="E496" s="28"/>
      <c r="F496" s="28"/>
      <c r="G496" s="28"/>
      <c r="H496" s="28"/>
      <c r="I496" s="28"/>
      <c r="J496" s="108">
        <f>AVERAGE(F495:J495)</f>
        <v>0.45604610454764971</v>
      </c>
      <c r="K496" s="29"/>
      <c r="L496" s="29"/>
      <c r="M496" s="29"/>
      <c r="N496" s="29"/>
      <c r="O496" s="29"/>
    </row>
    <row r="497" spans="2:15" hidden="1" outlineLevel="1">
      <c r="C497" t="s">
        <v>443</v>
      </c>
      <c r="E497" s="28"/>
      <c r="F497" s="28"/>
      <c r="G497" s="28"/>
      <c r="H497" s="28"/>
      <c r="I497" s="28"/>
      <c r="J497" s="28"/>
      <c r="K497" s="29">
        <f>K491*K64</f>
        <v>398.70159626940585</v>
      </c>
      <c r="L497" s="29">
        <f t="shared" ref="L497:O497" si="206">L491*L64</f>
        <v>426.12193923321797</v>
      </c>
      <c r="M497" s="29">
        <f t="shared" si="206"/>
        <v>455.42809157248354</v>
      </c>
      <c r="N497" s="29">
        <f t="shared" si="206"/>
        <v>486.74974812746177</v>
      </c>
      <c r="O497" s="29">
        <f t="shared" si="206"/>
        <v>520.22552338416676</v>
      </c>
    </row>
    <row r="498" spans="2:15" ht="15" hidden="1" outlineLevel="1" thickBot="1">
      <c r="B498" s="33"/>
      <c r="C498" s="33" t="s">
        <v>444</v>
      </c>
      <c r="D498" s="33"/>
      <c r="E498" s="100"/>
      <c r="F498" s="100"/>
      <c r="G498" s="100"/>
      <c r="H498" s="100"/>
      <c r="I498" s="100"/>
      <c r="J498" s="100">
        <f>J174</f>
        <v>7831</v>
      </c>
      <c r="K498" s="101">
        <f>J498+K491-K497</f>
        <v>8306.5556165290163</v>
      </c>
      <c r="L498" s="101">
        <f t="shared" ref="L498:O498" si="207">K498+L491-L497</f>
        <v>8814.8171420024773</v>
      </c>
      <c r="M498" s="101">
        <f t="shared" si="207"/>
        <v>9358.0338958326774</v>
      </c>
      <c r="N498" s="101">
        <f t="shared" si="207"/>
        <v>9938.6098923473437</v>
      </c>
      <c r="O498" s="101">
        <f t="shared" si="207"/>
        <v>10559.114479793039</v>
      </c>
    </row>
    <row r="499" spans="2:15" ht="15" hidden="1" outlineLevel="1" thickTop="1">
      <c r="E499" s="28"/>
      <c r="F499" s="28"/>
      <c r="G499" s="28"/>
      <c r="H499" s="28"/>
      <c r="I499" s="28"/>
      <c r="J499" s="28"/>
      <c r="K499" s="29"/>
      <c r="L499" s="29"/>
      <c r="M499" s="29"/>
      <c r="N499" s="29"/>
      <c r="O499" s="29"/>
    </row>
    <row r="500" spans="2:15" hidden="1" outlineLevel="1">
      <c r="B500" s="1" t="s">
        <v>445</v>
      </c>
      <c r="E500" s="28"/>
      <c r="F500" s="28"/>
      <c r="G500" s="28"/>
      <c r="H500" s="28"/>
      <c r="I500" s="28"/>
      <c r="J500" s="28"/>
      <c r="K500" s="29"/>
      <c r="L500" s="29"/>
      <c r="M500" s="29"/>
      <c r="N500" s="29"/>
      <c r="O500" s="29"/>
    </row>
    <row r="501" spans="2:15" hidden="1" outlineLevel="1">
      <c r="C501" t="s">
        <v>446</v>
      </c>
      <c r="D501" t="s">
        <v>208</v>
      </c>
      <c r="E501" s="28"/>
      <c r="F501" s="28">
        <f>F94</f>
        <v>442297</v>
      </c>
      <c r="G501" s="28">
        <f t="shared" ref="G501:J501" si="208">G94</f>
        <v>443089</v>
      </c>
      <c r="H501" s="28">
        <f t="shared" si="208"/>
        <v>443651</v>
      </c>
      <c r="I501" s="28">
        <f t="shared" si="208"/>
        <v>443854</v>
      </c>
      <c r="J501" s="28">
        <f t="shared" si="208"/>
        <v>443914</v>
      </c>
      <c r="K501" s="29">
        <f>J501*(1+K65)</f>
        <v>443974.00811077515</v>
      </c>
      <c r="L501" s="29">
        <f t="shared" ref="L501:O501" si="209">K501*(1+L65)</f>
        <v>444034.02433342184</v>
      </c>
      <c r="M501" s="29">
        <f t="shared" si="209"/>
        <v>444094.04866903665</v>
      </c>
      <c r="N501" s="29">
        <f t="shared" si="209"/>
        <v>444154.08111871633</v>
      </c>
      <c r="O501" s="29">
        <f t="shared" si="209"/>
        <v>444214.12168355769</v>
      </c>
    </row>
    <row r="502" spans="2:15" hidden="1" outlineLevel="1">
      <c r="C502" t="s">
        <v>313</v>
      </c>
      <c r="D502" t="s">
        <v>216</v>
      </c>
      <c r="E502" s="28"/>
      <c r="F502" s="28"/>
      <c r="G502" s="242">
        <f>G501/F501-1</f>
        <v>1.7906519827175504E-3</v>
      </c>
      <c r="H502" s="242">
        <f t="shared" ref="H502:J502" si="210">H501/G501-1</f>
        <v>1.2683682059360102E-3</v>
      </c>
      <c r="I502" s="242">
        <f t="shared" si="210"/>
        <v>4.5756687125697582E-4</v>
      </c>
      <c r="J502" s="242">
        <f t="shared" si="210"/>
        <v>1.3517958608000313E-4</v>
      </c>
      <c r="K502" s="29"/>
      <c r="L502" s="29"/>
      <c r="M502" s="29"/>
      <c r="N502" s="29"/>
      <c r="O502" s="29"/>
    </row>
    <row r="503" spans="2:15" hidden="1" outlineLevel="1">
      <c r="C503" t="s">
        <v>447</v>
      </c>
      <c r="D503" t="s">
        <v>208</v>
      </c>
      <c r="E503" s="28"/>
      <c r="F503" s="28">
        <f>F95</f>
        <v>443901</v>
      </c>
      <c r="G503" s="28">
        <f t="shared" ref="G503:J503" si="211">G95</f>
        <v>444346</v>
      </c>
      <c r="H503" s="28">
        <f t="shared" si="211"/>
        <v>444757</v>
      </c>
      <c r="I503" s="28">
        <f t="shared" si="211"/>
        <v>444452</v>
      </c>
      <c r="J503" s="28">
        <f t="shared" si="211"/>
        <v>444759</v>
      </c>
      <c r="K503" s="29">
        <f>J501*(1+K66)</f>
        <v>444758.99999999994</v>
      </c>
      <c r="L503" s="29">
        <f t="shared" ref="L503:O503" si="212">K501*(1+L66)</f>
        <v>444819.12233752536</v>
      </c>
      <c r="M503" s="29">
        <f t="shared" si="212"/>
        <v>444879.25280236342</v>
      </c>
      <c r="N503" s="29">
        <f t="shared" si="212"/>
        <v>444939.39139561279</v>
      </c>
      <c r="O503" s="29">
        <f t="shared" si="212"/>
        <v>444999.53811837232</v>
      </c>
    </row>
    <row r="504" spans="2:15" hidden="1" outlineLevel="1">
      <c r="D504" t="s">
        <v>216</v>
      </c>
      <c r="E504" s="28"/>
      <c r="F504" s="28"/>
      <c r="G504" s="242">
        <f>G503/F503-1</f>
        <v>1.0024757772566506E-3</v>
      </c>
      <c r="H504" s="242">
        <f t="shared" ref="H504:J504" si="213">H503/G503-1</f>
        <v>9.2495487750543504E-4</v>
      </c>
      <c r="I504" s="242">
        <f t="shared" si="213"/>
        <v>-6.8576773384121381E-4</v>
      </c>
      <c r="J504" s="242">
        <f t="shared" si="213"/>
        <v>6.9073825744969675E-4</v>
      </c>
      <c r="K504" s="29"/>
      <c r="L504" s="29"/>
      <c r="M504" s="29"/>
      <c r="N504" s="29"/>
      <c r="O504" s="29"/>
    </row>
    <row r="505" spans="2:15" hidden="1" outlineLevel="1">
      <c r="C505" t="s">
        <v>448</v>
      </c>
      <c r="D505" t="s">
        <v>216</v>
      </c>
      <c r="E505" s="28"/>
      <c r="F505" s="108">
        <f>F503/F501-1</f>
        <v>3.6265224498470694E-3</v>
      </c>
      <c r="G505" s="108">
        <f t="shared" ref="G505:J505" si="214">G503/G501-1</f>
        <v>2.8369018413907376E-3</v>
      </c>
      <c r="H505" s="108">
        <f t="shared" si="214"/>
        <v>2.4929505399513552E-3</v>
      </c>
      <c r="I505" s="108">
        <f t="shared" si="214"/>
        <v>1.347289874598312E-3</v>
      </c>
      <c r="J505" s="108">
        <f t="shared" si="214"/>
        <v>1.9035218533318687E-3</v>
      </c>
      <c r="K505" s="29"/>
      <c r="L505" s="29"/>
      <c r="M505" s="29"/>
      <c r="N505" s="29"/>
      <c r="O505" s="29"/>
    </row>
    <row r="506" spans="2:15" hidden="1" outlineLevel="1">
      <c r="E506" s="28"/>
      <c r="F506" s="28"/>
      <c r="G506" s="28"/>
      <c r="H506" s="28"/>
      <c r="I506" s="28"/>
      <c r="J506" s="28"/>
      <c r="K506" s="29"/>
      <c r="L506" s="29"/>
      <c r="M506" s="29"/>
      <c r="N506" s="29"/>
      <c r="O506" s="29"/>
    </row>
    <row r="507" spans="2:15" hidden="1" outlineLevel="1">
      <c r="C507" t="s">
        <v>449</v>
      </c>
      <c r="E507" s="28"/>
      <c r="F507" s="28"/>
      <c r="G507" s="28"/>
      <c r="H507" s="28"/>
      <c r="I507" s="28"/>
      <c r="J507" s="28">
        <v>443126</v>
      </c>
      <c r="K507" s="29">
        <f>(K501-J501)+J507</f>
        <v>443186.00811077515</v>
      </c>
      <c r="L507" s="29">
        <f t="shared" ref="L507:O507" si="215">(L501-K501)+K507</f>
        <v>443246.02433342184</v>
      </c>
      <c r="M507" s="29">
        <f t="shared" si="215"/>
        <v>443306.04866903665</v>
      </c>
      <c r="N507" s="29">
        <f t="shared" si="215"/>
        <v>443366.08111871633</v>
      </c>
      <c r="O507" s="29">
        <f t="shared" si="215"/>
        <v>443426.12168355769</v>
      </c>
    </row>
    <row r="508" spans="2:15" hidden="1" outlineLevel="1">
      <c r="E508" s="28"/>
      <c r="F508" s="28"/>
      <c r="G508" s="28"/>
      <c r="H508" s="28"/>
      <c r="I508" s="28"/>
      <c r="J508" s="28"/>
      <c r="K508" s="29"/>
      <c r="L508" s="29"/>
      <c r="M508" s="29"/>
      <c r="N508" s="29"/>
      <c r="O508" s="29"/>
    </row>
    <row r="509" spans="2:15" hidden="1" outlineLevel="1">
      <c r="B509" s="1" t="s">
        <v>72</v>
      </c>
      <c r="E509" s="28"/>
      <c r="F509" s="28"/>
      <c r="G509" s="28"/>
      <c r="H509" s="28"/>
      <c r="I509" s="28"/>
      <c r="J509" s="28"/>
      <c r="K509" s="29"/>
      <c r="L509" s="29"/>
      <c r="M509" s="29"/>
      <c r="N509" s="29"/>
      <c r="O509" s="29"/>
    </row>
    <row r="510" spans="2:15" hidden="1" outlineLevel="1">
      <c r="C510" t="s">
        <v>450</v>
      </c>
      <c r="D510" t="s">
        <v>52</v>
      </c>
      <c r="E510" s="28"/>
      <c r="F510" s="28"/>
      <c r="G510" s="28">
        <v>10</v>
      </c>
      <c r="H510" s="28"/>
      <c r="I510" s="28"/>
      <c r="J510" s="28">
        <v>15</v>
      </c>
      <c r="K510" s="29"/>
      <c r="L510" s="29"/>
      <c r="M510" s="29">
        <v>15</v>
      </c>
      <c r="N510" s="29"/>
      <c r="O510" s="29"/>
    </row>
    <row r="511" spans="2:15" hidden="1" outlineLevel="1">
      <c r="C511" t="s">
        <v>458</v>
      </c>
      <c r="D511" t="s">
        <v>52</v>
      </c>
      <c r="E511" s="28"/>
      <c r="F511" s="246">
        <v>0.65</v>
      </c>
      <c r="G511" s="246">
        <v>0.7</v>
      </c>
      <c r="H511" s="246">
        <v>0.79</v>
      </c>
      <c r="I511" s="246">
        <v>0.9</v>
      </c>
      <c r="J511" s="246">
        <v>1.02</v>
      </c>
      <c r="K511" s="225">
        <f>J514</f>
        <v>1.1599999999999999</v>
      </c>
      <c r="L511" s="225">
        <f t="shared" ref="L511:O511" si="216">K514</f>
        <v>1.3184671134276496</v>
      </c>
      <c r="M511" s="225">
        <f t="shared" si="216"/>
        <v>1.4985823527502056</v>
      </c>
      <c r="N511" s="225">
        <f t="shared" si="216"/>
        <v>1.7033030593656717</v>
      </c>
      <c r="O511" s="225">
        <f t="shared" si="216"/>
        <v>1.9359905758399496</v>
      </c>
    </row>
    <row r="512" spans="2:15" hidden="1" outlineLevel="1">
      <c r="C512" t="s">
        <v>459</v>
      </c>
      <c r="D512" t="s">
        <v>52</v>
      </c>
      <c r="E512" s="28"/>
      <c r="F512" s="246">
        <v>0.65</v>
      </c>
      <c r="G512" s="246">
        <v>0.7</v>
      </c>
      <c r="H512" s="246">
        <v>0.79</v>
      </c>
      <c r="I512" s="246">
        <v>0.9</v>
      </c>
      <c r="J512" s="246">
        <v>1.02</v>
      </c>
      <c r="K512" s="225">
        <f>K511</f>
        <v>1.1599999999999999</v>
      </c>
      <c r="L512" s="225">
        <f t="shared" ref="L512:O512" si="217">L511</f>
        <v>1.3184671134276496</v>
      </c>
      <c r="M512" s="225">
        <f t="shared" si="217"/>
        <v>1.4985823527502056</v>
      </c>
      <c r="N512" s="225">
        <f t="shared" si="217"/>
        <v>1.7033030593656717</v>
      </c>
      <c r="O512" s="225">
        <f t="shared" si="217"/>
        <v>1.9359905758399496</v>
      </c>
    </row>
    <row r="513" spans="2:15" hidden="1" outlineLevel="1">
      <c r="C513" t="s">
        <v>460</v>
      </c>
      <c r="D513" t="s">
        <v>52</v>
      </c>
      <c r="E513" s="28"/>
      <c r="F513" s="246">
        <v>0.7</v>
      </c>
      <c r="G513" s="246">
        <v>0.79</v>
      </c>
      <c r="H513" s="246">
        <v>0.9</v>
      </c>
      <c r="I513" s="246">
        <v>1.02</v>
      </c>
      <c r="J513" s="246">
        <v>1.1599999999999999</v>
      </c>
      <c r="K513" s="225">
        <f>K512*(1+K67)</f>
        <v>1.3184671134276496</v>
      </c>
      <c r="L513" s="225">
        <f t="shared" ref="L513:O513" si="218">L512*(1+L67)</f>
        <v>1.4985823527502056</v>
      </c>
      <c r="M513" s="225">
        <f t="shared" si="218"/>
        <v>1.7033030593656717</v>
      </c>
      <c r="N513" s="225">
        <f t="shared" si="218"/>
        <v>1.9359905758399496</v>
      </c>
      <c r="O513" s="225">
        <f t="shared" si="218"/>
        <v>2.2004654363369238</v>
      </c>
    </row>
    <row r="514" spans="2:15" hidden="1" outlineLevel="1">
      <c r="C514" t="s">
        <v>461</v>
      </c>
      <c r="D514" t="s">
        <v>52</v>
      </c>
      <c r="E514" s="28"/>
      <c r="F514" s="246">
        <v>0.7</v>
      </c>
      <c r="G514" s="246">
        <v>0.79</v>
      </c>
      <c r="H514" s="246">
        <v>0.9</v>
      </c>
      <c r="I514" s="246">
        <v>1.02</v>
      </c>
      <c r="J514" s="246">
        <v>1.1599999999999999</v>
      </c>
      <c r="K514" s="225">
        <f>K513</f>
        <v>1.3184671134276496</v>
      </c>
      <c r="L514" s="225">
        <f t="shared" ref="L514:O514" si="219">L513</f>
        <v>1.4985823527502056</v>
      </c>
      <c r="M514" s="225">
        <f t="shared" si="219"/>
        <v>1.7033030593656717</v>
      </c>
      <c r="N514" s="225">
        <f t="shared" si="219"/>
        <v>1.9359905758399496</v>
      </c>
      <c r="O514" s="225">
        <f t="shared" si="219"/>
        <v>2.2004654363369238</v>
      </c>
    </row>
    <row r="515" spans="2:15" hidden="1" outlineLevel="1">
      <c r="B515" s="5"/>
      <c r="C515" s="5" t="s">
        <v>462</v>
      </c>
      <c r="D515" s="5" t="s">
        <v>52</v>
      </c>
      <c r="E515" s="30"/>
      <c r="F515" s="174">
        <f>SUM(F510:F514)</f>
        <v>2.7</v>
      </c>
      <c r="G515" s="174">
        <f t="shared" ref="G515:K515" si="220">SUM(G510:G514)</f>
        <v>12.979999999999997</v>
      </c>
      <c r="H515" s="174">
        <f t="shared" si="220"/>
        <v>3.38</v>
      </c>
      <c r="I515" s="174">
        <f t="shared" si="220"/>
        <v>3.8400000000000003</v>
      </c>
      <c r="J515" s="174">
        <f t="shared" si="220"/>
        <v>19.36</v>
      </c>
      <c r="K515" s="247">
        <f t="shared" si="220"/>
        <v>4.9569342268552994</v>
      </c>
      <c r="L515" s="247">
        <f t="shared" ref="L515" si="221">SUM(L510:L514)</f>
        <v>5.6340989323557107</v>
      </c>
      <c r="M515" s="247">
        <f t="shared" ref="M515" si="222">SUM(M510:M514)</f>
        <v>21.403770824231756</v>
      </c>
      <c r="N515" s="247">
        <f t="shared" ref="N515" si="223">SUM(N510:N514)</f>
        <v>7.2785872704112426</v>
      </c>
      <c r="O515" s="247">
        <f t="shared" ref="O515" si="224">SUM(O510:O514)</f>
        <v>8.2729120243537473</v>
      </c>
    </row>
    <row r="516" spans="2:15" hidden="1" outlineLevel="1">
      <c r="E516" s="28"/>
      <c r="F516" s="28"/>
      <c r="G516" s="28"/>
      <c r="H516" s="28"/>
      <c r="I516" s="28"/>
      <c r="J516" s="28"/>
      <c r="K516" s="29"/>
      <c r="L516" s="29"/>
      <c r="M516" s="29"/>
      <c r="N516" s="29"/>
      <c r="O516" s="29"/>
    </row>
    <row r="517" spans="2:15" hidden="1" outlineLevel="1">
      <c r="C517" t="s">
        <v>463</v>
      </c>
      <c r="D517" t="s">
        <v>216</v>
      </c>
      <c r="E517" s="28"/>
      <c r="F517" s="108">
        <f>F513/F512-1</f>
        <v>7.6923076923076872E-2</v>
      </c>
      <c r="G517" s="108">
        <f t="shared" ref="G517:J517" si="225">G513/G512-1</f>
        <v>0.12857142857142878</v>
      </c>
      <c r="H517" s="108">
        <f t="shared" si="225"/>
        <v>0.139240506329114</v>
      </c>
      <c r="I517" s="108">
        <f t="shared" si="225"/>
        <v>0.1333333333333333</v>
      </c>
      <c r="J517" s="108">
        <f t="shared" si="225"/>
        <v>0.13725490196078427</v>
      </c>
      <c r="K517" s="29"/>
      <c r="L517" s="29"/>
      <c r="M517" s="29"/>
      <c r="N517" s="29"/>
      <c r="O517" s="29"/>
    </row>
    <row r="518" spans="2:15" hidden="1" outlineLevel="1">
      <c r="C518" t="s">
        <v>292</v>
      </c>
      <c r="D518" t="s">
        <v>216</v>
      </c>
      <c r="E518" s="28"/>
      <c r="F518" s="28"/>
      <c r="G518" s="28"/>
      <c r="H518" s="28"/>
      <c r="I518" s="28"/>
      <c r="J518" s="108">
        <f>AVERAGE(H517:J517)</f>
        <v>0.13660958054107719</v>
      </c>
      <c r="K518" s="29"/>
      <c r="L518" s="29"/>
      <c r="M518" s="29"/>
      <c r="N518" s="29"/>
      <c r="O518" s="29"/>
    </row>
    <row r="519" spans="2:15" ht="15" hidden="1" outlineLevel="1" thickBot="1">
      <c r="B519" s="33"/>
      <c r="C519" s="33" t="s">
        <v>464</v>
      </c>
      <c r="D519" s="33" t="s">
        <v>208</v>
      </c>
      <c r="E519" s="100"/>
      <c r="F519" s="100"/>
      <c r="G519" s="100"/>
      <c r="H519" s="100"/>
      <c r="I519" s="100"/>
      <c r="J519" s="100"/>
      <c r="K519" s="101">
        <f>K515*K507/1000</f>
        <v>2196.8438924676716</v>
      </c>
      <c r="L519" s="101">
        <f t="shared" ref="L519:O519" si="226">L515*L507/1000</f>
        <v>2497.2919524678455</v>
      </c>
      <c r="M519" s="101">
        <f t="shared" si="226"/>
        <v>9488.4210707077909</v>
      </c>
      <c r="N519" s="101">
        <f t="shared" si="226"/>
        <v>3227.078714162807</v>
      </c>
      <c r="O519" s="101">
        <f t="shared" si="226"/>
        <v>3668.4252939884523</v>
      </c>
    </row>
    <row r="520" spans="2:15" ht="15" hidden="1" outlineLevel="1" thickTop="1">
      <c r="E520" s="28"/>
      <c r="F520" s="28"/>
      <c r="G520" s="28"/>
      <c r="H520" s="28"/>
      <c r="I520" s="28"/>
      <c r="J520" s="28"/>
      <c r="K520" s="29"/>
      <c r="L520" s="29"/>
      <c r="M520" s="29"/>
      <c r="N520" s="29"/>
      <c r="O520" s="29"/>
    </row>
    <row r="521" spans="2:15" hidden="1" outlineLevel="1">
      <c r="B521" s="1" t="s">
        <v>465</v>
      </c>
      <c r="E521" s="28"/>
      <c r="F521" s="28"/>
      <c r="G521" s="28"/>
      <c r="H521" s="28"/>
      <c r="I521" s="28"/>
      <c r="J521" s="28"/>
      <c r="K521" s="29"/>
      <c r="L521" s="29"/>
      <c r="M521" s="29"/>
      <c r="N521" s="29"/>
      <c r="O521" s="29"/>
    </row>
    <row r="522" spans="2:15" hidden="1" outlineLevel="1">
      <c r="C522" t="s">
        <v>466</v>
      </c>
      <c r="D522" t="s">
        <v>473</v>
      </c>
      <c r="E522" s="28"/>
      <c r="F522" s="28">
        <v>2273</v>
      </c>
      <c r="G522" s="28">
        <v>1928</v>
      </c>
      <c r="H522" s="28">
        <v>1702</v>
      </c>
      <c r="I522" s="28">
        <v>1470</v>
      </c>
      <c r="J522" s="28">
        <v>1337</v>
      </c>
      <c r="K522" s="29"/>
      <c r="L522" s="29"/>
      <c r="M522" s="29"/>
      <c r="N522" s="29"/>
      <c r="O522" s="29"/>
    </row>
    <row r="523" spans="2:15" hidden="1" outlineLevel="1">
      <c r="C523" t="s">
        <v>467</v>
      </c>
      <c r="D523" t="s">
        <v>473</v>
      </c>
      <c r="E523" s="28"/>
      <c r="F523" s="28">
        <v>643</v>
      </c>
      <c r="G523" s="28">
        <v>1358</v>
      </c>
      <c r="H523" s="28">
        <v>863</v>
      </c>
      <c r="I523" s="28">
        <v>1341</v>
      </c>
      <c r="J523" s="28">
        <v>1004</v>
      </c>
      <c r="K523" s="29"/>
      <c r="L523" s="29"/>
      <c r="M523" s="29"/>
      <c r="N523" s="29"/>
      <c r="O523" s="29"/>
    </row>
    <row r="524" spans="2:15" hidden="1" outlineLevel="1">
      <c r="C524" t="s">
        <v>468</v>
      </c>
      <c r="E524" s="28"/>
      <c r="F524" s="108">
        <f>F522/F523-1</f>
        <v>2.5349922239502334</v>
      </c>
      <c r="G524" s="108">
        <f t="shared" ref="G524:J524" si="227">G522/G523-1</f>
        <v>0.41973490427098681</v>
      </c>
      <c r="H524" s="108">
        <f t="shared" si="227"/>
        <v>0.97219003476245658</v>
      </c>
      <c r="I524" s="108">
        <f t="shared" si="227"/>
        <v>9.6196868008948444E-2</v>
      </c>
      <c r="J524" s="108">
        <f t="shared" si="227"/>
        <v>0.33167330677290829</v>
      </c>
      <c r="K524" s="29"/>
      <c r="L524" s="29"/>
      <c r="M524" s="29"/>
      <c r="N524" s="29"/>
      <c r="O524" s="29"/>
    </row>
    <row r="525" spans="2:15" hidden="1" outlineLevel="1">
      <c r="E525" s="28"/>
      <c r="F525" s="28"/>
      <c r="G525" s="28"/>
      <c r="H525" s="28"/>
      <c r="I525" s="28"/>
      <c r="J525" s="28"/>
      <c r="K525" s="29"/>
      <c r="L525" s="29"/>
      <c r="M525" s="29"/>
      <c r="N525" s="29"/>
      <c r="O525" s="29"/>
    </row>
    <row r="526" spans="2:15" hidden="1" outlineLevel="1">
      <c r="C526" t="s">
        <v>469</v>
      </c>
      <c r="E526" s="28"/>
      <c r="F526" s="246">
        <v>308.45</v>
      </c>
      <c r="G526" s="246">
        <v>364.69</v>
      </c>
      <c r="H526" s="246">
        <v>511.46</v>
      </c>
      <c r="I526" s="246">
        <v>504.68</v>
      </c>
      <c r="J526" s="246">
        <v>695.29</v>
      </c>
      <c r="K526" s="29"/>
      <c r="L526" s="29"/>
      <c r="M526" s="29"/>
      <c r="N526" s="29"/>
      <c r="O526" s="29"/>
    </row>
    <row r="527" spans="2:15" hidden="1" outlineLevel="1">
      <c r="C527" t="s">
        <v>470</v>
      </c>
      <c r="E527" s="28"/>
      <c r="F527" s="28">
        <v>198</v>
      </c>
      <c r="G527" s="28">
        <v>495</v>
      </c>
      <c r="H527" s="28">
        <v>442</v>
      </c>
      <c r="I527" s="28">
        <v>677</v>
      </c>
      <c r="J527" s="28">
        <v>698</v>
      </c>
      <c r="K527" s="29"/>
      <c r="L527" s="29"/>
      <c r="M527" s="29"/>
      <c r="N527" s="29"/>
      <c r="O527" s="29"/>
    </row>
    <row r="528" spans="2:15" hidden="1" outlineLevel="1">
      <c r="C528" t="s">
        <v>471</v>
      </c>
      <c r="E528" s="28"/>
      <c r="F528" s="28"/>
      <c r="G528" s="28"/>
      <c r="H528" s="28"/>
      <c r="I528" s="28"/>
      <c r="J528" s="108">
        <f>(J527/F527)^0.25-1</f>
        <v>0.37024289263153354</v>
      </c>
      <c r="K528" s="29"/>
      <c r="L528" s="29"/>
      <c r="M528" s="29"/>
      <c r="N528" s="29"/>
      <c r="O528" s="29"/>
    </row>
    <row r="529" spans="2:15" hidden="1" outlineLevel="1">
      <c r="E529" s="28"/>
      <c r="F529" s="28"/>
      <c r="G529" s="28"/>
      <c r="H529" s="28"/>
      <c r="I529" s="28"/>
      <c r="J529" s="28"/>
      <c r="K529" s="29"/>
      <c r="L529" s="29"/>
      <c r="M529" s="29"/>
      <c r="N529" s="29"/>
      <c r="O529" s="29"/>
    </row>
    <row r="530" spans="2:15" hidden="1" outlineLevel="1">
      <c r="C530" t="s">
        <v>433</v>
      </c>
      <c r="E530" s="28"/>
      <c r="F530" s="28">
        <f>F493</f>
        <v>619</v>
      </c>
      <c r="G530" s="28">
        <f t="shared" ref="G530:O530" si="228">G493</f>
        <v>665</v>
      </c>
      <c r="H530" s="28">
        <f t="shared" si="228"/>
        <v>724</v>
      </c>
      <c r="I530" s="28">
        <f t="shared" si="228"/>
        <v>774</v>
      </c>
      <c r="J530" s="28">
        <f t="shared" si="228"/>
        <v>818</v>
      </c>
      <c r="K530" s="29">
        <f>K491</f>
        <v>874.25721279842162</v>
      </c>
      <c r="L530" s="29">
        <f t="shared" ref="L530:O530" si="229">L491</f>
        <v>934.38346470668046</v>
      </c>
      <c r="M530" s="29">
        <f t="shared" si="229"/>
        <v>998.64484540268313</v>
      </c>
      <c r="N530" s="29">
        <f t="shared" si="229"/>
        <v>1067.3257446421276</v>
      </c>
      <c r="O530" s="29">
        <f t="shared" si="229"/>
        <v>1140.7301108298609</v>
      </c>
    </row>
    <row r="531" spans="2:15" ht="15" hidden="1" outlineLevel="1" thickBot="1">
      <c r="B531" s="33"/>
      <c r="C531" s="33" t="s">
        <v>472</v>
      </c>
      <c r="D531" s="33"/>
      <c r="E531" s="100"/>
      <c r="F531" s="100"/>
      <c r="G531" s="100"/>
      <c r="H531" s="100">
        <f>F530</f>
        <v>619</v>
      </c>
      <c r="I531" s="100">
        <f t="shared" ref="I531:O531" si="230">G530</f>
        <v>665</v>
      </c>
      <c r="J531" s="100">
        <f t="shared" si="230"/>
        <v>724</v>
      </c>
      <c r="K531" s="101">
        <f t="shared" si="230"/>
        <v>774</v>
      </c>
      <c r="L531" s="101">
        <f t="shared" si="230"/>
        <v>818</v>
      </c>
      <c r="M531" s="101">
        <f t="shared" si="230"/>
        <v>874.25721279842162</v>
      </c>
      <c r="N531" s="101">
        <f t="shared" si="230"/>
        <v>934.38346470668046</v>
      </c>
      <c r="O531" s="101">
        <f t="shared" si="230"/>
        <v>998.64484540268313</v>
      </c>
    </row>
    <row r="532" spans="2:15" ht="15" hidden="1" outlineLevel="1" thickTop="1">
      <c r="E532" s="28"/>
      <c r="F532" s="28"/>
      <c r="G532" s="28"/>
      <c r="H532" s="28"/>
      <c r="I532" s="28"/>
      <c r="J532" s="28"/>
      <c r="K532" s="236"/>
      <c r="L532" s="236"/>
      <c r="M532" s="236"/>
      <c r="N532" s="236"/>
      <c r="O532" s="236"/>
    </row>
    <row r="533" spans="2:15" collapsed="1">
      <c r="E533" s="28"/>
      <c r="F533" s="28"/>
      <c r="G533" s="28"/>
      <c r="H533" s="28"/>
      <c r="I533" s="28"/>
      <c r="J533" s="28"/>
      <c r="K533" s="236"/>
      <c r="L533" s="236"/>
      <c r="M533" s="236"/>
      <c r="N533" s="236"/>
      <c r="O533" s="236"/>
    </row>
    <row r="534" spans="2:15"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</row>
    <row r="535" spans="2:15"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</row>
    <row r="536" spans="2:15"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</row>
    <row r="537" spans="2:15"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2:15"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</row>
    <row r="539" spans="2:15"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</row>
    <row r="540" spans="2:15"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</row>
    <row r="541" spans="2:15"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</row>
    <row r="542" spans="2:15"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2:15"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</row>
    <row r="544" spans="2:15"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</row>
    <row r="545" spans="5:15"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</row>
    <row r="546" spans="5:15"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</row>
    <row r="547" spans="5:15"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</row>
    <row r="548" spans="5:15"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</row>
    <row r="549" spans="5:15"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</row>
    <row r="550" spans="5:15"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</row>
    <row r="551" spans="5:15"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</row>
    <row r="552" spans="5:15"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</row>
    <row r="553" spans="5:15"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</row>
    <row r="554" spans="5:15"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</row>
    <row r="555" spans="5:15"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</row>
    <row r="556" spans="5:15"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</row>
    <row r="557" spans="5:15"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5:15"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</row>
    <row r="559" spans="5:15"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</row>
    <row r="560" spans="5:15"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</row>
    <row r="561" spans="5:15"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</row>
    <row r="562" spans="5:15"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5:15"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</row>
    <row r="564" spans="5:15"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</row>
    <row r="565" spans="5:15"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</row>
    <row r="566" spans="5:15"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</row>
    <row r="567" spans="5:15"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</row>
    <row r="568" spans="5:15"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</row>
    <row r="569" spans="5:15"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</row>
    <row r="570" spans="5:15"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</row>
    <row r="571" spans="5:15"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</row>
    <row r="572" spans="5:15"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5:15"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</row>
    <row r="574" spans="5:15"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</row>
    <row r="575" spans="5:15"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</row>
    <row r="576" spans="5:15"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</row>
    <row r="577" spans="5:15"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5:15"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</row>
    <row r="579" spans="5:15"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</row>
    <row r="580" spans="5:15"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</row>
    <row r="581" spans="5:15"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</row>
    <row r="582" spans="5:15"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</row>
    <row r="583" spans="5:15"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</row>
    <row r="584" spans="5:15"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</row>
    <row r="585" spans="5:15"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</row>
    <row r="586" spans="5:15"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</row>
    <row r="587" spans="5:15"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</row>
    <row r="588" spans="5:15"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</row>
    <row r="589" spans="5:15"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</row>
    <row r="590" spans="5:15"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</row>
    <row r="591" spans="5:15"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</row>
    <row r="592" spans="5:15"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</row>
    <row r="593" spans="5:15"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</row>
    <row r="594" spans="5:15"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</row>
    <row r="595" spans="5:15"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</row>
    <row r="596" spans="5:15"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</row>
    <row r="597" spans="5:15"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</row>
    <row r="598" spans="5:15"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</row>
    <row r="599" spans="5:15"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</row>
    <row r="600" spans="5:15"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</row>
  </sheetData>
  <mergeCells count="15">
    <mergeCell ref="A464:O464"/>
    <mergeCell ref="A481:O481"/>
    <mergeCell ref="A278:O278"/>
    <mergeCell ref="A303:O303"/>
    <mergeCell ref="A339:O339"/>
    <mergeCell ref="A375:O375"/>
    <mergeCell ref="A438:O438"/>
    <mergeCell ref="A183:O183"/>
    <mergeCell ref="A2:O2"/>
    <mergeCell ref="A3:O3"/>
    <mergeCell ref="A71:O71"/>
    <mergeCell ref="A101:O101"/>
    <mergeCell ref="A140:O140"/>
    <mergeCell ref="B33:B34"/>
    <mergeCell ref="B35:B36"/>
  </mergeCells>
  <conditionalFormatting sqref="F141:O141">
    <cfRule type="containsText" dxfId="1" priority="2" operator="containsText" text="ERROR">
      <formula>NOT(ISERROR(SEARCH("ERROR",F141)))</formula>
    </cfRule>
  </conditionalFormatting>
  <conditionalFormatting sqref="K401:O401">
    <cfRule type="containsText" dxfId="0" priority="1" operator="containsText" text="ERROR">
      <formula>NOT(ISERROR(SEARCH("ERROR",K401)))</formula>
    </cfRule>
  </conditionalFormatting>
  <pageMargins left="0.7" right="0.7" top="0.75" bottom="0.75" header="0.3" footer="0.3"/>
  <ignoredErrors>
    <ignoredError sqref="J488 F503:J503 K513:O513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6350</xdr:colOff>
                    <xdr:row>8</xdr:row>
                    <xdr:rowOff>177800</xdr:rowOff>
                  </from>
                  <to>
                    <xdr:col>4</xdr:col>
                    <xdr:colOff>203200</xdr:colOff>
                    <xdr:row>10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E1E4-963E-4FB9-BA5C-73609344D4AF}">
  <dimension ref="G5:G16"/>
  <sheetViews>
    <sheetView workbookViewId="0">
      <selection activeCell="G17" sqref="G17"/>
    </sheetView>
  </sheetViews>
  <sheetFormatPr defaultRowHeight="14.5"/>
  <sheetData>
    <row r="5" spans="7:7">
      <c r="G5" t="s">
        <v>218</v>
      </c>
    </row>
    <row r="6" spans="7:7">
      <c r="G6" t="s">
        <v>219</v>
      </c>
    </row>
    <row r="7" spans="7:7">
      <c r="G7" t="s">
        <v>220</v>
      </c>
    </row>
    <row r="8" spans="7:7">
      <c r="G8" t="s">
        <v>221</v>
      </c>
    </row>
    <row r="9" spans="7:7">
      <c r="G9" t="s">
        <v>222</v>
      </c>
    </row>
    <row r="10" spans="7:7">
      <c r="G10" t="s">
        <v>223</v>
      </c>
    </row>
    <row r="11" spans="7:7">
      <c r="G11" t="s">
        <v>224</v>
      </c>
    </row>
    <row r="12" spans="7:7">
      <c r="G12" t="s">
        <v>226</v>
      </c>
    </row>
    <row r="13" spans="7:7">
      <c r="G13" t="s">
        <v>225</v>
      </c>
    </row>
    <row r="14" spans="7:7">
      <c r="G14" t="s">
        <v>330</v>
      </c>
    </row>
    <row r="15" spans="7:7">
      <c r="G15" t="s">
        <v>331</v>
      </c>
    </row>
    <row r="16" spans="7:7">
      <c r="G16" t="s">
        <v>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F23A-4F0A-4D19-A66C-67D3B2635F28}">
  <dimension ref="A2:U24"/>
  <sheetViews>
    <sheetView workbookViewId="0">
      <selection activeCell="E24" sqref="E24"/>
    </sheetView>
  </sheetViews>
  <sheetFormatPr defaultRowHeight="14.5"/>
  <sheetData>
    <row r="2" spans="1:21" ht="15" thickBot="1">
      <c r="D2">
        <v>2022</v>
      </c>
      <c r="E2">
        <v>2021</v>
      </c>
      <c r="F2">
        <v>2020</v>
      </c>
      <c r="G2" t="s">
        <v>49</v>
      </c>
      <c r="K2">
        <v>2024</v>
      </c>
      <c r="L2">
        <v>2023</v>
      </c>
      <c r="M2">
        <v>2022</v>
      </c>
      <c r="Q2">
        <v>2020</v>
      </c>
      <c r="R2">
        <v>2021</v>
      </c>
      <c r="S2">
        <v>2022</v>
      </c>
      <c r="T2">
        <v>2023</v>
      </c>
      <c r="U2">
        <v>2024</v>
      </c>
    </row>
    <row r="3" spans="1:21" ht="18.5">
      <c r="A3" s="124" t="s">
        <v>31</v>
      </c>
      <c r="B3" s="124"/>
      <c r="C3" s="124"/>
      <c r="D3" s="17"/>
      <c r="E3" s="17"/>
      <c r="F3" s="17"/>
      <c r="H3" s="124" t="s">
        <v>31</v>
      </c>
      <c r="I3" s="124"/>
      <c r="J3" s="124"/>
      <c r="K3" s="17"/>
      <c r="L3" s="17"/>
      <c r="M3" s="17"/>
    </row>
    <row r="4" spans="1:21">
      <c r="A4" s="119" t="s">
        <v>32</v>
      </c>
      <c r="B4" s="119"/>
      <c r="C4" s="119"/>
      <c r="D4" s="23">
        <v>222730</v>
      </c>
      <c r="E4" s="23">
        <v>192052</v>
      </c>
      <c r="F4" s="23">
        <v>163220</v>
      </c>
      <c r="G4" s="15">
        <f>D4-M4</f>
        <v>0</v>
      </c>
      <c r="H4" s="119" t="s">
        <v>32</v>
      </c>
      <c r="I4" s="119"/>
      <c r="J4" s="119"/>
      <c r="K4" s="23">
        <v>249625</v>
      </c>
      <c r="L4" s="23">
        <v>237710</v>
      </c>
      <c r="M4" s="23">
        <v>222730</v>
      </c>
      <c r="Q4">
        <v>163220</v>
      </c>
      <c r="R4">
        <v>192052</v>
      </c>
      <c r="S4">
        <v>222730</v>
      </c>
      <c r="T4">
        <v>237710</v>
      </c>
      <c r="U4">
        <v>249625</v>
      </c>
    </row>
    <row r="5" spans="1:21" ht="15" thickBot="1">
      <c r="A5" s="120" t="s">
        <v>12</v>
      </c>
      <c r="B5" s="120"/>
      <c r="C5" s="120"/>
      <c r="D5" s="24">
        <v>4224</v>
      </c>
      <c r="E5" s="24">
        <v>3877</v>
      </c>
      <c r="F5" s="24">
        <v>3541</v>
      </c>
      <c r="G5" s="15">
        <f t="shared" ref="G5:G24" si="0">D5-M5</f>
        <v>0</v>
      </c>
      <c r="H5" s="120" t="s">
        <v>12</v>
      </c>
      <c r="I5" s="120"/>
      <c r="J5" s="120"/>
      <c r="K5" s="24">
        <v>4828</v>
      </c>
      <c r="L5" s="24">
        <v>4580</v>
      </c>
      <c r="M5" s="24">
        <v>4224</v>
      </c>
      <c r="Q5">
        <v>3541</v>
      </c>
      <c r="R5">
        <v>3877</v>
      </c>
      <c r="S5">
        <v>4224</v>
      </c>
      <c r="T5">
        <v>4580</v>
      </c>
      <c r="U5">
        <v>4828</v>
      </c>
    </row>
    <row r="6" spans="1:21">
      <c r="A6" s="117" t="s">
        <v>33</v>
      </c>
      <c r="B6" s="117"/>
      <c r="C6" s="117"/>
      <c r="D6" s="25">
        <v>226954</v>
      </c>
      <c r="E6" s="25">
        <v>195929</v>
      </c>
      <c r="F6" s="25">
        <v>166761</v>
      </c>
      <c r="G6" s="15">
        <f t="shared" si="0"/>
        <v>0</v>
      </c>
      <c r="H6" s="117" t="s">
        <v>33</v>
      </c>
      <c r="I6" s="117"/>
      <c r="J6" s="117"/>
      <c r="K6" s="25">
        <v>254453</v>
      </c>
      <c r="L6" s="25">
        <v>242290</v>
      </c>
      <c r="M6" s="25">
        <v>226954</v>
      </c>
      <c r="Q6">
        <v>166761</v>
      </c>
      <c r="R6">
        <v>195929</v>
      </c>
      <c r="S6">
        <v>226954</v>
      </c>
      <c r="T6">
        <v>242290</v>
      </c>
      <c r="U6">
        <v>254453</v>
      </c>
    </row>
    <row r="7" spans="1:21" ht="18.5">
      <c r="A7" s="124" t="s">
        <v>34</v>
      </c>
      <c r="B7" s="124"/>
      <c r="C7" s="124"/>
      <c r="D7" s="16"/>
      <c r="E7" s="16"/>
      <c r="F7" s="16"/>
      <c r="G7" s="15">
        <f t="shared" si="0"/>
        <v>0</v>
      </c>
      <c r="H7" s="124" t="s">
        <v>34</v>
      </c>
      <c r="I7" s="124"/>
      <c r="J7" s="124"/>
      <c r="K7" s="16"/>
      <c r="L7" s="16"/>
      <c r="M7" s="16"/>
    </row>
    <row r="8" spans="1:21">
      <c r="A8" s="119" t="s">
        <v>35</v>
      </c>
      <c r="B8" s="119"/>
      <c r="C8" s="119"/>
      <c r="D8" s="26">
        <v>199382</v>
      </c>
      <c r="E8" s="26">
        <v>170684</v>
      </c>
      <c r="F8" s="26">
        <v>144939</v>
      </c>
      <c r="G8" s="15">
        <f t="shared" si="0"/>
        <v>0</v>
      </c>
      <c r="H8" s="119" t="s">
        <v>35</v>
      </c>
      <c r="I8" s="119"/>
      <c r="J8" s="119"/>
      <c r="K8" s="26">
        <v>222358</v>
      </c>
      <c r="L8" s="26">
        <v>212586</v>
      </c>
      <c r="M8" s="26">
        <v>199382</v>
      </c>
      <c r="Q8">
        <v>144939</v>
      </c>
      <c r="R8">
        <v>170684</v>
      </c>
      <c r="S8">
        <v>199382</v>
      </c>
      <c r="T8">
        <v>212586</v>
      </c>
      <c r="U8">
        <v>222358</v>
      </c>
    </row>
    <row r="9" spans="1:21" ht="15" thickBot="1">
      <c r="A9" s="120" t="s">
        <v>36</v>
      </c>
      <c r="B9" s="120"/>
      <c r="C9" s="120"/>
      <c r="D9" s="24">
        <v>19779</v>
      </c>
      <c r="E9" s="24">
        <v>18537</v>
      </c>
      <c r="F9" s="24">
        <v>16387</v>
      </c>
      <c r="G9" s="15">
        <f t="shared" si="0"/>
        <v>0</v>
      </c>
      <c r="H9" s="120" t="s">
        <v>36</v>
      </c>
      <c r="I9" s="120"/>
      <c r="J9" s="120"/>
      <c r="K9" s="24">
        <v>22810</v>
      </c>
      <c r="L9" s="24">
        <v>21590</v>
      </c>
      <c r="M9" s="24">
        <v>19779</v>
      </c>
      <c r="Q9">
        <v>16387</v>
      </c>
      <c r="R9">
        <v>18537</v>
      </c>
      <c r="S9">
        <v>19779</v>
      </c>
      <c r="T9">
        <v>21590</v>
      </c>
      <c r="U9">
        <v>22810</v>
      </c>
    </row>
    <row r="10" spans="1:21">
      <c r="A10" s="117" t="s">
        <v>37</v>
      </c>
      <c r="B10" s="117"/>
      <c r="C10" s="117"/>
      <c r="D10" s="25">
        <v>7793</v>
      </c>
      <c r="E10" s="25">
        <v>6708</v>
      </c>
      <c r="F10" s="25">
        <v>5435</v>
      </c>
      <c r="G10" s="15">
        <f t="shared" si="0"/>
        <v>0</v>
      </c>
      <c r="H10" s="117" t="s">
        <v>37</v>
      </c>
      <c r="I10" s="117"/>
      <c r="J10" s="117"/>
      <c r="K10" s="25">
        <v>9285</v>
      </c>
      <c r="L10" s="25">
        <v>8114</v>
      </c>
      <c r="M10" s="25">
        <v>7793</v>
      </c>
      <c r="Q10">
        <v>5435</v>
      </c>
      <c r="R10">
        <v>6708</v>
      </c>
      <c r="S10">
        <v>7793</v>
      </c>
      <c r="T10">
        <v>8114</v>
      </c>
      <c r="U10">
        <v>9285</v>
      </c>
    </row>
    <row r="11" spans="1:21" ht="18.5">
      <c r="A11" s="124" t="s">
        <v>38</v>
      </c>
      <c r="B11" s="124"/>
      <c r="C11" s="124"/>
      <c r="D11" s="16"/>
      <c r="E11" s="16"/>
      <c r="F11" s="16"/>
      <c r="G11" s="15">
        <f t="shared" si="0"/>
        <v>0</v>
      </c>
      <c r="H11" s="124" t="s">
        <v>38</v>
      </c>
      <c r="I11" s="124"/>
      <c r="J11" s="124"/>
      <c r="K11" s="16"/>
      <c r="L11" s="16"/>
      <c r="M11" s="16"/>
    </row>
    <row r="12" spans="1:21">
      <c r="A12" s="119" t="s">
        <v>39</v>
      </c>
      <c r="B12" s="119"/>
      <c r="C12" s="119"/>
      <c r="D12" s="22">
        <v>-158</v>
      </c>
      <c r="E12" s="22">
        <v>-171</v>
      </c>
      <c r="F12" s="22">
        <v>-160</v>
      </c>
      <c r="G12" s="15">
        <f t="shared" si="0"/>
        <v>0</v>
      </c>
      <c r="H12" s="119" t="s">
        <v>39</v>
      </c>
      <c r="I12" s="119"/>
      <c r="J12" s="119"/>
      <c r="K12" s="22">
        <v>-169</v>
      </c>
      <c r="L12" s="22">
        <v>-160</v>
      </c>
      <c r="M12" s="22">
        <v>-158</v>
      </c>
      <c r="Q12">
        <v>-160</v>
      </c>
      <c r="R12">
        <v>-171</v>
      </c>
      <c r="S12">
        <v>-158</v>
      </c>
      <c r="T12">
        <v>-160</v>
      </c>
      <c r="U12">
        <v>-169</v>
      </c>
    </row>
    <row r="13" spans="1:21" ht="15" thickBot="1">
      <c r="A13" s="120" t="s">
        <v>40</v>
      </c>
      <c r="B13" s="120"/>
      <c r="C13" s="120"/>
      <c r="D13" s="13">
        <v>205</v>
      </c>
      <c r="E13" s="13">
        <v>143</v>
      </c>
      <c r="F13" s="13">
        <v>92</v>
      </c>
      <c r="G13" s="15">
        <f t="shared" si="0"/>
        <v>0</v>
      </c>
      <c r="H13" s="120" t="s">
        <v>40</v>
      </c>
      <c r="I13" s="120"/>
      <c r="J13" s="120"/>
      <c r="K13" s="13">
        <v>624</v>
      </c>
      <c r="L13" s="13">
        <v>533</v>
      </c>
      <c r="M13" s="13">
        <v>205</v>
      </c>
      <c r="Q13">
        <v>92</v>
      </c>
      <c r="R13">
        <v>143</v>
      </c>
      <c r="S13">
        <v>205</v>
      </c>
      <c r="T13">
        <v>533</v>
      </c>
      <c r="U13">
        <v>624</v>
      </c>
    </row>
    <row r="14" spans="1:21">
      <c r="A14" s="123" t="s">
        <v>41</v>
      </c>
      <c r="B14" s="123"/>
      <c r="C14" s="123"/>
      <c r="D14" s="25">
        <v>7840</v>
      </c>
      <c r="E14" s="25">
        <v>6680</v>
      </c>
      <c r="F14" s="25">
        <v>5367</v>
      </c>
      <c r="G14" s="15">
        <f t="shared" si="0"/>
        <v>0</v>
      </c>
      <c r="H14" s="123" t="s">
        <v>41</v>
      </c>
      <c r="I14" s="123"/>
      <c r="J14" s="123"/>
      <c r="K14" s="25">
        <v>9740</v>
      </c>
      <c r="L14" s="25">
        <v>8487</v>
      </c>
      <c r="M14" s="25">
        <v>7840</v>
      </c>
      <c r="N14" s="12"/>
      <c r="Q14">
        <v>5367</v>
      </c>
      <c r="R14">
        <v>6680</v>
      </c>
      <c r="S14">
        <v>7840</v>
      </c>
      <c r="T14">
        <v>8487</v>
      </c>
      <c r="U14">
        <v>9740</v>
      </c>
    </row>
    <row r="15" spans="1:21" ht="15" thickBot="1">
      <c r="A15" s="120" t="s">
        <v>42</v>
      </c>
      <c r="B15" s="120"/>
      <c r="C15" s="120"/>
      <c r="D15" s="24">
        <v>1925</v>
      </c>
      <c r="E15" s="24">
        <v>1601</v>
      </c>
      <c r="F15" s="24">
        <v>1308</v>
      </c>
      <c r="G15" s="15">
        <f t="shared" si="0"/>
        <v>0</v>
      </c>
      <c r="H15" s="120" t="s">
        <v>42</v>
      </c>
      <c r="I15" s="120"/>
      <c r="J15" s="120"/>
      <c r="K15" s="24">
        <v>2373</v>
      </c>
      <c r="L15" s="24">
        <v>2195</v>
      </c>
      <c r="M15" s="24">
        <v>1925</v>
      </c>
      <c r="Q15">
        <v>1308</v>
      </c>
      <c r="R15">
        <v>1601</v>
      </c>
      <c r="S15">
        <v>1925</v>
      </c>
      <c r="T15">
        <v>2195</v>
      </c>
      <c r="U15">
        <v>2373</v>
      </c>
    </row>
    <row r="16" spans="1:21">
      <c r="A16" s="119" t="s">
        <v>43</v>
      </c>
      <c r="B16" s="119"/>
      <c r="C16" s="119"/>
      <c r="D16" s="25">
        <v>5915</v>
      </c>
      <c r="E16" s="25">
        <v>5079</v>
      </c>
      <c r="F16" s="25">
        <v>4059</v>
      </c>
      <c r="G16" s="15">
        <f t="shared" si="0"/>
        <v>0</v>
      </c>
      <c r="H16" s="125" t="s">
        <v>43</v>
      </c>
      <c r="I16" s="125"/>
      <c r="J16" s="125"/>
      <c r="K16" s="25">
        <v>7367</v>
      </c>
      <c r="L16" s="25">
        <v>6292</v>
      </c>
      <c r="M16" s="25">
        <v>5915</v>
      </c>
      <c r="Q16">
        <v>4059</v>
      </c>
      <c r="R16">
        <v>5079</v>
      </c>
      <c r="S16">
        <v>5915</v>
      </c>
      <c r="T16">
        <v>6292</v>
      </c>
      <c r="U16">
        <v>7367</v>
      </c>
    </row>
    <row r="17" spans="1:21" ht="15" thickBot="1">
      <c r="A17" s="122" t="s">
        <v>44</v>
      </c>
      <c r="B17" s="122"/>
      <c r="C17" s="122"/>
      <c r="D17" s="21">
        <v>-71</v>
      </c>
      <c r="E17" s="21">
        <v>-72</v>
      </c>
      <c r="F17" s="21">
        <v>-57</v>
      </c>
      <c r="G17" s="15">
        <f t="shared" si="0"/>
        <v>0</v>
      </c>
      <c r="H17" s="122" t="s">
        <v>44</v>
      </c>
      <c r="I17" s="122"/>
      <c r="J17" s="122"/>
      <c r="K17" s="13" t="s">
        <v>48</v>
      </c>
      <c r="L17" s="13" t="s">
        <v>48</v>
      </c>
      <c r="M17" s="21">
        <v>-71</v>
      </c>
      <c r="Q17">
        <v>-57</v>
      </c>
      <c r="R17">
        <v>-72</v>
      </c>
      <c r="S17">
        <v>-71</v>
      </c>
      <c r="T17" t="s">
        <v>50</v>
      </c>
      <c r="U17" t="s">
        <v>50</v>
      </c>
    </row>
    <row r="18" spans="1:21" ht="15" thickBot="1">
      <c r="A18" s="123" t="s">
        <v>45</v>
      </c>
      <c r="B18" s="123"/>
      <c r="C18" s="123"/>
      <c r="D18" s="27">
        <v>5844</v>
      </c>
      <c r="E18" s="27">
        <v>5007</v>
      </c>
      <c r="F18" s="27">
        <v>4002</v>
      </c>
      <c r="G18" s="15">
        <f t="shared" si="0"/>
        <v>0</v>
      </c>
      <c r="H18" s="123" t="s">
        <v>45</v>
      </c>
      <c r="I18" s="123"/>
      <c r="J18" s="123"/>
      <c r="K18" s="27">
        <v>7367</v>
      </c>
      <c r="L18" s="27">
        <v>6292</v>
      </c>
      <c r="M18" s="27">
        <v>5844</v>
      </c>
      <c r="Q18">
        <v>4002</v>
      </c>
      <c r="R18">
        <v>5007</v>
      </c>
      <c r="S18">
        <v>5844</v>
      </c>
      <c r="T18">
        <v>6292</v>
      </c>
      <c r="U18">
        <v>7367</v>
      </c>
    </row>
    <row r="19" spans="1:21" ht="18" thickTop="1">
      <c r="A19" s="121" t="s">
        <v>46</v>
      </c>
      <c r="B19" s="121"/>
      <c r="C19" s="121"/>
      <c r="D19" s="18"/>
      <c r="E19" s="18"/>
      <c r="F19" s="18"/>
      <c r="G19" s="15">
        <f t="shared" si="0"/>
        <v>0</v>
      </c>
      <c r="H19" s="121" t="s">
        <v>46</v>
      </c>
      <c r="I19" s="121"/>
      <c r="J19" s="121"/>
      <c r="K19" s="18"/>
      <c r="L19" s="18"/>
      <c r="M19" s="18"/>
    </row>
    <row r="20" spans="1:21" ht="24" customHeight="1" thickBot="1">
      <c r="A20" s="119" t="s">
        <v>28</v>
      </c>
      <c r="B20" s="119"/>
      <c r="C20" s="119"/>
      <c r="D20" s="11">
        <v>13.17</v>
      </c>
      <c r="E20" s="11">
        <v>11.3</v>
      </c>
      <c r="F20" s="11">
        <v>9.0500000000000007</v>
      </c>
      <c r="G20" s="15">
        <f t="shared" si="0"/>
        <v>0</v>
      </c>
      <c r="H20" s="119" t="s">
        <v>28</v>
      </c>
      <c r="I20" s="119"/>
      <c r="J20" s="119"/>
      <c r="K20" s="11">
        <v>16.59</v>
      </c>
      <c r="L20" s="11">
        <v>14.18</v>
      </c>
      <c r="M20" s="11">
        <v>13.17</v>
      </c>
      <c r="Q20">
        <v>9.0500000000000007</v>
      </c>
      <c r="R20">
        <v>11.3</v>
      </c>
      <c r="S20">
        <v>13.17</v>
      </c>
      <c r="T20">
        <v>14.18</v>
      </c>
      <c r="U20">
        <v>16.59</v>
      </c>
    </row>
    <row r="21" spans="1:21" ht="15.5" thickTop="1" thickBot="1">
      <c r="A21" s="120" t="s">
        <v>29</v>
      </c>
      <c r="B21" s="120"/>
      <c r="C21" s="120"/>
      <c r="D21" s="19">
        <v>13.14</v>
      </c>
      <c r="E21" s="19">
        <v>11.27</v>
      </c>
      <c r="F21" s="19">
        <v>9.02</v>
      </c>
      <c r="G21" s="15">
        <f t="shared" si="0"/>
        <v>0</v>
      </c>
      <c r="H21" s="120" t="s">
        <v>29</v>
      </c>
      <c r="I21" s="120"/>
      <c r="J21" s="120"/>
      <c r="K21" s="19">
        <v>16.559999999999999</v>
      </c>
      <c r="L21" s="19">
        <v>14.16</v>
      </c>
      <c r="M21" s="19">
        <v>13.14</v>
      </c>
      <c r="Q21">
        <v>9.02</v>
      </c>
      <c r="R21">
        <v>11.27</v>
      </c>
      <c r="S21">
        <v>13.14</v>
      </c>
      <c r="T21">
        <v>14.16</v>
      </c>
      <c r="U21">
        <v>16.559999999999999</v>
      </c>
    </row>
    <row r="22" spans="1:21" ht="19" thickTop="1">
      <c r="A22" s="119" t="s">
        <v>47</v>
      </c>
      <c r="B22" s="119"/>
      <c r="C22" s="119"/>
      <c r="D22" s="20"/>
      <c r="E22" s="20"/>
      <c r="F22" s="20"/>
      <c r="G22" s="15">
        <f t="shared" si="0"/>
        <v>0</v>
      </c>
      <c r="H22" s="119" t="s">
        <v>47</v>
      </c>
      <c r="I22" s="119"/>
      <c r="J22" s="119"/>
      <c r="K22" s="20"/>
      <c r="L22" s="20"/>
      <c r="M22" s="20"/>
    </row>
    <row r="23" spans="1:21" ht="26.5" customHeight="1">
      <c r="A23" s="118" t="s">
        <v>28</v>
      </c>
      <c r="B23" s="118"/>
      <c r="C23" s="118"/>
      <c r="D23" s="14">
        <v>443651</v>
      </c>
      <c r="E23" s="14">
        <v>443089</v>
      </c>
      <c r="F23" s="14">
        <v>442297</v>
      </c>
      <c r="G23" s="15">
        <f t="shared" si="0"/>
        <v>0</v>
      </c>
      <c r="H23" s="118" t="s">
        <v>28</v>
      </c>
      <c r="I23" s="118"/>
      <c r="J23" s="118"/>
      <c r="K23" s="14">
        <v>443914</v>
      </c>
      <c r="L23" s="14">
        <v>443854</v>
      </c>
      <c r="M23" s="14">
        <v>443651</v>
      </c>
      <c r="Q23">
        <v>442297</v>
      </c>
      <c r="R23">
        <v>443089</v>
      </c>
      <c r="S23">
        <v>443651</v>
      </c>
      <c r="T23">
        <v>443854</v>
      </c>
      <c r="U23">
        <v>443914</v>
      </c>
    </row>
    <row r="24" spans="1:21">
      <c r="A24" s="117" t="s">
        <v>29</v>
      </c>
      <c r="B24" s="117"/>
      <c r="C24" s="117"/>
      <c r="D24" s="26">
        <v>444757</v>
      </c>
      <c r="E24" s="26">
        <v>444346</v>
      </c>
      <c r="F24" s="26">
        <v>443901</v>
      </c>
      <c r="G24" s="15">
        <f t="shared" si="0"/>
        <v>0</v>
      </c>
      <c r="H24" s="117" t="s">
        <v>29</v>
      </c>
      <c r="I24" s="117"/>
      <c r="J24" s="117"/>
      <c r="K24" s="26">
        <v>444759</v>
      </c>
      <c r="L24" s="26">
        <v>444452</v>
      </c>
      <c r="M24" s="26">
        <v>444757</v>
      </c>
      <c r="Q24">
        <v>443901</v>
      </c>
      <c r="R24">
        <v>444346</v>
      </c>
      <c r="S24">
        <v>444757</v>
      </c>
      <c r="T24">
        <v>444452</v>
      </c>
      <c r="U24">
        <v>444759</v>
      </c>
    </row>
  </sheetData>
  <mergeCells count="44">
    <mergeCell ref="H8:J8"/>
    <mergeCell ref="H7:J7"/>
    <mergeCell ref="H17:J17"/>
    <mergeCell ref="H18:J18"/>
    <mergeCell ref="H16:J16"/>
    <mergeCell ref="H15:J15"/>
    <mergeCell ref="H14:J14"/>
    <mergeCell ref="H24:J24"/>
    <mergeCell ref="H12:J12"/>
    <mergeCell ref="H11:J11"/>
    <mergeCell ref="H10:J10"/>
    <mergeCell ref="H9:J9"/>
    <mergeCell ref="H13:J13"/>
    <mergeCell ref="A6:C6"/>
    <mergeCell ref="A4:C4"/>
    <mergeCell ref="A5:C5"/>
    <mergeCell ref="A3:C3"/>
    <mergeCell ref="A12:C12"/>
    <mergeCell ref="A11:C11"/>
    <mergeCell ref="A10:C10"/>
    <mergeCell ref="A9:C9"/>
    <mergeCell ref="A8:C8"/>
    <mergeCell ref="A7:C7"/>
    <mergeCell ref="A13:C13"/>
    <mergeCell ref="H6:J6"/>
    <mergeCell ref="H5:J5"/>
    <mergeCell ref="H3:J3"/>
    <mergeCell ref="H4:J4"/>
    <mergeCell ref="H23:J23"/>
    <mergeCell ref="H22:J22"/>
    <mergeCell ref="H21:J21"/>
    <mergeCell ref="H19:J19"/>
    <mergeCell ref="H20:J20"/>
    <mergeCell ref="A19:C19"/>
    <mergeCell ref="A17:C17"/>
    <mergeCell ref="A16:C16"/>
    <mergeCell ref="A15:C15"/>
    <mergeCell ref="A14:C14"/>
    <mergeCell ref="A18:C18"/>
    <mergeCell ref="A24:C24"/>
    <mergeCell ref="A23:C23"/>
    <mergeCell ref="A22:C22"/>
    <mergeCell ref="A20:C20"/>
    <mergeCell ref="A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CF4B-B187-4C0F-945A-8459866150AB}">
  <dimension ref="B1:U46"/>
  <sheetViews>
    <sheetView topLeftCell="C23" workbookViewId="0">
      <selection activeCell="Q28" sqref="Q28:U29"/>
    </sheetView>
  </sheetViews>
  <sheetFormatPr defaultRowHeight="14.5"/>
  <cols>
    <col min="2" max="2" width="21.1796875" customWidth="1"/>
    <col min="3" max="3" width="20.453125" customWidth="1"/>
    <col min="4" max="4" width="19.81640625" customWidth="1"/>
    <col min="9" max="9" width="32.1796875" customWidth="1"/>
    <col min="10" max="10" width="13.81640625" customWidth="1"/>
  </cols>
  <sheetData>
    <row r="1" spans="2:21">
      <c r="H1" t="s">
        <v>123</v>
      </c>
    </row>
    <row r="2" spans="2:21" ht="18" thickBot="1">
      <c r="B2" s="136"/>
      <c r="C2" s="136"/>
      <c r="D2" s="136"/>
      <c r="E2" s="54">
        <v>2024</v>
      </c>
      <c r="F2" s="54">
        <v>2023</v>
      </c>
      <c r="G2" s="54">
        <v>2022</v>
      </c>
      <c r="I2" s="136"/>
      <c r="J2" s="136"/>
      <c r="K2" s="136"/>
      <c r="L2" s="54">
        <v>2022</v>
      </c>
      <c r="M2" s="54">
        <v>2021</v>
      </c>
      <c r="N2" s="54">
        <v>2020</v>
      </c>
    </row>
    <row r="3" spans="2:21" ht="18.5">
      <c r="B3" s="129" t="s">
        <v>83</v>
      </c>
      <c r="C3" s="129"/>
      <c r="D3" s="129"/>
      <c r="E3" s="17"/>
      <c r="F3" s="17"/>
      <c r="G3" s="17"/>
      <c r="I3" s="129" t="s">
        <v>83</v>
      </c>
      <c r="J3" s="129"/>
      <c r="K3" s="129"/>
      <c r="L3" s="17"/>
      <c r="M3" s="17"/>
      <c r="N3" s="17"/>
      <c r="P3" t="s">
        <v>83</v>
      </c>
    </row>
    <row r="4" spans="2:21">
      <c r="B4" s="131" t="s">
        <v>43</v>
      </c>
      <c r="C4" s="131"/>
      <c r="D4" s="131"/>
      <c r="E4" s="47">
        <v>7367</v>
      </c>
      <c r="F4" s="47">
        <v>6292</v>
      </c>
      <c r="G4" s="47">
        <v>5915</v>
      </c>
      <c r="H4" s="12">
        <f>G4-L4</f>
        <v>0</v>
      </c>
      <c r="I4" s="131" t="s">
        <v>43</v>
      </c>
      <c r="J4" s="131"/>
      <c r="K4" s="131"/>
      <c r="L4" s="47">
        <v>5915</v>
      </c>
      <c r="M4" s="47">
        <v>5079</v>
      </c>
      <c r="N4" s="47">
        <v>4059</v>
      </c>
      <c r="P4" t="s">
        <v>43</v>
      </c>
      <c r="Q4">
        <v>4059</v>
      </c>
      <c r="R4">
        <v>5079</v>
      </c>
      <c r="S4">
        <v>5915</v>
      </c>
      <c r="T4">
        <v>6292</v>
      </c>
      <c r="U4">
        <v>7367</v>
      </c>
    </row>
    <row r="5" spans="2:21" ht="17.5">
      <c r="B5" s="135" t="s">
        <v>84</v>
      </c>
      <c r="C5" s="135"/>
      <c r="D5" s="135"/>
      <c r="E5" s="16"/>
      <c r="F5" s="16"/>
      <c r="G5" s="16"/>
      <c r="H5" s="12">
        <f t="shared" ref="H5:H8" si="0">G5-L5</f>
        <v>0</v>
      </c>
      <c r="I5" s="135" t="s">
        <v>84</v>
      </c>
      <c r="J5" s="135"/>
      <c r="K5" s="135"/>
      <c r="L5" s="16"/>
      <c r="M5" s="16"/>
      <c r="N5" s="16"/>
      <c r="P5" t="s">
        <v>85</v>
      </c>
      <c r="Q5">
        <v>1645</v>
      </c>
      <c r="R5">
        <v>1781</v>
      </c>
      <c r="S5">
        <v>1900</v>
      </c>
      <c r="T5">
        <v>2077</v>
      </c>
      <c r="U5">
        <v>2237</v>
      </c>
    </row>
    <row r="6" spans="2:21">
      <c r="B6" s="137" t="s">
        <v>85</v>
      </c>
      <c r="C6" s="137"/>
      <c r="D6" s="137"/>
      <c r="E6" s="48">
        <v>2237</v>
      </c>
      <c r="F6" s="48">
        <v>2077</v>
      </c>
      <c r="G6" s="48">
        <v>1900</v>
      </c>
      <c r="H6" s="12">
        <f t="shared" si="0"/>
        <v>0</v>
      </c>
      <c r="I6" s="137" t="s">
        <v>85</v>
      </c>
      <c r="J6" s="137"/>
      <c r="K6" s="137"/>
      <c r="L6" s="48">
        <v>1900</v>
      </c>
      <c r="M6" s="48">
        <v>1781</v>
      </c>
      <c r="N6" s="48">
        <v>1645</v>
      </c>
      <c r="P6" t="s">
        <v>56</v>
      </c>
      <c r="Q6">
        <v>194</v>
      </c>
      <c r="R6">
        <v>286</v>
      </c>
      <c r="S6">
        <v>377</v>
      </c>
      <c r="T6">
        <v>412</v>
      </c>
      <c r="U6">
        <v>315</v>
      </c>
    </row>
    <row r="7" spans="2:21">
      <c r="B7" s="138" t="s">
        <v>56</v>
      </c>
      <c r="C7" s="138"/>
      <c r="D7" s="138"/>
      <c r="E7" s="45">
        <v>315</v>
      </c>
      <c r="F7" s="45">
        <v>412</v>
      </c>
      <c r="G7" s="45">
        <v>377</v>
      </c>
      <c r="H7" s="12">
        <f t="shared" si="0"/>
        <v>0</v>
      </c>
      <c r="I7" s="138" t="s">
        <v>56</v>
      </c>
      <c r="J7" s="138"/>
      <c r="K7" s="138"/>
      <c r="L7" s="45">
        <v>377</v>
      </c>
      <c r="M7" s="45">
        <v>286</v>
      </c>
      <c r="N7" s="45">
        <v>194</v>
      </c>
      <c r="P7" t="s">
        <v>57</v>
      </c>
      <c r="Q7">
        <v>619</v>
      </c>
      <c r="R7">
        <v>665</v>
      </c>
      <c r="S7">
        <v>724</v>
      </c>
      <c r="T7">
        <v>774</v>
      </c>
      <c r="U7">
        <v>818</v>
      </c>
    </row>
    <row r="8" spans="2:21">
      <c r="B8" s="137" t="s">
        <v>57</v>
      </c>
      <c r="C8" s="137"/>
      <c r="D8" s="137"/>
      <c r="E8" s="40">
        <v>818</v>
      </c>
      <c r="F8" s="40">
        <v>774</v>
      </c>
      <c r="G8" s="40">
        <v>724</v>
      </c>
      <c r="H8" s="12">
        <f t="shared" si="0"/>
        <v>0</v>
      </c>
      <c r="I8" s="137" t="s">
        <v>57</v>
      </c>
      <c r="J8" s="137"/>
      <c r="K8" s="137"/>
      <c r="L8" s="40">
        <v>724</v>
      </c>
      <c r="M8" s="40">
        <v>665</v>
      </c>
      <c r="N8" s="40">
        <v>619</v>
      </c>
      <c r="P8" t="s">
        <v>86</v>
      </c>
      <c r="Q8">
        <f>SUM(N9:N10)</f>
        <v>146</v>
      </c>
      <c r="R8">
        <v>85</v>
      </c>
      <c r="S8">
        <f>SUM(L9:L10)</f>
        <v>39</v>
      </c>
      <c r="T8">
        <v>495</v>
      </c>
      <c r="U8">
        <v>-9</v>
      </c>
    </row>
    <row r="9" spans="2:21">
      <c r="B9" s="132" t="s">
        <v>86</v>
      </c>
      <c r="C9" s="132"/>
      <c r="D9" s="132"/>
      <c r="E9" s="44">
        <v>-9</v>
      </c>
      <c r="F9" s="45">
        <v>495</v>
      </c>
      <c r="G9" s="45">
        <v>39</v>
      </c>
      <c r="H9" s="12"/>
      <c r="I9" s="139" t="s">
        <v>119</v>
      </c>
      <c r="J9" s="139"/>
      <c r="K9" s="139"/>
      <c r="L9" s="45">
        <v>76</v>
      </c>
      <c r="M9" s="45">
        <v>85</v>
      </c>
      <c r="N9" s="45">
        <v>42</v>
      </c>
      <c r="P9" t="s">
        <v>87</v>
      </c>
    </row>
    <row r="10" spans="2:21">
      <c r="H10" s="12"/>
      <c r="I10" s="139" t="s">
        <v>120</v>
      </c>
      <c r="J10" s="139"/>
      <c r="K10" s="139"/>
      <c r="L10" s="43">
        <v>-37</v>
      </c>
      <c r="M10" s="40">
        <v>59</v>
      </c>
      <c r="N10" s="40">
        <v>104</v>
      </c>
      <c r="P10" t="s">
        <v>88</v>
      </c>
      <c r="Q10">
        <v>-791</v>
      </c>
      <c r="R10">
        <v>-1892</v>
      </c>
      <c r="S10">
        <v>-4003</v>
      </c>
      <c r="T10">
        <v>1228</v>
      </c>
      <c r="U10">
        <v>-2068</v>
      </c>
    </row>
    <row r="11" spans="2:21" ht="17.5">
      <c r="B11" s="140" t="s">
        <v>87</v>
      </c>
      <c r="C11" s="140"/>
      <c r="D11" s="140"/>
      <c r="E11" s="34"/>
      <c r="F11" s="34"/>
      <c r="G11" s="34"/>
      <c r="H11" s="12"/>
      <c r="I11" s="135" t="s">
        <v>87</v>
      </c>
      <c r="J11" s="135"/>
      <c r="K11" s="135"/>
      <c r="L11" s="16"/>
      <c r="M11" s="16"/>
      <c r="N11" s="16"/>
      <c r="P11" t="s">
        <v>89</v>
      </c>
      <c r="Q11">
        <v>2261</v>
      </c>
      <c r="R11">
        <v>1838</v>
      </c>
      <c r="S11">
        <v>1891</v>
      </c>
      <c r="T11">
        <v>-382</v>
      </c>
      <c r="U11">
        <v>1938</v>
      </c>
    </row>
    <row r="12" spans="2:21">
      <c r="B12" s="126" t="s">
        <v>88</v>
      </c>
      <c r="C12" s="126"/>
      <c r="D12" s="126"/>
      <c r="E12" s="46">
        <v>-2068</v>
      </c>
      <c r="F12" s="50">
        <v>1228</v>
      </c>
      <c r="G12" s="46">
        <v>-4003</v>
      </c>
      <c r="H12" s="12">
        <f>G12-L12</f>
        <v>0</v>
      </c>
      <c r="I12" s="133" t="s">
        <v>88</v>
      </c>
      <c r="J12" s="133"/>
      <c r="K12" s="133"/>
      <c r="L12" s="39">
        <v>-4003</v>
      </c>
      <c r="M12" s="39">
        <v>-1892</v>
      </c>
      <c r="N12" s="43">
        <v>-791</v>
      </c>
      <c r="P12" t="s">
        <v>62</v>
      </c>
      <c r="Q12">
        <v>728</v>
      </c>
      <c r="R12">
        <v>1057</v>
      </c>
      <c r="S12">
        <v>549</v>
      </c>
      <c r="T12">
        <v>172</v>
      </c>
      <c r="U12">
        <v>741</v>
      </c>
    </row>
    <row r="13" spans="2:21">
      <c r="B13" s="133" t="s">
        <v>89</v>
      </c>
      <c r="C13" s="133"/>
      <c r="D13" s="133"/>
      <c r="E13" s="48">
        <v>1938</v>
      </c>
      <c r="F13" s="43">
        <v>-382</v>
      </c>
      <c r="G13" s="48">
        <v>1891</v>
      </c>
      <c r="H13" s="12">
        <f>G13-L13</f>
        <v>0</v>
      </c>
      <c r="I13" s="126" t="s">
        <v>89</v>
      </c>
      <c r="J13" s="126"/>
      <c r="K13" s="126"/>
      <c r="L13" s="50">
        <v>1891</v>
      </c>
      <c r="M13" s="50">
        <v>1838</v>
      </c>
      <c r="N13" s="50">
        <v>2261</v>
      </c>
    </row>
    <row r="14" spans="2:21" ht="15" thickBot="1">
      <c r="B14" s="126" t="s">
        <v>62</v>
      </c>
      <c r="C14" s="126"/>
      <c r="D14" s="126"/>
      <c r="E14" s="38">
        <v>741</v>
      </c>
      <c r="F14" s="38">
        <v>172</v>
      </c>
      <c r="G14" s="38">
        <v>549</v>
      </c>
      <c r="H14" s="12">
        <f>G14-L14</f>
        <v>0</v>
      </c>
      <c r="I14" s="133" t="s">
        <v>62</v>
      </c>
      <c r="J14" s="133"/>
      <c r="K14" s="133"/>
      <c r="L14" s="58">
        <v>549</v>
      </c>
      <c r="M14" s="60">
        <v>1057</v>
      </c>
      <c r="N14" s="58">
        <v>728</v>
      </c>
    </row>
    <row r="15" spans="2:21" ht="15" thickBot="1">
      <c r="B15" s="133" t="s">
        <v>90</v>
      </c>
      <c r="C15" s="133"/>
      <c r="D15" s="133"/>
      <c r="E15" s="49">
        <v>11339</v>
      </c>
      <c r="F15" s="49">
        <v>11068</v>
      </c>
      <c r="G15" s="49">
        <v>7392</v>
      </c>
      <c r="H15" s="12">
        <f>G15-L15</f>
        <v>0</v>
      </c>
      <c r="I15" s="126" t="s">
        <v>90</v>
      </c>
      <c r="J15" s="126"/>
      <c r="K15" s="126"/>
      <c r="L15" s="59">
        <v>7392</v>
      </c>
      <c r="M15" s="59">
        <v>8958</v>
      </c>
      <c r="N15" s="59">
        <v>8861</v>
      </c>
      <c r="P15" t="s">
        <v>66</v>
      </c>
      <c r="Q15">
        <v>-2810</v>
      </c>
      <c r="R15">
        <v>-3588</v>
      </c>
      <c r="S15">
        <v>-3891</v>
      </c>
      <c r="T15">
        <v>-4323</v>
      </c>
      <c r="U15">
        <v>-4710</v>
      </c>
    </row>
    <row r="16" spans="2:21" ht="18.5">
      <c r="B16" s="129" t="s">
        <v>91</v>
      </c>
      <c r="C16" s="129"/>
      <c r="D16" s="129"/>
      <c r="E16" s="17"/>
      <c r="F16" s="17"/>
      <c r="G16" s="17"/>
      <c r="H16" s="12"/>
      <c r="I16" s="127" t="s">
        <v>91</v>
      </c>
      <c r="J16" s="127"/>
      <c r="K16" s="127"/>
      <c r="L16" s="35"/>
      <c r="M16" s="35"/>
      <c r="N16" s="35"/>
      <c r="P16" t="s">
        <v>166</v>
      </c>
      <c r="Q16">
        <v>-1081</v>
      </c>
      <c r="R16">
        <v>53</v>
      </c>
      <c r="S16">
        <v>-24</v>
      </c>
      <c r="T16">
        <v>-649</v>
      </c>
      <c r="U16">
        <v>301</v>
      </c>
    </row>
    <row r="17" spans="2:21">
      <c r="B17" s="131" t="s">
        <v>92</v>
      </c>
      <c r="C17" s="131"/>
      <c r="D17" s="131"/>
      <c r="E17" s="39">
        <v>-1470</v>
      </c>
      <c r="F17" s="39">
        <v>-1622</v>
      </c>
      <c r="G17" s="39">
        <v>-1121</v>
      </c>
      <c r="H17" s="12"/>
      <c r="I17" s="128" t="s">
        <v>92</v>
      </c>
      <c r="J17" s="128"/>
      <c r="K17" s="128"/>
      <c r="L17" s="46">
        <v>-1121</v>
      </c>
      <c r="M17" s="46">
        <v>-1331</v>
      </c>
      <c r="N17" s="46">
        <v>-1626</v>
      </c>
      <c r="O17" s="12"/>
      <c r="P17" s="12"/>
      <c r="Q17" s="12"/>
    </row>
    <row r="18" spans="2:21">
      <c r="B18" s="128" t="s">
        <v>93</v>
      </c>
      <c r="C18" s="128"/>
      <c r="D18" s="128"/>
      <c r="E18" s="50">
        <v>1790</v>
      </c>
      <c r="F18" s="45">
        <v>937</v>
      </c>
      <c r="G18" s="50">
        <v>1145</v>
      </c>
      <c r="H18" s="12"/>
      <c r="I18" s="131" t="s">
        <v>93</v>
      </c>
      <c r="J18" s="131"/>
      <c r="K18" s="131"/>
      <c r="L18" s="48">
        <v>1145</v>
      </c>
      <c r="M18" s="48">
        <v>1446</v>
      </c>
      <c r="N18" s="48">
        <v>1678</v>
      </c>
      <c r="O18" s="12"/>
      <c r="P18" s="12"/>
    </row>
    <row r="19" spans="2:21">
      <c r="B19" s="131" t="s">
        <v>94</v>
      </c>
      <c r="C19" s="131"/>
      <c r="D19" s="131"/>
      <c r="E19" s="39">
        <v>-4710</v>
      </c>
      <c r="F19" s="39">
        <v>-4323</v>
      </c>
      <c r="G19" s="39">
        <v>-3891</v>
      </c>
      <c r="H19" s="12"/>
      <c r="I19" s="128" t="s">
        <v>94</v>
      </c>
      <c r="J19" s="128"/>
      <c r="K19" s="128"/>
      <c r="L19" s="46">
        <v>-3891</v>
      </c>
      <c r="M19" s="46">
        <v>-3588</v>
      </c>
      <c r="N19" s="46">
        <v>-2810</v>
      </c>
      <c r="P19" t="s">
        <v>70</v>
      </c>
      <c r="Q19">
        <v>929</v>
      </c>
      <c r="R19">
        <v>-53</v>
      </c>
      <c r="S19">
        <v>-753</v>
      </c>
      <c r="T19">
        <v>-93</v>
      </c>
      <c r="U19">
        <v>-571</v>
      </c>
    </row>
    <row r="20" spans="2:21">
      <c r="H20" s="12"/>
      <c r="I20" s="132" t="s">
        <v>121</v>
      </c>
      <c r="J20" s="132"/>
      <c r="K20" s="132"/>
      <c r="L20" s="62" t="s">
        <v>102</v>
      </c>
      <c r="M20" s="62" t="s">
        <v>102</v>
      </c>
      <c r="N20" s="63">
        <v>-1163</v>
      </c>
      <c r="P20" t="s">
        <v>167</v>
      </c>
      <c r="Q20">
        <v>-196</v>
      </c>
      <c r="R20">
        <v>-496</v>
      </c>
      <c r="S20">
        <v>-439</v>
      </c>
      <c r="T20">
        <v>-676</v>
      </c>
      <c r="U20">
        <v>-700</v>
      </c>
    </row>
    <row r="21" spans="2:21" ht="15" thickBot="1">
      <c r="B21" s="128" t="s">
        <v>95</v>
      </c>
      <c r="C21" s="128"/>
      <c r="D21" s="128"/>
      <c r="E21" s="42">
        <v>-19</v>
      </c>
      <c r="F21" s="38">
        <v>36</v>
      </c>
      <c r="G21" s="42">
        <v>-48</v>
      </c>
      <c r="H21" s="12"/>
      <c r="I21" s="128" t="s">
        <v>95</v>
      </c>
      <c r="J21" s="128"/>
      <c r="K21" s="128"/>
      <c r="L21" s="42">
        <v>-48</v>
      </c>
      <c r="M21" s="42">
        <v>-62</v>
      </c>
      <c r="N21" s="38">
        <v>30</v>
      </c>
      <c r="P21" t="s">
        <v>168</v>
      </c>
      <c r="Q21" s="12">
        <v>-1479</v>
      </c>
      <c r="R21" s="12">
        <v>-5748</v>
      </c>
      <c r="S21" s="12">
        <v>-1498</v>
      </c>
      <c r="T21" s="12">
        <v>-1251</v>
      </c>
      <c r="U21" s="12">
        <v>-9041</v>
      </c>
    </row>
    <row r="22" spans="2:21" ht="15" thickBot="1">
      <c r="B22" s="133" t="s">
        <v>96</v>
      </c>
      <c r="C22" s="133"/>
      <c r="D22" s="133"/>
      <c r="E22" s="41">
        <v>-4409</v>
      </c>
      <c r="F22" s="41">
        <v>-4972</v>
      </c>
      <c r="G22" s="41">
        <v>-3915</v>
      </c>
      <c r="H22" s="12"/>
      <c r="I22" s="133" t="s">
        <v>96</v>
      </c>
      <c r="J22" s="133"/>
      <c r="K22" s="133"/>
      <c r="L22" s="41">
        <v>-3915</v>
      </c>
      <c r="M22" s="41">
        <v>-3535</v>
      </c>
      <c r="N22" s="41">
        <v>-3891</v>
      </c>
      <c r="P22" t="s">
        <v>73</v>
      </c>
      <c r="R22">
        <v>-67</v>
      </c>
      <c r="S22">
        <v>-180</v>
      </c>
      <c r="T22">
        <v>-291</v>
      </c>
      <c r="U22">
        <v>-137</v>
      </c>
    </row>
    <row r="23" spans="2:21" ht="18.5">
      <c r="B23" s="129" t="s">
        <v>97</v>
      </c>
      <c r="C23" s="129"/>
      <c r="D23" s="129"/>
      <c r="E23" s="17"/>
      <c r="F23" s="17"/>
      <c r="G23" s="17"/>
      <c r="H23" s="12"/>
      <c r="I23" s="129" t="s">
        <v>97</v>
      </c>
      <c r="J23" s="129"/>
      <c r="K23" s="129"/>
      <c r="L23" s="17"/>
      <c r="M23" s="17"/>
      <c r="N23" s="17"/>
      <c r="P23" t="s">
        <v>169</v>
      </c>
      <c r="Q23">
        <v>-401</v>
      </c>
      <c r="R23">
        <v>-124</v>
      </c>
      <c r="S23">
        <v>-1413</v>
      </c>
      <c r="T23">
        <v>-303</v>
      </c>
      <c r="U23">
        <v>-315</v>
      </c>
    </row>
    <row r="24" spans="2:21">
      <c r="B24" s="132" t="s">
        <v>98</v>
      </c>
      <c r="C24" s="132"/>
      <c r="D24" s="132"/>
      <c r="E24" s="64">
        <v>-920</v>
      </c>
      <c r="F24" s="64">
        <v>-935</v>
      </c>
      <c r="G24" s="64">
        <v>-6</v>
      </c>
      <c r="H24" s="12"/>
    </row>
    <row r="25" spans="2:21">
      <c r="B25" s="132" t="s">
        <v>99</v>
      </c>
      <c r="C25" s="132"/>
      <c r="D25" s="132"/>
      <c r="E25" s="62">
        <v>928</v>
      </c>
      <c r="F25" s="62">
        <v>917</v>
      </c>
      <c r="G25" s="62">
        <v>53</v>
      </c>
      <c r="H25" s="12"/>
    </row>
    <row r="26" spans="2:21">
      <c r="B26" s="131" t="s">
        <v>100</v>
      </c>
      <c r="C26" s="131"/>
      <c r="D26" s="131"/>
      <c r="E26" s="39">
        <v>-1077</v>
      </c>
      <c r="F26" s="43">
        <v>-75</v>
      </c>
      <c r="G26" s="98">
        <v>-800</v>
      </c>
      <c r="H26" s="12"/>
      <c r="I26" s="128" t="s">
        <v>100</v>
      </c>
      <c r="J26" s="128"/>
      <c r="K26" s="128"/>
      <c r="L26" s="98">
        <v>-800</v>
      </c>
      <c r="M26" s="44">
        <v>-94</v>
      </c>
      <c r="N26" s="46">
        <v>-3200</v>
      </c>
      <c r="P26" t="s">
        <v>76</v>
      </c>
      <c r="Q26">
        <v>70</v>
      </c>
      <c r="R26">
        <v>46</v>
      </c>
      <c r="S26">
        <v>-249</v>
      </c>
      <c r="T26">
        <v>15</v>
      </c>
      <c r="U26">
        <v>40</v>
      </c>
    </row>
    <row r="27" spans="2:21">
      <c r="B27" s="128" t="s">
        <v>101</v>
      </c>
      <c r="C27" s="128"/>
      <c r="D27" s="128"/>
      <c r="E27" s="45">
        <v>498</v>
      </c>
      <c r="F27" s="45" t="s">
        <v>102</v>
      </c>
      <c r="G27" s="45" t="s">
        <v>102</v>
      </c>
      <c r="H27" s="12"/>
      <c r="I27" s="131" t="s">
        <v>101</v>
      </c>
      <c r="J27" s="131"/>
      <c r="K27" s="131"/>
      <c r="L27" s="40" t="s">
        <v>102</v>
      </c>
      <c r="M27" s="40" t="s">
        <v>102</v>
      </c>
      <c r="N27" s="48">
        <v>3992</v>
      </c>
    </row>
    <row r="28" spans="2:21">
      <c r="B28" s="131" t="s">
        <v>103</v>
      </c>
      <c r="C28" s="131"/>
      <c r="D28" s="131"/>
      <c r="E28" s="43">
        <v>-315</v>
      </c>
      <c r="F28" s="43">
        <v>-303</v>
      </c>
      <c r="G28" s="98">
        <v>-363</v>
      </c>
      <c r="H28" s="12"/>
      <c r="I28" s="131" t="s">
        <v>103</v>
      </c>
      <c r="J28" s="131"/>
      <c r="K28" s="131"/>
      <c r="L28" s="98">
        <v>-363</v>
      </c>
      <c r="M28" s="43">
        <v>-312</v>
      </c>
      <c r="N28" s="43">
        <v>-330</v>
      </c>
      <c r="P28" t="s">
        <v>170</v>
      </c>
      <c r="Q28">
        <v>124</v>
      </c>
      <c r="R28">
        <v>149</v>
      </c>
      <c r="S28">
        <v>145</v>
      </c>
      <c r="T28">
        <v>125</v>
      </c>
      <c r="U28">
        <v>129</v>
      </c>
    </row>
    <row r="29" spans="2:21">
      <c r="B29" s="128" t="s">
        <v>104</v>
      </c>
      <c r="C29" s="128"/>
      <c r="D29" s="128"/>
      <c r="E29" s="44">
        <v>-700</v>
      </c>
      <c r="F29" s="44">
        <v>-676</v>
      </c>
      <c r="G29" s="98">
        <v>-439</v>
      </c>
      <c r="H29" s="12"/>
      <c r="I29" s="128" t="s">
        <v>104</v>
      </c>
      <c r="J29" s="128"/>
      <c r="K29" s="128"/>
      <c r="L29" s="98">
        <v>-439</v>
      </c>
      <c r="M29" s="44">
        <v>-496</v>
      </c>
      <c r="N29" s="44">
        <v>-196</v>
      </c>
      <c r="P29" t="s">
        <v>171</v>
      </c>
      <c r="Q29">
        <v>1052</v>
      </c>
      <c r="R29">
        <v>1527</v>
      </c>
      <c r="S29">
        <v>1940</v>
      </c>
      <c r="T29">
        <v>2234</v>
      </c>
      <c r="U29">
        <v>2319</v>
      </c>
    </row>
    <row r="30" spans="2:21">
      <c r="B30" s="131" t="s">
        <v>105</v>
      </c>
      <c r="C30" s="131"/>
      <c r="D30" s="131"/>
      <c r="E30" s="39">
        <v>-9041</v>
      </c>
      <c r="F30" s="39">
        <v>-1251</v>
      </c>
      <c r="G30" s="99">
        <v>-1498</v>
      </c>
      <c r="H30" s="12"/>
      <c r="I30" s="131" t="s">
        <v>105</v>
      </c>
      <c r="J30" s="131"/>
      <c r="K30" s="131"/>
      <c r="L30" s="99">
        <v>-1498</v>
      </c>
      <c r="M30" s="39">
        <v>-5748</v>
      </c>
      <c r="N30" s="39">
        <v>-1479</v>
      </c>
    </row>
    <row r="31" spans="2:21">
      <c r="B31" s="132" t="s">
        <v>106</v>
      </c>
      <c r="C31" s="132"/>
      <c r="D31" s="132"/>
      <c r="E31" s="64">
        <v>-137</v>
      </c>
      <c r="F31" s="64">
        <v>-291</v>
      </c>
      <c r="G31" s="64">
        <v>-180</v>
      </c>
      <c r="H31" s="12"/>
    </row>
    <row r="32" spans="2:21">
      <c r="B32" s="131" t="s">
        <v>107</v>
      </c>
      <c r="C32" s="131"/>
      <c r="D32" s="131"/>
      <c r="E32" s="40" t="s">
        <v>102</v>
      </c>
      <c r="F32" s="40" t="s">
        <v>102</v>
      </c>
      <c r="G32" s="98">
        <v>-208</v>
      </c>
      <c r="H32" s="12"/>
      <c r="I32" s="128" t="s">
        <v>107</v>
      </c>
      <c r="J32" s="128"/>
      <c r="K32" s="128"/>
      <c r="L32" s="98">
        <v>-208</v>
      </c>
      <c r="M32" s="45" t="s">
        <v>102</v>
      </c>
      <c r="N32" s="45" t="s">
        <v>102</v>
      </c>
    </row>
    <row r="33" spans="2:14">
      <c r="B33" s="128" t="s">
        <v>108</v>
      </c>
      <c r="C33" s="128"/>
      <c r="D33" s="128"/>
      <c r="E33" s="45" t="s">
        <v>102</v>
      </c>
      <c r="F33" s="45" t="s">
        <v>102</v>
      </c>
      <c r="G33" s="98">
        <v>-842</v>
      </c>
      <c r="H33" s="12"/>
      <c r="I33" s="131" t="s">
        <v>108</v>
      </c>
      <c r="J33" s="131"/>
      <c r="K33" s="131"/>
      <c r="L33" s="98">
        <v>-842</v>
      </c>
      <c r="M33" s="40" t="s">
        <v>102</v>
      </c>
      <c r="N33" s="40" t="s">
        <v>102</v>
      </c>
    </row>
    <row r="34" spans="2:14" ht="15" thickBot="1">
      <c r="H34" s="12"/>
      <c r="I34" s="132" t="s">
        <v>122</v>
      </c>
      <c r="J34" s="132"/>
      <c r="K34" s="132"/>
      <c r="L34" s="65">
        <v>-133</v>
      </c>
      <c r="M34" s="66">
        <v>162</v>
      </c>
      <c r="N34" s="66">
        <v>66</v>
      </c>
    </row>
    <row r="35" spans="2:14" ht="15" thickBot="1">
      <c r="B35" s="133" t="s">
        <v>109</v>
      </c>
      <c r="C35" s="133"/>
      <c r="D35" s="133"/>
      <c r="E35" s="67">
        <v>-10764</v>
      </c>
      <c r="F35" s="67">
        <v>-2614</v>
      </c>
      <c r="G35" s="67">
        <v>-4283</v>
      </c>
      <c r="H35" s="12"/>
      <c r="I35" s="133" t="s">
        <v>109</v>
      </c>
      <c r="J35" s="133"/>
      <c r="K35" s="133"/>
      <c r="L35" s="41">
        <v>-4283</v>
      </c>
      <c r="M35" s="41">
        <v>-6488</v>
      </c>
      <c r="N35" s="41">
        <v>-1147</v>
      </c>
    </row>
    <row r="36" spans="2:14" ht="15" thickBot="1">
      <c r="B36" s="134" t="s">
        <v>110</v>
      </c>
      <c r="C36" s="134"/>
      <c r="D36" s="134"/>
      <c r="E36" s="45">
        <v>40</v>
      </c>
      <c r="F36" s="45">
        <v>15</v>
      </c>
      <c r="G36" s="44">
        <v>-249</v>
      </c>
      <c r="H36" s="12"/>
      <c r="I36" s="134" t="s">
        <v>110</v>
      </c>
      <c r="J36" s="134"/>
      <c r="K36" s="134"/>
      <c r="L36" s="56">
        <v>-249</v>
      </c>
      <c r="M36" s="57">
        <v>46</v>
      </c>
      <c r="N36" s="57">
        <v>70</v>
      </c>
    </row>
    <row r="37" spans="2:14">
      <c r="B37" s="131" t="s">
        <v>111</v>
      </c>
      <c r="C37" s="131"/>
      <c r="D37" s="131"/>
      <c r="E37" s="39">
        <v>-3794</v>
      </c>
      <c r="F37" s="48">
        <v>3497</v>
      </c>
      <c r="G37" s="39">
        <v>-1055</v>
      </c>
      <c r="H37" s="12"/>
      <c r="I37" s="131" t="s">
        <v>111</v>
      </c>
      <c r="J37" s="131"/>
      <c r="K37" s="131"/>
      <c r="L37" s="55">
        <v>-1055</v>
      </c>
      <c r="M37" s="55">
        <v>-1019</v>
      </c>
      <c r="N37" s="61">
        <v>3893</v>
      </c>
    </row>
    <row r="38" spans="2:14" ht="15" thickBot="1">
      <c r="B38" s="129" t="s">
        <v>112</v>
      </c>
      <c r="C38" s="129"/>
      <c r="D38" s="129"/>
      <c r="E38" s="51">
        <v>13700</v>
      </c>
      <c r="F38" s="51">
        <v>10203</v>
      </c>
      <c r="G38" s="51">
        <v>11258</v>
      </c>
      <c r="H38" s="12"/>
      <c r="I38" s="129" t="s">
        <v>112</v>
      </c>
      <c r="J38" s="129"/>
      <c r="K38" s="129"/>
      <c r="L38" s="51">
        <v>11258</v>
      </c>
      <c r="M38" s="51">
        <v>12277</v>
      </c>
      <c r="N38" s="51">
        <v>8384</v>
      </c>
    </row>
    <row r="39" spans="2:14">
      <c r="B39" s="127" t="s">
        <v>113</v>
      </c>
      <c r="C39" s="127"/>
      <c r="D39" s="127"/>
      <c r="E39" s="52">
        <v>9906</v>
      </c>
      <c r="F39" s="52">
        <v>13700</v>
      </c>
      <c r="G39" s="52">
        <v>10203</v>
      </c>
      <c r="H39" s="12"/>
      <c r="I39" s="127" t="s">
        <v>113</v>
      </c>
      <c r="J39" s="127"/>
      <c r="K39" s="127"/>
      <c r="L39" s="52">
        <v>10203</v>
      </c>
      <c r="M39" s="52">
        <v>11258</v>
      </c>
      <c r="N39" s="52">
        <v>12277</v>
      </c>
    </row>
    <row r="40" spans="2:14" ht="18.5">
      <c r="B40" s="127" t="s">
        <v>114</v>
      </c>
      <c r="C40" s="127"/>
      <c r="D40" s="127"/>
      <c r="E40" s="34"/>
      <c r="F40" s="34"/>
      <c r="G40" s="34"/>
      <c r="H40" s="12"/>
      <c r="I40" s="127" t="s">
        <v>114</v>
      </c>
      <c r="J40" s="127"/>
      <c r="K40" s="127"/>
      <c r="L40" s="34"/>
      <c r="M40" s="34"/>
      <c r="N40" s="34"/>
    </row>
    <row r="41" spans="2:14" ht="17.5">
      <c r="B41" s="128" t="s">
        <v>80</v>
      </c>
      <c r="C41" s="128"/>
      <c r="D41" s="128"/>
      <c r="E41" s="16"/>
      <c r="F41" s="16"/>
      <c r="G41" s="16"/>
      <c r="H41" s="12"/>
      <c r="I41" s="128" t="s">
        <v>80</v>
      </c>
      <c r="J41" s="128"/>
      <c r="K41" s="128"/>
      <c r="L41" s="16"/>
      <c r="M41" s="16"/>
      <c r="N41" s="16"/>
    </row>
    <row r="42" spans="2:14">
      <c r="B42" s="130" t="s">
        <v>81</v>
      </c>
      <c r="C42" s="130"/>
      <c r="D42" s="130"/>
      <c r="E42" s="36">
        <v>129</v>
      </c>
      <c r="F42" s="36">
        <v>125</v>
      </c>
      <c r="G42" s="36">
        <v>145</v>
      </c>
      <c r="H42" s="12"/>
      <c r="I42" s="130" t="s">
        <v>81</v>
      </c>
      <c r="J42" s="130"/>
      <c r="K42" s="130"/>
      <c r="L42" s="36">
        <v>145</v>
      </c>
      <c r="M42" s="36">
        <v>149</v>
      </c>
      <c r="N42" s="36">
        <v>124</v>
      </c>
    </row>
    <row r="43" spans="2:14">
      <c r="B43" s="126" t="s">
        <v>115</v>
      </c>
      <c r="C43" s="126"/>
      <c r="D43" s="126"/>
      <c r="E43" s="53">
        <v>2319</v>
      </c>
      <c r="F43" s="53">
        <v>2234</v>
      </c>
      <c r="G43" s="53">
        <v>1940</v>
      </c>
      <c r="H43" s="12"/>
      <c r="I43" s="126" t="s">
        <v>115</v>
      </c>
      <c r="J43" s="126"/>
      <c r="K43" s="126"/>
      <c r="L43" s="53">
        <v>1940</v>
      </c>
      <c r="M43" s="53">
        <v>1527</v>
      </c>
      <c r="N43" s="53">
        <v>1052</v>
      </c>
    </row>
    <row r="44" spans="2:14" ht="18.5">
      <c r="B44" s="127" t="s">
        <v>116</v>
      </c>
      <c r="C44" s="127"/>
      <c r="D44" s="127"/>
      <c r="E44" s="34"/>
      <c r="F44" s="34"/>
      <c r="G44" s="34"/>
      <c r="H44" s="12"/>
      <c r="I44" s="127" t="s">
        <v>116</v>
      </c>
      <c r="J44" s="127"/>
      <c r="K44" s="127"/>
      <c r="L44" s="34"/>
      <c r="M44" s="34"/>
      <c r="N44" s="34"/>
    </row>
    <row r="45" spans="2:14">
      <c r="B45" s="132" t="s">
        <v>117</v>
      </c>
      <c r="C45" s="132"/>
      <c r="D45" s="132"/>
      <c r="E45" s="68" t="s">
        <v>102</v>
      </c>
      <c r="F45" s="68">
        <v>452</v>
      </c>
      <c r="G45" s="68" t="s">
        <v>102</v>
      </c>
    </row>
    <row r="46" spans="2:14">
      <c r="B46" s="131" t="s">
        <v>118</v>
      </c>
      <c r="C46" s="131"/>
      <c r="D46" s="131"/>
      <c r="E46" s="36">
        <v>203</v>
      </c>
      <c r="F46" s="36">
        <v>170</v>
      </c>
      <c r="G46" s="36">
        <v>156</v>
      </c>
      <c r="I46" s="128" t="s">
        <v>118</v>
      </c>
      <c r="J46" s="128"/>
      <c r="K46" s="128"/>
      <c r="L46" s="37">
        <v>156</v>
      </c>
      <c r="M46" s="37">
        <v>184</v>
      </c>
      <c r="N46" s="37">
        <v>204</v>
      </c>
    </row>
  </sheetData>
  <mergeCells count="83">
    <mergeCell ref="B7:D7"/>
    <mergeCell ref="B2:D2"/>
    <mergeCell ref="B3:D3"/>
    <mergeCell ref="B4:D4"/>
    <mergeCell ref="B5:D5"/>
    <mergeCell ref="B6:D6"/>
    <mergeCell ref="B21:D21"/>
    <mergeCell ref="B8:D8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5:D35"/>
    <mergeCell ref="B36:D36"/>
    <mergeCell ref="B37:D37"/>
    <mergeCell ref="B38:D38"/>
    <mergeCell ref="B39:D39"/>
    <mergeCell ref="B46:D46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B40:D40"/>
    <mergeCell ref="B41:D41"/>
    <mergeCell ref="B42:D42"/>
    <mergeCell ref="B43:D43"/>
    <mergeCell ref="B44:D44"/>
    <mergeCell ref="B45:D45"/>
    <mergeCell ref="I22:K22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37:K37"/>
    <mergeCell ref="I23:K23"/>
    <mergeCell ref="I27:K27"/>
    <mergeCell ref="I26:K26"/>
    <mergeCell ref="I28:K28"/>
    <mergeCell ref="I29:K29"/>
    <mergeCell ref="I30:K30"/>
    <mergeCell ref="I32:K32"/>
    <mergeCell ref="I33:K33"/>
    <mergeCell ref="I34:K34"/>
    <mergeCell ref="I35:K35"/>
    <mergeCell ref="I36:K36"/>
    <mergeCell ref="I43:K43"/>
    <mergeCell ref="I44:K44"/>
    <mergeCell ref="I46:K46"/>
    <mergeCell ref="I38:K38"/>
    <mergeCell ref="I39:K39"/>
    <mergeCell ref="I40:K40"/>
    <mergeCell ref="I41:K41"/>
    <mergeCell ref="I42:K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E521-FDBC-44B0-B43A-3786863284E3}">
  <dimension ref="B1:AJ40"/>
  <sheetViews>
    <sheetView topLeftCell="R14" workbookViewId="0">
      <selection activeCell="AF37" sqref="AF37:AJ37"/>
    </sheetView>
  </sheetViews>
  <sheetFormatPr defaultRowHeight="14.5"/>
  <cols>
    <col min="2" max="2" width="18.36328125" customWidth="1"/>
    <col min="3" max="3" width="16.08984375" customWidth="1"/>
    <col min="8" max="8" width="18.453125" customWidth="1"/>
    <col min="9" max="9" width="14.7265625" customWidth="1"/>
    <col min="14" max="14" width="17.90625" customWidth="1"/>
    <col min="15" max="15" width="20.36328125" customWidth="1"/>
    <col min="24" max="28" width="10.08984375" bestFit="1" customWidth="1"/>
  </cols>
  <sheetData>
    <row r="1" spans="2:36" ht="15" thickBot="1"/>
    <row r="2" spans="2:36" ht="17.5">
      <c r="B2" s="154" t="s">
        <v>124</v>
      </c>
      <c r="C2" s="154"/>
      <c r="D2" s="154"/>
      <c r="E2" s="69">
        <v>2024</v>
      </c>
      <c r="F2" s="69">
        <v>2023</v>
      </c>
      <c r="H2" s="154" t="s">
        <v>124</v>
      </c>
      <c r="I2" s="154"/>
      <c r="J2" s="154"/>
      <c r="K2" s="69">
        <v>2022</v>
      </c>
      <c r="L2" s="69">
        <v>2021</v>
      </c>
      <c r="N2" s="154" t="s">
        <v>124</v>
      </c>
      <c r="O2" s="154"/>
      <c r="P2" s="154"/>
      <c r="Q2" s="70">
        <v>2020</v>
      </c>
      <c r="R2" s="70">
        <v>2019</v>
      </c>
      <c r="U2" s="148" t="s">
        <v>124</v>
      </c>
      <c r="V2" s="148"/>
      <c r="W2" s="148"/>
      <c r="X2" s="95">
        <v>2020</v>
      </c>
      <c r="Y2" s="95">
        <v>2021</v>
      </c>
      <c r="Z2" s="95">
        <v>2022</v>
      </c>
      <c r="AA2" s="95">
        <v>2023</v>
      </c>
      <c r="AB2" s="95">
        <v>2024</v>
      </c>
    </row>
    <row r="3" spans="2:36" ht="17.5">
      <c r="B3" s="151" t="s">
        <v>125</v>
      </c>
      <c r="C3" s="151"/>
      <c r="D3" s="151"/>
      <c r="E3" s="71"/>
      <c r="F3" s="71"/>
      <c r="H3" s="151" t="s">
        <v>125</v>
      </c>
      <c r="I3" s="151"/>
      <c r="J3" s="151"/>
      <c r="K3" s="71"/>
      <c r="L3" s="71"/>
      <c r="N3" s="151" t="s">
        <v>125</v>
      </c>
      <c r="O3" s="151"/>
      <c r="P3" s="151"/>
      <c r="Q3" s="72"/>
      <c r="R3" s="72"/>
      <c r="U3" s="142" t="s">
        <v>125</v>
      </c>
      <c r="V3" s="142"/>
      <c r="W3" s="142"/>
      <c r="X3" s="96"/>
      <c r="Y3" s="96"/>
      <c r="Z3" s="96"/>
      <c r="AA3" s="96"/>
      <c r="AB3" s="96"/>
      <c r="AD3" s="1" t="s">
        <v>174</v>
      </c>
      <c r="AF3">
        <v>2020</v>
      </c>
      <c r="AG3">
        <v>2021</v>
      </c>
      <c r="AH3">
        <v>2022</v>
      </c>
      <c r="AI3">
        <v>2023</v>
      </c>
      <c r="AJ3">
        <v>2024</v>
      </c>
    </row>
    <row r="4" spans="2:36">
      <c r="B4" s="149" t="s">
        <v>126</v>
      </c>
      <c r="C4" s="149"/>
      <c r="D4" s="149"/>
      <c r="E4" s="73">
        <v>9906</v>
      </c>
      <c r="F4" s="73">
        <v>13700</v>
      </c>
      <c r="H4" s="149" t="s">
        <v>126</v>
      </c>
      <c r="I4" s="149"/>
      <c r="J4" s="149"/>
      <c r="K4" s="73">
        <v>10203</v>
      </c>
      <c r="L4" s="73">
        <v>11258</v>
      </c>
      <c r="N4" s="149" t="s">
        <v>126</v>
      </c>
      <c r="O4" s="149"/>
      <c r="P4" s="149"/>
      <c r="Q4" s="73">
        <v>12277</v>
      </c>
      <c r="R4" s="73">
        <v>8384</v>
      </c>
      <c r="U4" s="145" t="s">
        <v>126</v>
      </c>
      <c r="V4" s="145"/>
      <c r="W4" s="145"/>
      <c r="X4" s="97">
        <v>12277</v>
      </c>
      <c r="Y4" s="97">
        <v>11258</v>
      </c>
      <c r="Z4" s="97">
        <v>10203</v>
      </c>
      <c r="AA4" s="97">
        <v>13700</v>
      </c>
      <c r="AB4" s="97">
        <v>9906</v>
      </c>
      <c r="AE4" t="s">
        <v>175</v>
      </c>
      <c r="AF4" s="104">
        <v>12277</v>
      </c>
      <c r="AG4" s="104">
        <v>11258</v>
      </c>
      <c r="AH4" s="104">
        <v>10203</v>
      </c>
      <c r="AI4" s="104">
        <v>13700</v>
      </c>
      <c r="AJ4" s="104">
        <v>9906</v>
      </c>
    </row>
    <row r="5" spans="2:36">
      <c r="B5" s="150" t="s">
        <v>127</v>
      </c>
      <c r="C5" s="150"/>
      <c r="D5" s="150"/>
      <c r="E5" s="74">
        <v>1238</v>
      </c>
      <c r="F5" s="74">
        <v>1534</v>
      </c>
      <c r="H5" s="150" t="s">
        <v>127</v>
      </c>
      <c r="I5" s="150"/>
      <c r="J5" s="150"/>
      <c r="K5" s="75">
        <v>846</v>
      </c>
      <c r="L5" s="75">
        <v>917</v>
      </c>
      <c r="N5" s="150" t="s">
        <v>127</v>
      </c>
      <c r="O5" s="150"/>
      <c r="P5" s="150"/>
      <c r="Q5" s="74">
        <v>1028</v>
      </c>
      <c r="R5" s="74">
        <v>1060</v>
      </c>
      <c r="U5" s="144" t="s">
        <v>127</v>
      </c>
      <c r="V5" s="144"/>
      <c r="W5" s="144"/>
      <c r="X5" s="97">
        <v>1028</v>
      </c>
      <c r="Y5" s="97">
        <v>917</v>
      </c>
      <c r="Z5" s="97">
        <v>846</v>
      </c>
      <c r="AA5" s="97">
        <v>1534</v>
      </c>
      <c r="AB5" s="97">
        <v>1238</v>
      </c>
      <c r="AE5" t="s">
        <v>176</v>
      </c>
      <c r="AF5" s="104">
        <v>1028</v>
      </c>
      <c r="AG5" s="104">
        <v>917</v>
      </c>
      <c r="AH5" s="104">
        <v>846</v>
      </c>
      <c r="AI5" s="104">
        <v>1534</v>
      </c>
      <c r="AJ5" s="104">
        <v>1238</v>
      </c>
    </row>
    <row r="6" spans="2:36">
      <c r="B6" s="149" t="s">
        <v>128</v>
      </c>
      <c r="C6" s="149"/>
      <c r="D6" s="149"/>
      <c r="E6" s="76">
        <v>2721</v>
      </c>
      <c r="F6" s="76">
        <v>2285</v>
      </c>
      <c r="H6" s="149" t="s">
        <v>128</v>
      </c>
      <c r="I6" s="149"/>
      <c r="J6" s="149"/>
      <c r="K6" s="76">
        <v>2241</v>
      </c>
      <c r="L6" s="76">
        <v>1803</v>
      </c>
      <c r="N6" s="149" t="s">
        <v>128</v>
      </c>
      <c r="O6" s="149"/>
      <c r="P6" s="149"/>
      <c r="Q6" s="76">
        <v>1550</v>
      </c>
      <c r="R6" s="76">
        <v>1535</v>
      </c>
      <c r="U6" s="145" t="s">
        <v>128</v>
      </c>
      <c r="V6" s="145"/>
      <c r="W6" s="145"/>
      <c r="X6" s="97">
        <v>1550</v>
      </c>
      <c r="Y6" s="97">
        <v>1803</v>
      </c>
      <c r="Z6" s="97">
        <v>2241</v>
      </c>
      <c r="AA6" s="97">
        <v>2285</v>
      </c>
      <c r="AB6" s="97">
        <v>2721</v>
      </c>
      <c r="AE6" t="s">
        <v>128</v>
      </c>
      <c r="AF6" s="104">
        <v>1550</v>
      </c>
      <c r="AG6" s="104">
        <v>1803</v>
      </c>
      <c r="AH6" s="104">
        <v>2241</v>
      </c>
      <c r="AI6" s="104">
        <v>2285</v>
      </c>
      <c r="AJ6" s="104">
        <v>2721</v>
      </c>
    </row>
    <row r="7" spans="2:36">
      <c r="B7" s="150" t="s">
        <v>88</v>
      </c>
      <c r="C7" s="150"/>
      <c r="D7" s="150"/>
      <c r="E7" s="74">
        <v>18647</v>
      </c>
      <c r="F7" s="74">
        <v>16651</v>
      </c>
      <c r="H7" s="150" t="s">
        <v>88</v>
      </c>
      <c r="I7" s="150"/>
      <c r="J7" s="150"/>
      <c r="K7" s="74">
        <v>17907</v>
      </c>
      <c r="L7" s="74">
        <v>14215</v>
      </c>
      <c r="N7" s="150" t="s">
        <v>88</v>
      </c>
      <c r="O7" s="150"/>
      <c r="P7" s="150"/>
      <c r="Q7" s="74">
        <v>12242</v>
      </c>
      <c r="R7" s="74">
        <v>11395</v>
      </c>
      <c r="U7" s="144" t="s">
        <v>88</v>
      </c>
      <c r="V7" s="144"/>
      <c r="W7" s="144"/>
      <c r="X7" s="97">
        <v>12242</v>
      </c>
      <c r="Y7" s="97">
        <v>14215</v>
      </c>
      <c r="Z7" s="97">
        <v>17907</v>
      </c>
      <c r="AA7" s="97">
        <v>16651</v>
      </c>
      <c r="AB7" s="97">
        <v>18647</v>
      </c>
      <c r="AE7" t="s">
        <v>177</v>
      </c>
      <c r="AF7" s="104">
        <v>12242</v>
      </c>
      <c r="AG7" s="104">
        <v>14215</v>
      </c>
      <c r="AH7" s="104">
        <v>17907</v>
      </c>
      <c r="AI7" s="104">
        <v>16651</v>
      </c>
      <c r="AJ7" s="104">
        <v>18647</v>
      </c>
    </row>
    <row r="8" spans="2:36" ht="15" thickBot="1">
      <c r="B8" s="149" t="s">
        <v>129</v>
      </c>
      <c r="C8" s="149"/>
      <c r="D8" s="149"/>
      <c r="E8" s="77">
        <v>1734</v>
      </c>
      <c r="F8" s="77">
        <v>1709</v>
      </c>
      <c r="H8" s="149" t="s">
        <v>129</v>
      </c>
      <c r="I8" s="149"/>
      <c r="J8" s="149"/>
      <c r="K8" s="77">
        <v>1499</v>
      </c>
      <c r="L8" s="77">
        <v>1312</v>
      </c>
      <c r="N8" s="149" t="s">
        <v>129</v>
      </c>
      <c r="O8" s="149"/>
      <c r="P8" s="149"/>
      <c r="Q8" s="77">
        <v>1023</v>
      </c>
      <c r="R8" s="77">
        <v>1111</v>
      </c>
      <c r="U8" s="145" t="s">
        <v>129</v>
      </c>
      <c r="V8" s="145"/>
      <c r="W8" s="145"/>
      <c r="X8" s="103">
        <v>1023</v>
      </c>
      <c r="Y8" s="103">
        <v>1312</v>
      </c>
      <c r="Z8" s="103">
        <v>1499</v>
      </c>
      <c r="AA8" s="103">
        <v>1709</v>
      </c>
      <c r="AB8" s="103">
        <v>1734</v>
      </c>
      <c r="AD8" s="5" t="s">
        <v>178</v>
      </c>
      <c r="AE8" s="5"/>
    </row>
    <row r="9" spans="2:36">
      <c r="B9" s="150" t="s">
        <v>130</v>
      </c>
      <c r="C9" s="150"/>
      <c r="D9" s="150"/>
      <c r="E9" s="78">
        <v>34246</v>
      </c>
      <c r="F9" s="78">
        <v>35879</v>
      </c>
      <c r="H9" s="150" t="s">
        <v>130</v>
      </c>
      <c r="I9" s="150"/>
      <c r="J9" s="150"/>
      <c r="K9" s="78">
        <v>32696</v>
      </c>
      <c r="L9" s="78">
        <v>29505</v>
      </c>
      <c r="N9" s="150" t="s">
        <v>130</v>
      </c>
      <c r="O9" s="150"/>
      <c r="P9" s="150"/>
      <c r="Q9" s="78">
        <v>28120</v>
      </c>
      <c r="R9" s="78">
        <v>23485</v>
      </c>
      <c r="U9" s="144" t="s">
        <v>130</v>
      </c>
      <c r="V9" s="144"/>
      <c r="W9" s="144"/>
      <c r="X9" s="97">
        <v>28120</v>
      </c>
      <c r="Y9" s="97">
        <v>29505</v>
      </c>
      <c r="Z9" s="97">
        <v>32696</v>
      </c>
      <c r="AA9" s="97">
        <v>35879</v>
      </c>
      <c r="AB9" s="97">
        <v>34246</v>
      </c>
    </row>
    <row r="10" spans="2:36" ht="17.5">
      <c r="B10" s="152" t="s">
        <v>131</v>
      </c>
      <c r="C10" s="152"/>
      <c r="D10" s="152"/>
      <c r="E10" s="79"/>
      <c r="F10" s="79"/>
      <c r="H10" s="152" t="s">
        <v>131</v>
      </c>
      <c r="I10" s="152"/>
      <c r="J10" s="152"/>
      <c r="K10" s="79"/>
      <c r="L10" s="79"/>
      <c r="N10" s="152" t="s">
        <v>131</v>
      </c>
      <c r="O10" s="152"/>
      <c r="P10" s="152"/>
      <c r="Q10" s="80"/>
      <c r="R10" s="80"/>
      <c r="U10" s="141" t="s">
        <v>131</v>
      </c>
      <c r="V10" s="141"/>
      <c r="W10" s="141"/>
      <c r="X10" s="97"/>
      <c r="Y10" s="97"/>
      <c r="Z10" s="97"/>
      <c r="AA10" s="97"/>
      <c r="AB10" s="97"/>
      <c r="AD10" s="1" t="s">
        <v>179</v>
      </c>
    </row>
    <row r="11" spans="2:36">
      <c r="B11" s="150" t="s">
        <v>132</v>
      </c>
      <c r="C11" s="150"/>
      <c r="D11" s="150"/>
      <c r="E11" s="74">
        <v>29032</v>
      </c>
      <c r="F11" s="74">
        <v>26684</v>
      </c>
      <c r="H11" s="150" t="s">
        <v>132</v>
      </c>
      <c r="I11" s="150"/>
      <c r="J11" s="150"/>
      <c r="K11" s="74">
        <v>24646</v>
      </c>
      <c r="L11" s="74">
        <v>23492</v>
      </c>
      <c r="N11" s="150" t="s">
        <v>132</v>
      </c>
      <c r="O11" s="150"/>
      <c r="P11" s="150"/>
      <c r="Q11" s="74">
        <v>21807</v>
      </c>
      <c r="R11" s="74">
        <v>20890</v>
      </c>
      <c r="U11" s="144" t="s">
        <v>132</v>
      </c>
      <c r="V11" s="144"/>
      <c r="W11" s="144"/>
      <c r="X11" s="97">
        <v>21807</v>
      </c>
      <c r="Y11" s="97">
        <v>23492</v>
      </c>
      <c r="Z11" s="97">
        <v>24646</v>
      </c>
      <c r="AA11" s="97">
        <v>26684</v>
      </c>
      <c r="AB11" s="97">
        <v>29032</v>
      </c>
      <c r="AE11" t="s">
        <v>180</v>
      </c>
      <c r="AF11" s="104">
        <v>21807</v>
      </c>
      <c r="AG11" s="104">
        <v>23492</v>
      </c>
      <c r="AH11" s="104">
        <v>24646</v>
      </c>
      <c r="AI11" s="104">
        <v>26684</v>
      </c>
      <c r="AJ11" s="104">
        <v>29032</v>
      </c>
    </row>
    <row r="12" spans="2:36">
      <c r="B12" s="149" t="s">
        <v>133</v>
      </c>
      <c r="C12" s="149"/>
      <c r="D12" s="149"/>
      <c r="E12" s="76">
        <v>2617</v>
      </c>
      <c r="F12" s="76">
        <v>2713</v>
      </c>
      <c r="H12" s="149" t="s">
        <v>133</v>
      </c>
      <c r="I12" s="149"/>
      <c r="J12" s="149"/>
      <c r="K12" s="76">
        <v>2774</v>
      </c>
      <c r="L12" s="76">
        <v>2890</v>
      </c>
      <c r="N12" s="149" t="s">
        <v>133</v>
      </c>
      <c r="O12" s="149"/>
      <c r="P12" s="149"/>
      <c r="Q12" s="76">
        <v>2788</v>
      </c>
      <c r="R12" s="81" t="s">
        <v>165</v>
      </c>
      <c r="U12" s="145" t="s">
        <v>133</v>
      </c>
      <c r="V12" s="145"/>
      <c r="W12" s="145"/>
      <c r="X12" s="97">
        <v>2788</v>
      </c>
      <c r="Y12" s="97">
        <v>2890</v>
      </c>
      <c r="Z12" s="97">
        <v>2774</v>
      </c>
      <c r="AA12" s="97">
        <v>2713</v>
      </c>
      <c r="AB12" s="97">
        <v>2617</v>
      </c>
      <c r="AE12" t="s">
        <v>181</v>
      </c>
      <c r="AF12" s="104">
        <v>2788</v>
      </c>
      <c r="AG12" s="104">
        <v>2890</v>
      </c>
      <c r="AH12" s="104">
        <v>2774</v>
      </c>
      <c r="AI12" s="104">
        <v>2713</v>
      </c>
      <c r="AJ12" s="104">
        <v>2617</v>
      </c>
    </row>
    <row r="13" spans="2:36" ht="15" thickBot="1">
      <c r="B13" s="150" t="s">
        <v>134</v>
      </c>
      <c r="C13" s="150"/>
      <c r="D13" s="150"/>
      <c r="E13" s="82">
        <v>3936</v>
      </c>
      <c r="F13" s="82">
        <v>3718</v>
      </c>
      <c r="H13" s="150" t="s">
        <v>134</v>
      </c>
      <c r="I13" s="150"/>
      <c r="J13" s="150"/>
      <c r="K13" s="82">
        <v>4050</v>
      </c>
      <c r="L13" s="82">
        <v>3381</v>
      </c>
      <c r="N13" s="150" t="s">
        <v>134</v>
      </c>
      <c r="O13" s="150"/>
      <c r="P13" s="150"/>
      <c r="Q13" s="82">
        <v>2841</v>
      </c>
      <c r="R13" s="82">
        <v>1025</v>
      </c>
      <c r="U13" s="144" t="s">
        <v>134</v>
      </c>
      <c r="V13" s="144"/>
      <c r="W13" s="144"/>
      <c r="X13" s="97">
        <v>2841</v>
      </c>
      <c r="Y13" s="97">
        <v>3381</v>
      </c>
      <c r="Z13" s="97">
        <v>4050</v>
      </c>
      <c r="AA13" s="97">
        <v>3718</v>
      </c>
      <c r="AB13" s="97">
        <v>3936</v>
      </c>
      <c r="AE13" t="s">
        <v>134</v>
      </c>
      <c r="AF13" s="104">
        <v>3864</v>
      </c>
      <c r="AG13" s="104">
        <v>4693</v>
      </c>
      <c r="AH13" s="104">
        <v>5549</v>
      </c>
      <c r="AI13" s="104">
        <v>5427</v>
      </c>
      <c r="AJ13" s="104">
        <v>5670</v>
      </c>
    </row>
    <row r="14" spans="2:36" ht="15" thickBot="1">
      <c r="B14" s="152" t="s">
        <v>135</v>
      </c>
      <c r="C14" s="152"/>
      <c r="D14" s="152"/>
      <c r="E14" s="83">
        <v>69831</v>
      </c>
      <c r="F14" s="83">
        <v>68994</v>
      </c>
      <c r="H14" s="152" t="s">
        <v>135</v>
      </c>
      <c r="I14" s="152"/>
      <c r="J14" s="152"/>
      <c r="K14" s="83">
        <v>64166</v>
      </c>
      <c r="L14" s="83">
        <v>59268</v>
      </c>
      <c r="N14" s="152" t="s">
        <v>135</v>
      </c>
      <c r="O14" s="152"/>
      <c r="P14" s="152"/>
      <c r="Q14" s="83">
        <v>55556</v>
      </c>
      <c r="R14" s="83">
        <v>45400</v>
      </c>
      <c r="U14" s="141" t="s">
        <v>135</v>
      </c>
      <c r="V14" s="141"/>
      <c r="W14" s="141"/>
      <c r="X14" s="97">
        <v>55556</v>
      </c>
      <c r="Y14" s="97">
        <v>59268</v>
      </c>
      <c r="Z14" s="97">
        <v>64166</v>
      </c>
      <c r="AA14" s="97">
        <v>68994</v>
      </c>
      <c r="AB14" s="97">
        <v>69831</v>
      </c>
      <c r="AD14" s="102" t="s">
        <v>182</v>
      </c>
      <c r="AE14" s="33"/>
    </row>
    <row r="15" spans="2:36" ht="18" thickTop="1">
      <c r="B15" s="153" t="s">
        <v>136</v>
      </c>
      <c r="C15" s="153"/>
      <c r="D15" s="153"/>
      <c r="E15" s="84"/>
      <c r="F15" s="84"/>
      <c r="H15" s="153" t="s">
        <v>136</v>
      </c>
      <c r="I15" s="153"/>
      <c r="J15" s="153"/>
      <c r="K15" s="84"/>
      <c r="L15" s="84"/>
      <c r="N15" s="153" t="s">
        <v>136</v>
      </c>
      <c r="O15" s="153"/>
      <c r="P15" s="153"/>
      <c r="Q15" s="85"/>
      <c r="R15" s="85"/>
      <c r="U15" s="147" t="s">
        <v>136</v>
      </c>
      <c r="V15" s="147"/>
      <c r="W15" s="147"/>
      <c r="X15" s="97"/>
      <c r="Y15" s="97"/>
      <c r="Z15" s="97"/>
      <c r="AA15" s="97"/>
      <c r="AB15" s="97"/>
    </row>
    <row r="16" spans="2:36" ht="17.5">
      <c r="B16" s="152" t="s">
        <v>137</v>
      </c>
      <c r="C16" s="152"/>
      <c r="D16" s="152"/>
      <c r="E16" s="79"/>
      <c r="F16" s="79"/>
      <c r="H16" s="152" t="s">
        <v>137</v>
      </c>
      <c r="I16" s="152"/>
      <c r="J16" s="152"/>
      <c r="K16" s="79"/>
      <c r="L16" s="79"/>
      <c r="N16" s="152" t="s">
        <v>137</v>
      </c>
      <c r="O16" s="152"/>
      <c r="P16" s="152"/>
      <c r="Q16" s="80"/>
      <c r="R16" s="80"/>
      <c r="U16" s="141" t="s">
        <v>137</v>
      </c>
      <c r="V16" s="141"/>
      <c r="W16" s="141"/>
      <c r="X16" s="97"/>
      <c r="Y16" s="97"/>
      <c r="Z16" s="97"/>
      <c r="AA16" s="97"/>
      <c r="AB16" s="97"/>
      <c r="AD16" s="1" t="s">
        <v>183</v>
      </c>
    </row>
    <row r="17" spans="2:36">
      <c r="B17" s="150" t="s">
        <v>89</v>
      </c>
      <c r="C17" s="150"/>
      <c r="D17" s="150"/>
      <c r="E17" s="86">
        <v>19421</v>
      </c>
      <c r="F17" s="86">
        <v>17483</v>
      </c>
      <c r="H17" s="150" t="s">
        <v>89</v>
      </c>
      <c r="I17" s="150"/>
      <c r="J17" s="150"/>
      <c r="K17" s="86">
        <v>17848</v>
      </c>
      <c r="L17" s="86">
        <v>16278</v>
      </c>
      <c r="N17" s="150" t="s">
        <v>89</v>
      </c>
      <c r="O17" s="150"/>
      <c r="P17" s="150"/>
      <c r="Q17" s="86">
        <v>14172</v>
      </c>
      <c r="R17" s="86">
        <v>11679</v>
      </c>
      <c r="U17" s="144" t="s">
        <v>89</v>
      </c>
      <c r="V17" s="144"/>
      <c r="W17" s="144"/>
      <c r="X17" s="97">
        <v>14172</v>
      </c>
      <c r="Y17" s="97">
        <v>16278</v>
      </c>
      <c r="Z17" s="97">
        <v>17848</v>
      </c>
      <c r="AA17" s="97">
        <v>17483</v>
      </c>
      <c r="AB17" s="97">
        <v>19421</v>
      </c>
      <c r="AE17" t="s">
        <v>61</v>
      </c>
      <c r="AF17" s="104">
        <f t="shared" ref="AF17:AH20" si="0">X17</f>
        <v>14172</v>
      </c>
      <c r="AG17" s="104">
        <f t="shared" si="0"/>
        <v>16278</v>
      </c>
      <c r="AH17" s="104">
        <f t="shared" si="0"/>
        <v>17848</v>
      </c>
      <c r="AI17" s="104">
        <f t="shared" ref="AI17:AJ20" si="1">AA17</f>
        <v>17483</v>
      </c>
      <c r="AJ17" s="104">
        <f t="shared" si="1"/>
        <v>19421</v>
      </c>
    </row>
    <row r="18" spans="2:36">
      <c r="B18" s="149" t="s">
        <v>138</v>
      </c>
      <c r="C18" s="149"/>
      <c r="D18" s="149"/>
      <c r="E18" s="76">
        <v>4794</v>
      </c>
      <c r="F18" s="76">
        <v>4278</v>
      </c>
      <c r="H18" s="149" t="s">
        <v>138</v>
      </c>
      <c r="I18" s="149"/>
      <c r="J18" s="149"/>
      <c r="K18" s="76">
        <v>4381</v>
      </c>
      <c r="L18" s="76">
        <v>4090</v>
      </c>
      <c r="N18" s="149" t="s">
        <v>138</v>
      </c>
      <c r="O18" s="149"/>
      <c r="P18" s="149"/>
      <c r="Q18" s="76">
        <v>3605</v>
      </c>
      <c r="R18" s="76">
        <v>3176</v>
      </c>
      <c r="U18" s="145" t="s">
        <v>138</v>
      </c>
      <c r="V18" s="145"/>
      <c r="W18" s="145"/>
      <c r="X18" s="97">
        <v>3605</v>
      </c>
      <c r="Y18" s="97">
        <v>4090</v>
      </c>
      <c r="Z18" s="97">
        <v>4381</v>
      </c>
      <c r="AA18" s="97">
        <v>4278</v>
      </c>
      <c r="AB18" s="97">
        <v>4794</v>
      </c>
      <c r="AE18" t="s">
        <v>184</v>
      </c>
      <c r="AF18" s="104">
        <f t="shared" si="0"/>
        <v>3605</v>
      </c>
      <c r="AG18" s="104">
        <f t="shared" si="0"/>
        <v>4090</v>
      </c>
      <c r="AH18" s="104">
        <f t="shared" si="0"/>
        <v>4381</v>
      </c>
      <c r="AI18" s="104">
        <f t="shared" si="1"/>
        <v>4278</v>
      </c>
      <c r="AJ18" s="104">
        <f t="shared" si="1"/>
        <v>4794</v>
      </c>
    </row>
    <row r="19" spans="2:36">
      <c r="B19" s="150" t="s">
        <v>139</v>
      </c>
      <c r="C19" s="150"/>
      <c r="D19" s="150"/>
      <c r="E19" s="74">
        <v>2435</v>
      </c>
      <c r="F19" s="74">
        <v>2150</v>
      </c>
      <c r="H19" s="150" t="s">
        <v>139</v>
      </c>
      <c r="I19" s="150"/>
      <c r="J19" s="150"/>
      <c r="K19" s="74">
        <v>1911</v>
      </c>
      <c r="L19" s="74">
        <v>1671</v>
      </c>
      <c r="N19" s="150" t="s">
        <v>139</v>
      </c>
      <c r="O19" s="150"/>
      <c r="P19" s="150"/>
      <c r="Q19" s="74">
        <v>1393</v>
      </c>
      <c r="R19" s="74">
        <v>1180</v>
      </c>
      <c r="U19" s="144" t="s">
        <v>139</v>
      </c>
      <c r="V19" s="144"/>
      <c r="W19" s="144"/>
      <c r="X19" s="97">
        <v>1393</v>
      </c>
      <c r="Y19" s="97">
        <v>1671</v>
      </c>
      <c r="Z19" s="97">
        <v>1911</v>
      </c>
      <c r="AA19" s="97">
        <v>2150</v>
      </c>
      <c r="AB19" s="97">
        <v>2435</v>
      </c>
      <c r="AE19" t="s">
        <v>185</v>
      </c>
      <c r="AF19" s="104">
        <f t="shared" si="0"/>
        <v>1393</v>
      </c>
      <c r="AG19" s="104">
        <f t="shared" si="0"/>
        <v>1671</v>
      </c>
      <c r="AH19" s="104">
        <f t="shared" si="0"/>
        <v>1911</v>
      </c>
      <c r="AI19" s="104">
        <f t="shared" si="1"/>
        <v>2150</v>
      </c>
      <c r="AJ19" s="104">
        <f t="shared" si="1"/>
        <v>2435</v>
      </c>
    </row>
    <row r="20" spans="2:36">
      <c r="B20" s="149" t="s">
        <v>140</v>
      </c>
      <c r="C20" s="149"/>
      <c r="D20" s="149"/>
      <c r="E20" s="76">
        <v>2501</v>
      </c>
      <c r="F20" s="76">
        <v>2337</v>
      </c>
      <c r="H20" s="149" t="s">
        <v>140</v>
      </c>
      <c r="I20" s="149"/>
      <c r="J20" s="149"/>
      <c r="K20" s="76">
        <v>2174</v>
      </c>
      <c r="L20" s="76">
        <v>2042</v>
      </c>
      <c r="N20" s="149" t="s">
        <v>140</v>
      </c>
      <c r="O20" s="149"/>
      <c r="P20" s="149"/>
      <c r="Q20" s="76">
        <v>1851</v>
      </c>
      <c r="R20" s="76">
        <v>1711</v>
      </c>
      <c r="U20" s="145" t="s">
        <v>140</v>
      </c>
      <c r="V20" s="145"/>
      <c r="W20" s="145"/>
      <c r="X20" s="97">
        <v>1851</v>
      </c>
      <c r="Y20" s="97">
        <v>2042</v>
      </c>
      <c r="Z20" s="97">
        <v>2174</v>
      </c>
      <c r="AA20" s="97">
        <v>2337</v>
      </c>
      <c r="AB20" s="97">
        <v>2501</v>
      </c>
      <c r="AE20" t="s">
        <v>186</v>
      </c>
      <c r="AF20" s="104">
        <f t="shared" si="0"/>
        <v>1851</v>
      </c>
      <c r="AG20" s="104">
        <f t="shared" si="0"/>
        <v>2042</v>
      </c>
      <c r="AH20" s="104">
        <f t="shared" si="0"/>
        <v>2174</v>
      </c>
      <c r="AI20" s="104">
        <f t="shared" si="1"/>
        <v>2337</v>
      </c>
      <c r="AJ20" s="104">
        <f t="shared" si="1"/>
        <v>2501</v>
      </c>
    </row>
    <row r="21" spans="2:36">
      <c r="B21" s="150" t="s">
        <v>141</v>
      </c>
      <c r="C21" s="150"/>
      <c r="D21" s="150"/>
      <c r="E21" s="75">
        <v>103</v>
      </c>
      <c r="F21" s="74">
        <v>1081</v>
      </c>
      <c r="H21" s="150" t="s">
        <v>141</v>
      </c>
      <c r="I21" s="150"/>
      <c r="J21" s="150"/>
      <c r="K21" s="75">
        <v>73</v>
      </c>
      <c r="L21" s="75">
        <v>799</v>
      </c>
      <c r="N21" s="150" t="s">
        <v>141</v>
      </c>
      <c r="O21" s="150"/>
      <c r="P21" s="150"/>
      <c r="Q21" s="75">
        <v>95</v>
      </c>
      <c r="R21" s="74">
        <v>1699</v>
      </c>
      <c r="U21" s="144" t="s">
        <v>141</v>
      </c>
      <c r="V21" s="144"/>
      <c r="W21" s="144"/>
      <c r="X21" s="103">
        <v>95</v>
      </c>
      <c r="Y21" s="103">
        <v>799</v>
      </c>
      <c r="Z21" s="103">
        <v>73</v>
      </c>
      <c r="AA21" s="103">
        <v>1081</v>
      </c>
      <c r="AB21" s="103">
        <v>103</v>
      </c>
      <c r="AE21" t="s">
        <v>187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ht="15" thickBot="1">
      <c r="B22" s="149" t="s">
        <v>142</v>
      </c>
      <c r="C22" s="149"/>
      <c r="D22" s="149"/>
      <c r="E22" s="77">
        <v>6210</v>
      </c>
      <c r="F22" s="77">
        <v>6254</v>
      </c>
      <c r="H22" s="149" t="s">
        <v>142</v>
      </c>
      <c r="I22" s="149"/>
      <c r="J22" s="149"/>
      <c r="K22" s="77">
        <v>5611</v>
      </c>
      <c r="L22" s="77">
        <v>4561</v>
      </c>
      <c r="N22" s="149" t="s">
        <v>142</v>
      </c>
      <c r="O22" s="149"/>
      <c r="P22" s="149"/>
      <c r="Q22" s="77">
        <v>3728</v>
      </c>
      <c r="R22" s="77">
        <v>3792</v>
      </c>
      <c r="U22" s="145" t="s">
        <v>142</v>
      </c>
      <c r="V22" s="145"/>
      <c r="W22" s="145"/>
      <c r="X22" s="103">
        <v>3728</v>
      </c>
      <c r="Y22" s="103">
        <v>4561</v>
      </c>
      <c r="Z22" s="103">
        <v>5611</v>
      </c>
      <c r="AA22" s="103">
        <v>6254</v>
      </c>
      <c r="AB22" s="103">
        <v>6210</v>
      </c>
      <c r="AD22" s="5" t="s">
        <v>188</v>
      </c>
      <c r="AE22" s="5"/>
    </row>
    <row r="23" spans="2:36">
      <c r="B23" s="150" t="s">
        <v>143</v>
      </c>
      <c r="C23" s="150"/>
      <c r="D23" s="150"/>
      <c r="E23" s="78">
        <v>35464</v>
      </c>
      <c r="F23" s="78">
        <v>33583</v>
      </c>
      <c r="H23" s="150" t="s">
        <v>143</v>
      </c>
      <c r="I23" s="150"/>
      <c r="J23" s="150"/>
      <c r="K23" s="78">
        <v>31998</v>
      </c>
      <c r="L23" s="78">
        <v>29441</v>
      </c>
      <c r="N23" s="150" t="s">
        <v>143</v>
      </c>
      <c r="O23" s="150"/>
      <c r="P23" s="150"/>
      <c r="Q23" s="78">
        <v>24844</v>
      </c>
      <c r="R23" s="78">
        <v>23237</v>
      </c>
      <c r="U23" s="144" t="s">
        <v>143</v>
      </c>
      <c r="V23" s="144"/>
      <c r="W23" s="144"/>
      <c r="X23" s="97">
        <v>24844</v>
      </c>
      <c r="Y23" s="97">
        <v>29441</v>
      </c>
      <c r="Z23" s="97">
        <v>31998</v>
      </c>
      <c r="AA23" s="97">
        <v>33583</v>
      </c>
      <c r="AB23" s="97">
        <v>35464</v>
      </c>
    </row>
    <row r="24" spans="2:36" ht="17.5">
      <c r="B24" s="152" t="s">
        <v>144</v>
      </c>
      <c r="C24" s="152"/>
      <c r="D24" s="152"/>
      <c r="E24" s="79"/>
      <c r="F24" s="79"/>
      <c r="H24" s="152" t="s">
        <v>144</v>
      </c>
      <c r="I24" s="152"/>
      <c r="J24" s="152"/>
      <c r="K24" s="79"/>
      <c r="L24" s="79"/>
      <c r="N24" s="152" t="s">
        <v>144</v>
      </c>
      <c r="O24" s="152"/>
      <c r="P24" s="152"/>
      <c r="Q24" s="80"/>
      <c r="R24" s="80"/>
      <c r="U24" s="141" t="s">
        <v>144</v>
      </c>
      <c r="V24" s="141"/>
      <c r="W24" s="141"/>
      <c r="X24" s="97"/>
      <c r="Y24" s="97"/>
      <c r="Z24" s="97"/>
      <c r="AA24" s="97"/>
      <c r="AB24" s="97"/>
      <c r="AD24" s="1" t="s">
        <v>189</v>
      </c>
    </row>
    <row r="25" spans="2:36">
      <c r="B25" s="150" t="s">
        <v>145</v>
      </c>
      <c r="C25" s="150"/>
      <c r="D25" s="150"/>
      <c r="E25" s="74">
        <v>5794</v>
      </c>
      <c r="F25" s="74">
        <v>5377</v>
      </c>
      <c r="H25" s="150" t="s">
        <v>145</v>
      </c>
      <c r="I25" s="150"/>
      <c r="J25" s="150"/>
      <c r="K25" s="74">
        <v>6484</v>
      </c>
      <c r="L25" s="74">
        <v>6692</v>
      </c>
      <c r="N25" s="150" t="s">
        <v>145</v>
      </c>
      <c r="O25" s="150"/>
      <c r="P25" s="150"/>
      <c r="Q25" s="74">
        <v>7514</v>
      </c>
      <c r="R25" s="74">
        <v>5124</v>
      </c>
      <c r="U25" s="144" t="s">
        <v>145</v>
      </c>
      <c r="V25" s="144"/>
      <c r="W25" s="144"/>
      <c r="X25" s="97">
        <v>7514</v>
      </c>
      <c r="Y25" s="97">
        <v>6692</v>
      </c>
      <c r="Z25" s="97">
        <v>6484</v>
      </c>
      <c r="AA25" s="97">
        <v>5377</v>
      </c>
      <c r="AB25" s="97">
        <v>5794</v>
      </c>
      <c r="AE25" t="s">
        <v>190</v>
      </c>
      <c r="AF25" s="104">
        <f>SUM(X25,X21)</f>
        <v>7609</v>
      </c>
      <c r="AG25" s="104">
        <f>SUM(Y25,Y21)</f>
        <v>7491</v>
      </c>
      <c r="AH25" s="104">
        <f>SUM(Z25,Z21)</f>
        <v>6557</v>
      </c>
      <c r="AI25" s="104">
        <f>SUM(AA25,AA21)</f>
        <v>6458</v>
      </c>
      <c r="AJ25" s="104">
        <f>SUM(AB25,AB21)</f>
        <v>5897</v>
      </c>
    </row>
    <row r="26" spans="2:36">
      <c r="B26" s="149" t="s">
        <v>146</v>
      </c>
      <c r="C26" s="149"/>
      <c r="D26" s="149"/>
      <c r="E26" s="76">
        <v>2375</v>
      </c>
      <c r="F26" s="76">
        <v>2426</v>
      </c>
      <c r="H26" s="149" t="s">
        <v>146</v>
      </c>
      <c r="I26" s="149"/>
      <c r="J26" s="149"/>
      <c r="K26" s="76">
        <v>2482</v>
      </c>
      <c r="L26" s="76">
        <v>2642</v>
      </c>
      <c r="N26" s="149" t="s">
        <v>146</v>
      </c>
      <c r="O26" s="149"/>
      <c r="P26" s="149"/>
      <c r="Q26" s="76">
        <v>2558</v>
      </c>
      <c r="R26" s="81" t="s">
        <v>152</v>
      </c>
      <c r="U26" s="145" t="s">
        <v>146</v>
      </c>
      <c r="V26" s="145"/>
      <c r="W26" s="145"/>
      <c r="X26" s="97">
        <v>2558</v>
      </c>
      <c r="Y26" s="97">
        <v>2642</v>
      </c>
      <c r="Z26" s="97">
        <v>2482</v>
      </c>
      <c r="AA26" s="97">
        <v>2426</v>
      </c>
      <c r="AB26" s="97">
        <v>2375</v>
      </c>
      <c r="AE26" t="s">
        <v>191</v>
      </c>
      <c r="AF26" s="104">
        <f>X26</f>
        <v>2558</v>
      </c>
      <c r="AG26" s="104">
        <f>Y26</f>
        <v>2642</v>
      </c>
      <c r="AH26" s="104">
        <f>Z26</f>
        <v>2482</v>
      </c>
      <c r="AI26" s="104">
        <f>AA26</f>
        <v>2426</v>
      </c>
      <c r="AJ26" s="104">
        <f>AB26</f>
        <v>2375</v>
      </c>
    </row>
    <row r="27" spans="2:36" ht="15" thickBot="1">
      <c r="B27" s="150" t="s">
        <v>147</v>
      </c>
      <c r="C27" s="150"/>
      <c r="D27" s="150"/>
      <c r="E27" s="82">
        <v>2576</v>
      </c>
      <c r="F27" s="82">
        <v>2550</v>
      </c>
      <c r="H27" s="150" t="s">
        <v>147</v>
      </c>
      <c r="I27" s="150"/>
      <c r="J27" s="150"/>
      <c r="K27" s="82">
        <v>2555</v>
      </c>
      <c r="L27" s="82">
        <v>2415</v>
      </c>
      <c r="N27" s="150" t="s">
        <v>147</v>
      </c>
      <c r="O27" s="150"/>
      <c r="P27" s="150"/>
      <c r="Q27" s="82">
        <v>1935</v>
      </c>
      <c r="R27" s="82">
        <v>1455</v>
      </c>
      <c r="U27" s="144" t="s">
        <v>147</v>
      </c>
      <c r="V27" s="144"/>
      <c r="W27" s="144"/>
      <c r="X27" s="97">
        <v>1935</v>
      </c>
      <c r="Y27" s="97">
        <v>2415</v>
      </c>
      <c r="Z27" s="97">
        <v>2555</v>
      </c>
      <c r="AA27" s="97">
        <v>2550</v>
      </c>
      <c r="AB27" s="97">
        <v>2576</v>
      </c>
      <c r="AE27" t="s">
        <v>147</v>
      </c>
      <c r="AF27" s="104">
        <f>SUM(X27,X22)</f>
        <v>5663</v>
      </c>
      <c r="AG27" s="104">
        <f>SUM(Y27,Y22)</f>
        <v>6976</v>
      </c>
      <c r="AH27" s="104">
        <f>SUM(Z27,Z22)</f>
        <v>8166</v>
      </c>
      <c r="AI27" s="104">
        <f>SUM(AA27,AA22)</f>
        <v>8804</v>
      </c>
      <c r="AJ27" s="104">
        <f>SUM(AB27,AB22)</f>
        <v>8786</v>
      </c>
    </row>
    <row r="28" spans="2:36" ht="15" thickBot="1">
      <c r="B28" s="152" t="s">
        <v>148</v>
      </c>
      <c r="C28" s="152"/>
      <c r="D28" s="152"/>
      <c r="E28" s="87">
        <v>46209</v>
      </c>
      <c r="F28" s="87">
        <v>43936</v>
      </c>
      <c r="H28" s="152" t="s">
        <v>148</v>
      </c>
      <c r="I28" s="152"/>
      <c r="J28" s="152"/>
      <c r="K28" s="87">
        <v>43519</v>
      </c>
      <c r="L28" s="87">
        <v>41190</v>
      </c>
      <c r="N28" s="152" t="s">
        <v>148</v>
      </c>
      <c r="O28" s="152"/>
      <c r="P28" s="152"/>
      <c r="Q28" s="87">
        <v>36851</v>
      </c>
      <c r="R28" s="87">
        <v>29816</v>
      </c>
      <c r="U28" s="141" t="s">
        <v>148</v>
      </c>
      <c r="V28" s="141"/>
      <c r="W28" s="141"/>
      <c r="X28" s="97">
        <v>36851</v>
      </c>
      <c r="Y28" s="97">
        <v>41190</v>
      </c>
      <c r="Z28" s="97">
        <v>43519</v>
      </c>
      <c r="AA28" s="97">
        <v>43936</v>
      </c>
      <c r="AB28" s="97">
        <v>46209</v>
      </c>
      <c r="AD28" s="5" t="s">
        <v>192</v>
      </c>
      <c r="AE28" s="5"/>
    </row>
    <row r="29" spans="2:36" ht="17.5">
      <c r="B29" s="151" t="s">
        <v>149</v>
      </c>
      <c r="C29" s="151"/>
      <c r="D29" s="151"/>
      <c r="E29" s="88"/>
      <c r="F29" s="88"/>
      <c r="H29" s="151" t="s">
        <v>149</v>
      </c>
      <c r="I29" s="151"/>
      <c r="J29" s="151"/>
      <c r="K29" s="88"/>
      <c r="L29" s="88"/>
      <c r="N29" s="151" t="s">
        <v>149</v>
      </c>
      <c r="O29" s="151"/>
      <c r="P29" s="151"/>
      <c r="Q29" s="89"/>
      <c r="R29" s="89"/>
      <c r="U29" s="142" t="s">
        <v>149</v>
      </c>
      <c r="V29" s="142"/>
      <c r="W29" s="142"/>
      <c r="X29" s="97"/>
      <c r="Y29" s="97"/>
      <c r="Z29" s="97"/>
      <c r="AA29" s="97"/>
      <c r="AB29" s="97"/>
    </row>
    <row r="30" spans="2:36" ht="17.5">
      <c r="B30" s="152" t="s">
        <v>150</v>
      </c>
      <c r="C30" s="152"/>
      <c r="D30" s="152"/>
      <c r="E30" s="79"/>
      <c r="F30" s="79"/>
      <c r="H30" s="152" t="s">
        <v>150</v>
      </c>
      <c r="I30" s="152"/>
      <c r="J30" s="152"/>
      <c r="K30" s="79"/>
      <c r="L30" s="79"/>
      <c r="N30" s="152" t="s">
        <v>150</v>
      </c>
      <c r="O30" s="152"/>
      <c r="P30" s="152"/>
      <c r="Q30" s="80"/>
      <c r="R30" s="80"/>
      <c r="U30" s="141" t="s">
        <v>150</v>
      </c>
      <c r="V30" s="141"/>
      <c r="W30" s="141"/>
      <c r="X30" s="97"/>
      <c r="Y30" s="97"/>
      <c r="Z30" s="97"/>
      <c r="AA30" s="97"/>
      <c r="AB30" s="97"/>
    </row>
    <row r="31" spans="2:36">
      <c r="B31" s="156" t="s">
        <v>151</v>
      </c>
      <c r="C31" s="156"/>
      <c r="D31" s="156"/>
      <c r="E31" s="75" t="s">
        <v>152</v>
      </c>
      <c r="F31" s="75" t="s">
        <v>152</v>
      </c>
      <c r="H31" s="156" t="s">
        <v>151</v>
      </c>
      <c r="I31" s="156"/>
      <c r="J31" s="156"/>
      <c r="K31" s="75" t="s">
        <v>152</v>
      </c>
      <c r="L31" s="75" t="s">
        <v>152</v>
      </c>
      <c r="N31" s="150" t="s">
        <v>162</v>
      </c>
      <c r="O31" s="150"/>
      <c r="P31" s="150"/>
      <c r="Q31" s="75" t="s">
        <v>152</v>
      </c>
      <c r="R31" s="75" t="s">
        <v>152</v>
      </c>
      <c r="U31" s="146" t="s">
        <v>151</v>
      </c>
      <c r="V31" s="146"/>
      <c r="W31" s="146"/>
      <c r="X31" s="97" t="s">
        <v>50</v>
      </c>
      <c r="Y31" s="97" t="s">
        <v>50</v>
      </c>
      <c r="Z31" s="97" t="s">
        <v>50</v>
      </c>
      <c r="AA31" s="97" t="s">
        <v>50</v>
      </c>
      <c r="AB31" s="97" t="s">
        <v>50</v>
      </c>
    </row>
    <row r="32" spans="2:36">
      <c r="B32" s="155" t="s">
        <v>153</v>
      </c>
      <c r="C32" s="155"/>
      <c r="D32" s="155"/>
      <c r="E32" s="81">
        <v>2</v>
      </c>
      <c r="F32" s="81">
        <v>2</v>
      </c>
      <c r="H32" s="155" t="s">
        <v>159</v>
      </c>
      <c r="I32" s="155"/>
      <c r="J32" s="155"/>
      <c r="K32" s="81">
        <v>2</v>
      </c>
      <c r="L32" s="81">
        <v>4</v>
      </c>
      <c r="N32" s="149" t="s">
        <v>163</v>
      </c>
      <c r="O32" s="149"/>
      <c r="P32" s="149"/>
      <c r="Q32" s="81">
        <v>4</v>
      </c>
      <c r="R32" s="81">
        <v>4</v>
      </c>
      <c r="U32" s="143" t="s">
        <v>159</v>
      </c>
      <c r="V32" s="143"/>
      <c r="W32" s="143"/>
      <c r="X32" s="97">
        <v>4</v>
      </c>
      <c r="Y32" s="97">
        <v>4</v>
      </c>
      <c r="Z32" s="97">
        <v>2</v>
      </c>
      <c r="AA32" s="97">
        <v>2</v>
      </c>
      <c r="AB32" s="97">
        <v>2</v>
      </c>
      <c r="AD32" s="1" t="s">
        <v>193</v>
      </c>
    </row>
    <row r="33" spans="2:36">
      <c r="B33" s="150" t="s">
        <v>154</v>
      </c>
      <c r="C33" s="150"/>
      <c r="D33" s="150"/>
      <c r="E33" s="74">
        <v>7829</v>
      </c>
      <c r="F33" s="74">
        <v>7340</v>
      </c>
      <c r="H33" s="150" t="s">
        <v>154</v>
      </c>
      <c r="I33" s="150"/>
      <c r="J33" s="150"/>
      <c r="K33" s="74">
        <v>6884</v>
      </c>
      <c r="L33" s="74">
        <v>7031</v>
      </c>
      <c r="N33" s="150" t="s">
        <v>154</v>
      </c>
      <c r="O33" s="150"/>
      <c r="P33" s="150"/>
      <c r="Q33" s="74">
        <v>6698</v>
      </c>
      <c r="R33" s="74">
        <v>6417</v>
      </c>
      <c r="U33" s="144" t="s">
        <v>154</v>
      </c>
      <c r="V33" s="144"/>
      <c r="W33" s="144"/>
      <c r="X33" s="97">
        <v>6698</v>
      </c>
      <c r="Y33" s="97">
        <v>7031</v>
      </c>
      <c r="Z33" s="97">
        <v>6884</v>
      </c>
      <c r="AA33" s="97">
        <v>7340</v>
      </c>
      <c r="AB33" s="97">
        <v>7829</v>
      </c>
      <c r="AD33" s="1"/>
      <c r="AE33" t="s">
        <v>194</v>
      </c>
      <c r="AF33" s="104">
        <f>SUM(X31:X33)</f>
        <v>6702</v>
      </c>
      <c r="AG33" s="104">
        <f>SUM(Y31:Y33)</f>
        <v>7035</v>
      </c>
      <c r="AH33" s="104">
        <f t="shared" ref="AH33:AJ33" si="2">SUM(Z31:Z33)</f>
        <v>6886</v>
      </c>
      <c r="AI33" s="104">
        <f t="shared" si="2"/>
        <v>7342</v>
      </c>
      <c r="AJ33" s="104">
        <f t="shared" si="2"/>
        <v>7831</v>
      </c>
    </row>
    <row r="34" spans="2:36">
      <c r="B34" s="149" t="s">
        <v>155</v>
      </c>
      <c r="C34" s="149"/>
      <c r="D34" s="149"/>
      <c r="E34" s="90">
        <v>-1828</v>
      </c>
      <c r="F34" s="90">
        <v>-1805</v>
      </c>
      <c r="H34" s="149" t="s">
        <v>155</v>
      </c>
      <c r="I34" s="149"/>
      <c r="J34" s="149"/>
      <c r="K34" s="90">
        <v>-1829</v>
      </c>
      <c r="L34" s="90">
        <v>-1137</v>
      </c>
      <c r="N34" s="149" t="s">
        <v>155</v>
      </c>
      <c r="O34" s="149"/>
      <c r="P34" s="149"/>
      <c r="Q34" s="90">
        <v>-1297</v>
      </c>
      <c r="R34" s="90">
        <v>-1436</v>
      </c>
      <c r="U34" s="145" t="s">
        <v>155</v>
      </c>
      <c r="V34" s="145"/>
      <c r="W34" s="145"/>
      <c r="X34" s="97">
        <v>-1297</v>
      </c>
      <c r="Y34" s="97">
        <v>-1137</v>
      </c>
      <c r="Z34" s="97">
        <v>-1829</v>
      </c>
      <c r="AA34" s="97">
        <v>-1805</v>
      </c>
      <c r="AB34" s="97">
        <v>-1828</v>
      </c>
      <c r="AE34" t="s">
        <v>195</v>
      </c>
      <c r="AF34" s="104">
        <f t="shared" ref="AF34:AJ35" si="3">X34</f>
        <v>-1297</v>
      </c>
      <c r="AG34" s="104">
        <f t="shared" si="3"/>
        <v>-1137</v>
      </c>
      <c r="AH34" s="104">
        <f t="shared" si="3"/>
        <v>-1829</v>
      </c>
      <c r="AI34" s="104">
        <f t="shared" si="3"/>
        <v>-1805</v>
      </c>
      <c r="AJ34" s="104">
        <f t="shared" si="3"/>
        <v>-1828</v>
      </c>
    </row>
    <row r="35" spans="2:36" ht="15" thickBot="1">
      <c r="B35" s="150" t="s">
        <v>156</v>
      </c>
      <c r="C35" s="150"/>
      <c r="D35" s="150"/>
      <c r="E35" s="74">
        <v>17619</v>
      </c>
      <c r="F35" s="74">
        <v>19521</v>
      </c>
      <c r="H35" s="150" t="s">
        <v>156</v>
      </c>
      <c r="I35" s="150"/>
      <c r="J35" s="150"/>
      <c r="K35" s="82">
        <v>15585</v>
      </c>
      <c r="L35" s="82">
        <v>11666</v>
      </c>
      <c r="N35" s="150" t="s">
        <v>156</v>
      </c>
      <c r="O35" s="150"/>
      <c r="P35" s="150"/>
      <c r="Q35" s="82">
        <v>12879</v>
      </c>
      <c r="R35" s="82">
        <v>10258</v>
      </c>
      <c r="U35" s="144" t="s">
        <v>156</v>
      </c>
      <c r="V35" s="144"/>
      <c r="W35" s="144"/>
      <c r="X35" s="97">
        <v>12879</v>
      </c>
      <c r="Y35" s="97">
        <v>11666</v>
      </c>
      <c r="Z35" s="97">
        <v>15585</v>
      </c>
      <c r="AA35" s="97">
        <v>19521</v>
      </c>
      <c r="AB35" s="97">
        <v>17619</v>
      </c>
      <c r="AE35" t="s">
        <v>196</v>
      </c>
      <c r="AF35" s="104">
        <f t="shared" si="3"/>
        <v>12879</v>
      </c>
      <c r="AG35" s="104">
        <f t="shared" si="3"/>
        <v>11666</v>
      </c>
      <c r="AH35" s="104">
        <f t="shared" si="3"/>
        <v>15585</v>
      </c>
      <c r="AI35" s="104">
        <f t="shared" si="3"/>
        <v>19521</v>
      </c>
      <c r="AJ35" s="104">
        <f t="shared" si="3"/>
        <v>17619</v>
      </c>
    </row>
    <row r="36" spans="2:36">
      <c r="B36" s="91"/>
      <c r="C36" s="91"/>
      <c r="D36" s="91"/>
      <c r="E36" s="91"/>
      <c r="F36" s="91"/>
      <c r="H36" s="149" t="s">
        <v>160</v>
      </c>
      <c r="I36" s="149"/>
      <c r="J36" s="149"/>
      <c r="K36" s="92">
        <v>20642</v>
      </c>
      <c r="L36" s="92">
        <v>17564</v>
      </c>
      <c r="N36" s="149" t="s">
        <v>160</v>
      </c>
      <c r="O36" s="149"/>
      <c r="P36" s="149"/>
      <c r="Q36" s="92">
        <v>18284</v>
      </c>
      <c r="R36" s="92">
        <v>15243</v>
      </c>
      <c r="U36" s="145" t="s">
        <v>160</v>
      </c>
      <c r="V36" s="145"/>
      <c r="W36" s="145"/>
      <c r="X36" s="97">
        <v>18284</v>
      </c>
      <c r="Y36" s="97">
        <v>17564</v>
      </c>
      <c r="Z36" s="97">
        <v>20642</v>
      </c>
      <c r="AA36" s="97"/>
      <c r="AB36" s="97"/>
      <c r="AD36" s="5" t="s">
        <v>197</v>
      </c>
      <c r="AE36" s="5"/>
    </row>
    <row r="37" spans="2:36" ht="15" thickBot="1">
      <c r="B37" s="91"/>
      <c r="C37" s="91"/>
      <c r="D37" s="91"/>
      <c r="E37" s="91"/>
      <c r="F37" s="91"/>
      <c r="H37" s="150" t="s">
        <v>161</v>
      </c>
      <c r="I37" s="150"/>
      <c r="J37" s="150"/>
      <c r="K37" s="93">
        <v>5</v>
      </c>
      <c r="L37" s="93">
        <v>514</v>
      </c>
      <c r="N37" s="150" t="s">
        <v>161</v>
      </c>
      <c r="O37" s="150"/>
      <c r="P37" s="150"/>
      <c r="Q37" s="93">
        <v>421</v>
      </c>
      <c r="R37" s="93">
        <v>341</v>
      </c>
      <c r="U37" s="144" t="s">
        <v>161</v>
      </c>
      <c r="V37" s="144"/>
      <c r="W37" s="144"/>
      <c r="X37" s="97">
        <v>421</v>
      </c>
      <c r="Y37" s="97">
        <v>514</v>
      </c>
      <c r="Z37" s="97">
        <v>5</v>
      </c>
      <c r="AA37" s="97"/>
      <c r="AB37" s="97"/>
      <c r="AE37" t="s">
        <v>198</v>
      </c>
      <c r="AF37" s="104">
        <f>X37</f>
        <v>421</v>
      </c>
      <c r="AG37" s="104">
        <f>Y37</f>
        <v>514</v>
      </c>
      <c r="AH37" s="104">
        <f>Z37</f>
        <v>5</v>
      </c>
      <c r="AI37" s="104">
        <f>AA37</f>
        <v>0</v>
      </c>
      <c r="AJ37" s="104">
        <f>AB37</f>
        <v>0</v>
      </c>
    </row>
    <row r="38" spans="2:36" ht="15" thickBot="1">
      <c r="B38" s="152" t="s">
        <v>157</v>
      </c>
      <c r="C38" s="152"/>
      <c r="D38" s="152"/>
      <c r="E38" s="87">
        <v>23622</v>
      </c>
      <c r="F38" s="87">
        <v>25058</v>
      </c>
      <c r="H38" s="152" t="s">
        <v>157</v>
      </c>
      <c r="I38" s="152"/>
      <c r="J38" s="152"/>
      <c r="K38" s="87">
        <v>20647</v>
      </c>
      <c r="L38" s="87">
        <v>18078</v>
      </c>
      <c r="N38" s="149" t="s">
        <v>164</v>
      </c>
      <c r="O38" s="149"/>
      <c r="P38" s="149"/>
      <c r="Q38" s="87">
        <v>18705</v>
      </c>
      <c r="R38" s="87">
        <v>15584</v>
      </c>
      <c r="U38" s="141" t="s">
        <v>157</v>
      </c>
      <c r="V38" s="141"/>
      <c r="W38" s="141"/>
      <c r="X38" s="97">
        <v>18705</v>
      </c>
      <c r="Y38" s="97">
        <v>18078</v>
      </c>
      <c r="Z38" s="97">
        <v>20647</v>
      </c>
      <c r="AA38" s="97">
        <v>25058</v>
      </c>
      <c r="AB38" s="97">
        <v>23622</v>
      </c>
      <c r="AD38" s="5" t="s">
        <v>199</v>
      </c>
      <c r="AE38" s="5"/>
    </row>
    <row r="39" spans="2:36" ht="15" thickBot="1">
      <c r="B39" s="151" t="s">
        <v>158</v>
      </c>
      <c r="C39" s="151"/>
      <c r="D39" s="151"/>
      <c r="E39" s="94">
        <v>69831</v>
      </c>
      <c r="F39" s="94">
        <v>68994</v>
      </c>
      <c r="H39" s="151" t="s">
        <v>158</v>
      </c>
      <c r="I39" s="151"/>
      <c r="J39" s="151"/>
      <c r="K39" s="94">
        <v>64166</v>
      </c>
      <c r="L39" s="94">
        <v>59268</v>
      </c>
      <c r="N39" s="151" t="s">
        <v>158</v>
      </c>
      <c r="O39" s="151"/>
      <c r="P39" s="151"/>
      <c r="Q39" s="94">
        <v>55556</v>
      </c>
      <c r="R39" s="94">
        <v>45400</v>
      </c>
      <c r="U39" s="142" t="s">
        <v>158</v>
      </c>
      <c r="V39" s="142"/>
      <c r="W39" s="142"/>
      <c r="X39" s="97">
        <v>55556</v>
      </c>
      <c r="Y39" s="97">
        <v>59268</v>
      </c>
      <c r="Z39" s="97">
        <v>64166</v>
      </c>
      <c r="AA39" s="97">
        <v>68994</v>
      </c>
      <c r="AB39" s="97">
        <v>69831</v>
      </c>
      <c r="AD39" s="102" t="s">
        <v>200</v>
      </c>
      <c r="AE39" s="33"/>
    </row>
    <row r="40" spans="2:36" ht="15" thickTop="1"/>
  </sheetData>
  <mergeCells count="150">
    <mergeCell ref="B11:D11"/>
    <mergeCell ref="B12:D12"/>
    <mergeCell ref="B13:D13"/>
    <mergeCell ref="B2:D2"/>
    <mergeCell ref="B3:D3"/>
    <mergeCell ref="B4:D4"/>
    <mergeCell ref="B5:D5"/>
    <mergeCell ref="B6:D6"/>
    <mergeCell ref="B7:D7"/>
    <mergeCell ref="B35:D35"/>
    <mergeCell ref="B38:D38"/>
    <mergeCell ref="B39:D39"/>
    <mergeCell ref="B26:D26"/>
    <mergeCell ref="B27:D27"/>
    <mergeCell ref="B28:D28"/>
    <mergeCell ref="B29:D29"/>
    <mergeCell ref="B30:D30"/>
    <mergeCell ref="B31:D31"/>
    <mergeCell ref="H2:J2"/>
    <mergeCell ref="H3:J3"/>
    <mergeCell ref="H4:J4"/>
    <mergeCell ref="H5:J5"/>
    <mergeCell ref="H6:J6"/>
    <mergeCell ref="H7:J7"/>
    <mergeCell ref="B32:D32"/>
    <mergeCell ref="B33:D33"/>
    <mergeCell ref="B34:D34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H14:J14"/>
    <mergeCell ref="H15:J15"/>
    <mergeCell ref="H16:J16"/>
    <mergeCell ref="H17:J17"/>
    <mergeCell ref="H18:J18"/>
    <mergeCell ref="H19:J19"/>
    <mergeCell ref="H8:J8"/>
    <mergeCell ref="H9:J9"/>
    <mergeCell ref="H10:J10"/>
    <mergeCell ref="H11:J11"/>
    <mergeCell ref="H12:J12"/>
    <mergeCell ref="H13:J13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N10:P10"/>
    <mergeCell ref="N11:P11"/>
    <mergeCell ref="N12:P12"/>
    <mergeCell ref="N13:P13"/>
    <mergeCell ref="N14:P14"/>
    <mergeCell ref="N15:P15"/>
    <mergeCell ref="H38:J38"/>
    <mergeCell ref="H39:J39"/>
    <mergeCell ref="N2:P2"/>
    <mergeCell ref="N3:P3"/>
    <mergeCell ref="N4:P4"/>
    <mergeCell ref="N5:P5"/>
    <mergeCell ref="N6:P6"/>
    <mergeCell ref="N7:P7"/>
    <mergeCell ref="N8:P8"/>
    <mergeCell ref="N9:P9"/>
    <mergeCell ref="H32:J32"/>
    <mergeCell ref="H33:J33"/>
    <mergeCell ref="H34:J34"/>
    <mergeCell ref="H35:J35"/>
    <mergeCell ref="H36:J36"/>
    <mergeCell ref="H37:J37"/>
    <mergeCell ref="H26:J26"/>
    <mergeCell ref="H27:J27"/>
    <mergeCell ref="N22:P22"/>
    <mergeCell ref="N23:P23"/>
    <mergeCell ref="N24:P24"/>
    <mergeCell ref="N25:P25"/>
    <mergeCell ref="N26:P26"/>
    <mergeCell ref="N27:P27"/>
    <mergeCell ref="N16:P16"/>
    <mergeCell ref="N17:P17"/>
    <mergeCell ref="N18:P18"/>
    <mergeCell ref="N19:P19"/>
    <mergeCell ref="N20:P20"/>
    <mergeCell ref="N21:P21"/>
    <mergeCell ref="N34:P34"/>
    <mergeCell ref="N35:P35"/>
    <mergeCell ref="N36:P36"/>
    <mergeCell ref="N37:P37"/>
    <mergeCell ref="N38:P38"/>
    <mergeCell ref="N39:P39"/>
    <mergeCell ref="N28:P28"/>
    <mergeCell ref="N29:P29"/>
    <mergeCell ref="N30:P30"/>
    <mergeCell ref="N31:P31"/>
    <mergeCell ref="N32:P32"/>
    <mergeCell ref="N33:P33"/>
    <mergeCell ref="U8:W8"/>
    <mergeCell ref="U9:W9"/>
    <mergeCell ref="U10:W10"/>
    <mergeCell ref="U11:W11"/>
    <mergeCell ref="U12:W12"/>
    <mergeCell ref="U13:W13"/>
    <mergeCell ref="U2:W2"/>
    <mergeCell ref="U3:W3"/>
    <mergeCell ref="U4:W4"/>
    <mergeCell ref="U5:W5"/>
    <mergeCell ref="U6:W6"/>
    <mergeCell ref="U7:W7"/>
    <mergeCell ref="U20:W20"/>
    <mergeCell ref="U21:W21"/>
    <mergeCell ref="U22:W22"/>
    <mergeCell ref="U23:W23"/>
    <mergeCell ref="U24:W24"/>
    <mergeCell ref="U25:W25"/>
    <mergeCell ref="U14:W14"/>
    <mergeCell ref="U15:W15"/>
    <mergeCell ref="U16:W16"/>
    <mergeCell ref="U17:W17"/>
    <mergeCell ref="U18:W18"/>
    <mergeCell ref="U19:W19"/>
    <mergeCell ref="U38:W38"/>
    <mergeCell ref="U39:W39"/>
    <mergeCell ref="U32:W32"/>
    <mergeCell ref="U33:W33"/>
    <mergeCell ref="U34:W34"/>
    <mergeCell ref="U35:W35"/>
    <mergeCell ref="U36:W36"/>
    <mergeCell ref="U37:W37"/>
    <mergeCell ref="U26:W26"/>
    <mergeCell ref="U27:W27"/>
    <mergeCell ref="U28:W28"/>
    <mergeCell ref="U29:W29"/>
    <mergeCell ref="U30:W30"/>
    <mergeCell ref="U31:W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Model</vt:lpstr>
      <vt:lpstr>Performance Metrics</vt:lpstr>
      <vt:lpstr>Income Statement (Raw)</vt:lpstr>
      <vt:lpstr>CFS (Raw)</vt:lpstr>
      <vt:lpstr>Balance Sheet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Aggarwal</dc:creator>
  <cp:lastModifiedBy>Keshav Aggarwal</cp:lastModifiedBy>
  <dcterms:created xsi:type="dcterms:W3CDTF">2015-06-05T18:17:20Z</dcterms:created>
  <dcterms:modified xsi:type="dcterms:W3CDTF">2025-07-20T16:17:20Z</dcterms:modified>
</cp:coreProperties>
</file>