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b7d91c61a0f33f7/Desktop/VS_Code/automated_financial_model/"/>
    </mc:Choice>
  </mc:AlternateContent>
  <xr:revisionPtr revIDLastSave="4164" documentId="11_F25DC773A252ABDACC1048EDE15D42E05BDE58EC" xr6:coauthVersionLast="47" xr6:coauthVersionMax="47" xr10:uidLastSave="{D7EBE3AF-3FA8-4D93-8D22-31DFF0AFBABF}"/>
  <bookViews>
    <workbookView xWindow="-110" yWindow="-110" windowWidth="25820" windowHeight="13900" xr2:uid="{00000000-000D-0000-FFFF-FFFF00000000}"/>
  </bookViews>
  <sheets>
    <sheet name="Financial Model" sheetId="1" r:id="rId1"/>
    <sheet name="Performance Metrics" sheetId="9" r:id="rId2"/>
    <sheet name="Income Statement (Raw)" sheetId="3" state="hidden" r:id="rId3"/>
    <sheet name="CFS (Raw)" sheetId="5" state="hidden" r:id="rId4"/>
    <sheet name="Balance Sheet (Raw)" sheetId="7" state="hidden" r:id="rId5"/>
  </sheets>
  <definedNames>
    <definedName name="_xlnm._FilterDatabase" localSheetId="0" hidden="1">'Financial Model'!$K$8:$K$8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0" i="1" l="1"/>
  <c r="L170" i="1" s="1"/>
  <c r="M170" i="1" s="1"/>
  <c r="N170" i="1" s="1"/>
  <c r="O170" i="1" s="1"/>
  <c r="K169" i="1"/>
  <c r="L169" i="1" s="1"/>
  <c r="M169" i="1" s="1"/>
  <c r="N169" i="1" s="1"/>
  <c r="O169" i="1" s="1"/>
  <c r="J479" i="1" l="1"/>
  <c r="I479" i="1"/>
  <c r="H479" i="1"/>
  <c r="G479" i="1"/>
  <c r="F479" i="1"/>
  <c r="J464" i="1"/>
  <c r="I464" i="1"/>
  <c r="H464" i="1"/>
  <c r="J463" i="1"/>
  <c r="I463" i="1"/>
  <c r="H463" i="1"/>
  <c r="J452" i="1"/>
  <c r="O449" i="1"/>
  <c r="N449" i="1"/>
  <c r="M449" i="1"/>
  <c r="L449" i="1"/>
  <c r="K449" i="1"/>
  <c r="J446" i="1"/>
  <c r="O442" i="1"/>
  <c r="N442" i="1"/>
  <c r="M442" i="1"/>
  <c r="L442" i="1"/>
  <c r="K442" i="1"/>
  <c r="O441" i="1"/>
  <c r="N441" i="1"/>
  <c r="M441" i="1"/>
  <c r="L441" i="1"/>
  <c r="K441" i="1"/>
  <c r="J438" i="1"/>
  <c r="K451" i="1" s="1"/>
  <c r="L451" i="1" s="1"/>
  <c r="M451" i="1" s="1"/>
  <c r="N451" i="1" s="1"/>
  <c r="O451" i="1" s="1"/>
  <c r="J395" i="1"/>
  <c r="K393" i="1" s="1"/>
  <c r="O55" i="1"/>
  <c r="O398" i="1" s="1"/>
  <c r="N55" i="1"/>
  <c r="N398" i="1" s="1"/>
  <c r="M55" i="1"/>
  <c r="M398" i="1" s="1"/>
  <c r="L55" i="1"/>
  <c r="L398" i="1" s="1"/>
  <c r="K55" i="1"/>
  <c r="K398" i="1" s="1"/>
  <c r="P427" i="1"/>
  <c r="O427" i="1"/>
  <c r="N427" i="1"/>
  <c r="M427" i="1"/>
  <c r="L427" i="1"/>
  <c r="K427" i="1"/>
  <c r="J421" i="1"/>
  <c r="K419" i="1" s="1"/>
  <c r="K408" i="1"/>
  <c r="L408" i="1" s="1"/>
  <c r="M408" i="1" s="1"/>
  <c r="N408" i="1" s="1"/>
  <c r="O408" i="1" s="1"/>
  <c r="O380" i="1"/>
  <c r="N380" i="1"/>
  <c r="M380" i="1"/>
  <c r="L380" i="1"/>
  <c r="K380" i="1"/>
  <c r="J381" i="1"/>
  <c r="J383" i="1" s="1"/>
  <c r="I381" i="1"/>
  <c r="I383" i="1" s="1"/>
  <c r="H381" i="1"/>
  <c r="H383" i="1" s="1"/>
  <c r="G381" i="1"/>
  <c r="G383" i="1" s="1"/>
  <c r="F381" i="1"/>
  <c r="F383" i="1" s="1"/>
  <c r="E377" i="1"/>
  <c r="J376" i="1"/>
  <c r="O376" i="1" s="1"/>
  <c r="O141" i="1" s="1"/>
  <c r="I376" i="1"/>
  <c r="H376" i="1"/>
  <c r="G376" i="1"/>
  <c r="J375" i="1"/>
  <c r="I375" i="1"/>
  <c r="H375" i="1"/>
  <c r="G375" i="1"/>
  <c r="F376" i="1"/>
  <c r="F375" i="1"/>
  <c r="O57" i="1"/>
  <c r="N57" i="1"/>
  <c r="M57" i="1"/>
  <c r="L57" i="1"/>
  <c r="K53" i="1"/>
  <c r="L53" i="1" s="1"/>
  <c r="M53" i="1" s="1"/>
  <c r="N53" i="1" s="1"/>
  <c r="O53" i="1" s="1"/>
  <c r="O418" i="1" s="1"/>
  <c r="O338" i="1"/>
  <c r="N338" i="1"/>
  <c r="M338" i="1"/>
  <c r="L338" i="1"/>
  <c r="K338" i="1"/>
  <c r="L102" i="1"/>
  <c r="M102" i="1" s="1"/>
  <c r="N102" i="1" s="1"/>
  <c r="O102" i="1" s="1"/>
  <c r="K164" i="1"/>
  <c r="L164" i="1" s="1"/>
  <c r="M164" i="1" s="1"/>
  <c r="N164" i="1" s="1"/>
  <c r="O164" i="1" s="1"/>
  <c r="K149" i="1"/>
  <c r="L149" i="1" s="1"/>
  <c r="M149" i="1" s="1"/>
  <c r="N149" i="1" s="1"/>
  <c r="O149" i="1" s="1"/>
  <c r="K364" i="1"/>
  <c r="F358" i="1"/>
  <c r="J358" i="1"/>
  <c r="I358" i="1"/>
  <c r="H358" i="1"/>
  <c r="G358" i="1"/>
  <c r="J357" i="1"/>
  <c r="I357" i="1"/>
  <c r="H357" i="1"/>
  <c r="G357" i="1"/>
  <c r="F357" i="1"/>
  <c r="K346" i="1"/>
  <c r="J346" i="1"/>
  <c r="I346" i="1"/>
  <c r="H346" i="1"/>
  <c r="G346" i="1"/>
  <c r="F346" i="1"/>
  <c r="J340" i="1"/>
  <c r="J347" i="1" s="1"/>
  <c r="I340" i="1"/>
  <c r="I347" i="1" s="1"/>
  <c r="H340" i="1"/>
  <c r="H347" i="1" s="1"/>
  <c r="G340" i="1"/>
  <c r="G347" i="1" s="1"/>
  <c r="F340" i="1"/>
  <c r="F347" i="1" s="1"/>
  <c r="J339" i="1"/>
  <c r="I339" i="1"/>
  <c r="H339" i="1"/>
  <c r="G339" i="1"/>
  <c r="F339" i="1"/>
  <c r="J304" i="1"/>
  <c r="J316" i="1"/>
  <c r="J315" i="1"/>
  <c r="J314" i="1"/>
  <c r="J313" i="1"/>
  <c r="J312" i="1"/>
  <c r="J310" i="1"/>
  <c r="J309" i="1"/>
  <c r="J308" i="1"/>
  <c r="J302" i="1"/>
  <c r="J160" i="1"/>
  <c r="J166" i="1" s="1"/>
  <c r="J145" i="1"/>
  <c r="J151" i="1" s="1"/>
  <c r="I160" i="1"/>
  <c r="I166" i="1" s="1"/>
  <c r="H160" i="1"/>
  <c r="H166" i="1" s="1"/>
  <c r="G160" i="1"/>
  <c r="G166" i="1" s="1"/>
  <c r="F160" i="1"/>
  <c r="F166" i="1" s="1"/>
  <c r="I145" i="1"/>
  <c r="I151" i="1" s="1"/>
  <c r="H145" i="1"/>
  <c r="H151" i="1" s="1"/>
  <c r="G145" i="1"/>
  <c r="G151" i="1" s="1"/>
  <c r="F145" i="1"/>
  <c r="F151" i="1" s="1"/>
  <c r="J28" i="1"/>
  <c r="J292" i="1"/>
  <c r="I292" i="1"/>
  <c r="H292" i="1"/>
  <c r="G292" i="1"/>
  <c r="F292" i="1"/>
  <c r="J282" i="1"/>
  <c r="I282" i="1"/>
  <c r="H282" i="1"/>
  <c r="G282" i="1"/>
  <c r="F282" i="1"/>
  <c r="J277" i="1"/>
  <c r="I277" i="1"/>
  <c r="H277" i="1"/>
  <c r="G277" i="1"/>
  <c r="J276" i="1"/>
  <c r="I276" i="1"/>
  <c r="H276" i="1"/>
  <c r="G276" i="1"/>
  <c r="F277" i="1"/>
  <c r="F276" i="1"/>
  <c r="J264" i="1"/>
  <c r="J256" i="1"/>
  <c r="I256" i="1"/>
  <c r="H256" i="1"/>
  <c r="G256" i="1"/>
  <c r="F256" i="1"/>
  <c r="J244" i="1"/>
  <c r="I244" i="1"/>
  <c r="H244" i="1"/>
  <c r="G244" i="1"/>
  <c r="F244" i="1"/>
  <c r="E245" i="1"/>
  <c r="J239" i="1"/>
  <c r="I239" i="1"/>
  <c r="J235" i="1" s="1"/>
  <c r="J237" i="1" s="1"/>
  <c r="H239" i="1"/>
  <c r="G239" i="1"/>
  <c r="F239" i="1"/>
  <c r="G235" i="1" s="1"/>
  <c r="G237" i="1" s="1"/>
  <c r="E237" i="1"/>
  <c r="E240" i="1" s="1"/>
  <c r="F235" i="1"/>
  <c r="F237" i="1" s="1"/>
  <c r="E232" i="1"/>
  <c r="O6" i="1"/>
  <c r="O216" i="1" s="1"/>
  <c r="O217" i="1" s="1"/>
  <c r="N6" i="1"/>
  <c r="N216" i="1" s="1"/>
  <c r="N217" i="1" s="1"/>
  <c r="M6" i="1"/>
  <c r="M216" i="1" s="1"/>
  <c r="M217" i="1" s="1"/>
  <c r="L6" i="1"/>
  <c r="L216" i="1" s="1"/>
  <c r="K6" i="1"/>
  <c r="K216" i="1" s="1"/>
  <c r="J6" i="1"/>
  <c r="J216" i="1" s="1"/>
  <c r="I6" i="1"/>
  <c r="I216" i="1" s="1"/>
  <c r="H6" i="1"/>
  <c r="H216" i="1" s="1"/>
  <c r="G6" i="1"/>
  <c r="G216" i="1" s="1"/>
  <c r="F6" i="1"/>
  <c r="F216" i="1" s="1"/>
  <c r="F207" i="1"/>
  <c r="J189" i="1"/>
  <c r="J225" i="1" s="1"/>
  <c r="I189" i="1"/>
  <c r="H189" i="1"/>
  <c r="G189" i="1"/>
  <c r="F189" i="1"/>
  <c r="F190" i="1" s="1"/>
  <c r="J188" i="1"/>
  <c r="I188" i="1"/>
  <c r="H188" i="1"/>
  <c r="G188" i="1"/>
  <c r="F188" i="1"/>
  <c r="J185" i="1"/>
  <c r="J221" i="1" s="1"/>
  <c r="I185" i="1"/>
  <c r="H185" i="1"/>
  <c r="G185" i="1"/>
  <c r="F185" i="1"/>
  <c r="E185" i="1"/>
  <c r="J172" i="1"/>
  <c r="J174" i="1" s="1"/>
  <c r="I172" i="1"/>
  <c r="I174" i="1" s="1"/>
  <c r="H172" i="1"/>
  <c r="H174" i="1" s="1"/>
  <c r="G172" i="1"/>
  <c r="G174" i="1" s="1"/>
  <c r="F172" i="1"/>
  <c r="F174" i="1" s="1"/>
  <c r="AJ37" i="7"/>
  <c r="AI37" i="7"/>
  <c r="AH37" i="7"/>
  <c r="AG37" i="7"/>
  <c r="AF37" i="7"/>
  <c r="AJ35" i="7"/>
  <c r="AJ34" i="7"/>
  <c r="AI35" i="7"/>
  <c r="AI34" i="7"/>
  <c r="AH35" i="7"/>
  <c r="AH34" i="7"/>
  <c r="AG35" i="7"/>
  <c r="AG34" i="7"/>
  <c r="AJ33" i="7"/>
  <c r="AI33" i="7"/>
  <c r="AH33" i="7"/>
  <c r="AG33" i="7"/>
  <c r="AF33" i="7"/>
  <c r="AF35" i="7"/>
  <c r="AF34" i="7"/>
  <c r="AJ20" i="7"/>
  <c r="AI20" i="7"/>
  <c r="AJ19" i="7"/>
  <c r="AI19" i="7"/>
  <c r="AJ18" i="7"/>
  <c r="AI18" i="7"/>
  <c r="AJ17" i="7"/>
  <c r="AI17" i="7"/>
  <c r="AH20" i="7"/>
  <c r="AH19" i="7"/>
  <c r="AH18" i="7"/>
  <c r="AH17" i="7"/>
  <c r="AG20" i="7"/>
  <c r="AG19" i="7"/>
  <c r="AG18" i="7"/>
  <c r="AG17" i="7"/>
  <c r="AJ27" i="7"/>
  <c r="AJ26" i="7"/>
  <c r="AI27" i="7"/>
  <c r="AI26" i="7"/>
  <c r="AH27" i="7"/>
  <c r="AH26" i="7"/>
  <c r="AG27" i="7"/>
  <c r="AG26" i="7"/>
  <c r="AF27" i="7"/>
  <c r="AJ25" i="7"/>
  <c r="AI25" i="7"/>
  <c r="AH25" i="7"/>
  <c r="AG25" i="7"/>
  <c r="AF25" i="7"/>
  <c r="AF26" i="7"/>
  <c r="AF20" i="7"/>
  <c r="AF19" i="7"/>
  <c r="AF18" i="7"/>
  <c r="AF17" i="7"/>
  <c r="J123" i="1"/>
  <c r="I123" i="1"/>
  <c r="H123" i="1"/>
  <c r="G123" i="1"/>
  <c r="F123" i="1"/>
  <c r="J114" i="1"/>
  <c r="I114" i="1"/>
  <c r="H114" i="1"/>
  <c r="G114" i="1"/>
  <c r="F114" i="1"/>
  <c r="J109" i="1"/>
  <c r="I109" i="1"/>
  <c r="H109" i="1"/>
  <c r="G109" i="1"/>
  <c r="F109" i="1"/>
  <c r="Q8" i="5"/>
  <c r="S8" i="5"/>
  <c r="H15" i="5"/>
  <c r="H14" i="5"/>
  <c r="H13" i="5"/>
  <c r="H12" i="5"/>
  <c r="H8" i="5"/>
  <c r="H7" i="5"/>
  <c r="H6" i="5"/>
  <c r="H5" i="5"/>
  <c r="H4" i="5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J72" i="1"/>
  <c r="J77" i="1" s="1"/>
  <c r="J82" i="1" s="1"/>
  <c r="J84" i="1" s="1"/>
  <c r="J86" i="1" s="1"/>
  <c r="J93" i="1" s="1"/>
  <c r="I72" i="1"/>
  <c r="I77" i="1" s="1"/>
  <c r="I82" i="1" s="1"/>
  <c r="I84" i="1" s="1"/>
  <c r="I86" i="1" s="1"/>
  <c r="I93" i="1" s="1"/>
  <c r="H72" i="1"/>
  <c r="H77" i="1" s="1"/>
  <c r="H82" i="1" s="1"/>
  <c r="H84" i="1" s="1"/>
  <c r="H86" i="1" s="1"/>
  <c r="H93" i="1" s="1"/>
  <c r="G72" i="1"/>
  <c r="G77" i="1" s="1"/>
  <c r="G82" i="1" s="1"/>
  <c r="G84" i="1" s="1"/>
  <c r="G86" i="1" s="1"/>
  <c r="G93" i="1" s="1"/>
  <c r="F72" i="1"/>
  <c r="F77" i="1" s="1"/>
  <c r="F82" i="1" s="1"/>
  <c r="F84" i="1" s="1"/>
  <c r="F86" i="1" s="1"/>
  <c r="F93" i="1" s="1"/>
  <c r="K18" i="1"/>
  <c r="L18" i="1"/>
  <c r="M18" i="1"/>
  <c r="N18" i="1"/>
  <c r="O18" i="1"/>
  <c r="H466" i="1" l="1"/>
  <c r="H468" i="1" s="1"/>
  <c r="I466" i="1"/>
  <c r="I470" i="1" s="1"/>
  <c r="J466" i="1"/>
  <c r="J468" i="1" s="1"/>
  <c r="J436" i="1"/>
  <c r="K423" i="1"/>
  <c r="O423" i="1"/>
  <c r="L423" i="1"/>
  <c r="M423" i="1"/>
  <c r="N423" i="1"/>
  <c r="M418" i="1"/>
  <c r="N418" i="1"/>
  <c r="K415" i="1"/>
  <c r="M415" i="1"/>
  <c r="N415" i="1"/>
  <c r="O415" i="1"/>
  <c r="K418" i="1"/>
  <c r="L418" i="1"/>
  <c r="G377" i="1"/>
  <c r="F377" i="1"/>
  <c r="F378" i="1" s="1"/>
  <c r="F380" i="1" s="1"/>
  <c r="H377" i="1"/>
  <c r="I377" i="1"/>
  <c r="L415" i="1"/>
  <c r="J384" i="1"/>
  <c r="K376" i="1"/>
  <c r="K141" i="1" s="1"/>
  <c r="L376" i="1"/>
  <c r="L141" i="1" s="1"/>
  <c r="M376" i="1"/>
  <c r="M141" i="1" s="1"/>
  <c r="J377" i="1"/>
  <c r="N376" i="1"/>
  <c r="N141" i="1" s="1"/>
  <c r="J348" i="1"/>
  <c r="J352" i="1" s="1"/>
  <c r="J354" i="1" s="1"/>
  <c r="G359" i="1"/>
  <c r="H359" i="1"/>
  <c r="I359" i="1"/>
  <c r="J359" i="1"/>
  <c r="F359" i="1"/>
  <c r="I348" i="1"/>
  <c r="I352" i="1" s="1"/>
  <c r="I354" i="1" s="1"/>
  <c r="F348" i="1"/>
  <c r="F352" i="1" s="1"/>
  <c r="F354" i="1" s="1"/>
  <c r="G348" i="1"/>
  <c r="G352" i="1" s="1"/>
  <c r="G354" i="1" s="1"/>
  <c r="H348" i="1"/>
  <c r="H352" i="1" s="1"/>
  <c r="H354" i="1" s="1"/>
  <c r="H341" i="1"/>
  <c r="F341" i="1"/>
  <c r="I341" i="1"/>
  <c r="G341" i="1"/>
  <c r="J341" i="1"/>
  <c r="K46" i="1" s="1"/>
  <c r="L46" i="1" s="1"/>
  <c r="M46" i="1" s="1"/>
  <c r="N46" i="1" s="1"/>
  <c r="O46" i="1" s="1"/>
  <c r="O341" i="1" s="1"/>
  <c r="I278" i="1"/>
  <c r="J278" i="1"/>
  <c r="F283" i="1"/>
  <c r="G283" i="1"/>
  <c r="H283" i="1"/>
  <c r="I283" i="1"/>
  <c r="I293" i="1"/>
  <c r="G293" i="1"/>
  <c r="H293" i="1"/>
  <c r="J293" i="1"/>
  <c r="J285" i="1"/>
  <c r="G278" i="1"/>
  <c r="H278" i="1"/>
  <c r="J283" i="1"/>
  <c r="F278" i="1"/>
  <c r="F293" i="1"/>
  <c r="G242" i="1"/>
  <c r="G245" i="1" s="1"/>
  <c r="G257" i="1" s="1"/>
  <c r="H242" i="1"/>
  <c r="H245" i="1" s="1"/>
  <c r="H257" i="1" s="1"/>
  <c r="E247" i="1"/>
  <c r="J242" i="1"/>
  <c r="J245" i="1" s="1"/>
  <c r="J254" i="1" s="1"/>
  <c r="F242" i="1"/>
  <c r="F245" i="1" s="1"/>
  <c r="F257" i="1" s="1"/>
  <c r="H235" i="1"/>
  <c r="H237" i="1" s="1"/>
  <c r="H240" i="1" s="1"/>
  <c r="H259" i="1" s="1"/>
  <c r="I235" i="1"/>
  <c r="I237" i="1" s="1"/>
  <c r="I240" i="1" s="1"/>
  <c r="I259" i="1" s="1"/>
  <c r="I242" i="1"/>
  <c r="I245" i="1" s="1"/>
  <c r="I257" i="1" s="1"/>
  <c r="J263" i="1"/>
  <c r="J265" i="1" s="1"/>
  <c r="L217" i="1"/>
  <c r="F209" i="1"/>
  <c r="G207" i="1" s="1"/>
  <c r="G211" i="1" s="1"/>
  <c r="K217" i="1"/>
  <c r="J240" i="1"/>
  <c r="G240" i="1"/>
  <c r="G259" i="1" s="1"/>
  <c r="F240" i="1"/>
  <c r="F259" i="1" s="1"/>
  <c r="F198" i="1"/>
  <c r="F213" i="1" s="1"/>
  <c r="F211" i="1"/>
  <c r="H198" i="1"/>
  <c r="I198" i="1"/>
  <c r="J198" i="1"/>
  <c r="H190" i="1"/>
  <c r="H193" i="1" s="1"/>
  <c r="G198" i="1"/>
  <c r="F193" i="1"/>
  <c r="G190" i="1"/>
  <c r="G193" i="1" s="1"/>
  <c r="G195" i="1" s="1"/>
  <c r="I190" i="1"/>
  <c r="I193" i="1" s="1"/>
  <c r="J190" i="1"/>
  <c r="J193" i="1" s="1"/>
  <c r="J195" i="1" s="1"/>
  <c r="F175" i="1"/>
  <c r="F136" i="1" s="1"/>
  <c r="G175" i="1"/>
  <c r="G136" i="1" s="1"/>
  <c r="I175" i="1"/>
  <c r="I136" i="1" s="1"/>
  <c r="H175" i="1"/>
  <c r="H136" i="1" s="1"/>
  <c r="J175" i="1"/>
  <c r="J136" i="1" s="1"/>
  <c r="F126" i="1"/>
  <c r="F128" i="1" s="1"/>
  <c r="G127" i="1" s="1"/>
  <c r="H126" i="1"/>
  <c r="I126" i="1"/>
  <c r="J126" i="1"/>
  <c r="G126" i="1"/>
  <c r="J92" i="1"/>
  <c r="F92" i="1"/>
  <c r="G92" i="1"/>
  <c r="I92" i="1"/>
  <c r="H92" i="1"/>
  <c r="H470" i="1" l="1"/>
  <c r="I468" i="1"/>
  <c r="J469" i="1" s="1"/>
  <c r="J470" i="1"/>
  <c r="I378" i="1"/>
  <c r="I380" i="1" s="1"/>
  <c r="J378" i="1"/>
  <c r="G378" i="1"/>
  <c r="G380" i="1" s="1"/>
  <c r="H378" i="1"/>
  <c r="H380" i="1" s="1"/>
  <c r="N384" i="1"/>
  <c r="M384" i="1"/>
  <c r="L384" i="1"/>
  <c r="K384" i="1"/>
  <c r="O384" i="1"/>
  <c r="O343" i="1"/>
  <c r="N341" i="1"/>
  <c r="M341" i="1"/>
  <c r="K341" i="1"/>
  <c r="L341" i="1"/>
  <c r="J360" i="1"/>
  <c r="J355" i="1"/>
  <c r="J286" i="1"/>
  <c r="J284" i="1"/>
  <c r="J42" i="1" s="1"/>
  <c r="J294" i="1"/>
  <c r="N294" i="1" s="1"/>
  <c r="J279" i="1"/>
  <c r="J40" i="1" s="1"/>
  <c r="K40" i="1" s="1"/>
  <c r="K279" i="1" s="1"/>
  <c r="J257" i="1"/>
  <c r="K35" i="1" s="1"/>
  <c r="K257" i="1" s="1"/>
  <c r="F231" i="1"/>
  <c r="F232" i="1" s="1"/>
  <c r="F250" i="1" s="1"/>
  <c r="I213" i="1"/>
  <c r="G209" i="1"/>
  <c r="H207" i="1" s="1"/>
  <c r="H209" i="1" s="1"/>
  <c r="I207" i="1" s="1"/>
  <c r="F199" i="1"/>
  <c r="G213" i="1"/>
  <c r="G214" i="1" s="1"/>
  <c r="G217" i="1" s="1"/>
  <c r="H199" i="1"/>
  <c r="H195" i="1"/>
  <c r="F195" i="1"/>
  <c r="J266" i="1"/>
  <c r="J267" i="1" s="1"/>
  <c r="K263" i="1" s="1"/>
  <c r="J259" i="1"/>
  <c r="J260" i="1" s="1"/>
  <c r="J37" i="1" s="1"/>
  <c r="I199" i="1"/>
  <c r="G199" i="1"/>
  <c r="F214" i="1"/>
  <c r="F217" i="1" s="1"/>
  <c r="J213" i="1"/>
  <c r="H213" i="1"/>
  <c r="J199" i="1"/>
  <c r="I195" i="1"/>
  <c r="G128" i="1"/>
  <c r="H127" i="1" s="1"/>
  <c r="H128" i="1" s="1"/>
  <c r="I127" i="1" s="1"/>
  <c r="I128" i="1" s="1"/>
  <c r="J127" i="1" s="1"/>
  <c r="J128" i="1" s="1"/>
  <c r="K127" i="1" s="1"/>
  <c r="K388" i="1" s="1"/>
  <c r="K12" i="1"/>
  <c r="K208" i="1" s="1"/>
  <c r="K339" i="1" s="1"/>
  <c r="L12" i="1"/>
  <c r="L208" i="1" s="1"/>
  <c r="L339" i="1" s="1"/>
  <c r="M12" i="1"/>
  <c r="M208" i="1" s="1"/>
  <c r="M339" i="1" s="1"/>
  <c r="N12" i="1"/>
  <c r="N208" i="1" s="1"/>
  <c r="N339" i="1" s="1"/>
  <c r="O12" i="1"/>
  <c r="O208" i="1" s="1"/>
  <c r="O339" i="1" s="1"/>
  <c r="O342" i="1" s="1"/>
  <c r="K8" i="1"/>
  <c r="J380" i="1" l="1"/>
  <c r="K382" i="1"/>
  <c r="J471" i="1"/>
  <c r="K471" i="1" s="1"/>
  <c r="L471" i="1" s="1"/>
  <c r="M471" i="1" s="1"/>
  <c r="N471" i="1" s="1"/>
  <c r="O471" i="1" s="1"/>
  <c r="K461" i="1"/>
  <c r="J461" i="1" s="1"/>
  <c r="I461" i="1" s="1"/>
  <c r="H461" i="1" s="1"/>
  <c r="G461" i="1" s="1"/>
  <c r="F461" i="1" s="1"/>
  <c r="E461" i="1" s="1"/>
  <c r="K478" i="1"/>
  <c r="J478" i="1" s="1"/>
  <c r="I478" i="1" s="1"/>
  <c r="H478" i="1" s="1"/>
  <c r="G478" i="1" s="1"/>
  <c r="F478" i="1" s="1"/>
  <c r="E478" i="1" s="1"/>
  <c r="K372" i="1"/>
  <c r="K404" i="1" s="1"/>
  <c r="K412" i="1" s="1"/>
  <c r="K435" i="1"/>
  <c r="J435" i="1" s="1"/>
  <c r="I435" i="1" s="1"/>
  <c r="H435" i="1" s="1"/>
  <c r="G435" i="1" s="1"/>
  <c r="F435" i="1" s="1"/>
  <c r="E435" i="1" s="1"/>
  <c r="O344" i="1"/>
  <c r="O112" i="1" s="1"/>
  <c r="L342" i="1"/>
  <c r="L343" i="1"/>
  <c r="K342" i="1"/>
  <c r="K343" i="1"/>
  <c r="M342" i="1"/>
  <c r="M343" i="1"/>
  <c r="N342" i="1"/>
  <c r="N343" i="1"/>
  <c r="O349" i="1"/>
  <c r="N349" i="1"/>
  <c r="K349" i="1"/>
  <c r="M349" i="1"/>
  <c r="L349" i="1"/>
  <c r="L40" i="1"/>
  <c r="M40" i="1" s="1"/>
  <c r="K336" i="1"/>
  <c r="J336" i="1" s="1"/>
  <c r="I336" i="1" s="1"/>
  <c r="H336" i="1" s="1"/>
  <c r="G336" i="1" s="1"/>
  <c r="F336" i="1" s="1"/>
  <c r="G231" i="1"/>
  <c r="G232" i="1" s="1"/>
  <c r="G250" i="1" s="1"/>
  <c r="K294" i="1"/>
  <c r="L294" i="1"/>
  <c r="M294" i="1"/>
  <c r="O294" i="1"/>
  <c r="K275" i="1"/>
  <c r="J275" i="1" s="1"/>
  <c r="I275" i="1" s="1"/>
  <c r="H275" i="1" s="1"/>
  <c r="G275" i="1" s="1"/>
  <c r="F275" i="1" s="1"/>
  <c r="K300" i="1"/>
  <c r="J300" i="1" s="1"/>
  <c r="I300" i="1" s="1"/>
  <c r="H300" i="1" s="1"/>
  <c r="G300" i="1" s="1"/>
  <c r="F300" i="1" s="1"/>
  <c r="L35" i="1"/>
  <c r="L257" i="1" s="1"/>
  <c r="H211" i="1"/>
  <c r="H214" i="1" s="1"/>
  <c r="H217" i="1" s="1"/>
  <c r="G200" i="1"/>
  <c r="F247" i="1"/>
  <c r="F249" i="1" s="1"/>
  <c r="F252" i="1" s="1"/>
  <c r="J202" i="1"/>
  <c r="J27" i="1" s="1"/>
  <c r="K26" i="1" s="1"/>
  <c r="I200" i="1"/>
  <c r="J196" i="1"/>
  <c r="K30" i="1" s="1"/>
  <c r="H231" i="1"/>
  <c r="H232" i="1" s="1"/>
  <c r="H200" i="1"/>
  <c r="I209" i="1"/>
  <c r="J207" i="1" s="1"/>
  <c r="I211" i="1"/>
  <c r="I214" i="1" s="1"/>
  <c r="I217" i="1" s="1"/>
  <c r="J200" i="1"/>
  <c r="K138" i="1"/>
  <c r="J138" i="1" s="1"/>
  <c r="I138" i="1" s="1"/>
  <c r="H138" i="1" s="1"/>
  <c r="G138" i="1" s="1"/>
  <c r="F138" i="1" s="1"/>
  <c r="K182" i="1"/>
  <c r="J182" i="1" s="1"/>
  <c r="I182" i="1" s="1"/>
  <c r="H182" i="1" s="1"/>
  <c r="G182" i="1" s="1"/>
  <c r="F182" i="1" s="1"/>
  <c r="E182" i="1" s="1"/>
  <c r="K98" i="1"/>
  <c r="J98" i="1" s="1"/>
  <c r="I98" i="1" s="1"/>
  <c r="H98" i="1" s="1"/>
  <c r="G98" i="1" s="1"/>
  <c r="F98" i="1" s="1"/>
  <c r="K68" i="1"/>
  <c r="J68" i="1" s="1"/>
  <c r="I68" i="1" s="1"/>
  <c r="H68" i="1" s="1"/>
  <c r="G68" i="1" s="1"/>
  <c r="F68" i="1" s="1"/>
  <c r="L8" i="1"/>
  <c r="L478" i="1" s="1"/>
  <c r="L435" i="1" l="1"/>
  <c r="L461" i="1"/>
  <c r="K405" i="1"/>
  <c r="K413" i="1" s="1"/>
  <c r="J372" i="1"/>
  <c r="I372" i="1" s="1"/>
  <c r="H372" i="1" s="1"/>
  <c r="G372" i="1" s="1"/>
  <c r="F372" i="1" s="1"/>
  <c r="E372" i="1" s="1"/>
  <c r="K403" i="1"/>
  <c r="K411" i="1" s="1"/>
  <c r="K406" i="1"/>
  <c r="K414" i="1" s="1"/>
  <c r="L279" i="1"/>
  <c r="N344" i="1"/>
  <c r="N112" i="1" s="1"/>
  <c r="M344" i="1"/>
  <c r="K344" i="1"/>
  <c r="K112" i="1" s="1"/>
  <c r="L344" i="1"/>
  <c r="L112" i="1" s="1"/>
  <c r="L336" i="1"/>
  <c r="L372" i="1"/>
  <c r="G247" i="1"/>
  <c r="G249" i="1" s="1"/>
  <c r="G252" i="1" s="1"/>
  <c r="K204" i="1"/>
  <c r="K222" i="1" s="1"/>
  <c r="L26" i="1"/>
  <c r="L275" i="1"/>
  <c r="L300" i="1"/>
  <c r="N40" i="1"/>
  <c r="M279" i="1"/>
  <c r="M35" i="1"/>
  <c r="M257" i="1" s="1"/>
  <c r="I231" i="1"/>
  <c r="I232" i="1" s="1"/>
  <c r="H250" i="1"/>
  <c r="H247" i="1"/>
  <c r="J209" i="1"/>
  <c r="K207" i="1" s="1"/>
  <c r="J211" i="1"/>
  <c r="J214" i="1" s="1"/>
  <c r="J217" i="1" s="1"/>
  <c r="J218" i="1" s="1"/>
  <c r="L138" i="1"/>
  <c r="L182" i="1"/>
  <c r="L98" i="1"/>
  <c r="L68" i="1"/>
  <c r="M8" i="1"/>
  <c r="M478" i="1" s="1"/>
  <c r="M347" i="1" l="1"/>
  <c r="M365" i="1" s="1"/>
  <c r="M112" i="1"/>
  <c r="M435" i="1"/>
  <c r="M461" i="1"/>
  <c r="K416" i="1"/>
  <c r="L405" i="1"/>
  <c r="L413" i="1" s="1"/>
  <c r="L406" i="1"/>
  <c r="L414" i="1" s="1"/>
  <c r="L403" i="1"/>
  <c r="L404" i="1"/>
  <c r="L412" i="1" s="1"/>
  <c r="M114" i="1"/>
  <c r="K114" i="1"/>
  <c r="K347" i="1"/>
  <c r="M336" i="1"/>
  <c r="M372" i="1"/>
  <c r="L347" i="1"/>
  <c r="L114" i="1"/>
  <c r="O347" i="1"/>
  <c r="O365" i="1" s="1"/>
  <c r="O114" i="1"/>
  <c r="H249" i="1"/>
  <c r="H252" i="1" s="1"/>
  <c r="L204" i="1"/>
  <c r="L222" i="1" s="1"/>
  <c r="M26" i="1"/>
  <c r="N35" i="1"/>
  <c r="N257" i="1" s="1"/>
  <c r="M275" i="1"/>
  <c r="M300" i="1"/>
  <c r="O40" i="1"/>
  <c r="O279" i="1" s="1"/>
  <c r="N279" i="1"/>
  <c r="I250" i="1"/>
  <c r="I247" i="1"/>
  <c r="I249" i="1" s="1"/>
  <c r="J231" i="1"/>
  <c r="J232" i="1" s="1"/>
  <c r="K218" i="1"/>
  <c r="L218" i="1"/>
  <c r="M218" i="1"/>
  <c r="N218" i="1"/>
  <c r="O218" i="1"/>
  <c r="K209" i="1"/>
  <c r="L207" i="1" s="1"/>
  <c r="K211" i="1"/>
  <c r="M138" i="1"/>
  <c r="M182" i="1"/>
  <c r="M98" i="1"/>
  <c r="M68" i="1"/>
  <c r="N8" i="1"/>
  <c r="N478" i="1" s="1"/>
  <c r="N435" i="1" l="1"/>
  <c r="N461" i="1"/>
  <c r="L411" i="1"/>
  <c r="L416" i="1" s="1"/>
  <c r="K420" i="1"/>
  <c r="M403" i="1"/>
  <c r="M406" i="1"/>
  <c r="M414" i="1" s="1"/>
  <c r="M404" i="1"/>
  <c r="M412" i="1" s="1"/>
  <c r="M405" i="1"/>
  <c r="M413" i="1" s="1"/>
  <c r="K348" i="1"/>
  <c r="K351" i="1" s="1"/>
  <c r="K365" i="1"/>
  <c r="N336" i="1"/>
  <c r="N372" i="1"/>
  <c r="N347" i="1"/>
  <c r="N365" i="1" s="1"/>
  <c r="N114" i="1"/>
  <c r="L365" i="1"/>
  <c r="K219" i="1"/>
  <c r="K221" i="1" s="1"/>
  <c r="K223" i="1" s="1"/>
  <c r="O35" i="1"/>
  <c r="O257" i="1" s="1"/>
  <c r="M204" i="1"/>
  <c r="M222" i="1" s="1"/>
  <c r="N26" i="1"/>
  <c r="N275" i="1"/>
  <c r="N300" i="1"/>
  <c r="J250" i="1"/>
  <c r="J247" i="1"/>
  <c r="J249" i="1" s="1"/>
  <c r="K249" i="1" s="1"/>
  <c r="K33" i="1" s="1"/>
  <c r="L33" i="1" s="1"/>
  <c r="I252" i="1"/>
  <c r="K231" i="1"/>
  <c r="L209" i="1"/>
  <c r="M207" i="1" s="1"/>
  <c r="L211" i="1"/>
  <c r="L219" i="1" s="1"/>
  <c r="N138" i="1"/>
  <c r="N182" i="1"/>
  <c r="N98" i="1"/>
  <c r="N68" i="1"/>
  <c r="O8" i="1"/>
  <c r="O461" i="1" l="1"/>
  <c r="O478" i="1"/>
  <c r="K421" i="1"/>
  <c r="K117" i="1"/>
  <c r="K123" i="1" s="1"/>
  <c r="K232" i="1"/>
  <c r="K250" i="1" s="1"/>
  <c r="K252" i="1" s="1"/>
  <c r="K254" i="1" s="1"/>
  <c r="K56" i="1"/>
  <c r="K389" i="1" s="1"/>
  <c r="P8" i="1"/>
  <c r="P372" i="1" s="1"/>
  <c r="P406" i="1" s="1"/>
  <c r="O435" i="1"/>
  <c r="K29" i="1"/>
  <c r="M411" i="1"/>
  <c r="M416" i="1" s="1"/>
  <c r="L420" i="1"/>
  <c r="N404" i="1"/>
  <c r="N412" i="1" s="1"/>
  <c r="N406" i="1"/>
  <c r="N414" i="1" s="1"/>
  <c r="N403" i="1"/>
  <c r="N405" i="1"/>
  <c r="N413" i="1" s="1"/>
  <c r="L346" i="1"/>
  <c r="L348" i="1" s="1"/>
  <c r="L351" i="1" s="1"/>
  <c r="L357" i="1" s="1"/>
  <c r="L362" i="1" s="1"/>
  <c r="K357" i="1"/>
  <c r="K362" i="1" s="1"/>
  <c r="O336" i="1"/>
  <c r="O372" i="1"/>
  <c r="N204" i="1"/>
  <c r="N222" i="1" s="1"/>
  <c r="O26" i="1"/>
  <c r="O204" i="1" s="1"/>
  <c r="O275" i="1"/>
  <c r="O300" i="1"/>
  <c r="J252" i="1"/>
  <c r="L221" i="1"/>
  <c r="L223" i="1" s="1"/>
  <c r="L29" i="1"/>
  <c r="L249" i="1"/>
  <c r="M33" i="1"/>
  <c r="L231" i="1"/>
  <c r="K225" i="1"/>
  <c r="M209" i="1"/>
  <c r="N207" i="1" s="1"/>
  <c r="M211" i="1"/>
  <c r="M219" i="1" s="1"/>
  <c r="O138" i="1"/>
  <c r="O182" i="1"/>
  <c r="O98" i="1"/>
  <c r="O68" i="1"/>
  <c r="K163" i="1" l="1"/>
  <c r="L419" i="1"/>
  <c r="L421" i="1" s="1"/>
  <c r="L117" i="1"/>
  <c r="L123" i="1" s="1"/>
  <c r="L232" i="1"/>
  <c r="L250" i="1" s="1"/>
  <c r="L252" i="1" s="1"/>
  <c r="L254" i="1" s="1"/>
  <c r="L56" i="1"/>
  <c r="L389" i="1" s="1"/>
  <c r="P405" i="1"/>
  <c r="P403" i="1"/>
  <c r="P404" i="1"/>
  <c r="N411" i="1"/>
  <c r="N416" i="1" s="1"/>
  <c r="M420" i="1"/>
  <c r="O404" i="1"/>
  <c r="O412" i="1" s="1"/>
  <c r="O403" i="1"/>
  <c r="O406" i="1"/>
  <c r="O414" i="1" s="1"/>
  <c r="O405" i="1"/>
  <c r="O413" i="1" s="1"/>
  <c r="M346" i="1"/>
  <c r="M348" i="1" s="1"/>
  <c r="M351" i="1" s="1"/>
  <c r="N346" i="1" s="1"/>
  <c r="N348" i="1" s="1"/>
  <c r="N351" i="1" s="1"/>
  <c r="O346" i="1" s="1"/>
  <c r="O348" i="1" s="1"/>
  <c r="O351" i="1" s="1"/>
  <c r="K366" i="1"/>
  <c r="K367" i="1" s="1"/>
  <c r="K101" i="1"/>
  <c r="L101" i="1"/>
  <c r="L366" i="1"/>
  <c r="M221" i="1"/>
  <c r="M29" i="1"/>
  <c r="O222" i="1"/>
  <c r="N33" i="1"/>
  <c r="M249" i="1"/>
  <c r="K264" i="1"/>
  <c r="K157" i="1"/>
  <c r="K315" i="1" s="1"/>
  <c r="K327" i="1" s="1"/>
  <c r="K226" i="1"/>
  <c r="K227" i="1" s="1"/>
  <c r="K71" i="1" s="1"/>
  <c r="M231" i="1"/>
  <c r="L225" i="1"/>
  <c r="N209" i="1"/>
  <c r="O207" i="1" s="1"/>
  <c r="N211" i="1"/>
  <c r="N219" i="1" s="1"/>
  <c r="L163" i="1" l="1"/>
  <c r="M419" i="1"/>
  <c r="M421" i="1" s="1"/>
  <c r="M117" i="1"/>
  <c r="M123" i="1" s="1"/>
  <c r="M232" i="1"/>
  <c r="M250" i="1" s="1"/>
  <c r="M252" i="1" s="1"/>
  <c r="M254" i="1" s="1"/>
  <c r="M56" i="1"/>
  <c r="M389" i="1" s="1"/>
  <c r="O411" i="1"/>
  <c r="O416" i="1" s="1"/>
  <c r="N420" i="1"/>
  <c r="O420" i="1"/>
  <c r="O117" i="1" s="1"/>
  <c r="O123" i="1" s="1"/>
  <c r="N357" i="1"/>
  <c r="N362" i="1" s="1"/>
  <c r="N101" i="1" s="1"/>
  <c r="M357" i="1"/>
  <c r="M362" i="1" s="1"/>
  <c r="M101" i="1" s="1"/>
  <c r="O357" i="1"/>
  <c r="O362" i="1" s="1"/>
  <c r="O366" i="1" s="1"/>
  <c r="K148" i="1"/>
  <c r="L364" i="1"/>
  <c r="L367" i="1" s="1"/>
  <c r="M223" i="1"/>
  <c r="M225" i="1" s="1"/>
  <c r="N221" i="1"/>
  <c r="N223" i="1" s="1"/>
  <c r="N29" i="1"/>
  <c r="N249" i="1"/>
  <c r="O33" i="1"/>
  <c r="O249" i="1" s="1"/>
  <c r="L226" i="1"/>
  <c r="L227" i="1" s="1"/>
  <c r="L71" i="1" s="1"/>
  <c r="L157" i="1"/>
  <c r="L315" i="1" s="1"/>
  <c r="L327" i="1" s="1"/>
  <c r="L264" i="1"/>
  <c r="L266" i="1" s="1"/>
  <c r="K266" i="1"/>
  <c r="K265" i="1"/>
  <c r="N231" i="1"/>
  <c r="O209" i="1"/>
  <c r="O231" i="1" s="1"/>
  <c r="O211" i="1"/>
  <c r="O219" i="1" s="1"/>
  <c r="M163" i="1" l="1"/>
  <c r="N419" i="1"/>
  <c r="N421" i="1" s="1"/>
  <c r="N117" i="1"/>
  <c r="N123" i="1" s="1"/>
  <c r="N232" i="1"/>
  <c r="N250" i="1" s="1"/>
  <c r="N252" i="1" s="1"/>
  <c r="N254" i="1" s="1"/>
  <c r="N56" i="1"/>
  <c r="N389" i="1" s="1"/>
  <c r="O232" i="1"/>
  <c r="O250" i="1" s="1"/>
  <c r="O252" i="1" s="1"/>
  <c r="O56" i="1"/>
  <c r="O389" i="1" s="1"/>
  <c r="O101" i="1"/>
  <c r="M366" i="1"/>
  <c r="N366" i="1"/>
  <c r="L148" i="1"/>
  <c r="M364" i="1"/>
  <c r="K267" i="1"/>
  <c r="K156" i="1" s="1"/>
  <c r="K314" i="1" s="1"/>
  <c r="K326" i="1" s="1"/>
  <c r="O221" i="1"/>
  <c r="O29" i="1"/>
  <c r="M264" i="1"/>
  <c r="M266" i="1" s="1"/>
  <c r="M157" i="1"/>
  <c r="M315" i="1" s="1"/>
  <c r="M327" i="1" s="1"/>
  <c r="M226" i="1"/>
  <c r="M227" i="1" s="1"/>
  <c r="M71" i="1" s="1"/>
  <c r="N225" i="1"/>
  <c r="N163" i="1" l="1"/>
  <c r="O419" i="1"/>
  <c r="O421" i="1" s="1"/>
  <c r="O163" i="1" s="1"/>
  <c r="M367" i="1"/>
  <c r="M148" i="1" s="1"/>
  <c r="K269" i="1"/>
  <c r="K270" i="1" s="1"/>
  <c r="K70" i="1" s="1"/>
  <c r="K302" i="1" s="1"/>
  <c r="K303" i="1" s="1"/>
  <c r="K316" i="1" s="1"/>
  <c r="K328" i="1" s="1"/>
  <c r="L263" i="1"/>
  <c r="L265" i="1" s="1"/>
  <c r="L267" i="1" s="1"/>
  <c r="L156" i="1" s="1"/>
  <c r="L314" i="1" s="1"/>
  <c r="L326" i="1" s="1"/>
  <c r="O223" i="1"/>
  <c r="O225" i="1" s="1"/>
  <c r="O254" i="1"/>
  <c r="N264" i="1"/>
  <c r="N266" i="1" s="1"/>
  <c r="N226" i="1"/>
  <c r="N227" i="1" s="1"/>
  <c r="N71" i="1" s="1"/>
  <c r="N157" i="1"/>
  <c r="N315" i="1" s="1"/>
  <c r="N327" i="1" s="1"/>
  <c r="N364" i="1" l="1"/>
  <c r="N367" i="1" s="1"/>
  <c r="N148" i="1" s="1"/>
  <c r="L269" i="1"/>
  <c r="L270" i="1" s="1"/>
  <c r="L70" i="1" s="1"/>
  <c r="L302" i="1" s="1"/>
  <c r="L303" i="1" s="1"/>
  <c r="L316" i="1" s="1"/>
  <c r="L328" i="1" s="1"/>
  <c r="M263" i="1"/>
  <c r="M265" i="1" s="1"/>
  <c r="M267" i="1" s="1"/>
  <c r="M156" i="1" s="1"/>
  <c r="M314" i="1" s="1"/>
  <c r="M326" i="1" s="1"/>
  <c r="K276" i="1"/>
  <c r="K280" i="1" s="1"/>
  <c r="K75" i="1" s="1"/>
  <c r="K304" i="1" s="1"/>
  <c r="K305" i="1" s="1"/>
  <c r="K309" i="1" s="1"/>
  <c r="K72" i="1"/>
  <c r="K436" i="1" s="1"/>
  <c r="K437" i="1" s="1"/>
  <c r="K310" i="1"/>
  <c r="K144" i="1" s="1"/>
  <c r="K308" i="1"/>
  <c r="K142" i="1" s="1"/>
  <c r="K159" i="1"/>
  <c r="O226" i="1"/>
  <c r="O227" i="1" s="1"/>
  <c r="O71" i="1" s="1"/>
  <c r="O157" i="1"/>
  <c r="O315" i="1" s="1"/>
  <c r="O327" i="1" s="1"/>
  <c r="O264" i="1"/>
  <c r="O266" i="1" s="1"/>
  <c r="K445" i="1" l="1"/>
  <c r="K443" i="1"/>
  <c r="K450" i="1"/>
  <c r="O364" i="1"/>
  <c r="O367" i="1" s="1"/>
  <c r="O148" i="1" s="1"/>
  <c r="K322" i="1"/>
  <c r="K312" i="1"/>
  <c r="K319" i="1" s="1"/>
  <c r="K107" i="1" s="1"/>
  <c r="K321" i="1"/>
  <c r="N263" i="1"/>
  <c r="N265" i="1" s="1"/>
  <c r="N267" i="1" s="1"/>
  <c r="N156" i="1" s="1"/>
  <c r="N314" i="1" s="1"/>
  <c r="N326" i="1" s="1"/>
  <c r="L276" i="1"/>
  <c r="L280" i="1" s="1"/>
  <c r="L75" i="1" s="1"/>
  <c r="L304" i="1" s="1"/>
  <c r="L305" i="1" s="1"/>
  <c r="L309" i="1" s="1"/>
  <c r="L143" i="1" s="1"/>
  <c r="M269" i="1"/>
  <c r="M270" i="1" s="1"/>
  <c r="M70" i="1" s="1"/>
  <c r="M302" i="1" s="1"/>
  <c r="M303" i="1" s="1"/>
  <c r="M316" i="1" s="1"/>
  <c r="M328" i="1" s="1"/>
  <c r="L72" i="1"/>
  <c r="L436" i="1" s="1"/>
  <c r="L437" i="1" s="1"/>
  <c r="L308" i="1"/>
  <c r="L142" i="1" s="1"/>
  <c r="L310" i="1"/>
  <c r="L322" i="1" s="1"/>
  <c r="L159" i="1"/>
  <c r="K143" i="1"/>
  <c r="K318" i="1"/>
  <c r="K106" i="1" s="1"/>
  <c r="L450" i="1" l="1"/>
  <c r="K452" i="1"/>
  <c r="L443" i="1"/>
  <c r="K446" i="1"/>
  <c r="L445" i="1"/>
  <c r="M310" i="1"/>
  <c r="M144" i="1" s="1"/>
  <c r="M308" i="1"/>
  <c r="M321" i="1" s="1"/>
  <c r="L321" i="1"/>
  <c r="L323" i="1" s="1"/>
  <c r="L144" i="1"/>
  <c r="K323" i="1"/>
  <c r="K154" i="1"/>
  <c r="M159" i="1"/>
  <c r="L318" i="1"/>
  <c r="L106" i="1" s="1"/>
  <c r="N269" i="1"/>
  <c r="N270" i="1" s="1"/>
  <c r="N70" i="1" s="1"/>
  <c r="N302" i="1" s="1"/>
  <c r="N303" i="1" s="1"/>
  <c r="N316" i="1" s="1"/>
  <c r="L312" i="1"/>
  <c r="L319" i="1" s="1"/>
  <c r="L107" i="1" s="1"/>
  <c r="O263" i="1"/>
  <c r="O265" i="1" s="1"/>
  <c r="O267" i="1" s="1"/>
  <c r="O269" i="1" s="1"/>
  <c r="O270" i="1" s="1"/>
  <c r="O70" i="1" s="1"/>
  <c r="O302" i="1" s="1"/>
  <c r="M72" i="1"/>
  <c r="M436" i="1" s="1"/>
  <c r="M437" i="1" s="1"/>
  <c r="M276" i="1"/>
  <c r="M280" i="1" s="1"/>
  <c r="M75" i="1" s="1"/>
  <c r="M304" i="1" s="1"/>
  <c r="M305" i="1" s="1"/>
  <c r="M309" i="1" s="1"/>
  <c r="M143" i="1" s="1"/>
  <c r="K150" i="1" l="1"/>
  <c r="K454" i="1"/>
  <c r="K165" i="1"/>
  <c r="K455" i="1"/>
  <c r="M445" i="1"/>
  <c r="M443" i="1"/>
  <c r="L446" i="1"/>
  <c r="M450" i="1"/>
  <c r="L452" i="1"/>
  <c r="M142" i="1"/>
  <c r="M322" i="1"/>
  <c r="M323" i="1" s="1"/>
  <c r="L154" i="1"/>
  <c r="M312" i="1"/>
  <c r="M319" i="1" s="1"/>
  <c r="M107" i="1" s="1"/>
  <c r="M318" i="1"/>
  <c r="M106" i="1" s="1"/>
  <c r="N328" i="1"/>
  <c r="N159" i="1"/>
  <c r="N72" i="1"/>
  <c r="N436" i="1" s="1"/>
  <c r="N437" i="1" s="1"/>
  <c r="N276" i="1"/>
  <c r="N280" i="1" s="1"/>
  <c r="N75" i="1" s="1"/>
  <c r="N304" i="1" s="1"/>
  <c r="N305" i="1" s="1"/>
  <c r="N309" i="1" s="1"/>
  <c r="N318" i="1" s="1"/>
  <c r="N106" i="1" s="1"/>
  <c r="N308" i="1"/>
  <c r="N142" i="1" s="1"/>
  <c r="N310" i="1"/>
  <c r="N144" i="1" s="1"/>
  <c r="O303" i="1"/>
  <c r="O316" i="1" s="1"/>
  <c r="O159" i="1" s="1"/>
  <c r="O156" i="1"/>
  <c r="O314" i="1" s="1"/>
  <c r="O326" i="1" s="1"/>
  <c r="O72" i="1"/>
  <c r="O436" i="1" s="1"/>
  <c r="O276" i="1"/>
  <c r="L165" i="1" l="1"/>
  <c r="L455" i="1"/>
  <c r="L150" i="1"/>
  <c r="K456" i="1"/>
  <c r="K104" i="1" s="1"/>
  <c r="O437" i="1"/>
  <c r="L454" i="1"/>
  <c r="N445" i="1"/>
  <c r="N443" i="1"/>
  <c r="M446" i="1"/>
  <c r="M454" i="1" s="1"/>
  <c r="N450" i="1"/>
  <c r="M452" i="1"/>
  <c r="O328" i="1"/>
  <c r="M154" i="1"/>
  <c r="O308" i="1"/>
  <c r="O142" i="1" s="1"/>
  <c r="N321" i="1"/>
  <c r="O310" i="1"/>
  <c r="O144" i="1" s="1"/>
  <c r="N322" i="1"/>
  <c r="N312" i="1"/>
  <c r="N319" i="1" s="1"/>
  <c r="N107" i="1" s="1"/>
  <c r="N143" i="1"/>
  <c r="J287" i="1"/>
  <c r="J288" i="1" s="1"/>
  <c r="J289" i="1" s="1"/>
  <c r="J43" i="1" s="1"/>
  <c r="K42" i="1" s="1"/>
  <c r="O280" i="1"/>
  <c r="O75" i="1" s="1"/>
  <c r="O304" i="1" s="1"/>
  <c r="O305" i="1" s="1"/>
  <c r="O309" i="1" s="1"/>
  <c r="L456" i="1" l="1"/>
  <c r="L104" i="1" s="1"/>
  <c r="O445" i="1"/>
  <c r="M165" i="1"/>
  <c r="M455" i="1"/>
  <c r="M456" i="1" s="1"/>
  <c r="M104" i="1" s="1"/>
  <c r="M150" i="1"/>
  <c r="O450" i="1"/>
  <c r="O452" i="1" s="1"/>
  <c r="N452" i="1"/>
  <c r="O443" i="1"/>
  <c r="N446" i="1"/>
  <c r="O321" i="1"/>
  <c r="N323" i="1"/>
  <c r="O322" i="1"/>
  <c r="N154" i="1"/>
  <c r="O143" i="1"/>
  <c r="O318" i="1"/>
  <c r="O106" i="1" s="1"/>
  <c r="O312" i="1"/>
  <c r="L42" i="1"/>
  <c r="M42" i="1" s="1"/>
  <c r="K284" i="1"/>
  <c r="K290" i="1" s="1"/>
  <c r="O446" i="1" l="1"/>
  <c r="O150" i="1" s="1"/>
  <c r="N150" i="1"/>
  <c r="N165" i="1"/>
  <c r="N455" i="1"/>
  <c r="O165" i="1"/>
  <c r="O455" i="1"/>
  <c r="N454" i="1"/>
  <c r="O323" i="1"/>
  <c r="O154" i="1"/>
  <c r="O319" i="1"/>
  <c r="O107" i="1" s="1"/>
  <c r="L284" i="1"/>
  <c r="L290" i="1" s="1"/>
  <c r="N42" i="1"/>
  <c r="M284" i="1"/>
  <c r="K76" i="1"/>
  <c r="K77" i="1" s="1"/>
  <c r="K295" i="1"/>
  <c r="K155" i="1" s="1"/>
  <c r="O454" i="1" l="1"/>
  <c r="O456" i="1" s="1"/>
  <c r="O104" i="1" s="1"/>
  <c r="N456" i="1"/>
  <c r="N104" i="1" s="1"/>
  <c r="K313" i="1"/>
  <c r="K325" i="1" s="1"/>
  <c r="K329" i="1" s="1"/>
  <c r="K331" i="1" s="1"/>
  <c r="K108" i="1" s="1"/>
  <c r="O42" i="1"/>
  <c r="O284" i="1" s="1"/>
  <c r="N284" i="1"/>
  <c r="L76" i="1"/>
  <c r="L77" i="1" s="1"/>
  <c r="L295" i="1"/>
  <c r="L155" i="1" s="1"/>
  <c r="M290" i="1"/>
  <c r="L313" i="1" l="1"/>
  <c r="L325" i="1" s="1"/>
  <c r="L329" i="1" s="1"/>
  <c r="L331" i="1" s="1"/>
  <c r="L108" i="1" s="1"/>
  <c r="M76" i="1"/>
  <c r="M77" i="1" s="1"/>
  <c r="M295" i="1"/>
  <c r="M155" i="1" s="1"/>
  <c r="O290" i="1"/>
  <c r="N290" i="1"/>
  <c r="M313" i="1" l="1"/>
  <c r="M325" i="1" s="1"/>
  <c r="M329" i="1" s="1"/>
  <c r="M331" i="1" s="1"/>
  <c r="M108" i="1" s="1"/>
  <c r="N76" i="1"/>
  <c r="N77" i="1" s="1"/>
  <c r="N295" i="1"/>
  <c r="N155" i="1" s="1"/>
  <c r="O76" i="1"/>
  <c r="O77" i="1" s="1"/>
  <c r="O295" i="1"/>
  <c r="O155" i="1" s="1"/>
  <c r="O313" i="1" l="1"/>
  <c r="N313" i="1"/>
  <c r="N325" i="1" s="1"/>
  <c r="N329" i="1" s="1"/>
  <c r="N331" i="1" s="1"/>
  <c r="N108" i="1" s="1"/>
  <c r="O325" i="1" l="1"/>
  <c r="O329" i="1" s="1"/>
  <c r="O331" i="1" s="1"/>
  <c r="O108" i="1" s="1"/>
  <c r="K385" i="1"/>
  <c r="K81" i="1" s="1"/>
  <c r="K80" i="1"/>
  <c r="L80" i="1"/>
  <c r="M80" i="1"/>
  <c r="N80" i="1"/>
  <c r="O80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6" i="1"/>
  <c r="L86" i="1"/>
  <c r="M86" i="1"/>
  <c r="N86" i="1"/>
  <c r="O86" i="1"/>
  <c r="K100" i="1"/>
  <c r="L100" i="1"/>
  <c r="M100" i="1"/>
  <c r="N100" i="1"/>
  <c r="O100" i="1"/>
  <c r="K109" i="1"/>
  <c r="L109" i="1"/>
  <c r="M109" i="1"/>
  <c r="N109" i="1"/>
  <c r="O109" i="1"/>
  <c r="K126" i="1"/>
  <c r="L126" i="1"/>
  <c r="M126" i="1"/>
  <c r="N126" i="1"/>
  <c r="O126" i="1"/>
  <c r="L127" i="1"/>
  <c r="M127" i="1"/>
  <c r="N127" i="1"/>
  <c r="O127" i="1"/>
  <c r="K128" i="1"/>
  <c r="L128" i="1"/>
  <c r="M128" i="1"/>
  <c r="N128" i="1"/>
  <c r="O128" i="1"/>
  <c r="K136" i="1"/>
  <c r="L136" i="1"/>
  <c r="M136" i="1"/>
  <c r="N136" i="1"/>
  <c r="O136" i="1"/>
  <c r="K140" i="1"/>
  <c r="L140" i="1"/>
  <c r="M140" i="1"/>
  <c r="N140" i="1"/>
  <c r="O140" i="1"/>
  <c r="K145" i="1"/>
  <c r="L145" i="1"/>
  <c r="M145" i="1"/>
  <c r="N145" i="1"/>
  <c r="O145" i="1"/>
  <c r="K151" i="1"/>
  <c r="L151" i="1"/>
  <c r="M151" i="1"/>
  <c r="N151" i="1"/>
  <c r="O151" i="1"/>
  <c r="K158" i="1"/>
  <c r="L158" i="1"/>
  <c r="M158" i="1"/>
  <c r="N158" i="1"/>
  <c r="O158" i="1"/>
  <c r="K160" i="1"/>
  <c r="L160" i="1"/>
  <c r="M160" i="1"/>
  <c r="N160" i="1"/>
  <c r="O160" i="1"/>
  <c r="K166" i="1"/>
  <c r="L166" i="1"/>
  <c r="M166" i="1"/>
  <c r="N166" i="1"/>
  <c r="O166" i="1"/>
  <c r="K171" i="1"/>
  <c r="L171" i="1"/>
  <c r="M171" i="1"/>
  <c r="N171" i="1"/>
  <c r="O171" i="1"/>
  <c r="K172" i="1"/>
  <c r="L172" i="1"/>
  <c r="M172" i="1"/>
  <c r="N172" i="1"/>
  <c r="O172" i="1"/>
  <c r="K174" i="1"/>
  <c r="L174" i="1"/>
  <c r="M174" i="1"/>
  <c r="N174" i="1"/>
  <c r="O174" i="1"/>
  <c r="K175" i="1"/>
  <c r="L175" i="1"/>
  <c r="M175" i="1"/>
  <c r="N175" i="1"/>
  <c r="O175" i="1"/>
  <c r="K375" i="1"/>
  <c r="L375" i="1"/>
  <c r="M375" i="1"/>
  <c r="N375" i="1"/>
  <c r="O375" i="1"/>
  <c r="K377" i="1"/>
  <c r="L377" i="1"/>
  <c r="M377" i="1"/>
  <c r="N377" i="1"/>
  <c r="O377" i="1"/>
  <c r="K378" i="1"/>
  <c r="L378" i="1"/>
  <c r="M378" i="1"/>
  <c r="N378" i="1"/>
  <c r="O378" i="1"/>
  <c r="L382" i="1"/>
  <c r="M382" i="1"/>
  <c r="N382" i="1"/>
  <c r="O382" i="1"/>
  <c r="L385" i="1"/>
  <c r="M385" i="1"/>
  <c r="N385" i="1"/>
  <c r="O385" i="1"/>
  <c r="L388" i="1"/>
  <c r="M388" i="1"/>
  <c r="N388" i="1"/>
  <c r="O388" i="1"/>
  <c r="K390" i="1"/>
  <c r="L390" i="1"/>
  <c r="M390" i="1"/>
  <c r="N390" i="1"/>
  <c r="O390" i="1"/>
  <c r="K391" i="1"/>
  <c r="L391" i="1"/>
  <c r="M391" i="1"/>
  <c r="N391" i="1"/>
  <c r="O391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9" i="1"/>
  <c r="L399" i="1"/>
  <c r="M399" i="1"/>
  <c r="N399" i="1"/>
  <c r="O399" i="1"/>
  <c r="K430" i="1"/>
  <c r="L430" i="1"/>
  <c r="M430" i="1"/>
  <c r="N430" i="1"/>
  <c r="O430" i="1"/>
  <c r="K466" i="1"/>
  <c r="L466" i="1"/>
  <c r="M466" i="1"/>
  <c r="N466" i="1"/>
  <c r="O466" i="1"/>
  <c r="K473" i="1"/>
  <c r="L473" i="1"/>
  <c r="M473" i="1"/>
  <c r="N473" i="1"/>
  <c r="O4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tc={603B89FB-D427-49C3-A4CD-6D873E5E11C3}</author>
    <author>tc={09595CBA-CF47-4D47-9DA0-07CB4727C94B}</author>
    <author>tc={EDAC56EA-9F4D-4961-8A42-58C0B17E2411}</author>
    <author>tc={E3CE5E42-1672-471E-90BF-E464759919F7}</author>
    <author>tc={8C5517E4-6F05-4EA8-9953-728583F9AEC3}</author>
    <author>tc={9F38E3C2-A4F1-4A33-A70C-9FFDDD21171D}</author>
    <author>tc={1D939EEB-89D5-4486-99EC-68951FF35568}</author>
    <author>tc={87379581-145D-4850-A472-6CEEC181F31A}</author>
    <author>tc={A0054722-466C-4F33-9573-46E23E691549}</author>
    <author>tc={DD480641-2D25-409D-9BA9-242DCA8C8FCD}</author>
    <author>tc={A5FA2810-8861-4C82-BDCC-E5F2546C09B7}</author>
    <author>tc={02C9E5B4-3AD0-4534-B57B-4539D990AFC1}</author>
    <author>tc={7C43E48A-4095-493B-A92F-AFD13ED6B09D}</author>
    <author>tc={CEF9943A-84E1-48D2-AE82-7618CEFB5677}</author>
    <author>tc={E0908AD0-B74D-4130-A467-70AE1DC43308}</author>
  </authors>
  <commentList>
    <comment ref="K26" authorId="0" shapeId="0" xr:uid="{603B89FB-D427-49C3-A4CD-6D873E5E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Adjustment to be made once the price has been adjusted.</t>
      </text>
    </comment>
    <comment ref="C46" authorId="1" shapeId="0" xr:uid="{09595CBA-CF47-4D47-9DA0-07CB4727C94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Management’s guidance for the average CAPEX for the next 5 years (heading - Capital Expenditure Plans)</t>
      </text>
    </comment>
    <comment ref="K46" authorId="2" shapeId="0" xr:uid="{EDAC56EA-9F4D-4961-8A42-58C0B17E2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Mangement says it expects to spend a similar amount for 2025 as 2024, therefore, using 2024 as the base.
</t>
      </text>
    </comment>
    <comment ref="J53" authorId="3" shapeId="0" xr:uid="{E3CE5E42-1672-471E-90BF-E464759919F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Notes: Unamortized debt</t>
      </text>
    </comment>
    <comment ref="K54" authorId="4" shapeId="0" xr:uid="{8C5517E4-6F05-4EA8-9953-728583F9AE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Notes: Interest on Lease liabilities
</t>
      </text>
    </comment>
    <comment ref="K57" authorId="5" shapeId="0" xr:uid="{9F38E3C2-A4F1-4A33-A70C-9FFDDD2117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Notes: Under leases - future minimum payments in the next 5 years
</t>
      </text>
    </comment>
    <comment ref="K80" authorId="6" shapeId="0" xr:uid="{1D939EEB-89D5-4486-99EC-68951FF35568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area.</t>
      </text>
    </comment>
    <comment ref="F127" authorId="7" shapeId="0" xr:uid="{87379581-145D-4850-A472-6CEEC181F3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Cash and Cash Equivalent from PY B.S.
Others are being calculated, but should match the CCE of the B.S.
</t>
      </text>
    </comment>
    <comment ref="E376" authorId="8" shapeId="0" xr:uid="{A0054722-466C-4F33-9573-46E23E69154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Short-term Investments from BS</t>
      </text>
    </comment>
    <comment ref="K382" authorId="9" shapeId="0" xr:uid="{DD480641-2D25-409D-9BA9-242DCA8C8FCD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Circularity prone area</t>
      </text>
    </comment>
    <comment ref="K390" authorId="10" shapeId="0" xr:uid="{A5FA2810-8861-4C82-BDCC-E5F2546C09B7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circularity here (2). Linked from CFS</t>
      </text>
    </comment>
    <comment ref="D415" authorId="11" shapeId="0" xr:uid="{02C9E5B4-3AD0-4534-B57B-4539D990AF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Notes: Japanese Subsidiary: Interest rate
</t>
      </text>
    </comment>
    <comment ref="C445" authorId="12" shapeId="0" xr:uid="{7C43E48A-4095-493B-A92F-AFD13ED6B09D}">
      <text>
        <t>[Threaded comment]
Your version of Excel allows you to read this threaded comment; however, any edits to it will get removed if the file is opened in a newer version of Excel. Learn more: https://go.microsoft.com/fwlink/?linkid=870924
Comment:
    Usually prepaid expenses, etc. You can grow this with revenue or straight line it.
Calc =Total minus other components.</t>
      </text>
    </comment>
    <comment ref="C451" authorId="13" shapeId="0" xr:uid="{CEF9943A-84E1-48D2-AE82-7618CEFB5677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likely (others). At the end of a gas station life, there are expenses w.r.t. correcting the area around to avoid contamination (usually sand is replaced below).
Costco confirms that there are AROs related to leases.
Calc = Total minus other items.</t>
      </text>
    </comment>
    <comment ref="K466" authorId="14" shapeId="0" xr:uid="{E0908AD0-B74D-4130-A467-70AE1DC43308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circularity here. Linked to Income before Taxes in IS</t>
      </text>
    </comment>
  </commentList>
</comments>
</file>

<file path=xl/sharedStrings.xml><?xml version="1.0" encoding="utf-8"?>
<sst xmlns="http://schemas.openxmlformats.org/spreadsheetml/2006/main" count="899" uniqueCount="451">
  <si>
    <t>Costco Wholesale</t>
  </si>
  <si>
    <t>Assumptions</t>
  </si>
  <si>
    <t>First year of forecast</t>
  </si>
  <si>
    <t>Scenarios</t>
  </si>
  <si>
    <t>Base Case</t>
  </si>
  <si>
    <t>Best Case</t>
  </si>
  <si>
    <t>Worst Case</t>
  </si>
  <si>
    <t>Variable 2</t>
  </si>
  <si>
    <t>Income Statement</t>
  </si>
  <si>
    <t>Income Statement (in millions of USD)</t>
  </si>
  <si>
    <t>Revenue</t>
  </si>
  <si>
    <t>Net Sales</t>
  </si>
  <si>
    <t>Membership fees</t>
  </si>
  <si>
    <t>Total Revenue</t>
  </si>
  <si>
    <t>Operating Expenses</t>
  </si>
  <si>
    <t>Merchandise Costs</t>
  </si>
  <si>
    <t>SG&amp;A</t>
  </si>
  <si>
    <t>Operating Income</t>
  </si>
  <si>
    <t>Other Income (Expenses)</t>
  </si>
  <si>
    <t>Interest Expenses</t>
  </si>
  <si>
    <t>Interest Income</t>
  </si>
  <si>
    <t>Income before Taxes</t>
  </si>
  <si>
    <t>Provision for Income Taxes</t>
  </si>
  <si>
    <t>Net Income</t>
  </si>
  <si>
    <t>Non-controlling interest</t>
  </si>
  <si>
    <t>Net Income Attributable to Costco</t>
  </si>
  <si>
    <t>Weighted-average share count (basic)</t>
  </si>
  <si>
    <t>EPS</t>
  </si>
  <si>
    <t>Basic</t>
  </si>
  <si>
    <t>Diluted</t>
  </si>
  <si>
    <t>Weighted-average share count (diluted)</t>
  </si>
  <si>
    <t>REVENUE</t>
  </si>
  <si>
    <t>Net sales</t>
  </si>
  <si>
    <t>Total revenue</t>
  </si>
  <si>
    <t>OPERATING EXPENSES</t>
  </si>
  <si>
    <t>Merchandise costs</t>
  </si>
  <si>
    <t>Selling, general and administrative</t>
  </si>
  <si>
    <t>Operating income</t>
  </si>
  <si>
    <t>OTHER INCOME (EXPENSE)</t>
  </si>
  <si>
    <t>Interest expense</t>
  </si>
  <si>
    <t>Interest income and other, net</t>
  </si>
  <si>
    <t>INCOME BEFORE INCOME TAXES</t>
  </si>
  <si>
    <t>Provision for income taxes</t>
  </si>
  <si>
    <t>Net income including noncontrolling interests</t>
  </si>
  <si>
    <t>Net income attributable to noncontrolling interests</t>
  </si>
  <si>
    <t>NET INCOME ATTRIBUTABLE TO COSTCO</t>
  </si>
  <si>
    <t>NET INCOME PER COMMON SHARE ATTRIBUTABLE TO COSTCO:</t>
  </si>
  <si>
    <t>Shares used in calculation (000’s)</t>
  </si>
  <si>
    <r>
      <t>—</t>
    </r>
    <r>
      <rPr>
        <sz val="9"/>
        <color rgb="FF000000"/>
        <rFont val="Arial"/>
        <family val="2"/>
      </rPr>
      <t> </t>
    </r>
  </si>
  <si>
    <t>check</t>
  </si>
  <si>
    <t>— </t>
  </si>
  <si>
    <t>(000s)</t>
  </si>
  <si>
    <t>USD</t>
  </si>
  <si>
    <t>Cash Flow Statement</t>
  </si>
  <si>
    <t>Cash Flow Statement (in millions of USD)</t>
  </si>
  <si>
    <t>Depreciation and Amortization</t>
  </si>
  <si>
    <t>Non-cash lease expense</t>
  </si>
  <si>
    <t>Stock-based compensation</t>
  </si>
  <si>
    <t>Other non-cash operating activities</t>
  </si>
  <si>
    <t>Changes in Operating Assets and Liabilities:</t>
  </si>
  <si>
    <t>Merchandise Inventory</t>
  </si>
  <si>
    <t>Accounts Payable</t>
  </si>
  <si>
    <t>Other operating assets and liabilities, net</t>
  </si>
  <si>
    <t>Net Cash Provided by Operating Activities</t>
  </si>
  <si>
    <t>Cash Flow from Investing Activities</t>
  </si>
  <si>
    <t>Cash Flow from Operating Activities</t>
  </si>
  <si>
    <t>Additions to PPE</t>
  </si>
  <si>
    <t>Other Investing activities</t>
  </si>
  <si>
    <t>Net Cash from Investing Activities</t>
  </si>
  <si>
    <t>Cash Flows from Financing Activities</t>
  </si>
  <si>
    <t>Changes in Debt</t>
  </si>
  <si>
    <t>Shares Repurchases</t>
  </si>
  <si>
    <t>Dividends</t>
  </si>
  <si>
    <t>Financing lease payments</t>
  </si>
  <si>
    <t>Other Financing activities</t>
  </si>
  <si>
    <t>Net Cash from Financing Activities</t>
  </si>
  <si>
    <t>Forex Effects</t>
  </si>
  <si>
    <t>Net Change in Cash</t>
  </si>
  <si>
    <t>Cash beginning balance</t>
  </si>
  <si>
    <t>Cash ending balance</t>
  </si>
  <si>
    <t>Cash paid during the year for:</t>
  </si>
  <si>
    <t>Interest</t>
  </si>
  <si>
    <t>Income Taxes</t>
  </si>
  <si>
    <t>CASH FLOWS FROM OPERATING ACTIVITIES</t>
  </si>
  <si>
    <t>Adjustments to reconcile net income including noncontrolling interests to net cash provided by operating activities:</t>
  </si>
  <si>
    <t>Depreciation and amortization</t>
  </si>
  <si>
    <t>Impairment of assets and other non-cash operating activities, net</t>
  </si>
  <si>
    <t>Changes in operating assets and liabilities:</t>
  </si>
  <si>
    <t>Merchandise inventories</t>
  </si>
  <si>
    <t>Accounts payable</t>
  </si>
  <si>
    <t>Net cash provided by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</si>
  <si>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</si>
  <si>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</si>
  <si>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</si>
  <si>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</si>
  <si>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Other investing activities, net</t>
  </si>
  <si>
    <t>Net cash used in investing activities</t>
  </si>
  <si>
    <t>CASH FLOWS FROM FINANCING ACTIVITIES</t>
  </si>
  <si>
    <t>Repayments of short-term borrowings</t>
  </si>
  <si>
    <t>Proceeds from short-term borrowings</t>
  </si>
  <si>
    <t>Repayments of long-term debt</t>
  </si>
  <si>
    <t>Proceeds from issuance of long-term debt</t>
  </si>
  <si>
    <r>
      <t>—</t>
    </r>
    <r>
      <rPr>
        <sz val="8"/>
        <color rgb="FF000000"/>
        <rFont val="Arial"/>
        <family val="2"/>
      </rPr>
      <t> </t>
    </r>
  </si>
  <si>
    <t>Tax withholdings on stock-based awards</t>
  </si>
  <si>
    <t>Repurchases of common stock</t>
  </si>
  <si>
    <t>Cash dividend payments</t>
  </si>
  <si>
    <t>Financing lease payments and other financing activities, net</t>
  </si>
  <si>
    <t>Dividend to noncontrolling interest</t>
  </si>
  <si>
    <t>Acquisition of noncontrolling interest</t>
  </si>
  <si>
    <t>Net cash used in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</si>
  <si>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</si>
  <si>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</si>
  <si>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</si>
  <si>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</si>
  <si>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</si>
  <si>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Income taxes, net</t>
  </si>
  <si>
    <t>SUPPLEMENTAL DISCLOSURE OF NON-CASH ACTIVITIES:</t>
  </si>
  <si>
    <t>Cash dividend declared, but not yet paid</t>
  </si>
  <si>
    <t>Capital expenditures included in liabilities</t>
  </si>
  <si>
    <t>Other non-cash operating activities, net</t>
  </si>
  <si>
    <t>Deferred income taxes</t>
  </si>
  <si>
    <t>Acquisitions</t>
  </si>
  <si>
    <t>Other financing activities, net</t>
  </si>
  <si>
    <t>Check</t>
  </si>
  <si>
    <t>ASSETS</t>
  </si>
  <si>
    <t>CURRENT ASSETS</t>
  </si>
  <si>
    <t>Cash and cash equivalents</t>
  </si>
  <si>
    <t>Short-term investments</t>
  </si>
  <si>
    <t>Receivables, net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</si>
  <si>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</si>
  <si>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</si>
  <si>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</si>
  <si>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</si>
  <si>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</si>
  <si>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</si>
  <si>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</si>
  <si>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LIABILITIES AND EQUITY</t>
  </si>
  <si>
    <t>CURRENT LIABILITIES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</si>
  <si>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</si>
  <si>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</si>
  <si>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</si>
  <si>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</si>
  <si>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</si>
  <si>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</si>
  <si>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</si>
  <si>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</si>
  <si>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</si>
  <si>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</si>
  <si>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</si>
  <si>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COMMITMENTS AND CONTINGENCIES</t>
  </si>
  <si>
    <t>EQUITY</t>
  </si>
  <si>
    <r>
      <t>Preferred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100,000,000</t>
    </r>
    <r>
      <rPr>
        <sz val="9"/>
        <color rgb="FF000000"/>
        <rFont val="Arial"/>
        <family val="2"/>
      </rPr>
      <t> shares authorized; no shares issued and outstanding</t>
    </r>
  </si>
  <si>
    <r>
      <t>—</t>
    </r>
    <r>
      <rPr>
        <sz val="10"/>
        <color rgb="FF000000"/>
        <rFont val="Arial"/>
        <family val="2"/>
      </rPr>
      <t> </t>
    </r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</si>
  <si>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443,126,000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442,793,000</t>
    </r>
    <r>
      <rPr>
        <sz val="9"/>
        <color rgb="FF000000"/>
        <rFont val="Arial"/>
        <family val="2"/>
      </rPr>
      <t> shares issued and outstanding</t>
    </r>
  </si>
  <si>
    <t>Additional paid-in capital</t>
  </si>
  <si>
    <t>Accumulated other comprehensive loss</t>
  </si>
  <si>
    <t>Retained earnings</t>
  </si>
  <si>
    <t>TOTAL EQUITY</t>
  </si>
  <si>
    <t>TOTAL LIABILITIES AND EQUITY</t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</si>
  <si>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442,664,000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441,825,000</t>
    </r>
    <r>
      <rPr>
        <sz val="9"/>
        <color rgb="FF000000"/>
        <rFont val="Arial"/>
        <family val="2"/>
      </rPr>
      <t> shares issued and outstanding</t>
    </r>
  </si>
  <si>
    <t>Total Costco stockholders’ equity</t>
  </si>
  <si>
    <t>Noncontrolling interests</t>
  </si>
  <si>
    <t>Preferred stock $0.01 par value; 100,000,000 shares authorized; no shares issued and outstanding</t>
  </si>
  <si>
    <t>Common stock $0.01 par value; 900,000,000 shares authorized; 441,255,000 and 439,625,000 shares issued and outstanding</t>
  </si>
  <si>
    <t>Total equity</t>
  </si>
  <si>
    <t>—</t>
  </si>
  <si>
    <t>Other</t>
  </si>
  <si>
    <t>Share Rep</t>
  </si>
  <si>
    <t>Div</t>
  </si>
  <si>
    <t>other</t>
  </si>
  <si>
    <t xml:space="preserve">Int </t>
  </si>
  <si>
    <t>Income Tax</t>
  </si>
  <si>
    <t>Balance Sheet</t>
  </si>
  <si>
    <t>Balance Sheet (in millions of USD)</t>
  </si>
  <si>
    <t>Current Assets</t>
  </si>
  <si>
    <t>Cash and Equivalents</t>
  </si>
  <si>
    <t>Short-term Investments</t>
  </si>
  <si>
    <t>Merchandise Inventories</t>
  </si>
  <si>
    <t>Total Current Assets</t>
  </si>
  <si>
    <t>Other Assets</t>
  </si>
  <si>
    <t>PPE</t>
  </si>
  <si>
    <t>Operating lease ROUs</t>
  </si>
  <si>
    <t>Total Assets</t>
  </si>
  <si>
    <t>Current Liabilities</t>
  </si>
  <si>
    <t>Accrued Salaries and Benefits</t>
  </si>
  <si>
    <t>Accrued Member Rewards</t>
  </si>
  <si>
    <t>Deferred Membership fees</t>
  </si>
  <si>
    <t>Revolving Debt</t>
  </si>
  <si>
    <t>Total Current Liabilities</t>
  </si>
  <si>
    <t>Other Liabilities</t>
  </si>
  <si>
    <t>Debt</t>
  </si>
  <si>
    <t>Long-term Operating lease liabilties</t>
  </si>
  <si>
    <t>Total Liabilities</t>
  </si>
  <si>
    <t>Equity</t>
  </si>
  <si>
    <t>Common Stock/PIC</t>
  </si>
  <si>
    <t>AOCI</t>
  </si>
  <si>
    <t>Retained Earnings</t>
  </si>
  <si>
    <t>Total Costco Shareholder Equity</t>
  </si>
  <si>
    <t>Non-controlling interests</t>
  </si>
  <si>
    <t>Total Equity</t>
  </si>
  <si>
    <t>Total Liabilities and Equities</t>
  </si>
  <si>
    <t>Revenue Schedule</t>
  </si>
  <si>
    <t>Membership Revenue</t>
  </si>
  <si>
    <t>Price</t>
  </si>
  <si>
    <t>Gold Star members (notes)</t>
  </si>
  <si>
    <t>Executive members (notes)</t>
  </si>
  <si>
    <t>Gold Star Equivalents (GSEs)</t>
  </si>
  <si>
    <t>Membership Fee Revenue (IS)</t>
  </si>
  <si>
    <t>mm</t>
  </si>
  <si>
    <t>Deferred Revenue (BS)</t>
  </si>
  <si>
    <t>Change in Deferred Revenue</t>
  </si>
  <si>
    <t>Membership fee revenue (cash)</t>
  </si>
  <si>
    <t>Def. Revenue / Member fee Rev (cash)</t>
  </si>
  <si>
    <t>Average of the proportion</t>
  </si>
  <si>
    <t>Average GSEs</t>
  </si>
  <si>
    <t>Implied Fee Rev per GSE</t>
  </si>
  <si>
    <t>(%)</t>
  </si>
  <si>
    <t>Growth rate in GSE fees</t>
  </si>
  <si>
    <t>ROIC</t>
  </si>
  <si>
    <t>EV/EBITDA</t>
  </si>
  <si>
    <t>EV/Revenue</t>
  </si>
  <si>
    <t>ROA</t>
  </si>
  <si>
    <t>ROE</t>
  </si>
  <si>
    <t>ROCE</t>
  </si>
  <si>
    <t>Gross Margin</t>
  </si>
  <si>
    <t>Net Income Margin</t>
  </si>
  <si>
    <t>EBITDA Margin</t>
  </si>
  <si>
    <t>Forex Effect (notes: below membership schedule, not always provided)</t>
  </si>
  <si>
    <t>Average 5-year growth rate in GSE (2024 seems to be an outlier, therefore, exluded it from the calculation) For 2025, please recheck.</t>
  </si>
  <si>
    <t>FY 2025 price increase</t>
  </si>
  <si>
    <t>Forecast: Fee per GSE</t>
  </si>
  <si>
    <t>Quantity</t>
  </si>
  <si>
    <t>units</t>
  </si>
  <si>
    <t>Ending Warehouse count</t>
  </si>
  <si>
    <t>Warehouse count (beg) (notes: Warehouse Properties)</t>
  </si>
  <si>
    <t>Warehouse openings (notes: Highlights for "year")</t>
  </si>
  <si>
    <t>Growth Count in Warehouses per year</t>
  </si>
  <si>
    <t>Warehouse Growth (take average of openings as they are opened throughout the year)</t>
  </si>
  <si>
    <t>Growth in GSEs</t>
  </si>
  <si>
    <t>Comparable GSE growth</t>
  </si>
  <si>
    <t>Days in the period</t>
  </si>
  <si>
    <t>Comparable GSE growth (adjusted)</t>
  </si>
  <si>
    <t>Average Comp. growth rate</t>
  </si>
  <si>
    <t>Total forecast GSE growth rate</t>
  </si>
  <si>
    <t>Days</t>
  </si>
  <si>
    <t>GSE count</t>
  </si>
  <si>
    <t>Q</t>
  </si>
  <si>
    <t>P</t>
  </si>
  <si>
    <t>Membership revenue (cash)</t>
  </si>
  <si>
    <t>Deferred Membership revenue (for BS)</t>
  </si>
  <si>
    <t>Change in Def. revenue</t>
  </si>
  <si>
    <t>Membership revenue (accrual)</t>
  </si>
  <si>
    <t>Merchandise Revenue</t>
  </si>
  <si>
    <t>Average floor space/warehouse</t>
  </si>
  <si>
    <t>(000s ft2)</t>
  </si>
  <si>
    <t>Average warehouse count</t>
  </si>
  <si>
    <t>Average floor space (total)</t>
  </si>
  <si>
    <t>Beginning Liability</t>
  </si>
  <si>
    <t>Total rewards</t>
  </si>
  <si>
    <t>Ending Liability (BS)</t>
  </si>
  <si>
    <t>Rewards Used</t>
  </si>
  <si>
    <t>Beginning Liability (PY BS)</t>
  </si>
  <si>
    <t>Add: Members rewards earned (notes: Revenue Recognition or Sales)</t>
  </si>
  <si>
    <t>Change in Accrued rewards</t>
  </si>
  <si>
    <t>Merchandise Sales (accruals)</t>
  </si>
  <si>
    <t>Merchandise Sales (cash)</t>
  </si>
  <si>
    <t>Sales/ft2</t>
  </si>
  <si>
    <t>Growth in Sales/ft2</t>
  </si>
  <si>
    <t>Growth in Size</t>
  </si>
  <si>
    <t>Growth in Merchandise Sales</t>
  </si>
  <si>
    <t>Rewards Earned</t>
  </si>
  <si>
    <t>As a % of Merchandise Sales (cash)</t>
  </si>
  <si>
    <t>Ratio of Rewards Used/Earned</t>
  </si>
  <si>
    <t>Average Ratio</t>
  </si>
  <si>
    <t>Add: Member Rewards Earned</t>
  </si>
  <si>
    <t>Total Rewards</t>
  </si>
  <si>
    <t>Change in Acrrued Rewards</t>
  </si>
  <si>
    <t>Revenue Schedule (in millions of USD)</t>
  </si>
  <si>
    <t>Merchandise Sales (accrual) (goes to IS - Net Sales)</t>
  </si>
  <si>
    <t>Ending Liability (goes to BS - Accrued Rewards)</t>
  </si>
  <si>
    <t>Fee per GSE</t>
  </si>
  <si>
    <t>Deferred Rev/Membership Rev (cash)</t>
  </si>
  <si>
    <t>Increment per year</t>
  </si>
  <si>
    <t>Rewards earned as a % of Net Sales (cash)</t>
  </si>
  <si>
    <t>Average Ratio of Used/Earned Rewards</t>
  </si>
  <si>
    <t>Cost Schedule</t>
  </si>
  <si>
    <t>Merchandise Cost</t>
  </si>
  <si>
    <t>5-year Average GM</t>
  </si>
  <si>
    <t/>
  </si>
  <si>
    <t>Merchandise Cost (to the IS)</t>
  </si>
  <si>
    <t>SG&amp;A Expense</t>
  </si>
  <si>
    <t>Percent of sales</t>
  </si>
  <si>
    <t>Increase in Sales</t>
  </si>
  <si>
    <t>Decline in SG&amp;A as a % of Net Sales</t>
  </si>
  <si>
    <t>[Predicted] Decline in SG&amp;A</t>
  </si>
  <si>
    <t>[Predicted] Increase in Sales</t>
  </si>
  <si>
    <t>4-year Average (post Covid)</t>
  </si>
  <si>
    <t>[Predicted] Annual Decline in SG&amp;A</t>
  </si>
  <si>
    <t>SG&amp;A Expense (to the IS)</t>
  </si>
  <si>
    <t>Accrued Salaries and Benefits (historical)</t>
  </si>
  <si>
    <t>% of SG&amp;A</t>
  </si>
  <si>
    <t>5-year Average</t>
  </si>
  <si>
    <t>[Predicted] Accrued Salaries and Benefits (to the BS)</t>
  </si>
  <si>
    <t>Forecasted Gross Margin</t>
  </si>
  <si>
    <t>%Net Sales</t>
  </si>
  <si>
    <t>Decline/year</t>
  </si>
  <si>
    <t>SG&amp;A Costs</t>
  </si>
  <si>
    <t>Working Capital Schedule</t>
  </si>
  <si>
    <t>Price increase (over two years - 2025 and 2026)</t>
  </si>
  <si>
    <t>Other Current Assets</t>
  </si>
  <si>
    <t>Other Current Liabilities</t>
  </si>
  <si>
    <t>From IS</t>
  </si>
  <si>
    <t>Growth rate</t>
  </si>
  <si>
    <t>From BS</t>
  </si>
  <si>
    <t>Accounts Receivable</t>
  </si>
  <si>
    <t>Inventories</t>
  </si>
  <si>
    <t>Other Current Liabilites</t>
  </si>
  <si>
    <t>Change in Inventory (goes to CFS)</t>
  </si>
  <si>
    <t>Change in Payable (goes to CFS)</t>
  </si>
  <si>
    <t>Changes in Accounts Receivable</t>
  </si>
  <si>
    <t>Changes in Other Current Assets</t>
  </si>
  <si>
    <t>Other OA</t>
  </si>
  <si>
    <t>Changes in Accrued Salaries and Benefits</t>
  </si>
  <si>
    <t>Changes in Accrued Member Rewards</t>
  </si>
  <si>
    <t>Changes in Deferred Membership fees</t>
  </si>
  <si>
    <t>Changes in Other Current Liabilites</t>
  </si>
  <si>
    <t>Other OL</t>
  </si>
  <si>
    <t>Other OL/OA (goes to CFS)</t>
  </si>
  <si>
    <t>Working Capital</t>
  </si>
  <si>
    <t>Days of Inventory</t>
  </si>
  <si>
    <t>Days of Receivable</t>
  </si>
  <si>
    <t>Days of Payable</t>
  </si>
  <si>
    <t xml:space="preserve">Warehouse Openings </t>
  </si>
  <si>
    <t>CAPEX</t>
  </si>
  <si>
    <t>Average CAPEX/Warehouse Openings</t>
  </si>
  <si>
    <t>[Forecast] CAPEX (goes to CFI)</t>
  </si>
  <si>
    <t>PPE Gross (notes: property and equipment - ending)</t>
  </si>
  <si>
    <t>Variance</t>
  </si>
  <si>
    <t>Dispositions</t>
  </si>
  <si>
    <t>Average PPE</t>
  </si>
  <si>
    <t>Depreciation</t>
  </si>
  <si>
    <t>Depreciation/Average PPE</t>
  </si>
  <si>
    <t>[Forecast] Depreciation (goes to CFS)</t>
  </si>
  <si>
    <t>PPE (beginning)</t>
  </si>
  <si>
    <t>Add CAPEX</t>
  </si>
  <si>
    <t>Less Depreciation</t>
  </si>
  <si>
    <t>PPE Intermediate</t>
  </si>
  <si>
    <t>Less: Derecognitions</t>
  </si>
  <si>
    <t>Less: Impairments</t>
  </si>
  <si>
    <t>PPE (ending) (goes to BS)</t>
  </si>
  <si>
    <t>Average Dispositions</t>
  </si>
  <si>
    <t>Average Depreciation Rate</t>
  </si>
  <si>
    <t>Fixed Assets Schedule</t>
  </si>
  <si>
    <t>Fixed Assets</t>
  </si>
  <si>
    <t>Debt Schedule</t>
  </si>
  <si>
    <t>CAPEX per warehouse</t>
  </si>
  <si>
    <t>Inflation</t>
  </si>
  <si>
    <t>Relocations</t>
  </si>
  <si>
    <t>New builds</t>
  </si>
  <si>
    <t>Cash Interest Rate</t>
  </si>
  <si>
    <t>Other Long-term debt repayments</t>
  </si>
  <si>
    <t>Unamortized Discounts/Issuance Costs</t>
  </si>
  <si>
    <t>Interest on Leases</t>
  </si>
  <si>
    <t>Financing Lease Payments</t>
  </si>
  <si>
    <t>Cash</t>
  </si>
  <si>
    <t>Cash/Equivalents</t>
  </si>
  <si>
    <t>Marketable Securities</t>
  </si>
  <si>
    <t>Total Cash</t>
  </si>
  <si>
    <t>Average Cash</t>
  </si>
  <si>
    <t>Interest Rate</t>
  </si>
  <si>
    <t>Interest Income (from IS)</t>
  </si>
  <si>
    <t>Interest Income (Notes:page 25)</t>
  </si>
  <si>
    <t>Difference (Derivates, AFS Mkt Sec G/L (Others))</t>
  </si>
  <si>
    <t>Interest Income (goes to IS)</t>
  </si>
  <si>
    <t>Senior Notes:</t>
  </si>
  <si>
    <t>3.00% Senior Notes, due May 2027</t>
  </si>
  <si>
    <t>1.375% Senior Notes, due June 2027</t>
  </si>
  <si>
    <t>1.6% Senior Notes, due April 2032</t>
  </si>
  <si>
    <t>1.75% Senior Notes, due April 2032</t>
  </si>
  <si>
    <t>Other Long-Term Debt</t>
  </si>
  <si>
    <t>Interest Payments:</t>
  </si>
  <si>
    <t>Other Long-Term Debt (Japan)</t>
  </si>
  <si>
    <t>LTD Interest Expense</t>
  </si>
  <si>
    <t>1.6% Senior Notes, due April 2030</t>
  </si>
  <si>
    <t>Total LTD (beginning)</t>
  </si>
  <si>
    <t>Repayments (to CFF)</t>
  </si>
  <si>
    <t>Total LTD (ending) (goes to BS)</t>
  </si>
  <si>
    <t>Interest Expense - Amortization</t>
  </si>
  <si>
    <t>Finance Leases</t>
  </si>
  <si>
    <t>Finance Lease Liabilities</t>
  </si>
  <si>
    <t>Interest Expense (goes to IS)</t>
  </si>
  <si>
    <t>Interest on Finance Leases</t>
  </si>
  <si>
    <t>Income Tax Schedule</t>
  </si>
  <si>
    <t>Revolver</t>
  </si>
  <si>
    <t>Cash (beginning)</t>
  </si>
  <si>
    <t>Less: Minimum Cash Balance</t>
  </si>
  <si>
    <t>Plus: Current Period Cash Flows</t>
  </si>
  <si>
    <t>Cash available (needed)</t>
  </si>
  <si>
    <t>ST Borrowings (beginning)</t>
  </si>
  <si>
    <t>Draw (Paydown)</t>
  </si>
  <si>
    <t>ST Borrowings (ending)</t>
  </si>
  <si>
    <t>ST Interest rate</t>
  </si>
  <si>
    <t>ST Interest Expense</t>
  </si>
  <si>
    <t>ST Debt rate</t>
  </si>
  <si>
    <t>Minimum Cash Balance</t>
  </si>
  <si>
    <t>Spread, A-rating</t>
  </si>
  <si>
    <t>Min/location</t>
  </si>
  <si>
    <t>Lease rate</t>
  </si>
  <si>
    <t>Other Long-Term Assets</t>
  </si>
  <si>
    <t>Goodwill</t>
  </si>
  <si>
    <t>Finance Lease Assets</t>
  </si>
  <si>
    <t>Deferred Tax Assets</t>
  </si>
  <si>
    <t>Definite-Lived Intangible Assets</t>
  </si>
  <si>
    <t>Total Other Long-term Assets (goes to BS)</t>
  </si>
  <si>
    <t>Other Long-Term Liabilities</t>
  </si>
  <si>
    <t>Finance Lease Obligations</t>
  </si>
  <si>
    <t>Deferred Tax Liabilities</t>
  </si>
  <si>
    <t>Asset Retirement Obligations</t>
  </si>
  <si>
    <t>Total Other Long-term Liabilities (goes to BS)</t>
  </si>
  <si>
    <t>Change in Other LTA</t>
  </si>
  <si>
    <t>Change in Other LTL</t>
  </si>
  <si>
    <t>Other non-cash operating activities ( goes to CFO)</t>
  </si>
  <si>
    <t>Other LTA/LTL Schedule</t>
  </si>
  <si>
    <t>Cash Tax (from CFS)</t>
  </si>
  <si>
    <t>Tax Expense (from IS)</t>
  </si>
  <si>
    <t>Cash Tax rate</t>
  </si>
  <si>
    <t>3-year Average rate</t>
  </si>
  <si>
    <t>Effective Tax rate (Note 8)</t>
  </si>
  <si>
    <t>Tax Expense (to IS)</t>
  </si>
  <si>
    <t>EBT (from IS)</t>
  </si>
  <si>
    <t>Equity Schedule</t>
  </si>
  <si>
    <t>Share-based Compensation</t>
  </si>
  <si>
    <t>SBC (from CFO)</t>
  </si>
  <si>
    <t>SBC Growth rate</t>
  </si>
  <si>
    <t>Average Growth rate</t>
  </si>
  <si>
    <t>Comparable equivalent members growth (adjusted)</t>
  </si>
  <si>
    <t>Correlation</t>
  </si>
  <si>
    <t>SBC (goes to CFO)</t>
  </si>
  <si>
    <t>SBC</t>
  </si>
  <si>
    <t>Tax Withholding on RSU delivery (Notes)</t>
  </si>
  <si>
    <t>Percentage</t>
  </si>
  <si>
    <t>Average</t>
  </si>
  <si>
    <t>Tax Withholding on RSU delivery (to CFF)</t>
  </si>
  <si>
    <t>Common Stock/PIC (goes to BS)</t>
  </si>
  <si>
    <t>Share Count</t>
  </si>
  <si>
    <t>Weighted-average Share count (Basic)</t>
  </si>
  <si>
    <t>Weighted-average Share count (Diluted)</t>
  </si>
  <si>
    <t>Diluted Count over Basic Count</t>
  </si>
  <si>
    <t>Actual Count</t>
  </si>
  <si>
    <t>Special Dividend per share</t>
  </si>
  <si>
    <t>Circularity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</si>
</sst>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&quot;FY &quot;0&quot;E&quot;"/>
    <numFmt numFmtId="165" formatCode="&quot;FY &quot;0"/>
    <numFmt numFmtId="166" formatCode="_(* #,##0_);_(* \(#,##0\);_(* &quot;-&quot;??_);_(@_)"/>
    <numFmt numFmtId="167" formatCode="_(* #,##0.0_);_(* \(#,##0.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rgb="FF212529"/>
      <name val="Unset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Revert-layer"/>
    </font>
    <font>
      <sz val="11"/>
      <color theme="8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Revert-layer"/>
    </font>
    <font>
      <sz val="8"/>
      <color rgb="FF000000"/>
      <name val="Arial"/>
      <family val="2"/>
    </font>
    <font>
      <sz val="8"/>
      <color rgb="FF000000"/>
      <name val="Revert-layer"/>
    </font>
    <font>
      <sz val="10"/>
      <color rgb="FF000000"/>
      <name val="Arial"/>
      <family val="2"/>
    </font>
    <font>
      <sz val="10"/>
      <color rgb="FF000000"/>
      <name val="Revert-laye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164" fontId="0" fillId="4" borderId="2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8" fillId="5" borderId="0" xfId="0" applyFont="1" applyFill="1" applyAlignment="1">
      <alignment horizontal="right" wrapText="1"/>
    </xf>
    <xf numFmtId="3" fontId="0" fillId="0" borderId="0" xfId="0" applyNumberFormat="1"/>
    <xf numFmtId="0" fontId="8" fillId="6" borderId="6" xfId="0" applyFont="1" applyFill="1" applyBorder="1" applyAlignment="1">
      <alignment wrapText="1"/>
    </xf>
    <xf numFmtId="3" fontId="8" fillId="6" borderId="0" xfId="0" applyNumberFormat="1" applyFont="1" applyFill="1" applyAlignment="1">
      <alignment wrapText="1"/>
    </xf>
    <xf numFmtId="43" fontId="0" fillId="0" borderId="0" xfId="1" applyFont="1"/>
    <xf numFmtId="0" fontId="5" fillId="6" borderId="0" xfId="0" applyFont="1" applyFill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3" fontId="8" fillId="5" borderId="0" xfId="0" applyNumberFormat="1" applyFont="1" applyFill="1" applyAlignment="1">
      <alignment horizontal="right" wrapText="1"/>
    </xf>
    <xf numFmtId="3" fontId="8" fillId="6" borderId="6" xfId="0" applyNumberFormat="1" applyFont="1" applyFill="1" applyBorder="1" applyAlignment="1">
      <alignment wrapText="1"/>
    </xf>
    <xf numFmtId="3" fontId="8" fillId="5" borderId="4" xfId="0" applyNumberFormat="1" applyFont="1" applyFill="1" applyBorder="1" applyAlignment="1">
      <alignment wrapText="1"/>
    </xf>
    <xf numFmtId="3" fontId="8" fillId="5" borderId="0" xfId="0" applyNumberFormat="1" applyFont="1" applyFill="1" applyAlignment="1">
      <alignment wrapText="1"/>
    </xf>
    <xf numFmtId="3" fontId="8" fillId="5" borderId="4" xfId="0" applyNumberFormat="1" applyFont="1" applyFill="1" applyBorder="1" applyAlignment="1">
      <alignment horizontal="right" wrapText="1"/>
    </xf>
    <xf numFmtId="166" fontId="0" fillId="0" borderId="0" xfId="1" applyNumberFormat="1" applyFont="1"/>
    <xf numFmtId="166" fontId="0" fillId="4" borderId="0" xfId="1" applyNumberFormat="1" applyFont="1" applyFill="1"/>
    <xf numFmtId="166" fontId="0" fillId="0" borderId="3" xfId="1" applyNumberFormat="1" applyFont="1" applyBorder="1"/>
    <xf numFmtId="166" fontId="0" fillId="4" borderId="3" xfId="1" applyNumberFormat="1" applyFont="1" applyFill="1" applyBorder="1"/>
    <xf numFmtId="166" fontId="9" fillId="0" borderId="0" xfId="1" applyNumberFormat="1" applyFont="1"/>
    <xf numFmtId="0" fontId="0" fillId="0" borderId="7" xfId="0" applyBorder="1"/>
    <xf numFmtId="0" fontId="5" fillId="5" borderId="0" xfId="0" applyFont="1" applyFill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13" fillId="5" borderId="0" xfId="0" applyFont="1" applyFill="1" applyAlignment="1">
      <alignment horizontal="right" wrapText="1"/>
    </xf>
    <xf numFmtId="0" fontId="13" fillId="6" borderId="0" xfId="0" applyFont="1" applyFill="1" applyAlignment="1">
      <alignment horizontal="right" wrapText="1"/>
    </xf>
    <xf numFmtId="0" fontId="13" fillId="6" borderId="6" xfId="0" applyFont="1" applyFill="1" applyBorder="1" applyAlignment="1">
      <alignment wrapText="1"/>
    </xf>
    <xf numFmtId="3" fontId="12" fillId="5" borderId="0" xfId="0" applyNumberFormat="1" applyFont="1" applyFill="1" applyAlignment="1">
      <alignment wrapText="1"/>
    </xf>
    <xf numFmtId="0" fontId="13" fillId="5" borderId="0" xfId="0" applyFont="1" applyFill="1" applyAlignment="1">
      <alignment wrapText="1"/>
    </xf>
    <xf numFmtId="3" fontId="12" fillId="5" borderId="8" xfId="0" applyNumberFormat="1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3" fillId="6" borderId="0" xfId="0" applyFont="1" applyFill="1" applyAlignment="1">
      <alignment wrapText="1"/>
    </xf>
    <xf numFmtId="3" fontId="12" fillId="6" borderId="0" xfId="0" applyNumberFormat="1" applyFont="1" applyFill="1" applyAlignment="1">
      <alignment wrapText="1"/>
    </xf>
    <xf numFmtId="3" fontId="13" fillId="5" borderId="0" xfId="0" applyNumberFormat="1" applyFont="1" applyFill="1" applyAlignment="1">
      <alignment horizontal="right" wrapText="1"/>
    </xf>
    <xf numFmtId="3" fontId="13" fillId="5" borderId="0" xfId="0" applyNumberFormat="1" applyFont="1" applyFill="1" applyAlignment="1">
      <alignment wrapText="1"/>
    </xf>
    <xf numFmtId="3" fontId="13" fillId="5" borderId="8" xfId="0" applyNumberFormat="1" applyFont="1" applyFill="1" applyBorder="1" applyAlignment="1">
      <alignment wrapText="1"/>
    </xf>
    <xf numFmtId="3" fontId="13" fillId="6" borderId="0" xfId="0" applyNumberFormat="1" applyFont="1" applyFill="1" applyAlignment="1">
      <alignment wrapText="1"/>
    </xf>
    <xf numFmtId="3" fontId="13" fillId="6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horizontal="right" wrapText="1"/>
    </xf>
    <xf numFmtId="3" fontId="13" fillId="6" borderId="0" xfId="0" applyNumberFormat="1" applyFont="1" applyFill="1" applyAlignment="1">
      <alignment horizontal="right" wrapText="1"/>
    </xf>
    <xf numFmtId="0" fontId="5" fillId="5" borderId="6" xfId="0" applyFont="1" applyFill="1" applyBorder="1" applyAlignment="1">
      <alignment vertical="center" wrapText="1"/>
    </xf>
    <xf numFmtId="3" fontId="12" fillId="5" borderId="4" xfId="0" applyNumberFormat="1" applyFont="1" applyFill="1" applyBorder="1" applyAlignment="1">
      <alignment wrapText="1"/>
    </xf>
    <xf numFmtId="0" fontId="12" fillId="6" borderId="8" xfId="0" applyFont="1" applyFill="1" applyBorder="1" applyAlignment="1">
      <alignment wrapText="1"/>
    </xf>
    <xf numFmtId="0" fontId="13" fillId="6" borderId="8" xfId="0" applyFont="1" applyFill="1" applyBorder="1" applyAlignment="1">
      <alignment wrapText="1"/>
    </xf>
    <xf numFmtId="0" fontId="13" fillId="5" borderId="6" xfId="0" applyFont="1" applyFill="1" applyBorder="1" applyAlignment="1">
      <alignment wrapText="1"/>
    </xf>
    <xf numFmtId="3" fontId="13" fillId="6" borderId="8" xfId="0" applyNumberFormat="1" applyFont="1" applyFill="1" applyBorder="1" applyAlignment="1">
      <alignment wrapText="1"/>
    </xf>
    <xf numFmtId="3" fontId="13" fillId="5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wrapText="1"/>
    </xf>
    <xf numFmtId="0" fontId="13" fillId="7" borderId="0" xfId="0" applyFont="1" applyFill="1" applyAlignment="1">
      <alignment wrapText="1"/>
    </xf>
    <xf numFmtId="3" fontId="12" fillId="7" borderId="0" xfId="0" applyNumberFormat="1" applyFont="1" applyFill="1" applyAlignment="1">
      <alignment wrapText="1"/>
    </xf>
    <xf numFmtId="0" fontId="12" fillId="7" borderId="0" xfId="0" applyFont="1" applyFill="1" applyAlignment="1">
      <alignment wrapText="1"/>
    </xf>
    <xf numFmtId="0" fontId="12" fillId="7" borderId="6" xfId="0" applyFont="1" applyFill="1" applyBorder="1" applyAlignment="1">
      <alignment wrapText="1"/>
    </xf>
    <xf numFmtId="0" fontId="13" fillId="7" borderId="6" xfId="0" applyFont="1" applyFill="1" applyBorder="1" applyAlignment="1">
      <alignment wrapText="1"/>
    </xf>
    <xf numFmtId="3" fontId="12" fillId="5" borderId="9" xfId="0" applyNumberFormat="1" applyFont="1" applyFill="1" applyBorder="1" applyAlignment="1">
      <alignment wrapText="1"/>
    </xf>
    <xf numFmtId="0" fontId="13" fillId="7" borderId="0" xfId="0" applyFont="1" applyFill="1" applyAlignment="1">
      <alignment horizontal="right" wrapText="1"/>
    </xf>
    <xf numFmtId="0" fontId="5" fillId="6" borderId="4" xfId="0" applyFont="1" applyFill="1" applyBorder="1" applyAlignment="1">
      <alignment vertical="center"/>
    </xf>
    <xf numFmtId="0" fontId="5" fillId="6" borderId="4" xfId="0" applyFont="1" applyFill="1" applyBorder="1"/>
    <xf numFmtId="0" fontId="5" fillId="5" borderId="0" xfId="0" applyFont="1" applyFill="1" applyAlignment="1">
      <alignment vertical="center"/>
    </xf>
    <xf numFmtId="0" fontId="5" fillId="5" borderId="0" xfId="0" applyFont="1" applyFill="1"/>
    <xf numFmtId="3" fontId="15" fillId="6" borderId="0" xfId="0" applyNumberFormat="1" applyFont="1" applyFill="1" applyAlignment="1">
      <alignment horizontal="right"/>
    </xf>
    <xf numFmtId="3" fontId="15" fillId="5" borderId="0" xfId="0" applyNumberFormat="1" applyFont="1" applyFill="1"/>
    <xf numFmtId="0" fontId="15" fillId="5" borderId="0" xfId="0" applyFont="1" applyFill="1"/>
    <xf numFmtId="3" fontId="15" fillId="6" borderId="0" xfId="0" applyNumberFormat="1" applyFont="1" applyFill="1"/>
    <xf numFmtId="3" fontId="15" fillId="6" borderId="6" xfId="0" applyNumberFormat="1" applyFont="1" applyFill="1" applyBorder="1"/>
    <xf numFmtId="3" fontId="15" fillId="5" borderId="4" xfId="0" applyNumberFormat="1" applyFont="1" applyFill="1" applyBorder="1"/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15" fillId="6" borderId="0" xfId="0" applyFont="1" applyFill="1"/>
    <xf numFmtId="3" fontId="15" fillId="5" borderId="6" xfId="0" applyNumberFormat="1" applyFont="1" applyFill="1" applyBorder="1"/>
    <xf numFmtId="3" fontId="15" fillId="6" borderId="4" xfId="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vertical="center"/>
    </xf>
    <xf numFmtId="0" fontId="5" fillId="5" borderId="5" xfId="0" applyFont="1" applyFill="1" applyBorder="1"/>
    <xf numFmtId="3" fontId="15" fillId="5" borderId="0" xfId="0" applyNumberFormat="1" applyFont="1" applyFill="1" applyAlignment="1">
      <alignment horizontal="right"/>
    </xf>
    <xf numFmtId="3" fontId="15" fillId="6" borderId="8" xfId="0" applyNumberFormat="1" applyFont="1" applyFill="1" applyBorder="1"/>
    <xf numFmtId="0" fontId="5" fillId="5" borderId="4" xfId="0" applyFont="1" applyFill="1" applyBorder="1" applyAlignment="1">
      <alignment vertical="center"/>
    </xf>
    <xf numFmtId="0" fontId="5" fillId="5" borderId="4" xfId="0" applyFont="1" applyFill="1" applyBorder="1"/>
    <xf numFmtId="3" fontId="14" fillId="6" borderId="0" xfId="0" applyNumberFormat="1" applyFont="1" applyFill="1"/>
    <xf numFmtId="0" fontId="0" fillId="7" borderId="0" xfId="0" applyFill="1"/>
    <xf numFmtId="3" fontId="15" fillId="6" borderId="4" xfId="0" applyNumberFormat="1" applyFont="1" applyFill="1" applyBorder="1"/>
    <xf numFmtId="0" fontId="15" fillId="5" borderId="6" xfId="0" applyFont="1" applyFill="1" applyBorder="1"/>
    <xf numFmtId="3" fontId="15" fillId="5" borderId="10" xfId="0" applyNumberFormat="1" applyFont="1" applyFill="1" applyBorder="1" applyAlignment="1">
      <alignment horizontal="right"/>
    </xf>
    <xf numFmtId="0" fontId="2" fillId="0" borderId="11" xfId="0" applyFont="1" applyBorder="1"/>
    <xf numFmtId="0" fontId="0" fillId="0" borderId="11" xfId="0" applyBorder="1"/>
    <xf numFmtId="166" fontId="0" fillId="0" borderId="11" xfId="1" applyNumberFormat="1" applyFont="1" applyBorder="1"/>
    <xf numFmtId="0" fontId="12" fillId="8" borderId="0" xfId="0" applyFont="1" applyFill="1" applyAlignment="1">
      <alignment wrapText="1"/>
    </xf>
    <xf numFmtId="3" fontId="12" fillId="8" borderId="0" xfId="0" applyNumberFormat="1" applyFont="1" applyFill="1" applyAlignment="1">
      <alignment wrapText="1"/>
    </xf>
    <xf numFmtId="166" fontId="0" fillId="0" borderId="7" xfId="1" applyNumberFormat="1" applyFont="1" applyBorder="1"/>
    <xf numFmtId="166" fontId="0" fillId="4" borderId="7" xfId="1" applyNumberFormat="1" applyFont="1" applyFill="1" applyBorder="1"/>
    <xf numFmtId="0" fontId="2" fillId="0" borderId="7" xfId="0" applyFont="1" applyBorder="1"/>
    <xf numFmtId="166" fontId="0" fillId="4" borderId="11" xfId="1" applyNumberFormat="1" applyFont="1" applyFill="1" applyBorder="1"/>
    <xf numFmtId="166" fontId="0" fillId="0" borderId="0" xfId="0" applyNumberFormat="1"/>
    <xf numFmtId="0" fontId="0" fillId="4" borderId="3" xfId="0" applyFill="1" applyBorder="1"/>
    <xf numFmtId="3" fontId="0" fillId="0" borderId="3" xfId="0" applyNumberFormat="1" applyBorder="1"/>
    <xf numFmtId="166" fontId="0" fillId="0" borderId="3" xfId="0" applyNumberFormat="1" applyBorder="1"/>
    <xf numFmtId="10" fontId="0" fillId="0" borderId="0" xfId="2" applyNumberFormat="1" applyFont="1"/>
    <xf numFmtId="10" fontId="0" fillId="0" borderId="0" xfId="0" applyNumberFormat="1"/>
    <xf numFmtId="2" fontId="0" fillId="0" borderId="3" xfId="0" applyNumberFormat="1" applyBorder="1"/>
    <xf numFmtId="43" fontId="0" fillId="0" borderId="0" xfId="0" applyNumberFormat="1"/>
    <xf numFmtId="10" fontId="0" fillId="0" borderId="0" xfId="2" applyNumberFormat="1" applyFont="1" applyBorder="1"/>
    <xf numFmtId="0" fontId="0" fillId="4" borderId="2" xfId="0" applyFill="1" applyBorder="1"/>
    <xf numFmtId="10" fontId="0" fillId="4" borderId="0" xfId="2" applyNumberFormat="1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5" borderId="0" xfId="0" applyFont="1" applyFill="1" applyAlignment="1">
      <alignment horizontal="left" wrapText="1" indent="4"/>
    </xf>
    <xf numFmtId="0" fontId="7" fillId="6" borderId="0" xfId="0" applyFont="1" applyFill="1" applyAlignment="1">
      <alignment horizontal="left" wrapText="1" indent="4"/>
    </xf>
    <xf numFmtId="0" fontId="7" fillId="5" borderId="0" xfId="0" applyFont="1" applyFill="1" applyAlignment="1">
      <alignment horizontal="left" wrapText="1" indent="2"/>
    </xf>
    <xf numFmtId="0" fontId="7" fillId="6" borderId="0" xfId="0" applyFont="1" applyFill="1" applyAlignment="1">
      <alignment horizontal="left" wrapText="1" indent="2"/>
    </xf>
    <xf numFmtId="0" fontId="6" fillId="6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3"/>
    </xf>
    <xf numFmtId="0" fontId="6" fillId="5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 indent="3"/>
    </xf>
    <xf numFmtId="0" fontId="12" fillId="6" borderId="0" xfId="0" applyFont="1" applyFill="1" applyAlignment="1">
      <alignment horizontal="left" wrapText="1" indent="2"/>
    </xf>
    <xf numFmtId="0" fontId="10" fillId="5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 wrapText="1" indent="1"/>
    </xf>
    <xf numFmtId="0" fontId="10" fillId="6" borderId="0" xfId="0" applyFont="1" applyFill="1" applyAlignment="1">
      <alignment horizontal="left" wrapText="1"/>
    </xf>
    <xf numFmtId="0" fontId="12" fillId="5" borderId="0" xfId="0" applyFont="1" applyFill="1" applyAlignment="1">
      <alignment horizontal="left" vertical="center" wrapText="1" indent="3"/>
    </xf>
    <xf numFmtId="0" fontId="12" fillId="5" borderId="0" xfId="0" applyFont="1" applyFill="1" applyAlignment="1">
      <alignment horizontal="left" wrapText="1" indent="1"/>
    </xf>
    <xf numFmtId="0" fontId="12" fillId="7" borderId="0" xfId="0" applyFont="1" applyFill="1" applyAlignment="1">
      <alignment horizontal="left" wrapText="1" indent="1"/>
    </xf>
    <xf numFmtId="0" fontId="12" fillId="5" borderId="0" xfId="0" applyFont="1" applyFill="1" applyAlignment="1">
      <alignment horizontal="left" wrapText="1" indent="2"/>
    </xf>
    <xf numFmtId="0" fontId="10" fillId="6" borderId="0" xfId="0" applyFont="1" applyFill="1" applyAlignment="1">
      <alignment horizontal="left" vertical="center" wrapText="1" indent="1"/>
    </xf>
    <xf numFmtId="0" fontId="12" fillId="6" borderId="0" xfId="0" applyFont="1" applyFill="1" applyAlignment="1">
      <alignment horizontal="left" vertical="center" wrapText="1" indent="2"/>
    </xf>
    <xf numFmtId="0" fontId="11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 indent="2"/>
    </xf>
    <xf numFmtId="0" fontId="6" fillId="6" borderId="11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10" fontId="0" fillId="0" borderId="3" xfId="2" applyNumberFormat="1" applyFont="1" applyBorder="1"/>
    <xf numFmtId="14" fontId="0" fillId="0" borderId="0" xfId="0" applyNumberFormat="1"/>
    <xf numFmtId="10" fontId="0" fillId="4" borderId="0" xfId="0" applyNumberFormat="1" applyFill="1"/>
    <xf numFmtId="10" fontId="0" fillId="4" borderId="3" xfId="0" applyNumberFormat="1" applyFill="1" applyBorder="1"/>
    <xf numFmtId="10" fontId="0" fillId="4" borderId="3" xfId="2" applyNumberFormat="1" applyFont="1" applyFill="1" applyBorder="1"/>
    <xf numFmtId="43" fontId="0" fillId="4" borderId="0" xfId="1" applyFont="1" applyFill="1"/>
    <xf numFmtId="167" fontId="0" fillId="4" borderId="0" xfId="1" applyNumberFormat="1" applyFont="1" applyFill="1"/>
    <xf numFmtId="2" fontId="0" fillId="4" borderId="0" xfId="0" applyNumberFormat="1" applyFill="1"/>
    <xf numFmtId="2" fontId="17" fillId="4" borderId="0" xfId="0" applyNumberFormat="1" applyFont="1" applyFill="1"/>
    <xf numFmtId="43" fontId="0" fillId="4" borderId="3" xfId="0" applyNumberFormat="1" applyFill="1" applyBorder="1"/>
    <xf numFmtId="43" fontId="0" fillId="4" borderId="0" xfId="0" applyNumberFormat="1" applyFill="1"/>
    <xf numFmtId="166" fontId="0" fillId="4" borderId="3" xfId="0" applyNumberFormat="1" applyFill="1" applyBorder="1"/>
    <xf numFmtId="3" fontId="9" fillId="0" borderId="0" xfId="0" applyNumberFormat="1" applyFont="1"/>
    <xf numFmtId="0" fontId="9" fillId="0" borderId="0" xfId="0" applyFont="1"/>
    <xf numFmtId="10" fontId="9" fillId="0" borderId="0" xfId="0" applyNumberFormat="1" applyFont="1"/>
    <xf numFmtId="14" fontId="0" fillId="0" borderId="3" xfId="0" applyNumberFormat="1" applyBorder="1"/>
    <xf numFmtId="0" fontId="0" fillId="0" borderId="0" xfId="0" applyFill="1" applyBorder="1"/>
    <xf numFmtId="166" fontId="9" fillId="0" borderId="3" xfId="1" applyNumberFormat="1" applyFont="1" applyBorder="1"/>
    <xf numFmtId="166" fontId="0" fillId="4" borderId="0" xfId="0" applyNumberFormat="1" applyFill="1"/>
    <xf numFmtId="0" fontId="2" fillId="0" borderId="12" xfId="0" applyFont="1" applyBorder="1"/>
    <xf numFmtId="0" fontId="0" fillId="0" borderId="14" xfId="0" applyBorder="1"/>
    <xf numFmtId="0" fontId="0" fillId="0" borderId="0" xfId="0" applyBorder="1"/>
    <xf numFmtId="10" fontId="0" fillId="0" borderId="0" xfId="0" applyNumberFormat="1" applyBorder="1"/>
    <xf numFmtId="0" fontId="0" fillId="0" borderId="16" xfId="0" applyBorder="1"/>
    <xf numFmtId="10" fontId="0" fillId="0" borderId="2" xfId="0" applyNumberFormat="1" applyBorder="1"/>
    <xf numFmtId="0" fontId="2" fillId="0" borderId="18" xfId="0" applyFont="1" applyBorder="1"/>
    <xf numFmtId="0" fontId="0" fillId="0" borderId="19" xfId="0" applyBorder="1"/>
    <xf numFmtId="10" fontId="18" fillId="4" borderId="0" xfId="0" applyNumberFormat="1" applyFont="1" applyFill="1"/>
    <xf numFmtId="10" fontId="17" fillId="4" borderId="0" xfId="0" applyNumberFormat="1" applyFont="1" applyFill="1"/>
    <xf numFmtId="10" fontId="17" fillId="4" borderId="0" xfId="2" applyNumberFormat="1" applyFont="1" applyFill="1"/>
    <xf numFmtId="10" fontId="0" fillId="0" borderId="2" xfId="2" applyNumberFormat="1" applyFont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0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quotePrefix="1"/>
    <xf numFmtId="0" fontId="2" fillId="0" borderId="14" xfId="0" applyFont="1" applyBorder="1"/>
    <xf numFmtId="166" fontId="0" fillId="4" borderId="7" xfId="0" applyNumberFormat="1" applyFill="1" applyBorder="1"/>
    <xf numFmtId="2" fontId="0" fillId="4" borderId="3" xfId="0" applyNumberFormat="1" applyFill="1" applyBorder="1"/>
    <xf numFmtId="2" fontId="0" fillId="4" borderId="13" xfId="0" applyNumberFormat="1" applyFill="1" applyBorder="1"/>
    <xf numFmtId="2" fontId="0" fillId="4" borderId="0" xfId="0" applyNumberFormat="1" applyFill="1" applyBorder="1"/>
    <xf numFmtId="2" fontId="0" fillId="4" borderId="15" xfId="0" applyNumberFormat="1" applyFill="1" applyBorder="1"/>
    <xf numFmtId="10" fontId="0" fillId="4" borderId="0" xfId="0" applyNumberFormat="1" applyFill="1" applyBorder="1"/>
    <xf numFmtId="10" fontId="0" fillId="4" borderId="15" xfId="0" applyNumberFormat="1" applyFill="1" applyBorder="1"/>
    <xf numFmtId="10" fontId="0" fillId="4" borderId="2" xfId="0" applyNumberFormat="1" applyFill="1" applyBorder="1"/>
    <xf numFmtId="10" fontId="0" fillId="4" borderId="13" xfId="0" applyNumberFormat="1" applyFill="1" applyBorder="1"/>
    <xf numFmtId="10" fontId="0" fillId="4" borderId="17" xfId="0" applyNumberFormat="1" applyFill="1" applyBorder="1"/>
    <xf numFmtId="0" fontId="0" fillId="0" borderId="0" xfId="0" applyAlignment="1">
      <alignment horizontal="center"/>
    </xf>
    <xf numFmtId="166" fontId="0" fillId="4" borderId="0" xfId="1" applyNumberFormat="1" applyFont="1" applyFill="1" applyBorder="1"/>
    <xf numFmtId="166" fontId="0" fillId="0" borderId="0" xfId="1" applyNumberFormat="1" applyFont="1" applyBorder="1"/>
    <xf numFmtId="10" fontId="17" fillId="0" borderId="3" xfId="2" applyNumberFormat="1" applyFont="1" applyBorder="1"/>
    <xf numFmtId="166" fontId="19" fillId="0" borderId="0" xfId="1" applyNumberFormat="1" applyFont="1"/>
    <xf numFmtId="166" fontId="19" fillId="0" borderId="3" xfId="1" applyNumberFormat="1" applyFont="1" applyBorder="1"/>
    <xf numFmtId="9" fontId="0" fillId="0" borderId="0" xfId="0" applyNumberFormat="1" applyBorder="1"/>
    <xf numFmtId="43" fontId="0" fillId="4" borderId="0" xfId="0" applyNumberFormat="1" applyFill="1" applyBorder="1"/>
    <xf numFmtId="43" fontId="0" fillId="4" borderId="15" xfId="0" applyNumberFormat="1" applyFill="1" applyBorder="1"/>
    <xf numFmtId="0" fontId="2" fillId="0" borderId="0" xfId="0" applyFont="1" applyBorder="1"/>
    <xf numFmtId="165" fontId="0" fillId="0" borderId="0" xfId="0" applyNumberFormat="1" applyBorder="1"/>
    <xf numFmtId="164" fontId="0" fillId="4" borderId="0" xfId="0" applyNumberFormat="1" applyFill="1" applyBorder="1"/>
    <xf numFmtId="10" fontId="17" fillId="0" borderId="0" xfId="2" applyNumberFormat="1" applyFont="1" applyBorder="1"/>
    <xf numFmtId="0" fontId="0" fillId="0" borderId="3" xfId="0" applyFill="1" applyBorder="1"/>
    <xf numFmtId="10" fontId="0" fillId="4" borderId="0" xfId="2" applyNumberFormat="1" applyFont="1" applyFill="1" applyBorder="1"/>
    <xf numFmtId="166" fontId="0" fillId="4" borderId="15" xfId="1" applyNumberFormat="1" applyFont="1" applyFill="1" applyBorder="1"/>
    <xf numFmtId="166" fontId="0" fillId="4" borderId="0" xfId="1" applyNumberFormat="1" applyFont="1" applyFill="1" applyBorder="1" applyAlignment="1">
      <alignment horizontal="center"/>
    </xf>
    <xf numFmtId="166" fontId="0" fillId="9" borderId="0" xfId="1" applyNumberFormat="1" applyFont="1" applyFill="1"/>
    <xf numFmtId="10" fontId="9" fillId="0" borderId="0" xfId="2" applyNumberFormat="1" applyFont="1"/>
    <xf numFmtId="9" fontId="0" fillId="0" borderId="0" xfId="2" applyFont="1" applyFill="1"/>
    <xf numFmtId="0" fontId="0" fillId="0" borderId="0" xfId="0" applyFill="1"/>
    <xf numFmtId="9" fontId="0" fillId="0" borderId="0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2"/>
      </font>
      <fill>
        <patternFill patternType="darkUp">
          <fgColor auto="1"/>
          <bgColor rgb="FFC00000"/>
        </patternFill>
      </fill>
    </dxf>
    <dxf>
      <font>
        <b val="0"/>
        <i val="0"/>
        <color theme="0"/>
      </font>
      <fill>
        <patternFill patternType="darkUp">
          <bgColor rgb="FFFF0000"/>
        </patternFill>
      </fill>
    </dxf>
  </dxfs>
  <tableStyles count="1" defaultTableStyle="TableStyleMedium2" defaultPivotStyle="PivotStyleLight16">
    <tableStyle name="Invisible" pivot="0" table="0" count="0" xr9:uid="{B0D5754A-1577-41A6-B110-E1F8164B0C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Drop" dropLines="3" dropStyle="combo" dx="31" fmlaLink="$D$10" fmlaRange="$B$14:$B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8</xdr:row>
          <xdr:rowOff>177800</xdr:rowOff>
        </xdr:from>
        <xdr:to>
          <xdr:col>4</xdr:col>
          <xdr:colOff>203200</xdr:colOff>
          <xdr:row>10</xdr:row>
          <xdr:rowOff>12700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shav Aggarwal" id="{43DD08BC-4567-44A5-ADCC-A9C6F634F65D}" userId="fb7d91c61a0f33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6" dT="2025-07-17T18:58:00.74" personId="{43DD08BC-4567-44A5-ADCC-A9C6F634F65D}" id="{603B89FB-D427-49C3-A4CD-6D873E5E11C3}">
    <text>Adjustment to be made once the price has been adjusted.</text>
  </threadedComment>
  <threadedComment ref="C46" dT="2025-07-19T05:39:11.20" personId="{43DD08BC-4567-44A5-ADCC-A9C6F634F65D}" id="{09595CBA-CF47-4D47-9DA0-07CB4727C94B}">
    <text>Check Management’s guidance for the average CAPEX for the next 5 years (heading - Capital Expenditure Plans)</text>
  </threadedComment>
  <threadedComment ref="K46" dT="2025-07-19T05:42:05.86" personId="{43DD08BC-4567-44A5-ADCC-A9C6F634F65D}" id="{EDAC56EA-9F4D-4961-8A42-58C0B17E2411}">
    <text xml:space="preserve">Mangement says it expects to spend a similar amount for 2025 as 2024, therefore, using 2024 as the base.
</text>
  </threadedComment>
  <threadedComment ref="J53" dT="2025-07-19T18:30:28.94" personId="{43DD08BC-4567-44A5-ADCC-A9C6F634F65D}" id="{E3CE5E42-1672-471E-90BF-E464759919F7}">
    <text>Notes: Unamortized debt</text>
  </threadedComment>
  <threadedComment ref="K54" dT="2025-07-19T18:32:51.64" personId="{43DD08BC-4567-44A5-ADCC-A9C6F634F65D}" id="{8C5517E4-6F05-4EA8-9953-728583F9AEC3}">
    <text xml:space="preserve">Notes: Interest on Lease liabilities
</text>
  </threadedComment>
  <threadedComment ref="K57" dT="2025-07-19T18:35:13.13" personId="{43DD08BC-4567-44A5-ADCC-A9C6F634F65D}" id="{9F38E3C2-A4F1-4A33-A70C-9FFDDD21171D}">
    <text xml:space="preserve">Notes: Under leases - future minimum payments in the next 5 years
</text>
  </threadedComment>
  <threadedComment ref="K80" dT="2025-07-20T06:47:37.08" personId="{43DD08BC-4567-44A5-ADCC-A9C6F634F65D}" id="{1D939EEB-89D5-4486-99EC-68951FF35568}">
    <text>Circularity prone area.</text>
  </threadedComment>
  <threadedComment ref="F127" dT="2025-07-13T19:39:44.27" personId="{43DD08BC-4567-44A5-ADCC-A9C6F634F65D}" id="{87379581-145D-4850-A472-6CEEC181F31A}">
    <text xml:space="preserve">Cash and Cash Equivalent from PY B.S.
Others are being calculated, but should match the CCE of the B.S.
</text>
  </threadedComment>
  <threadedComment ref="E376" dT="2025-07-19T18:55:59.62" personId="{43DD08BC-4567-44A5-ADCC-A9C6F634F65D}" id="{A0054722-466C-4F33-9573-46E23E691549}">
    <text>Short-term Investments from BS</text>
  </threadedComment>
  <threadedComment ref="K382" dT="2025-07-20T13:39:27.54" personId="{43DD08BC-4567-44A5-ADCC-A9C6F634F65D}" id="{DD480641-2D25-409D-9BA9-242DCA8C8FCD}">
    <text>Circularity prone area</text>
  </threadedComment>
  <threadedComment ref="K390" dT="2025-07-20T13:41:20.65" personId="{43DD08BC-4567-44A5-ADCC-A9C6F634F65D}" id="{A5FA2810-8861-4C82-BDCC-E5F2546C09B7}">
    <text>Break circularity here (2). Linked from CFS</text>
  </threadedComment>
  <threadedComment ref="D415" dT="2025-07-19T20:59:26.43" personId="{43DD08BC-4567-44A5-ADCC-A9C6F634F65D}" id="{02C9E5B4-3AD0-4534-B57B-4539D990AFC1}">
    <text xml:space="preserve">Notes: Japanese Subsidiary: Interest rate
</text>
  </threadedComment>
  <threadedComment ref="C445" dT="2025-07-20T11:33:32.44" personId="{43DD08BC-4567-44A5-ADCC-A9C6F634F65D}" id="{7C43E48A-4095-493B-A92F-AFD13ED6B09D}">
    <text>Usually prepaid expenses, etc. You can grow this with revenue or straight line it.
Calc =Total minus other components.</text>
  </threadedComment>
  <threadedComment ref="C451" dT="2025-07-20T11:36:07.00" personId="{43DD08BC-4567-44A5-ADCC-A9C6F634F65D}" id="{CEF9943A-84E1-48D2-AE82-7618CEFB5677}">
    <text>Most likely (others). At the end of a gas station life, there are expenses w.r.t. correcting the area around to avoid contamination (usually sand is replaced below).
Costco confirms that there are AROs related to leases.
Calc = Total minus other items.</text>
  </threadedComment>
  <threadedComment ref="K466" dT="2025-07-20T13:40:42.61" personId="{43DD08BC-4567-44A5-ADCC-A9C6F634F65D}" id="{E0908AD0-B74D-4130-A467-70AE1DC43308}">
    <text>Break circularity here. Linked to Income before Taxes in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95"/>
  <sheetViews>
    <sheetView tabSelected="1" topLeftCell="A48" workbookViewId="0">
      <selection activeCell="K65" sqref="K65"/>
    </sheetView>
  </sheetViews>
  <sheetFormatPr defaultRowHeight="14.5" outlineLevelRow="1"/>
  <cols>
    <col min="1" max="1" width="4.453125" customWidth="1"/>
    <col min="2" max="2" width="4.7265625" customWidth="1"/>
    <col min="3" max="3" width="38.6328125" customWidth="1"/>
    <col min="4" max="4" width="10.08984375" bestFit="1" customWidth="1"/>
    <col min="5" max="15" width="13.1796875" customWidth="1"/>
  </cols>
  <sheetData>
    <row r="2" spans="1:16" ht="21">
      <c r="A2" s="116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6">
      <c r="A3" s="115" t="s">
        <v>1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5" spans="1:16">
      <c r="E5" s="158">
        <v>43709</v>
      </c>
      <c r="F5" s="158">
        <v>44073</v>
      </c>
      <c r="G5" s="158">
        <v>44437</v>
      </c>
      <c r="H5" s="158">
        <v>44801</v>
      </c>
      <c r="I5" s="158">
        <v>45172</v>
      </c>
      <c r="J5" s="158">
        <v>45536</v>
      </c>
      <c r="K5" s="158">
        <v>45900</v>
      </c>
      <c r="L5" s="158">
        <v>46264</v>
      </c>
      <c r="M5" s="158">
        <v>46628</v>
      </c>
      <c r="N5" s="158">
        <v>46999</v>
      </c>
      <c r="O5" s="158">
        <v>47363</v>
      </c>
    </row>
    <row r="6" spans="1:16">
      <c r="F6">
        <f>F5-E5</f>
        <v>364</v>
      </c>
      <c r="G6">
        <f>G5-F5</f>
        <v>364</v>
      </c>
      <c r="H6">
        <f>H5-G5</f>
        <v>364</v>
      </c>
      <c r="I6">
        <f>I5-H5</f>
        <v>371</v>
      </c>
      <c r="J6">
        <f>J5-I5</f>
        <v>364</v>
      </c>
      <c r="K6">
        <f>K5-J5</f>
        <v>364</v>
      </c>
      <c r="L6">
        <f>L5-K5</f>
        <v>364</v>
      </c>
      <c r="M6">
        <f>M5-L5</f>
        <v>364</v>
      </c>
      <c r="N6">
        <f>N5-M5</f>
        <v>371</v>
      </c>
      <c r="O6">
        <f>O5-N5</f>
        <v>364</v>
      </c>
    </row>
    <row r="8" spans="1:16">
      <c r="B8" t="s">
        <v>2</v>
      </c>
      <c r="D8">
        <v>2025</v>
      </c>
      <c r="K8" s="9">
        <f>$D$8</f>
        <v>2025</v>
      </c>
      <c r="L8" s="9">
        <f>K8+1</f>
        <v>2026</v>
      </c>
      <c r="M8" s="9">
        <f>L8+1</f>
        <v>2027</v>
      </c>
      <c r="N8" s="9">
        <f>M8+1</f>
        <v>2028</v>
      </c>
      <c r="O8" s="9">
        <f>N8+1</f>
        <v>2029</v>
      </c>
      <c r="P8" s="9">
        <f>O8+1</f>
        <v>2030</v>
      </c>
    </row>
    <row r="9" spans="1:16">
      <c r="B9" t="s">
        <v>450</v>
      </c>
      <c r="D9">
        <v>1</v>
      </c>
      <c r="K9" s="8"/>
      <c r="L9" s="8"/>
      <c r="M9" s="8"/>
      <c r="N9" s="8"/>
      <c r="O9" s="8"/>
    </row>
    <row r="10" spans="1:16">
      <c r="B10" t="s">
        <v>3</v>
      </c>
      <c r="D10">
        <v>1</v>
      </c>
      <c r="K10" s="8"/>
      <c r="L10" s="8"/>
      <c r="M10" s="8"/>
      <c r="N10" s="8"/>
      <c r="O10" s="8"/>
    </row>
    <row r="11" spans="1:16">
      <c r="K11" s="8"/>
      <c r="L11" s="10"/>
      <c r="M11" s="8"/>
      <c r="N11" s="8"/>
      <c r="O11" s="8"/>
    </row>
    <row r="12" spans="1:16" outlineLevel="1">
      <c r="B12" s="182" t="s">
        <v>236</v>
      </c>
      <c r="C12" s="183"/>
      <c r="D12" s="183"/>
      <c r="E12" s="183"/>
      <c r="F12" s="183"/>
      <c r="G12" s="183"/>
      <c r="H12" s="183"/>
      <c r="I12" s="183"/>
      <c r="J12" s="183"/>
      <c r="K12" s="197">
        <f>CHOOSE($D$10,K14,K15,K16)</f>
        <v>26</v>
      </c>
      <c r="L12" s="197">
        <f>CHOOSE($D$10,L14,L15,L16)</f>
        <v>27</v>
      </c>
      <c r="M12" s="197">
        <f>CHOOSE($D$10,M14,M15,M16)</f>
        <v>27</v>
      </c>
      <c r="N12" s="197">
        <f>CHOOSE($D$10,N14,N15,N16)</f>
        <v>27</v>
      </c>
      <c r="O12" s="198">
        <f>CHOOSE($D$10,O14,O15,O16)</f>
        <v>27</v>
      </c>
    </row>
    <row r="13" spans="1:16" outlineLevel="1">
      <c r="B13" s="177"/>
      <c r="C13" s="178"/>
      <c r="D13" s="178"/>
      <c r="E13" s="178"/>
      <c r="F13" s="178"/>
      <c r="G13" s="178"/>
      <c r="H13" s="178"/>
      <c r="I13" s="178"/>
      <c r="J13" s="178"/>
      <c r="K13" s="194"/>
      <c r="L13" s="194"/>
      <c r="M13" s="194"/>
      <c r="N13" s="194"/>
      <c r="O13" s="195"/>
    </row>
    <row r="14" spans="1:16" outlineLevel="1">
      <c r="B14" s="177" t="s">
        <v>4</v>
      </c>
      <c r="C14" s="178"/>
      <c r="D14" s="178"/>
      <c r="E14" s="178"/>
      <c r="F14" s="178"/>
      <c r="G14" s="178"/>
      <c r="H14" s="178"/>
      <c r="I14" s="178"/>
      <c r="J14" s="178"/>
      <c r="K14" s="194">
        <v>26</v>
      </c>
      <c r="L14" s="194">
        <v>27</v>
      </c>
      <c r="M14" s="194">
        <v>27</v>
      </c>
      <c r="N14" s="194">
        <v>27</v>
      </c>
      <c r="O14" s="195">
        <v>27</v>
      </c>
    </row>
    <row r="15" spans="1:16" outlineLevel="1">
      <c r="B15" s="177" t="s">
        <v>5</v>
      </c>
      <c r="C15" s="178"/>
      <c r="D15" s="178"/>
      <c r="E15" s="178"/>
      <c r="F15" s="178"/>
      <c r="G15" s="178"/>
      <c r="H15" s="178"/>
      <c r="I15" s="178"/>
      <c r="J15" s="178"/>
      <c r="K15" s="194">
        <v>26</v>
      </c>
      <c r="L15" s="194">
        <v>30</v>
      </c>
      <c r="M15" s="194">
        <v>30</v>
      </c>
      <c r="N15" s="194">
        <v>30</v>
      </c>
      <c r="O15" s="195">
        <v>30</v>
      </c>
    </row>
    <row r="16" spans="1:16" outlineLevel="1">
      <c r="B16" s="180" t="s">
        <v>6</v>
      </c>
      <c r="C16" s="3"/>
      <c r="D16" s="3"/>
      <c r="E16" s="3"/>
      <c r="F16" s="3"/>
      <c r="G16" s="3"/>
      <c r="H16" s="3"/>
      <c r="I16" s="3"/>
      <c r="J16" s="3"/>
      <c r="K16" s="113">
        <v>26</v>
      </c>
      <c r="L16" s="113">
        <v>22</v>
      </c>
      <c r="M16" s="113">
        <v>22</v>
      </c>
      <c r="N16" s="113">
        <v>22</v>
      </c>
      <c r="O16" s="196">
        <v>22</v>
      </c>
    </row>
    <row r="17" spans="2:15" outlineLevel="1">
      <c r="K17" s="8"/>
      <c r="L17" s="8"/>
      <c r="M17" s="8"/>
      <c r="N17" s="8"/>
      <c r="O17" s="8"/>
    </row>
    <row r="18" spans="2:15" outlineLevel="1">
      <c r="B18" s="182" t="s">
        <v>7</v>
      </c>
      <c r="C18" s="183"/>
      <c r="D18" s="183"/>
      <c r="E18" s="183"/>
      <c r="F18" s="183"/>
      <c r="G18" s="183"/>
      <c r="H18" s="183"/>
      <c r="I18" s="183"/>
      <c r="J18" s="183"/>
      <c r="K18" s="197">
        <f>CHOOSE($D$10,K20,K21,K22)</f>
        <v>21</v>
      </c>
      <c r="L18" s="197">
        <f>CHOOSE($D$10,L20,L21,L22)</f>
        <v>24</v>
      </c>
      <c r="M18" s="197">
        <f>CHOOSE($D$10,M20,M21,M22)</f>
        <v>27</v>
      </c>
      <c r="N18" s="197">
        <f>CHOOSE($D$10,N20,N21,N22)</f>
        <v>30</v>
      </c>
      <c r="O18" s="198">
        <f>CHOOSE($D$10,O20,O21,O22)</f>
        <v>33</v>
      </c>
    </row>
    <row r="19" spans="2:15" outlineLevel="1">
      <c r="B19" s="177"/>
      <c r="C19" s="178"/>
      <c r="D19" s="178"/>
      <c r="E19" s="178"/>
      <c r="F19" s="178"/>
      <c r="G19" s="178"/>
      <c r="H19" s="178"/>
      <c r="I19" s="178"/>
      <c r="J19" s="178"/>
      <c r="K19" s="194"/>
      <c r="L19" s="194"/>
      <c r="M19" s="194"/>
      <c r="N19" s="194"/>
      <c r="O19" s="195"/>
    </row>
    <row r="20" spans="2:15" outlineLevel="1">
      <c r="B20" s="177" t="s">
        <v>4</v>
      </c>
      <c r="C20" s="178"/>
      <c r="D20" s="178"/>
      <c r="E20" s="178"/>
      <c r="F20" s="178"/>
      <c r="G20" s="178"/>
      <c r="H20" s="178"/>
      <c r="I20" s="178"/>
      <c r="J20" s="178"/>
      <c r="K20" s="194">
        <v>21</v>
      </c>
      <c r="L20" s="194">
        <v>24</v>
      </c>
      <c r="M20" s="194">
        <v>27</v>
      </c>
      <c r="N20" s="194">
        <v>30</v>
      </c>
      <c r="O20" s="195">
        <v>33</v>
      </c>
    </row>
    <row r="21" spans="2:15" outlineLevel="1">
      <c r="B21" s="177" t="s">
        <v>5</v>
      </c>
      <c r="C21" s="178"/>
      <c r="D21" s="178"/>
      <c r="E21" s="178"/>
      <c r="F21" s="178"/>
      <c r="G21" s="178"/>
      <c r="H21" s="178"/>
      <c r="I21" s="178"/>
      <c r="J21" s="178"/>
      <c r="K21" s="194">
        <v>22</v>
      </c>
      <c r="L21" s="194">
        <v>25</v>
      </c>
      <c r="M21" s="194">
        <v>28</v>
      </c>
      <c r="N21" s="194">
        <v>31</v>
      </c>
      <c r="O21" s="195">
        <v>34</v>
      </c>
    </row>
    <row r="22" spans="2:15" outlineLevel="1">
      <c r="B22" s="180" t="s">
        <v>6</v>
      </c>
      <c r="C22" s="3"/>
      <c r="D22" s="3"/>
      <c r="E22" s="3"/>
      <c r="F22" s="3"/>
      <c r="G22" s="3"/>
      <c r="H22" s="3"/>
      <c r="I22" s="3"/>
      <c r="J22" s="3"/>
      <c r="K22" s="113">
        <v>23</v>
      </c>
      <c r="L22" s="113">
        <v>26</v>
      </c>
      <c r="M22" s="113">
        <v>29</v>
      </c>
      <c r="N22" s="113">
        <v>32</v>
      </c>
      <c r="O22" s="196">
        <v>35</v>
      </c>
    </row>
    <row r="23" spans="2:15" outlineLevel="1">
      <c r="K23" s="8"/>
      <c r="L23" s="8"/>
      <c r="M23" s="8"/>
      <c r="N23" s="8"/>
      <c r="O23" s="8"/>
    </row>
    <row r="24" spans="2:15" outlineLevel="1">
      <c r="K24" s="8"/>
      <c r="L24" s="8"/>
      <c r="M24" s="8"/>
      <c r="N24" s="8"/>
      <c r="O24" s="8"/>
    </row>
    <row r="25" spans="2:15" outlineLevel="1">
      <c r="B25" s="182" t="s">
        <v>202</v>
      </c>
      <c r="C25" s="183"/>
      <c r="D25" s="183"/>
      <c r="E25" s="183"/>
      <c r="F25" s="183"/>
      <c r="G25" s="183"/>
      <c r="H25" s="183"/>
      <c r="I25" s="183"/>
      <c r="J25" s="183"/>
      <c r="K25" s="197"/>
      <c r="L25" s="197"/>
      <c r="M25" s="197"/>
      <c r="N25" s="197"/>
      <c r="O25" s="198"/>
    </row>
    <row r="26" spans="2:15" outlineLevel="1">
      <c r="B26" s="192"/>
      <c r="C26" s="5" t="s">
        <v>280</v>
      </c>
      <c r="D26" s="5" t="s">
        <v>52</v>
      </c>
      <c r="E26" s="5"/>
      <c r="F26" s="5"/>
      <c r="G26" s="5"/>
      <c r="H26" s="5"/>
      <c r="I26" s="5"/>
      <c r="J26" s="5"/>
      <c r="K26" s="202">
        <f>J199*(1+$J$27)*(1+$J$28/2)</f>
        <v>48.435957154090985</v>
      </c>
      <c r="L26" s="202">
        <f>K26*(1+$J$27)*(1+$J$28/2)</f>
        <v>50.497236986532279</v>
      </c>
      <c r="M26" s="202">
        <f>L26*(1+$J$27)</f>
        <v>50.541197440064622</v>
      </c>
      <c r="N26" s="202">
        <f>M26*(1+$J$27)</f>
        <v>50.585196163442809</v>
      </c>
      <c r="O26" s="203">
        <f>N26*(1+$J$27)</f>
        <v>50.629233189982713</v>
      </c>
    </row>
    <row r="27" spans="2:15" outlineLevel="1">
      <c r="B27" s="177"/>
      <c r="C27" s="178" t="s">
        <v>228</v>
      </c>
      <c r="D27" s="178" t="s">
        <v>216</v>
      </c>
      <c r="E27" s="178"/>
      <c r="F27" s="178"/>
      <c r="G27" s="178"/>
      <c r="H27" s="178"/>
      <c r="I27" s="178"/>
      <c r="J27" s="179">
        <f>J202</f>
        <v>8.7055166095661995E-4</v>
      </c>
      <c r="K27" s="204"/>
      <c r="L27" s="204"/>
      <c r="M27" s="204"/>
      <c r="N27" s="204"/>
      <c r="O27" s="205"/>
    </row>
    <row r="28" spans="2:15" outlineLevel="1">
      <c r="B28" s="177"/>
      <c r="C28" s="178" t="s">
        <v>308</v>
      </c>
      <c r="D28" s="178" t="s">
        <v>216</v>
      </c>
      <c r="E28" s="178"/>
      <c r="F28" s="178"/>
      <c r="G28" s="178"/>
      <c r="H28" s="178"/>
      <c r="I28" s="178"/>
      <c r="J28" s="179">
        <f>J203</f>
        <v>8.3299999999999999E-2</v>
      </c>
      <c r="K28" s="204"/>
      <c r="L28" s="204"/>
      <c r="M28" s="204"/>
      <c r="N28" s="204"/>
      <c r="O28" s="205"/>
    </row>
    <row r="29" spans="2:15" outlineLevel="1">
      <c r="B29" s="177"/>
      <c r="C29" s="178" t="s">
        <v>238</v>
      </c>
      <c r="D29" s="178" t="s">
        <v>216</v>
      </c>
      <c r="E29" s="178"/>
      <c r="F29" s="178"/>
      <c r="G29" s="178"/>
      <c r="H29" s="178"/>
      <c r="I29" s="178"/>
      <c r="J29" s="178"/>
      <c r="K29" s="206">
        <f>K219</f>
        <v>8.3380840348610277E-2</v>
      </c>
      <c r="L29" s="206">
        <f t="shared" ref="L29:O29" si="0">L219</f>
        <v>8.3512090041952119E-2</v>
      </c>
      <c r="M29" s="206">
        <f t="shared" si="0"/>
        <v>8.3090111500921215E-2</v>
      </c>
      <c r="N29" s="206">
        <f t="shared" si="0"/>
        <v>8.4014203371379687E-2</v>
      </c>
      <c r="O29" s="207">
        <f t="shared" si="0"/>
        <v>8.2314720641173358E-2</v>
      </c>
    </row>
    <row r="30" spans="2:15" outlineLevel="1">
      <c r="B30" s="180"/>
      <c r="C30" s="3" t="s">
        <v>281</v>
      </c>
      <c r="D30" s="3" t="s">
        <v>216</v>
      </c>
      <c r="E30" s="3"/>
      <c r="F30" s="3"/>
      <c r="G30" s="3"/>
      <c r="H30" s="3"/>
      <c r="I30" s="3"/>
      <c r="J30" s="3"/>
      <c r="K30" s="208">
        <f>J196</f>
        <v>0.49701832791472961</v>
      </c>
      <c r="L30" s="113"/>
      <c r="M30" s="113"/>
      <c r="N30" s="113"/>
      <c r="O30" s="196"/>
    </row>
    <row r="31" spans="2:15" outlineLevel="1">
      <c r="K31" s="8"/>
      <c r="L31" s="8"/>
      <c r="M31" s="8"/>
      <c r="N31" s="8"/>
      <c r="O31" s="8"/>
    </row>
    <row r="32" spans="2:15" outlineLevel="1">
      <c r="B32" s="182" t="s">
        <v>252</v>
      </c>
      <c r="C32" s="183"/>
      <c r="D32" s="183"/>
      <c r="E32" s="183"/>
      <c r="F32" s="183"/>
      <c r="G32" s="183"/>
      <c r="H32" s="183"/>
      <c r="I32" s="183"/>
      <c r="J32" s="183"/>
      <c r="K32" s="197"/>
      <c r="L32" s="197"/>
      <c r="M32" s="197"/>
      <c r="N32" s="197"/>
      <c r="O32" s="198"/>
    </row>
    <row r="33" spans="2:15" outlineLevel="1">
      <c r="B33" s="189"/>
      <c r="C33" s="178" t="s">
        <v>267</v>
      </c>
      <c r="D33" s="178" t="s">
        <v>216</v>
      </c>
      <c r="E33" s="178"/>
      <c r="F33" s="178"/>
      <c r="G33" s="178"/>
      <c r="H33" s="178"/>
      <c r="I33" s="178"/>
      <c r="J33" s="178"/>
      <c r="K33" s="206">
        <f>K249</f>
        <v>4.2623415857288606E-2</v>
      </c>
      <c r="L33" s="206">
        <f>K33+$J$34</f>
        <v>4.5623415857288609E-2</v>
      </c>
      <c r="M33" s="206">
        <f>L33+$J$34</f>
        <v>4.8623415857288611E-2</v>
      </c>
      <c r="N33" s="206">
        <f>M33+$J$34</f>
        <v>5.1623415857288614E-2</v>
      </c>
      <c r="O33" s="207">
        <f>N33+$J$34</f>
        <v>5.4623415857288617E-2</v>
      </c>
    </row>
    <row r="34" spans="2:15" outlineLevel="1">
      <c r="B34" s="188"/>
      <c r="C34" s="178" t="s">
        <v>282</v>
      </c>
      <c r="D34" s="178" t="s">
        <v>216</v>
      </c>
      <c r="E34" s="178"/>
      <c r="F34" s="178"/>
      <c r="G34" s="178"/>
      <c r="H34" s="178"/>
      <c r="I34" s="178"/>
      <c r="J34" s="112">
        <v>3.0000000000000001E-3</v>
      </c>
      <c r="K34" s="194"/>
      <c r="L34" s="194"/>
      <c r="M34" s="194"/>
      <c r="N34" s="194"/>
      <c r="O34" s="195"/>
    </row>
    <row r="35" spans="2:15" outlineLevel="1">
      <c r="B35" s="189"/>
      <c r="C35" s="5" t="s">
        <v>283</v>
      </c>
      <c r="D35" s="5" t="s">
        <v>216</v>
      </c>
      <c r="E35" s="5"/>
      <c r="F35" s="5"/>
      <c r="G35" s="5"/>
      <c r="H35" s="5"/>
      <c r="I35" s="5"/>
      <c r="J35" s="5"/>
      <c r="K35" s="160">
        <f>J257+J36</f>
        <v>1.1420039214117083E-2</v>
      </c>
      <c r="L35" s="160">
        <f>K35+$J$36</f>
        <v>1.1620039214117084E-2</v>
      </c>
      <c r="M35" s="160">
        <f>L35+$J$36</f>
        <v>1.1820039214117084E-2</v>
      </c>
      <c r="N35" s="160">
        <f>M35+$J$36</f>
        <v>1.2020039214117085E-2</v>
      </c>
      <c r="O35" s="209">
        <f>N35+$J$36</f>
        <v>1.2220039214117085E-2</v>
      </c>
    </row>
    <row r="36" spans="2:15" outlineLevel="1">
      <c r="B36" s="190"/>
      <c r="C36" s="191" t="s">
        <v>282</v>
      </c>
      <c r="D36" s="3" t="s">
        <v>216</v>
      </c>
      <c r="E36" s="3"/>
      <c r="F36" s="3"/>
      <c r="G36" s="3"/>
      <c r="H36" s="3"/>
      <c r="I36" s="3"/>
      <c r="J36" s="187">
        <v>2.0000000000000001E-4</v>
      </c>
      <c r="K36" s="208"/>
      <c r="L36" s="208"/>
      <c r="M36" s="208"/>
      <c r="N36" s="208"/>
      <c r="O36" s="210"/>
    </row>
    <row r="37" spans="2:15" outlineLevel="1">
      <c r="B37" s="180"/>
      <c r="C37" s="3" t="s">
        <v>284</v>
      </c>
      <c r="D37" s="3" t="s">
        <v>216</v>
      </c>
      <c r="E37" s="3"/>
      <c r="F37" s="3"/>
      <c r="G37" s="3"/>
      <c r="H37" s="3"/>
      <c r="I37" s="3"/>
      <c r="J37" s="181">
        <f>J260</f>
        <v>0.88819199147816175</v>
      </c>
      <c r="K37" s="113"/>
      <c r="L37" s="113"/>
      <c r="M37" s="113"/>
      <c r="N37" s="113"/>
      <c r="O37" s="196"/>
    </row>
    <row r="38" spans="2:15" outlineLevel="1">
      <c r="K38" s="8"/>
      <c r="L38" s="8"/>
      <c r="M38" s="8"/>
      <c r="N38" s="8"/>
      <c r="O38" s="8"/>
    </row>
    <row r="39" spans="2:15" outlineLevel="1">
      <c r="B39" s="176" t="s">
        <v>15</v>
      </c>
      <c r="C39" s="5"/>
      <c r="D39" s="5"/>
      <c r="E39" s="5"/>
      <c r="F39" s="5"/>
      <c r="G39" s="5"/>
      <c r="H39" s="5"/>
      <c r="I39" s="5"/>
      <c r="J39" s="5"/>
      <c r="K39" s="105"/>
      <c r="L39" s="105"/>
      <c r="M39" s="105"/>
      <c r="N39" s="105"/>
      <c r="O39" s="193"/>
    </row>
    <row r="40" spans="2:15" outlineLevel="1">
      <c r="B40" s="180"/>
      <c r="C40" s="3" t="s">
        <v>303</v>
      </c>
      <c r="D40" s="3" t="s">
        <v>216</v>
      </c>
      <c r="E40" s="3"/>
      <c r="F40" s="3"/>
      <c r="G40" s="3"/>
      <c r="H40" s="3"/>
      <c r="I40" s="3"/>
      <c r="J40" s="181">
        <f>J279</f>
        <v>0.10860277351571095</v>
      </c>
      <c r="K40" s="208">
        <f>J40</f>
        <v>0.10860277351571095</v>
      </c>
      <c r="L40" s="208">
        <f t="shared" ref="L40:O40" si="1">K40</f>
        <v>0.10860277351571095</v>
      </c>
      <c r="M40" s="208">
        <f t="shared" si="1"/>
        <v>0.10860277351571095</v>
      </c>
      <c r="N40" s="208">
        <f t="shared" si="1"/>
        <v>0.10860277351571095</v>
      </c>
      <c r="O40" s="210">
        <f t="shared" si="1"/>
        <v>0.10860277351571095</v>
      </c>
    </row>
    <row r="41" spans="2:15" outlineLevel="1">
      <c r="B41" s="200" t="s">
        <v>306</v>
      </c>
      <c r="C41" s="178"/>
      <c r="D41" s="178"/>
      <c r="E41" s="178"/>
      <c r="F41" s="178"/>
      <c r="G41" s="178"/>
      <c r="H41" s="178"/>
      <c r="I41" s="178"/>
      <c r="J41" s="178"/>
      <c r="K41" s="194"/>
      <c r="L41" s="194"/>
      <c r="M41" s="194"/>
      <c r="N41" s="194"/>
      <c r="O41" s="195"/>
    </row>
    <row r="42" spans="2:15" outlineLevel="1">
      <c r="B42" s="177"/>
      <c r="C42" s="178" t="s">
        <v>304</v>
      </c>
      <c r="D42" s="178" t="s">
        <v>216</v>
      </c>
      <c r="E42" s="178"/>
      <c r="F42" s="178"/>
      <c r="G42" s="178"/>
      <c r="H42" s="178"/>
      <c r="I42" s="178"/>
      <c r="J42" s="179">
        <f>J284</f>
        <v>9.1881335108473183E-2</v>
      </c>
      <c r="K42" s="206">
        <f>J42-$J$43</f>
        <v>9.0297304168993064E-2</v>
      </c>
      <c r="L42" s="206">
        <f t="shared" ref="L42:O42" si="2">K42-$J$43</f>
        <v>8.8713273229512946E-2</v>
      </c>
      <c r="M42" s="206">
        <f t="shared" si="2"/>
        <v>8.7129242290032827E-2</v>
      </c>
      <c r="N42" s="206">
        <f t="shared" si="2"/>
        <v>8.5545211350552708E-2</v>
      </c>
      <c r="O42" s="207">
        <f t="shared" si="2"/>
        <v>8.3961180411072589E-2</v>
      </c>
    </row>
    <row r="43" spans="2:15" outlineLevel="1">
      <c r="B43" s="180"/>
      <c r="C43" s="3" t="s">
        <v>305</v>
      </c>
      <c r="D43" s="3" t="s">
        <v>216</v>
      </c>
      <c r="E43" s="3"/>
      <c r="F43" s="3"/>
      <c r="G43" s="3"/>
      <c r="H43" s="3"/>
      <c r="I43" s="3"/>
      <c r="J43" s="181">
        <f>J289</f>
        <v>1.5840309394801189E-3</v>
      </c>
      <c r="K43" s="113"/>
      <c r="L43" s="113"/>
      <c r="M43" s="113"/>
      <c r="N43" s="113"/>
      <c r="O43" s="196"/>
    </row>
    <row r="44" spans="2:15" outlineLevel="1">
      <c r="K44" s="8"/>
      <c r="L44" s="8"/>
      <c r="M44" s="8"/>
      <c r="N44" s="8"/>
      <c r="O44" s="8"/>
    </row>
    <row r="45" spans="2:15" outlineLevel="1">
      <c r="B45" s="182" t="s">
        <v>333</v>
      </c>
      <c r="C45" s="183"/>
      <c r="D45" s="183"/>
      <c r="E45" s="183"/>
      <c r="F45" s="183"/>
      <c r="G45" s="183"/>
      <c r="H45" s="183"/>
      <c r="I45" s="183"/>
      <c r="J45" s="183"/>
      <c r="K45" s="197"/>
      <c r="L45" s="197"/>
      <c r="M45" s="197"/>
      <c r="N45" s="197"/>
      <c r="O45" s="198"/>
    </row>
    <row r="46" spans="2:15" outlineLevel="1">
      <c r="B46" s="177"/>
      <c r="C46" s="178" t="s">
        <v>355</v>
      </c>
      <c r="D46" s="178" t="s">
        <v>208</v>
      </c>
      <c r="E46" s="178"/>
      <c r="F46" s="178"/>
      <c r="G46" s="178"/>
      <c r="H46" s="178"/>
      <c r="I46" s="178"/>
      <c r="J46" s="178"/>
      <c r="K46" s="218">
        <f>J341*(1+$J$47)</f>
        <v>165.66206896551725</v>
      </c>
      <c r="L46" s="218">
        <f>K46*(1+$J$47)</f>
        <v>168.97531034482759</v>
      </c>
      <c r="M46" s="218">
        <f>L46*(1+$J$47)</f>
        <v>172.35481655172416</v>
      </c>
      <c r="N46" s="218">
        <f>M46*(1+$J$47)</f>
        <v>175.80191288275864</v>
      </c>
      <c r="O46" s="219">
        <f>N46*(1+$J$47)</f>
        <v>179.31795114041381</v>
      </c>
    </row>
    <row r="47" spans="2:15" outlineLevel="1">
      <c r="B47" s="177"/>
      <c r="C47" s="178" t="s">
        <v>356</v>
      </c>
      <c r="D47" s="178" t="s">
        <v>216</v>
      </c>
      <c r="E47" s="178"/>
      <c r="F47" s="178"/>
      <c r="G47" s="178"/>
      <c r="H47" s="178"/>
      <c r="I47" s="178"/>
      <c r="J47" s="217">
        <v>0.02</v>
      </c>
      <c r="K47" s="194"/>
      <c r="L47" s="194"/>
      <c r="M47" s="194"/>
      <c r="N47" s="194"/>
      <c r="O47" s="195"/>
    </row>
    <row r="48" spans="2:15" outlineLevel="1">
      <c r="B48" s="180"/>
      <c r="C48" s="3" t="s">
        <v>357</v>
      </c>
      <c r="D48" s="3" t="s">
        <v>232</v>
      </c>
      <c r="E48" s="3"/>
      <c r="F48" s="3"/>
      <c r="G48" s="3"/>
      <c r="H48" s="3"/>
      <c r="I48" s="3"/>
      <c r="J48" s="3"/>
      <c r="K48" s="113">
        <v>3</v>
      </c>
      <c r="L48" s="113">
        <v>2</v>
      </c>
      <c r="M48" s="113">
        <v>2</v>
      </c>
      <c r="N48" s="113">
        <v>2</v>
      </c>
      <c r="O48" s="196">
        <v>2</v>
      </c>
    </row>
    <row r="49" spans="2:15" outlineLevel="1">
      <c r="K49" s="8"/>
      <c r="L49" s="8"/>
      <c r="M49" s="8"/>
      <c r="N49" s="8"/>
      <c r="O49" s="8"/>
    </row>
    <row r="50" spans="2:15" outlineLevel="1">
      <c r="B50" s="182" t="s">
        <v>190</v>
      </c>
      <c r="C50" s="183"/>
      <c r="D50" s="183"/>
      <c r="E50" s="183"/>
      <c r="F50" s="183"/>
      <c r="G50" s="183"/>
      <c r="H50" s="183"/>
      <c r="I50" s="183"/>
      <c r="J50" s="183"/>
      <c r="K50" s="197"/>
      <c r="L50" s="197"/>
      <c r="M50" s="197"/>
      <c r="N50" s="197"/>
      <c r="O50" s="198"/>
    </row>
    <row r="51" spans="2:15" outlineLevel="1">
      <c r="B51" s="177"/>
      <c r="C51" s="178" t="s">
        <v>359</v>
      </c>
      <c r="D51" s="173" t="s">
        <v>216</v>
      </c>
      <c r="E51" s="178"/>
      <c r="F51" s="178"/>
      <c r="G51" s="178"/>
      <c r="H51" s="178"/>
      <c r="I51" s="178"/>
      <c r="J51" s="178"/>
      <c r="K51" s="206">
        <v>3.3300000000000003E-2</v>
      </c>
      <c r="L51" s="206">
        <v>2.3300000000000001E-2</v>
      </c>
      <c r="M51" s="206">
        <v>1.4999999999999999E-2</v>
      </c>
      <c r="N51" s="206">
        <v>0.01</v>
      </c>
      <c r="O51" s="207">
        <v>0.01</v>
      </c>
    </row>
    <row r="52" spans="2:15" outlineLevel="1">
      <c r="B52" s="177"/>
      <c r="C52" s="178" t="s">
        <v>360</v>
      </c>
      <c r="D52" s="173" t="s">
        <v>208</v>
      </c>
      <c r="E52" s="178"/>
      <c r="F52" s="178"/>
      <c r="G52" s="178"/>
      <c r="H52" s="178"/>
      <c r="I52" s="178"/>
      <c r="J52" s="178"/>
      <c r="K52" s="194">
        <v>103</v>
      </c>
      <c r="L52" s="194">
        <v>76</v>
      </c>
      <c r="M52" s="194"/>
      <c r="N52" s="194"/>
      <c r="O52" s="195">
        <v>150</v>
      </c>
    </row>
    <row r="53" spans="2:15" outlineLevel="1">
      <c r="B53" s="177"/>
      <c r="C53" s="178" t="s">
        <v>361</v>
      </c>
      <c r="D53" s="178" t="s">
        <v>208</v>
      </c>
      <c r="E53" s="178"/>
      <c r="F53" s="178"/>
      <c r="G53" s="178"/>
      <c r="H53" s="178"/>
      <c r="I53" s="178"/>
      <c r="J53" s="178">
        <v>22</v>
      </c>
      <c r="K53" s="194">
        <f>J53-3</f>
        <v>19</v>
      </c>
      <c r="L53" s="194">
        <f t="shared" ref="L53:O53" si="3">K53-3</f>
        <v>16</v>
      </c>
      <c r="M53" s="194">
        <f t="shared" si="3"/>
        <v>13</v>
      </c>
      <c r="N53" s="194">
        <f t="shared" si="3"/>
        <v>10</v>
      </c>
      <c r="O53" s="195">
        <f t="shared" si="3"/>
        <v>7</v>
      </c>
    </row>
    <row r="54" spans="2:15" outlineLevel="1">
      <c r="B54" s="177"/>
      <c r="C54" s="178" t="s">
        <v>391</v>
      </c>
      <c r="D54" s="178" t="s">
        <v>208</v>
      </c>
      <c r="E54" s="178"/>
      <c r="F54" s="178"/>
      <c r="G54" s="178"/>
      <c r="H54" s="178"/>
      <c r="I54" s="178"/>
      <c r="J54" s="178"/>
      <c r="K54" s="194">
        <v>29</v>
      </c>
      <c r="L54" s="194">
        <v>29</v>
      </c>
      <c r="M54" s="194">
        <v>29</v>
      </c>
      <c r="N54" s="194">
        <v>29</v>
      </c>
      <c r="O54" s="195">
        <v>29</v>
      </c>
    </row>
    <row r="55" spans="2:15" outlineLevel="1">
      <c r="B55" s="177"/>
      <c r="C55" s="173" t="s">
        <v>403</v>
      </c>
      <c r="D55" s="178" t="s">
        <v>216</v>
      </c>
      <c r="E55" s="178"/>
      <c r="F55" s="178"/>
      <c r="G55" s="178"/>
      <c r="H55" s="178"/>
      <c r="I55" s="178" t="s">
        <v>405</v>
      </c>
      <c r="J55" s="179">
        <v>4.4000000000000003E-3</v>
      </c>
      <c r="K55" s="225">
        <f>K51+$J$55+0.01</f>
        <v>4.7700000000000006E-2</v>
      </c>
      <c r="L55" s="225">
        <f t="shared" ref="L55:O55" si="4">L51+$J$55+0.01</f>
        <v>3.7700000000000004E-2</v>
      </c>
      <c r="M55" s="225">
        <f t="shared" si="4"/>
        <v>2.9400000000000003E-2</v>
      </c>
      <c r="N55" s="225">
        <f t="shared" si="4"/>
        <v>2.4399999999999998E-2</v>
      </c>
      <c r="O55" s="225">
        <f t="shared" si="4"/>
        <v>2.4399999999999998E-2</v>
      </c>
    </row>
    <row r="56" spans="2:15" outlineLevel="1">
      <c r="B56" s="177"/>
      <c r="C56" s="173" t="s">
        <v>404</v>
      </c>
      <c r="D56" s="178" t="s">
        <v>208</v>
      </c>
      <c r="E56" s="178"/>
      <c r="F56" s="178"/>
      <c r="G56" s="178"/>
      <c r="H56" s="178"/>
      <c r="I56" s="178" t="s">
        <v>406</v>
      </c>
      <c r="J56" s="178">
        <v>10</v>
      </c>
      <c r="K56" s="212">
        <f>$J$56*K231</f>
        <v>9030</v>
      </c>
      <c r="L56" s="212">
        <f>$J$56*L231</f>
        <v>9295</v>
      </c>
      <c r="M56" s="212">
        <f>$J$56*M231</f>
        <v>9565</v>
      </c>
      <c r="N56" s="212">
        <f>$J$56*N231</f>
        <v>9835</v>
      </c>
      <c r="O56" s="226">
        <f>$J$56*O231</f>
        <v>10105</v>
      </c>
    </row>
    <row r="57" spans="2:15" outlineLevel="1">
      <c r="B57" s="180"/>
      <c r="C57" s="3" t="s">
        <v>363</v>
      </c>
      <c r="D57" s="3" t="s">
        <v>208</v>
      </c>
      <c r="E57" s="3"/>
      <c r="F57" s="3"/>
      <c r="G57" s="3"/>
      <c r="H57" s="3"/>
      <c r="I57" s="3"/>
      <c r="J57" s="3"/>
      <c r="K57" s="113">
        <v>204</v>
      </c>
      <c r="L57" s="113">
        <f>$K$57</f>
        <v>204</v>
      </c>
      <c r="M57" s="113">
        <f>$K$57</f>
        <v>204</v>
      </c>
      <c r="N57" s="113">
        <f>$K$57</f>
        <v>204</v>
      </c>
      <c r="O57" s="196">
        <f>$K$57</f>
        <v>204</v>
      </c>
    </row>
    <row r="58" spans="2:15" outlineLevel="1"/>
    <row r="59" spans="2:15" outlineLevel="1"/>
    <row r="60" spans="2:15" outlineLevel="1"/>
    <row r="61" spans="2:15" outlineLevel="1"/>
    <row r="62" spans="2:15" outlineLevel="1"/>
    <row r="63" spans="2:15" outlineLevel="1"/>
    <row r="64" spans="2:15" outlineLevel="1"/>
    <row r="66" spans="1:15">
      <c r="A66" s="115" t="s">
        <v>8</v>
      </c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</row>
    <row r="67" spans="1:15" outlineLevel="1"/>
    <row r="68" spans="1:15" outlineLevel="1">
      <c r="A68" s="1" t="s">
        <v>9</v>
      </c>
      <c r="B68" s="3"/>
      <c r="C68" s="3"/>
      <c r="D68" s="3"/>
      <c r="E68" s="3"/>
      <c r="F68" s="4">
        <f>G68-1</f>
        <v>2020</v>
      </c>
      <c r="G68" s="4">
        <f>H68-1</f>
        <v>2021</v>
      </c>
      <c r="H68" s="4">
        <f>I68-1</f>
        <v>2022</v>
      </c>
      <c r="I68" s="4">
        <f>J68-1</f>
        <v>2023</v>
      </c>
      <c r="J68" s="4">
        <f>K68-1</f>
        <v>2024</v>
      </c>
      <c r="K68" s="7">
        <f>K$8</f>
        <v>2025</v>
      </c>
      <c r="L68" s="7">
        <f>L$8</f>
        <v>2026</v>
      </c>
      <c r="M68" s="7">
        <f>M$8</f>
        <v>2027</v>
      </c>
      <c r="N68" s="7">
        <f>N$8</f>
        <v>2028</v>
      </c>
      <c r="O68" s="7">
        <f>O$8</f>
        <v>2029</v>
      </c>
    </row>
    <row r="69" spans="1:15" outlineLevel="1">
      <c r="B69" s="1" t="s">
        <v>10</v>
      </c>
      <c r="K69" s="8"/>
      <c r="L69" s="8"/>
      <c r="M69" s="8"/>
      <c r="N69" s="8"/>
      <c r="O69" s="8"/>
    </row>
    <row r="70" spans="1:15" outlineLevel="1">
      <c r="C70" t="s">
        <v>11</v>
      </c>
      <c r="F70" s="32">
        <v>163220</v>
      </c>
      <c r="G70" s="32">
        <v>192052</v>
      </c>
      <c r="H70" s="32">
        <v>222730</v>
      </c>
      <c r="I70" s="32">
        <v>237710</v>
      </c>
      <c r="J70" s="32">
        <v>249625</v>
      </c>
      <c r="K70" s="29">
        <f>K270</f>
        <v>268403.2836600141</v>
      </c>
      <c r="L70" s="29">
        <f t="shared" ref="L70:O70" si="5">L270</f>
        <v>288878.38322904473</v>
      </c>
      <c r="M70" s="29">
        <f t="shared" si="5"/>
        <v>311716.97432471259</v>
      </c>
      <c r="N70" s="29">
        <f t="shared" si="5"/>
        <v>337054.68275485904</v>
      </c>
      <c r="O70" s="29">
        <f t="shared" si="5"/>
        <v>365216.17518177838</v>
      </c>
    </row>
    <row r="71" spans="1:15" outlineLevel="1">
      <c r="C71" t="s">
        <v>12</v>
      </c>
      <c r="F71" s="32">
        <v>3541</v>
      </c>
      <c r="G71" s="32">
        <v>3877</v>
      </c>
      <c r="H71" s="32">
        <v>4224</v>
      </c>
      <c r="I71" s="32">
        <v>4580</v>
      </c>
      <c r="J71" s="32">
        <v>4828</v>
      </c>
      <c r="K71" s="29">
        <f>K227</f>
        <v>5333.1934330902905</v>
      </c>
      <c r="L71" s="29">
        <f t="shared" ref="L71:O71" si="6">L227</f>
        <v>5997.7395505613586</v>
      </c>
      <c r="M71" s="29">
        <f t="shared" si="6"/>
        <v>6629.8008692559415</v>
      </c>
      <c r="N71" s="29">
        <f t="shared" si="6"/>
        <v>7189.2317424077373</v>
      </c>
      <c r="O71" s="29">
        <f t="shared" si="6"/>
        <v>7795.1636469940922</v>
      </c>
    </row>
    <row r="72" spans="1:15" outlineLevel="1">
      <c r="B72" s="5" t="s">
        <v>13</v>
      </c>
      <c r="C72" s="5"/>
      <c r="D72" s="5"/>
      <c r="E72" s="5"/>
      <c r="F72" s="30">
        <f>SUM(F70:F71)</f>
        <v>166761</v>
      </c>
      <c r="G72" s="30">
        <f>SUM(G70:G71)</f>
        <v>195929</v>
      </c>
      <c r="H72" s="30">
        <f>SUM(H70:H71)</f>
        <v>226954</v>
      </c>
      <c r="I72" s="30">
        <f t="shared" ref="I72:O72" si="7">SUM(I70:I71)</f>
        <v>242290</v>
      </c>
      <c r="J72" s="30">
        <f t="shared" si="7"/>
        <v>254453</v>
      </c>
      <c r="K72" s="31">
        <f t="shared" si="7"/>
        <v>273736.47709310439</v>
      </c>
      <c r="L72" s="31">
        <f t="shared" si="7"/>
        <v>294876.12277960608</v>
      </c>
      <c r="M72" s="31">
        <f t="shared" si="7"/>
        <v>318346.77519396855</v>
      </c>
      <c r="N72" s="31">
        <f t="shared" si="7"/>
        <v>344243.91449726676</v>
      </c>
      <c r="O72" s="31">
        <f t="shared" si="7"/>
        <v>373011.33882877248</v>
      </c>
    </row>
    <row r="73" spans="1:15" outlineLevel="1">
      <c r="F73" s="108"/>
      <c r="G73" s="108"/>
      <c r="H73" s="108"/>
      <c r="I73" s="108"/>
      <c r="J73" s="108"/>
      <c r="K73" s="29"/>
      <c r="L73" s="29"/>
      <c r="M73" s="29"/>
      <c r="N73" s="29"/>
      <c r="O73" s="29"/>
    </row>
    <row r="74" spans="1:15" outlineLevel="1">
      <c r="B74" s="1" t="s">
        <v>14</v>
      </c>
      <c r="F74" s="108"/>
      <c r="G74" s="108"/>
      <c r="H74" s="108"/>
      <c r="I74" s="108"/>
      <c r="J74" s="108"/>
      <c r="K74" s="29"/>
      <c r="L74" s="29"/>
      <c r="M74" s="29"/>
      <c r="N74" s="29"/>
      <c r="O74" s="29"/>
    </row>
    <row r="75" spans="1:15" outlineLevel="1">
      <c r="C75" t="s">
        <v>15</v>
      </c>
      <c r="F75" s="32">
        <v>-144939</v>
      </c>
      <c r="G75" s="32">
        <v>-170684</v>
      </c>
      <c r="H75" s="32">
        <v>-199382</v>
      </c>
      <c r="I75" s="32">
        <v>-212586</v>
      </c>
      <c r="J75" s="32">
        <v>-222358</v>
      </c>
      <c r="K75" s="29">
        <f>-K280</f>
        <v>-239253.94263381249</v>
      </c>
      <c r="L75" s="29">
        <f t="shared" ref="L75:O75" si="8">-L280</f>
        <v>-257505.38960163604</v>
      </c>
      <c r="M75" s="29">
        <f t="shared" si="8"/>
        <v>-277863.64636112313</v>
      </c>
      <c r="N75" s="29">
        <f t="shared" si="8"/>
        <v>-300449.60938122327</v>
      </c>
      <c r="O75" s="29">
        <f t="shared" si="8"/>
        <v>-325552.68562423752</v>
      </c>
    </row>
    <row r="76" spans="1:15" outlineLevel="1">
      <c r="C76" t="s">
        <v>16</v>
      </c>
      <c r="F76" s="32">
        <v>-16387</v>
      </c>
      <c r="G76" s="32">
        <v>-18537</v>
      </c>
      <c r="H76" s="32">
        <v>-19779</v>
      </c>
      <c r="I76" s="32">
        <v>-21590</v>
      </c>
      <c r="J76" s="32">
        <v>-22810</v>
      </c>
      <c r="K76" s="29">
        <f>-K290</f>
        <v>-24236.092944604818</v>
      </c>
      <c r="L76" s="29">
        <f t="shared" ref="L76:O76" si="9">-L290</f>
        <v>-25627.346941498196</v>
      </c>
      <c r="M76" s="29">
        <f t="shared" si="9"/>
        <v>-27159.663781853826</v>
      </c>
      <c r="N76" s="29">
        <f t="shared" si="9"/>
        <v>-28833.414072957909</v>
      </c>
      <c r="O76" s="29">
        <f t="shared" si="9"/>
        <v>-30663.981173479187</v>
      </c>
    </row>
    <row r="77" spans="1:15" outlineLevel="1">
      <c r="B77" s="5" t="s">
        <v>17</v>
      </c>
      <c r="C77" s="5"/>
      <c r="D77" s="5"/>
      <c r="E77" s="5"/>
      <c r="F77" s="30">
        <f>SUM(F72,F75,F76)</f>
        <v>5435</v>
      </c>
      <c r="G77" s="30">
        <f t="shared" ref="G77:O77" si="10">SUM(G72,G75,G76)</f>
        <v>6708</v>
      </c>
      <c r="H77" s="30">
        <f t="shared" si="10"/>
        <v>7793</v>
      </c>
      <c r="I77" s="30">
        <f t="shared" si="10"/>
        <v>8114</v>
      </c>
      <c r="J77" s="30">
        <f t="shared" si="10"/>
        <v>9285</v>
      </c>
      <c r="K77" s="31">
        <f t="shared" si="10"/>
        <v>10246.441514687082</v>
      </c>
      <c r="L77" s="31">
        <f t="shared" si="10"/>
        <v>11743.386236471852</v>
      </c>
      <c r="M77" s="31">
        <f t="shared" si="10"/>
        <v>13323.465050991599</v>
      </c>
      <c r="N77" s="31">
        <f t="shared" si="10"/>
        <v>14960.891043085576</v>
      </c>
      <c r="O77" s="31">
        <f t="shared" si="10"/>
        <v>16794.672031055772</v>
      </c>
    </row>
    <row r="78" spans="1:15" outlineLevel="1">
      <c r="F78" s="28"/>
      <c r="G78" s="28"/>
      <c r="H78" s="28"/>
      <c r="I78" s="28"/>
      <c r="J78" s="28"/>
      <c r="K78" s="29"/>
      <c r="L78" s="29"/>
      <c r="M78" s="29"/>
      <c r="N78" s="29"/>
      <c r="O78" s="29"/>
    </row>
    <row r="79" spans="1:15" outlineLevel="1">
      <c r="B79" s="1" t="s">
        <v>18</v>
      </c>
      <c r="F79" s="28"/>
      <c r="G79" s="28"/>
      <c r="H79" s="28"/>
      <c r="I79" s="28"/>
      <c r="J79" s="28"/>
      <c r="K79" s="29"/>
      <c r="L79" s="29"/>
      <c r="M79" s="29"/>
      <c r="N79" s="29"/>
      <c r="O79" s="29"/>
    </row>
    <row r="80" spans="1:15" outlineLevel="1">
      <c r="C80" t="s">
        <v>19</v>
      </c>
      <c r="F80" s="32">
        <v>-160</v>
      </c>
      <c r="G80" s="32">
        <v>-171</v>
      </c>
      <c r="H80" s="32">
        <v>-158</v>
      </c>
      <c r="I80" s="32">
        <v>-160</v>
      </c>
      <c r="J80" s="32">
        <v>-169</v>
      </c>
      <c r="K80" s="228">
        <f ca="1">-K430</f>
        <v>-139.9555</v>
      </c>
      <c r="L80" s="228">
        <f t="shared" ref="L80:O80" ca="1" si="11">-L430</f>
        <v>-138.38030000000001</v>
      </c>
      <c r="M80" s="228">
        <f t="shared" ca="1" si="11"/>
        <v>-137.7115</v>
      </c>
      <c r="N80" s="228">
        <f t="shared" ca="1" si="11"/>
        <v>-90.524000000000001</v>
      </c>
      <c r="O80" s="228">
        <f t="shared" ca="1" si="11"/>
        <v>-89.204000000000008</v>
      </c>
    </row>
    <row r="81" spans="1:15" outlineLevel="1">
      <c r="C81" t="s">
        <v>20</v>
      </c>
      <c r="F81" s="32">
        <v>92</v>
      </c>
      <c r="G81" s="32">
        <v>143</v>
      </c>
      <c r="H81" s="32">
        <v>205</v>
      </c>
      <c r="I81" s="32">
        <v>533</v>
      </c>
      <c r="J81" s="32">
        <v>624</v>
      </c>
      <c r="K81" s="228">
        <f>K385</f>
        <v>519.79370000000006</v>
      </c>
      <c r="L81" s="228">
        <f t="shared" ref="L81:O81" ca="1" si="12">L385</f>
        <v>417.96701313257938</v>
      </c>
      <c r="M81" s="228">
        <f t="shared" ca="1" si="12"/>
        <v>406.72984426912046</v>
      </c>
      <c r="N81" s="228">
        <f t="shared" ca="1" si="12"/>
        <v>372.02756978469665</v>
      </c>
      <c r="O81" s="228">
        <f t="shared" ca="1" si="12"/>
        <v>460.01552178230077</v>
      </c>
    </row>
    <row r="82" spans="1:15" outlineLevel="1">
      <c r="B82" s="6" t="s">
        <v>21</v>
      </c>
      <c r="C82" s="5"/>
      <c r="D82" s="5"/>
      <c r="E82" s="5"/>
      <c r="F82" s="30">
        <f>SUM(F77,F80,F81)</f>
        <v>5367</v>
      </c>
      <c r="G82" s="30">
        <f t="shared" ref="G82:O82" si="13">SUM(G77,G80,G81)</f>
        <v>6680</v>
      </c>
      <c r="H82" s="30">
        <f t="shared" si="13"/>
        <v>7840</v>
      </c>
      <c r="I82" s="30">
        <f t="shared" si="13"/>
        <v>8487</v>
      </c>
      <c r="J82" s="30">
        <f t="shared" si="13"/>
        <v>9740</v>
      </c>
      <c r="K82" s="31">
        <f t="shared" ca="1" si="13"/>
        <v>10626.279714687082</v>
      </c>
      <c r="L82" s="31">
        <f t="shared" ca="1" si="13"/>
        <v>12022.972949604431</v>
      </c>
      <c r="M82" s="31">
        <f t="shared" ca="1" si="13"/>
        <v>13592.48339526072</v>
      </c>
      <c r="N82" s="31">
        <f t="shared" ca="1" si="13"/>
        <v>15242.394612870274</v>
      </c>
      <c r="O82" s="31">
        <f t="shared" ca="1" si="13"/>
        <v>17165.483552838072</v>
      </c>
    </row>
    <row r="83" spans="1:15" outlineLevel="1">
      <c r="C83" t="s">
        <v>22</v>
      </c>
      <c r="F83" s="32">
        <v>-1308</v>
      </c>
      <c r="G83" s="32">
        <v>-1601</v>
      </c>
      <c r="H83" s="32">
        <v>-1925</v>
      </c>
      <c r="I83" s="32">
        <v>-2195</v>
      </c>
      <c r="J83" s="32">
        <v>-2373</v>
      </c>
      <c r="K83" s="29">
        <f ca="1">-K473</f>
        <v>-2648.7810724413048</v>
      </c>
      <c r="L83" s="29">
        <f t="shared" ref="L83:O83" ca="1" si="14">-L473</f>
        <v>-2996.9306322108064</v>
      </c>
      <c r="M83" s="29">
        <f t="shared" ca="1" si="14"/>
        <v>-3388.1578230128052</v>
      </c>
      <c r="N83" s="29">
        <f t="shared" ca="1" si="14"/>
        <v>-3799.4262746019763</v>
      </c>
      <c r="O83" s="29">
        <f t="shared" ca="1" si="14"/>
        <v>-4278.7889228265922</v>
      </c>
    </row>
    <row r="84" spans="1:15" outlineLevel="1">
      <c r="B84" s="5" t="s">
        <v>23</v>
      </c>
      <c r="C84" s="5"/>
      <c r="D84" s="5"/>
      <c r="E84" s="5"/>
      <c r="F84" s="30">
        <f>SUM(F83,F82)</f>
        <v>4059</v>
      </c>
      <c r="G84" s="30">
        <f t="shared" ref="G84:O84" si="15">SUM(G83,G82)</f>
        <v>5079</v>
      </c>
      <c r="H84" s="30">
        <f t="shared" si="15"/>
        <v>5915</v>
      </c>
      <c r="I84" s="30">
        <f t="shared" si="15"/>
        <v>6292</v>
      </c>
      <c r="J84" s="30">
        <f t="shared" si="15"/>
        <v>7367</v>
      </c>
      <c r="K84" s="31">
        <f t="shared" ca="1" si="15"/>
        <v>7977.4986422457769</v>
      </c>
      <c r="L84" s="31">
        <f t="shared" ca="1" si="15"/>
        <v>9026.0423173936251</v>
      </c>
      <c r="M84" s="31">
        <f t="shared" ca="1" si="15"/>
        <v>10204.325572247915</v>
      </c>
      <c r="N84" s="31">
        <f t="shared" ca="1" si="15"/>
        <v>11442.968338268298</v>
      </c>
      <c r="O84" s="31">
        <f t="shared" ca="1" si="15"/>
        <v>12886.69463001148</v>
      </c>
    </row>
    <row r="85" spans="1:15" outlineLevel="1">
      <c r="B85" t="s">
        <v>24</v>
      </c>
      <c r="F85" s="32">
        <v>-57</v>
      </c>
      <c r="G85" s="32">
        <v>-72</v>
      </c>
      <c r="H85" s="32">
        <v>-71</v>
      </c>
      <c r="I85" s="32">
        <v>0</v>
      </c>
      <c r="J85" s="32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</row>
    <row r="86" spans="1:15" outlineLevel="1">
      <c r="B86" s="6" t="s">
        <v>25</v>
      </c>
      <c r="C86" s="5"/>
      <c r="D86" s="5"/>
      <c r="E86" s="5"/>
      <c r="F86" s="30">
        <f>SUM(F85,F84)</f>
        <v>4002</v>
      </c>
      <c r="G86" s="30">
        <f t="shared" ref="G86:O86" si="16">SUM(G85,G84)</f>
        <v>5007</v>
      </c>
      <c r="H86" s="30">
        <f t="shared" si="16"/>
        <v>5844</v>
      </c>
      <c r="I86" s="30">
        <f t="shared" si="16"/>
        <v>6292</v>
      </c>
      <c r="J86" s="30">
        <f t="shared" si="16"/>
        <v>7367</v>
      </c>
      <c r="K86" s="31">
        <f t="shared" ca="1" si="16"/>
        <v>7977.4986422457769</v>
      </c>
      <c r="L86" s="31">
        <f t="shared" ca="1" si="16"/>
        <v>9026.0423173936251</v>
      </c>
      <c r="M86" s="31">
        <f t="shared" ca="1" si="16"/>
        <v>10204.325572247915</v>
      </c>
      <c r="N86" s="31">
        <f t="shared" ca="1" si="16"/>
        <v>11442.968338268298</v>
      </c>
      <c r="O86" s="31">
        <f t="shared" ca="1" si="16"/>
        <v>12886.69463001148</v>
      </c>
    </row>
    <row r="87" spans="1:15" outlineLevel="1">
      <c r="F87" s="28"/>
      <c r="G87" s="28"/>
      <c r="H87" s="28"/>
      <c r="I87" s="28"/>
      <c r="J87" s="28"/>
      <c r="K87" s="29"/>
      <c r="L87" s="29"/>
      <c r="M87" s="29"/>
      <c r="N87" s="29"/>
      <c r="O87" s="29"/>
    </row>
    <row r="88" spans="1:15" outlineLevel="1">
      <c r="F88" s="28"/>
      <c r="G88" s="28"/>
      <c r="H88" s="28"/>
      <c r="I88" s="28"/>
      <c r="J88" s="28"/>
      <c r="K88" s="29"/>
      <c r="L88" s="29"/>
      <c r="M88" s="29"/>
      <c r="N88" s="29"/>
      <c r="O88" s="29"/>
    </row>
    <row r="89" spans="1:15" outlineLevel="1">
      <c r="B89" t="s">
        <v>26</v>
      </c>
      <c r="D89" t="s">
        <v>51</v>
      </c>
      <c r="F89" s="32">
        <v>442297</v>
      </c>
      <c r="G89" s="32">
        <v>443089</v>
      </c>
      <c r="H89" s="32">
        <v>443651</v>
      </c>
      <c r="I89" s="32">
        <v>443854</v>
      </c>
      <c r="J89" s="32">
        <v>443914</v>
      </c>
      <c r="K89" s="29"/>
      <c r="L89" s="29"/>
      <c r="M89" s="29"/>
      <c r="N89" s="29"/>
      <c r="O89" s="29"/>
    </row>
    <row r="90" spans="1:15" outlineLevel="1">
      <c r="B90" t="s">
        <v>30</v>
      </c>
      <c r="D90" t="s">
        <v>51</v>
      </c>
      <c r="F90" s="32">
        <v>443901</v>
      </c>
      <c r="G90" s="32">
        <v>444346</v>
      </c>
      <c r="H90" s="32">
        <v>444757</v>
      </c>
      <c r="I90" s="32">
        <v>444452</v>
      </c>
      <c r="J90" s="32">
        <v>444759</v>
      </c>
      <c r="K90" s="29"/>
      <c r="L90" s="29"/>
      <c r="M90" s="29"/>
      <c r="N90" s="29"/>
      <c r="O90" s="29"/>
    </row>
    <row r="91" spans="1:15" outlineLevel="1">
      <c r="B91" t="s">
        <v>27</v>
      </c>
      <c r="F91" s="28"/>
      <c r="G91" s="28"/>
      <c r="H91" s="28"/>
      <c r="I91" s="28"/>
      <c r="J91" s="28"/>
      <c r="K91" s="29"/>
      <c r="L91" s="29"/>
      <c r="M91" s="29"/>
      <c r="N91" s="29"/>
      <c r="O91" s="29"/>
    </row>
    <row r="92" spans="1:15" outlineLevel="1">
      <c r="C92" t="s">
        <v>28</v>
      </c>
      <c r="D92" t="s">
        <v>52</v>
      </c>
      <c r="F92" s="15">
        <f>(F86*1000)/F89</f>
        <v>9.0482187308527973</v>
      </c>
      <c r="G92" s="15">
        <f>(G86*1000)/G89</f>
        <v>11.300212824060177</v>
      </c>
      <c r="H92" s="15">
        <f>(H86*1000)/H89</f>
        <v>13.172516234607833</v>
      </c>
      <c r="I92" s="15">
        <f>(I86*1000)/I89</f>
        <v>14.175832593600598</v>
      </c>
      <c r="J92" s="15">
        <f>(J86*1000)/J89</f>
        <v>16.595556797037265</v>
      </c>
      <c r="K92" s="29"/>
      <c r="L92" s="29"/>
      <c r="M92" s="29"/>
      <c r="N92" s="29"/>
      <c r="O92" s="29"/>
    </row>
    <row r="93" spans="1:15" outlineLevel="1">
      <c r="C93" t="s">
        <v>29</v>
      </c>
      <c r="D93" t="s">
        <v>52</v>
      </c>
      <c r="F93" s="15">
        <f>(F86*1000)/F90</f>
        <v>9.0155237316428671</v>
      </c>
      <c r="G93" s="15">
        <f>(G86*1000)/G90</f>
        <v>11.268245916470498</v>
      </c>
      <c r="H93" s="15">
        <f>(H86*1000)/H90</f>
        <v>13.139759464156832</v>
      </c>
      <c r="I93" s="15">
        <f>(I86*1000)/I90</f>
        <v>14.156759335091303</v>
      </c>
      <c r="J93" s="15">
        <f>(J86*1000)/J90</f>
        <v>16.564026810025204</v>
      </c>
      <c r="K93" s="29"/>
      <c r="L93" s="29"/>
      <c r="M93" s="29"/>
      <c r="N93" s="29"/>
      <c r="O93" s="29"/>
    </row>
    <row r="94" spans="1:15" outlineLevel="1">
      <c r="F94" s="15"/>
      <c r="G94" s="15"/>
      <c r="H94" s="15"/>
      <c r="I94" s="15"/>
      <c r="J94" s="15"/>
      <c r="K94" s="29"/>
      <c r="L94" s="29"/>
      <c r="M94" s="29"/>
      <c r="N94" s="29"/>
      <c r="O94" s="29"/>
    </row>
    <row r="96" spans="1:15">
      <c r="A96" s="115" t="s">
        <v>53</v>
      </c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 outlineLevel="1"/>
    <row r="98" spans="1:15" outlineLevel="1">
      <c r="A98" s="2" t="s">
        <v>54</v>
      </c>
      <c r="B98" s="3"/>
      <c r="C98" s="3"/>
      <c r="D98" s="3"/>
      <c r="E98" s="3"/>
      <c r="F98" s="4">
        <f>G98-1</f>
        <v>2020</v>
      </c>
      <c r="G98" s="4">
        <f>H98-1</f>
        <v>2021</v>
      </c>
      <c r="H98" s="4">
        <f>I98-1</f>
        <v>2022</v>
      </c>
      <c r="I98" s="4">
        <f>J98-1</f>
        <v>2023</v>
      </c>
      <c r="J98" s="4">
        <f>K98-1</f>
        <v>2024</v>
      </c>
      <c r="K98" s="7">
        <f>K$8</f>
        <v>2025</v>
      </c>
      <c r="L98" s="7">
        <f>L$8</f>
        <v>2026</v>
      </c>
      <c r="M98" s="7">
        <f>M$8</f>
        <v>2027</v>
      </c>
      <c r="N98" s="7">
        <f>N$8</f>
        <v>2028</v>
      </c>
      <c r="O98" s="7">
        <f>O$8</f>
        <v>2029</v>
      </c>
    </row>
    <row r="99" spans="1:15" outlineLevel="1">
      <c r="B99" s="1" t="s">
        <v>65</v>
      </c>
      <c r="K99" s="8"/>
      <c r="L99" s="8"/>
      <c r="M99" s="8"/>
      <c r="N99" s="8"/>
      <c r="O99" s="8"/>
    </row>
    <row r="100" spans="1:15" outlineLevel="1">
      <c r="C100" t="s">
        <v>23</v>
      </c>
      <c r="F100" s="32">
        <v>4059</v>
      </c>
      <c r="G100" s="32">
        <v>5079</v>
      </c>
      <c r="H100" s="32">
        <v>5915</v>
      </c>
      <c r="I100" s="32">
        <v>6292</v>
      </c>
      <c r="J100" s="32">
        <v>7367</v>
      </c>
      <c r="K100" s="29">
        <f ca="1">K84</f>
        <v>7977.4986422457769</v>
      </c>
      <c r="L100" s="29">
        <f ca="1">L84</f>
        <v>9026.0423173936251</v>
      </c>
      <c r="M100" s="29">
        <f ca="1">M84</f>
        <v>10204.325572247915</v>
      </c>
      <c r="N100" s="29">
        <f ca="1">N84</f>
        <v>11442.968338268298</v>
      </c>
      <c r="O100" s="29">
        <f ca="1">O84</f>
        <v>12886.69463001148</v>
      </c>
    </row>
    <row r="101" spans="1:15" outlineLevel="1">
      <c r="C101" t="s">
        <v>55</v>
      </c>
      <c r="F101" s="32">
        <v>1645</v>
      </c>
      <c r="G101" s="32">
        <v>1781</v>
      </c>
      <c r="H101" s="32">
        <v>1900</v>
      </c>
      <c r="I101" s="32">
        <v>2077</v>
      </c>
      <c r="J101" s="32">
        <v>2237</v>
      </c>
      <c r="K101" s="29">
        <f>-K362</f>
        <v>2409.1035135608377</v>
      </c>
      <c r="L101" s="29">
        <f>-L362</f>
        <v>2601.0057317948117</v>
      </c>
      <c r="M101" s="29">
        <f>-M362</f>
        <v>2797.6916436195984</v>
      </c>
      <c r="N101" s="29">
        <f>-N362</f>
        <v>2999.2569229070127</v>
      </c>
      <c r="O101" s="29">
        <f>-O362</f>
        <v>3205.7991570063077</v>
      </c>
    </row>
    <row r="102" spans="1:15" outlineLevel="1">
      <c r="C102" t="s">
        <v>56</v>
      </c>
      <c r="F102" s="32">
        <v>194</v>
      </c>
      <c r="G102" s="32">
        <v>286</v>
      </c>
      <c r="H102" s="32">
        <v>377</v>
      </c>
      <c r="I102" s="32">
        <v>412</v>
      </c>
      <c r="J102" s="32">
        <v>315</v>
      </c>
      <c r="K102" s="29">
        <v>0</v>
      </c>
      <c r="L102" s="29">
        <f>K102</f>
        <v>0</v>
      </c>
      <c r="M102" s="29">
        <f t="shared" ref="M102:O102" si="17">L102</f>
        <v>0</v>
      </c>
      <c r="N102" s="29">
        <f t="shared" si="17"/>
        <v>0</v>
      </c>
      <c r="O102" s="29">
        <f t="shared" si="17"/>
        <v>0</v>
      </c>
    </row>
    <row r="103" spans="1:15" outlineLevel="1">
      <c r="C103" t="s">
        <v>57</v>
      </c>
      <c r="F103" s="32">
        <v>619</v>
      </c>
      <c r="G103" s="32">
        <v>665</v>
      </c>
      <c r="H103" s="32">
        <v>724</v>
      </c>
      <c r="I103" s="32">
        <v>774</v>
      </c>
      <c r="J103" s="32">
        <v>818</v>
      </c>
      <c r="K103" s="29"/>
      <c r="L103" s="29"/>
      <c r="M103" s="29"/>
      <c r="N103" s="29"/>
      <c r="O103" s="29"/>
    </row>
    <row r="104" spans="1:15" outlineLevel="1">
      <c r="C104" t="s">
        <v>58</v>
      </c>
      <c r="F104" s="32">
        <v>146</v>
      </c>
      <c r="G104" s="32">
        <v>144</v>
      </c>
      <c r="H104" s="32">
        <v>39</v>
      </c>
      <c r="I104" s="32">
        <v>495</v>
      </c>
      <c r="J104" s="32">
        <v>-9</v>
      </c>
      <c r="K104" s="29">
        <f>K456</f>
        <v>-35.149791818910217</v>
      </c>
      <c r="L104" s="29">
        <f t="shared" ref="L104:O104" si="18">L456</f>
        <v>-39.587194396777249</v>
      </c>
      <c r="M104" s="29">
        <f t="shared" si="18"/>
        <v>-45.361424460797934</v>
      </c>
      <c r="N104" s="29">
        <f t="shared" si="18"/>
        <v>-51.367209449050279</v>
      </c>
      <c r="O104" s="29">
        <f t="shared" si="18"/>
        <v>-58.615410485611392</v>
      </c>
    </row>
    <row r="105" spans="1:15" outlineLevel="1">
      <c r="C105" t="s">
        <v>59</v>
      </c>
      <c r="F105" s="28"/>
      <c r="G105" s="28"/>
      <c r="H105" s="28"/>
      <c r="I105" s="28"/>
      <c r="J105" s="28"/>
      <c r="K105" s="29"/>
      <c r="L105" s="29"/>
      <c r="M105" s="29"/>
      <c r="N105" s="29"/>
      <c r="O105" s="29"/>
    </row>
    <row r="106" spans="1:15" outlineLevel="1">
      <c r="C106" t="s">
        <v>60</v>
      </c>
      <c r="F106" s="32">
        <v>-791</v>
      </c>
      <c r="G106" s="32">
        <v>-1892</v>
      </c>
      <c r="H106" s="32">
        <v>-4003</v>
      </c>
      <c r="I106" s="32">
        <v>1228</v>
      </c>
      <c r="J106" s="32">
        <v>-2068</v>
      </c>
      <c r="K106" s="29">
        <f>K318</f>
        <v>-1416.8981655380121</v>
      </c>
      <c r="L106" s="29">
        <f t="shared" ref="L106:O106" si="19">L318</f>
        <v>-1530.5711132903052</v>
      </c>
      <c r="M106" s="29">
        <f t="shared" si="19"/>
        <v>-1707.2487330977783</v>
      </c>
      <c r="N106" s="29">
        <f t="shared" si="19"/>
        <v>-1894.0647623913101</v>
      </c>
      <c r="O106" s="29">
        <f t="shared" si="19"/>
        <v>-2105.1505351886917</v>
      </c>
    </row>
    <row r="107" spans="1:15" outlineLevel="1">
      <c r="C107" t="s">
        <v>61</v>
      </c>
      <c r="F107" s="32">
        <v>2261</v>
      </c>
      <c r="G107" s="32">
        <v>1838</v>
      </c>
      <c r="H107" s="32">
        <v>1891</v>
      </c>
      <c r="I107" s="32">
        <v>-382</v>
      </c>
      <c r="J107" s="32">
        <v>1938</v>
      </c>
      <c r="K107" s="29">
        <f>K319</f>
        <v>1475.7107992124074</v>
      </c>
      <c r="L107" s="29">
        <f t="shared" ref="L107:O107" si="20">L319</f>
        <v>1594.1020856551186</v>
      </c>
      <c r="M107" s="29">
        <f t="shared" si="20"/>
        <v>1778.1132431754122</v>
      </c>
      <c r="N107" s="29">
        <f t="shared" si="20"/>
        <v>1972.6836354588741</v>
      </c>
      <c r="O107" s="29">
        <f t="shared" si="20"/>
        <v>2192.5311601812391</v>
      </c>
    </row>
    <row r="108" spans="1:15" outlineLevel="1">
      <c r="C108" t="s">
        <v>62</v>
      </c>
      <c r="F108" s="32">
        <v>728</v>
      </c>
      <c r="G108" s="32">
        <v>1057</v>
      </c>
      <c r="H108" s="32">
        <v>549</v>
      </c>
      <c r="I108" s="32">
        <v>172</v>
      </c>
      <c r="J108" s="32">
        <v>741</v>
      </c>
      <c r="K108" s="29">
        <f>K331</f>
        <v>1167.4769021301263</v>
      </c>
      <c r="L108" s="29">
        <f t="shared" ref="L108:O108" si="21">L331</f>
        <v>1180.1876091418103</v>
      </c>
      <c r="M108" s="29">
        <f t="shared" si="21"/>
        <v>1167.4086632739532</v>
      </c>
      <c r="N108" s="29">
        <f t="shared" si="21"/>
        <v>1279.7296635687121</v>
      </c>
      <c r="O108" s="29">
        <f t="shared" si="21"/>
        <v>1402.085148300102</v>
      </c>
    </row>
    <row r="109" spans="1:15" outlineLevel="1">
      <c r="B109" s="5" t="s">
        <v>63</v>
      </c>
      <c r="C109" s="5"/>
      <c r="D109" s="5"/>
      <c r="E109" s="5"/>
      <c r="F109" s="30">
        <f>SUM(F106:F108,F100:F104)</f>
        <v>8861</v>
      </c>
      <c r="G109" s="30">
        <f>SUM(G106:G108,G100:G104)</f>
        <v>8958</v>
      </c>
      <c r="H109" s="30">
        <f>SUM(H106:H108,H100:H104)</f>
        <v>7392</v>
      </c>
      <c r="I109" s="30">
        <f>SUM(I106:I108,I100:I104)</f>
        <v>11068</v>
      </c>
      <c r="J109" s="30">
        <f>SUM(J106:J108,J100:J104)</f>
        <v>11339</v>
      </c>
      <c r="K109" s="31">
        <f t="shared" ref="K109:O109" ca="1" si="22">SUM(K106:K108,K100:K104)</f>
        <v>11577.741899792225</v>
      </c>
      <c r="L109" s="31">
        <f t="shared" ca="1" si="22"/>
        <v>12831.179436298284</v>
      </c>
      <c r="M109" s="31">
        <f t="shared" ca="1" si="22"/>
        <v>14194.928964758303</v>
      </c>
      <c r="N109" s="31">
        <f t="shared" ca="1" si="22"/>
        <v>15749.206588362536</v>
      </c>
      <c r="O109" s="31">
        <f t="shared" ca="1" si="22"/>
        <v>17523.344149824828</v>
      </c>
    </row>
    <row r="110" spans="1:15" outlineLevel="1">
      <c r="F110" s="28"/>
      <c r="G110" s="28"/>
      <c r="H110" s="28"/>
      <c r="I110" s="28"/>
      <c r="J110" s="28"/>
      <c r="K110" s="8"/>
      <c r="L110" s="8"/>
      <c r="M110" s="8"/>
      <c r="N110" s="8"/>
      <c r="O110" s="8"/>
    </row>
    <row r="111" spans="1:15" outlineLevel="1">
      <c r="B111" s="1" t="s">
        <v>64</v>
      </c>
      <c r="F111" s="28"/>
      <c r="G111" s="28"/>
      <c r="H111" s="28"/>
      <c r="I111" s="28"/>
      <c r="J111" s="28"/>
      <c r="K111" s="8"/>
      <c r="L111" s="8"/>
      <c r="M111" s="8"/>
      <c r="N111" s="8"/>
      <c r="O111" s="8"/>
    </row>
    <row r="112" spans="1:15" outlineLevel="1">
      <c r="C112" t="s">
        <v>66</v>
      </c>
      <c r="F112" s="32">
        <v>-2810</v>
      </c>
      <c r="G112" s="32">
        <v>-3588</v>
      </c>
      <c r="H112" s="32">
        <v>-3891</v>
      </c>
      <c r="I112" s="32">
        <v>-4323</v>
      </c>
      <c r="J112" s="32">
        <v>-4710</v>
      </c>
      <c r="K112" s="29">
        <f>-K344</f>
        <v>-4804.2000000000007</v>
      </c>
      <c r="L112" s="29">
        <f t="shared" ref="L112:O112" si="23">-L344</f>
        <v>-4900.2839999999997</v>
      </c>
      <c r="M112" s="29">
        <f t="shared" si="23"/>
        <v>-4998.2896800000008</v>
      </c>
      <c r="N112" s="29">
        <f t="shared" si="23"/>
        <v>-5098.2554736000011</v>
      </c>
      <c r="O112" s="29">
        <f t="shared" si="23"/>
        <v>-5200.2205830720004</v>
      </c>
    </row>
    <row r="113" spans="2:15" outlineLevel="1">
      <c r="C113" t="s">
        <v>67</v>
      </c>
      <c r="F113" s="32">
        <v>-1081</v>
      </c>
      <c r="G113" s="32">
        <v>53</v>
      </c>
      <c r="H113" s="32">
        <v>-24</v>
      </c>
      <c r="I113" s="32">
        <v>-649</v>
      </c>
      <c r="J113" s="32">
        <v>301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</row>
    <row r="114" spans="2:15" outlineLevel="1">
      <c r="B114" s="5" t="s">
        <v>68</v>
      </c>
      <c r="C114" s="5"/>
      <c r="D114" s="5"/>
      <c r="E114" s="5"/>
      <c r="F114" s="30">
        <f>SUM(F112:F113)</f>
        <v>-3891</v>
      </c>
      <c r="G114" s="30">
        <f>SUM(G112:G113)</f>
        <v>-3535</v>
      </c>
      <c r="H114" s="30">
        <f>SUM(H112:H113)</f>
        <v>-3915</v>
      </c>
      <c r="I114" s="30">
        <f>SUM(I112:I113)</f>
        <v>-4972</v>
      </c>
      <c r="J114" s="30">
        <f>SUM(J112:J113)</f>
        <v>-4409</v>
      </c>
      <c r="K114" s="31">
        <f t="shared" ref="K114:O114" si="24">SUM(K112:K113)</f>
        <v>-4804.2000000000007</v>
      </c>
      <c r="L114" s="31">
        <f t="shared" si="24"/>
        <v>-4900.2839999999997</v>
      </c>
      <c r="M114" s="31">
        <f t="shared" si="24"/>
        <v>-4998.2896800000008</v>
      </c>
      <c r="N114" s="31">
        <f t="shared" si="24"/>
        <v>-5098.2554736000011</v>
      </c>
      <c r="O114" s="31">
        <f t="shared" si="24"/>
        <v>-5200.2205830720004</v>
      </c>
    </row>
    <row r="115" spans="2:15" outlineLevel="1">
      <c r="F115" s="28"/>
      <c r="G115" s="28"/>
      <c r="H115" s="28"/>
      <c r="I115" s="28"/>
      <c r="J115" s="28"/>
      <c r="K115" s="8"/>
      <c r="L115" s="8"/>
      <c r="M115" s="8"/>
      <c r="N115" s="8"/>
      <c r="O115" s="8"/>
    </row>
    <row r="116" spans="2:15" outlineLevel="1">
      <c r="B116" s="1" t="s">
        <v>69</v>
      </c>
      <c r="F116" s="28"/>
      <c r="G116" s="28"/>
      <c r="H116" s="28"/>
      <c r="I116" s="28"/>
      <c r="J116" s="28"/>
      <c r="K116" s="8"/>
      <c r="L116" s="8"/>
      <c r="M116" s="8"/>
      <c r="N116" s="8"/>
      <c r="O116" s="8"/>
    </row>
    <row r="117" spans="2:15" outlineLevel="1">
      <c r="C117" t="s">
        <v>70</v>
      </c>
      <c r="F117" s="32">
        <v>929</v>
      </c>
      <c r="G117" s="32">
        <v>-53</v>
      </c>
      <c r="H117" s="32">
        <v>-753</v>
      </c>
      <c r="I117" s="32">
        <v>-93</v>
      </c>
      <c r="J117" s="32">
        <v>-571</v>
      </c>
      <c r="K117" s="163">
        <f>K420</f>
        <v>-103</v>
      </c>
      <c r="L117" s="163">
        <f t="shared" ref="L117:O117" si="25">L420</f>
        <v>-76</v>
      </c>
      <c r="M117" s="163">
        <f t="shared" si="25"/>
        <v>-2250</v>
      </c>
      <c r="N117" s="163">
        <f t="shared" si="25"/>
        <v>0</v>
      </c>
      <c r="O117" s="163">
        <f t="shared" si="25"/>
        <v>-150</v>
      </c>
    </row>
    <row r="118" spans="2:15" outlineLevel="1">
      <c r="C118" t="s">
        <v>71</v>
      </c>
      <c r="F118" s="32">
        <v>-196</v>
      </c>
      <c r="G118" s="32">
        <v>-496</v>
      </c>
      <c r="H118" s="32">
        <v>-439</v>
      </c>
      <c r="I118" s="32">
        <v>-676</v>
      </c>
      <c r="J118" s="32">
        <v>-700</v>
      </c>
      <c r="K118" s="8"/>
      <c r="L118" s="8"/>
      <c r="M118" s="8"/>
      <c r="N118" s="8"/>
      <c r="O118" s="8"/>
    </row>
    <row r="119" spans="2:15" outlineLevel="1">
      <c r="C119" t="s">
        <v>72</v>
      </c>
      <c r="F119" s="32">
        <v>-1479</v>
      </c>
      <c r="G119" s="32">
        <v>-5748</v>
      </c>
      <c r="H119" s="32">
        <v>-1498</v>
      </c>
      <c r="I119" s="32">
        <v>-1251</v>
      </c>
      <c r="J119" s="32">
        <v>-9041</v>
      </c>
      <c r="K119" s="8"/>
      <c r="L119" s="8"/>
      <c r="M119" s="8"/>
      <c r="N119" s="8"/>
      <c r="O119" s="8"/>
    </row>
    <row r="120" spans="2:15" outlineLevel="1">
      <c r="C120" t="s">
        <v>393</v>
      </c>
      <c r="F120" s="32"/>
      <c r="G120" s="32"/>
      <c r="H120" s="32"/>
      <c r="I120" s="32"/>
      <c r="J120" s="32"/>
      <c r="K120" s="8"/>
      <c r="L120" s="8"/>
      <c r="M120" s="8"/>
      <c r="N120" s="8"/>
      <c r="O120" s="8"/>
    </row>
    <row r="121" spans="2:15" outlineLevel="1">
      <c r="C121" t="s">
        <v>73</v>
      </c>
      <c r="F121" s="28"/>
      <c r="G121" s="32">
        <v>-67</v>
      </c>
      <c r="H121" s="32">
        <v>-180</v>
      </c>
      <c r="I121" s="32">
        <v>-291</v>
      </c>
      <c r="J121" s="32">
        <v>-137</v>
      </c>
      <c r="K121" s="8"/>
      <c r="L121" s="8"/>
      <c r="M121" s="8"/>
      <c r="N121" s="8"/>
      <c r="O121" s="8"/>
    </row>
    <row r="122" spans="2:15" outlineLevel="1">
      <c r="C122" t="s">
        <v>74</v>
      </c>
      <c r="F122" s="32">
        <v>-401</v>
      </c>
      <c r="G122" s="32">
        <v>-124</v>
      </c>
      <c r="H122" s="32">
        <v>-1413</v>
      </c>
      <c r="I122" s="32">
        <v>-303</v>
      </c>
      <c r="J122" s="32">
        <v>-315</v>
      </c>
      <c r="K122" s="8"/>
      <c r="L122" s="8"/>
      <c r="M122" s="8"/>
      <c r="N122" s="8"/>
      <c r="O122" s="8"/>
    </row>
    <row r="123" spans="2:15" outlineLevel="1">
      <c r="B123" s="5" t="s">
        <v>75</v>
      </c>
      <c r="C123" s="5"/>
      <c r="D123" s="5"/>
      <c r="E123" s="5"/>
      <c r="F123" s="30">
        <f>SUM(F117:F122)</f>
        <v>-1147</v>
      </c>
      <c r="G123" s="30">
        <f>SUM(G117:G122)</f>
        <v>-6488</v>
      </c>
      <c r="H123" s="30">
        <f>SUM(H117:H122)</f>
        <v>-4283</v>
      </c>
      <c r="I123" s="30">
        <f>SUM(I117:I122)</f>
        <v>-2614</v>
      </c>
      <c r="J123" s="30">
        <f>SUM(J117:J122)</f>
        <v>-10764</v>
      </c>
      <c r="K123" s="31">
        <f t="shared" ref="K123:O123" si="26">SUM(K117:K122)</f>
        <v>-103</v>
      </c>
      <c r="L123" s="31">
        <f t="shared" si="26"/>
        <v>-76</v>
      </c>
      <c r="M123" s="31">
        <f t="shared" si="26"/>
        <v>-2250</v>
      </c>
      <c r="N123" s="31">
        <f t="shared" si="26"/>
        <v>0</v>
      </c>
      <c r="O123" s="31">
        <f t="shared" si="26"/>
        <v>-150</v>
      </c>
    </row>
    <row r="124" spans="2:15" outlineLevel="1">
      <c r="F124" s="28"/>
      <c r="G124" s="28"/>
      <c r="H124" s="28"/>
      <c r="I124" s="28"/>
      <c r="J124" s="28"/>
      <c r="K124" s="8"/>
      <c r="L124" s="8"/>
      <c r="M124" s="8"/>
      <c r="N124" s="8"/>
      <c r="O124" s="8"/>
    </row>
    <row r="125" spans="2:15" outlineLevel="1">
      <c r="B125" t="s">
        <v>76</v>
      </c>
      <c r="F125" s="32">
        <v>70</v>
      </c>
      <c r="G125" s="32">
        <v>46</v>
      </c>
      <c r="H125" s="32">
        <v>-249</v>
      </c>
      <c r="I125" s="32">
        <v>15</v>
      </c>
      <c r="J125" s="32">
        <v>40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</row>
    <row r="126" spans="2:15" outlineLevel="1">
      <c r="B126" s="5" t="s">
        <v>77</v>
      </c>
      <c r="C126" s="5"/>
      <c r="D126" s="5"/>
      <c r="E126" s="5"/>
      <c r="F126" s="30">
        <f t="shared" ref="F126:K126" si="27">F109+F114+F123+F125</f>
        <v>3893</v>
      </c>
      <c r="G126" s="30">
        <f t="shared" si="27"/>
        <v>-1019</v>
      </c>
      <c r="H126" s="30">
        <f t="shared" si="27"/>
        <v>-1055</v>
      </c>
      <c r="I126" s="30">
        <f t="shared" si="27"/>
        <v>3497</v>
      </c>
      <c r="J126" s="30">
        <f t="shared" si="27"/>
        <v>-3794</v>
      </c>
      <c r="K126" s="31">
        <f t="shared" ca="1" si="27"/>
        <v>6670.5418997922243</v>
      </c>
      <c r="L126" s="31">
        <f t="shared" ref="L126:O126" ca="1" si="28">L109+L114+L123+L125</f>
        <v>7854.895436298284</v>
      </c>
      <c r="M126" s="31">
        <f t="shared" ca="1" si="28"/>
        <v>6946.6392847583011</v>
      </c>
      <c r="N126" s="31">
        <f t="shared" ca="1" si="28"/>
        <v>10650.951114762534</v>
      </c>
      <c r="O126" s="31">
        <f t="shared" ca="1" si="28"/>
        <v>12173.123566752827</v>
      </c>
    </row>
    <row r="127" spans="2:15" outlineLevel="1">
      <c r="B127" t="s">
        <v>78</v>
      </c>
      <c r="F127" s="32">
        <v>8384</v>
      </c>
      <c r="G127" s="28">
        <f>F128</f>
        <v>12277</v>
      </c>
      <c r="H127" s="28">
        <f t="shared" ref="H127:O127" si="29">G128</f>
        <v>11258</v>
      </c>
      <c r="I127" s="28">
        <f t="shared" si="29"/>
        <v>10203</v>
      </c>
      <c r="J127" s="28">
        <f t="shared" si="29"/>
        <v>13700</v>
      </c>
      <c r="K127" s="29">
        <f t="shared" si="29"/>
        <v>9906</v>
      </c>
      <c r="L127" s="29">
        <f t="shared" ca="1" si="29"/>
        <v>16576.541899792224</v>
      </c>
      <c r="M127" s="29">
        <f t="shared" ca="1" si="29"/>
        <v>24431.437336090508</v>
      </c>
      <c r="N127" s="29">
        <f t="shared" ca="1" si="29"/>
        <v>31378.076620848809</v>
      </c>
      <c r="O127" s="29">
        <f t="shared" ca="1" si="29"/>
        <v>42029.027735611344</v>
      </c>
    </row>
    <row r="128" spans="2:15" ht="15" outlineLevel="1" thickBot="1">
      <c r="B128" s="33" t="s">
        <v>79</v>
      </c>
      <c r="C128" s="33"/>
      <c r="D128" s="33"/>
      <c r="E128" s="33"/>
      <c r="F128" s="100">
        <f t="shared" ref="F128:O128" si="30">F127+F126</f>
        <v>12277</v>
      </c>
      <c r="G128" s="100">
        <f t="shared" si="30"/>
        <v>11258</v>
      </c>
      <c r="H128" s="100">
        <f t="shared" si="30"/>
        <v>10203</v>
      </c>
      <c r="I128" s="100">
        <f t="shared" si="30"/>
        <v>13700</v>
      </c>
      <c r="J128" s="100">
        <f t="shared" si="30"/>
        <v>9906</v>
      </c>
      <c r="K128" s="101">
        <f t="shared" ca="1" si="30"/>
        <v>16576.541899792224</v>
      </c>
      <c r="L128" s="101">
        <f t="shared" ca="1" si="30"/>
        <v>24431.437336090508</v>
      </c>
      <c r="M128" s="101">
        <f t="shared" ca="1" si="30"/>
        <v>31378.076620848809</v>
      </c>
      <c r="N128" s="101">
        <f t="shared" ca="1" si="30"/>
        <v>42029.027735611344</v>
      </c>
      <c r="O128" s="101">
        <f t="shared" ca="1" si="30"/>
        <v>54202.151302364175</v>
      </c>
    </row>
    <row r="129" spans="1:17" ht="15" outlineLevel="1" thickTop="1">
      <c r="F129" s="28"/>
      <c r="G129" s="28"/>
      <c r="H129" s="28"/>
      <c r="I129" s="28"/>
      <c r="J129" s="28"/>
      <c r="K129" s="8"/>
      <c r="L129" s="8"/>
      <c r="M129" s="8"/>
      <c r="N129" s="8"/>
      <c r="O129" s="8"/>
    </row>
    <row r="130" spans="1:17" outlineLevel="1">
      <c r="B130" t="s">
        <v>80</v>
      </c>
      <c r="F130" s="28"/>
      <c r="G130" s="28"/>
      <c r="H130" s="28"/>
      <c r="I130" s="28"/>
      <c r="J130" s="28"/>
      <c r="K130" s="8"/>
      <c r="L130" s="8"/>
      <c r="M130" s="8"/>
      <c r="N130" s="8"/>
      <c r="O130" s="8"/>
    </row>
    <row r="131" spans="1:17" outlineLevel="1">
      <c r="B131" t="s">
        <v>81</v>
      </c>
      <c r="F131" s="28">
        <v>124</v>
      </c>
      <c r="G131" s="28">
        <v>149</v>
      </c>
      <c r="H131" s="28">
        <v>145</v>
      </c>
      <c r="I131" s="28">
        <v>125</v>
      </c>
      <c r="J131" s="28">
        <v>129</v>
      </c>
      <c r="K131" s="8"/>
      <c r="L131" s="8"/>
      <c r="M131" s="8"/>
      <c r="N131" s="8"/>
      <c r="O131" s="8"/>
    </row>
    <row r="132" spans="1:17" outlineLevel="1">
      <c r="B132" t="s">
        <v>82</v>
      </c>
      <c r="F132" s="28">
        <v>1052</v>
      </c>
      <c r="G132" s="28">
        <v>1527</v>
      </c>
      <c r="H132" s="28">
        <v>1940</v>
      </c>
      <c r="I132" s="28">
        <v>2234</v>
      </c>
      <c r="J132" s="28">
        <v>2319</v>
      </c>
      <c r="K132" s="8"/>
      <c r="L132" s="8"/>
      <c r="M132" s="8"/>
      <c r="N132" s="8"/>
      <c r="O132" s="8"/>
    </row>
    <row r="133" spans="1:17" outlineLevel="1">
      <c r="F133" s="28"/>
      <c r="G133" s="28"/>
      <c r="H133" s="28"/>
      <c r="I133" s="28"/>
      <c r="J133" s="28"/>
      <c r="K133" s="8"/>
      <c r="L133" s="8"/>
      <c r="M133" s="8"/>
      <c r="N133" s="8"/>
      <c r="O133" s="8"/>
    </row>
    <row r="135" spans="1:17">
      <c r="A135" s="115" t="s">
        <v>172</v>
      </c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</row>
    <row r="136" spans="1:17" outlineLevel="1">
      <c r="F136" s="211" t="str">
        <f>IF(F151=F175,"CHECK", "ERROR")</f>
        <v>CHECK</v>
      </c>
      <c r="G136" s="211" t="str">
        <f>IF(G151=G175,"CHECK", "ERROR")</f>
        <v>CHECK</v>
      </c>
      <c r="H136" s="211" t="str">
        <f>IF(H151=H175,"CHECK", "ERROR")</f>
        <v>CHECK</v>
      </c>
      <c r="I136" s="211" t="str">
        <f>IF(I151=I175,"CHECK", "ERROR")</f>
        <v>CHECK</v>
      </c>
      <c r="J136" s="211" t="str">
        <f>IF(J151=J175,"CHECK", "ERROR")</f>
        <v>CHECK</v>
      </c>
      <c r="K136" s="211" t="str">
        <f ca="1">IF(ABS(K151-K175)&lt;2,"CHECK", "ERROR")</f>
        <v>ERROR</v>
      </c>
      <c r="L136" s="211" t="str">
        <f t="shared" ref="L136:O136" ca="1" si="31">IF(ABS(L151-L175)&lt;2,"CHECK", "ERROR")</f>
        <v>ERROR</v>
      </c>
      <c r="M136" s="211" t="str">
        <f t="shared" ca="1" si="31"/>
        <v>ERROR</v>
      </c>
      <c r="N136" s="211" t="str">
        <f t="shared" ca="1" si="31"/>
        <v>ERROR</v>
      </c>
      <c r="O136" s="211" t="str">
        <f t="shared" ca="1" si="31"/>
        <v>ERROR</v>
      </c>
    </row>
    <row r="137" spans="1:17" outlineLevel="1"/>
    <row r="138" spans="1:17" outlineLevel="1">
      <c r="A138" s="2" t="s">
        <v>173</v>
      </c>
      <c r="B138" s="3"/>
      <c r="C138" s="3"/>
      <c r="D138" s="3"/>
      <c r="E138" s="3"/>
      <c r="F138" s="4">
        <f>G138-1</f>
        <v>2020</v>
      </c>
      <c r="G138" s="4">
        <f>H138-1</f>
        <v>2021</v>
      </c>
      <c r="H138" s="4">
        <f>I138-1</f>
        <v>2022</v>
      </c>
      <c r="I138" s="4">
        <f>J138-1</f>
        <v>2023</v>
      </c>
      <c r="J138" s="4">
        <f>K138-1</f>
        <v>2024</v>
      </c>
      <c r="K138" s="7">
        <f>K$8</f>
        <v>2025</v>
      </c>
      <c r="L138" s="7">
        <f>L$8</f>
        <v>2026</v>
      </c>
      <c r="M138" s="7">
        <f>M$8</f>
        <v>2027</v>
      </c>
      <c r="N138" s="7">
        <f>N$8</f>
        <v>2028</v>
      </c>
      <c r="O138" s="7">
        <f>O$8</f>
        <v>2029</v>
      </c>
    </row>
    <row r="139" spans="1:17" outlineLevel="1">
      <c r="B139" s="1" t="s">
        <v>174</v>
      </c>
      <c r="F139" s="28"/>
      <c r="G139" s="28"/>
      <c r="H139" s="28"/>
      <c r="I139" s="28"/>
      <c r="J139" s="28"/>
      <c r="K139" s="29"/>
      <c r="L139" s="29"/>
      <c r="M139" s="29"/>
      <c r="N139" s="29"/>
      <c r="O139" s="29"/>
    </row>
    <row r="140" spans="1:17" outlineLevel="1">
      <c r="C140" t="s">
        <v>175</v>
      </c>
      <c r="F140" s="32">
        <v>12277</v>
      </c>
      <c r="G140" s="32">
        <v>11258</v>
      </c>
      <c r="H140" s="32">
        <v>10203</v>
      </c>
      <c r="I140" s="32">
        <v>13700</v>
      </c>
      <c r="J140" s="32">
        <v>9906</v>
      </c>
      <c r="K140" s="29">
        <f ca="1">K128</f>
        <v>16576.541899792224</v>
      </c>
      <c r="L140" s="29">
        <f ca="1">L128</f>
        <v>24431.437336090508</v>
      </c>
      <c r="M140" s="29">
        <f ca="1">M128</f>
        <v>31378.076620848809</v>
      </c>
      <c r="N140" s="29">
        <f ca="1">N128</f>
        <v>42029.027735611344</v>
      </c>
      <c r="O140" s="29">
        <f ca="1">O128</f>
        <v>54202.151302364175</v>
      </c>
    </row>
    <row r="141" spans="1:17" outlineLevel="1">
      <c r="C141" t="s">
        <v>176</v>
      </c>
      <c r="F141" s="32">
        <v>1028</v>
      </c>
      <c r="G141" s="32">
        <v>917</v>
      </c>
      <c r="H141" s="32">
        <v>846</v>
      </c>
      <c r="I141" s="32">
        <v>1534</v>
      </c>
      <c r="J141" s="32">
        <v>1238</v>
      </c>
      <c r="K141" s="29">
        <f>K376</f>
        <v>1238</v>
      </c>
      <c r="L141" s="29">
        <f t="shared" ref="L141:O141" si="32">L376</f>
        <v>1238</v>
      </c>
      <c r="M141" s="29">
        <f t="shared" si="32"/>
        <v>1238</v>
      </c>
      <c r="N141" s="29">
        <f t="shared" si="32"/>
        <v>1238</v>
      </c>
      <c r="O141" s="29">
        <f t="shared" si="32"/>
        <v>1238</v>
      </c>
      <c r="Q141" s="230"/>
    </row>
    <row r="142" spans="1:17" outlineLevel="1">
      <c r="C142" t="s">
        <v>128</v>
      </c>
      <c r="F142" s="32">
        <v>1550</v>
      </c>
      <c r="G142" s="32">
        <v>1803</v>
      </c>
      <c r="H142" s="32">
        <v>2241</v>
      </c>
      <c r="I142" s="32">
        <v>2285</v>
      </c>
      <c r="J142" s="32">
        <v>2721</v>
      </c>
      <c r="K142" s="29">
        <f>K308</f>
        <v>2925.6898741668438</v>
      </c>
      <c r="L142" s="29">
        <f t="shared" ref="L142:O142" si="33">L308</f>
        <v>3148.8756365197028</v>
      </c>
      <c r="M142" s="29">
        <f t="shared" si="33"/>
        <v>3397.8242849776389</v>
      </c>
      <c r="N142" s="29">
        <f t="shared" si="33"/>
        <v>3674.0141883864658</v>
      </c>
      <c r="O142" s="29">
        <f t="shared" si="33"/>
        <v>3980.9843271692303</v>
      </c>
      <c r="Q142" s="230"/>
    </row>
    <row r="143" spans="1:17" outlineLevel="1">
      <c r="C143" t="s">
        <v>177</v>
      </c>
      <c r="F143" s="32">
        <v>12242</v>
      </c>
      <c r="G143" s="32">
        <v>14215</v>
      </c>
      <c r="H143" s="32">
        <v>17907</v>
      </c>
      <c r="I143" s="32">
        <v>16651</v>
      </c>
      <c r="J143" s="32">
        <v>18647</v>
      </c>
      <c r="K143" s="29">
        <f>K309</f>
        <v>20063.898165538012</v>
      </c>
      <c r="L143" s="29">
        <f t="shared" ref="L143:O143" si="34">L309</f>
        <v>21594.469278828317</v>
      </c>
      <c r="M143" s="29">
        <f t="shared" si="34"/>
        <v>23301.718011926096</v>
      </c>
      <c r="N143" s="29">
        <f t="shared" si="34"/>
        <v>25195.782774317406</v>
      </c>
      <c r="O143" s="29">
        <f t="shared" si="34"/>
        <v>27300.933309506097</v>
      </c>
      <c r="Q143" s="231"/>
    </row>
    <row r="144" spans="1:17" outlineLevel="1">
      <c r="C144" t="s">
        <v>309</v>
      </c>
      <c r="F144" s="32">
        <v>1023</v>
      </c>
      <c r="G144" s="32">
        <v>1312</v>
      </c>
      <c r="H144" s="32">
        <v>1499</v>
      </c>
      <c r="I144" s="32">
        <v>1709</v>
      </c>
      <c r="J144" s="32">
        <v>1734</v>
      </c>
      <c r="K144" s="29">
        <f>K310</f>
        <v>1864.4418382231925</v>
      </c>
      <c r="L144" s="29">
        <f t="shared" ref="L144:O144" si="35">L310</f>
        <v>2006.6704717843309</v>
      </c>
      <c r="M144" s="29">
        <f t="shared" si="35"/>
        <v>2165.3169092801268</v>
      </c>
      <c r="N144" s="29">
        <f t="shared" si="35"/>
        <v>2341.3232644844288</v>
      </c>
      <c r="O144" s="29">
        <f t="shared" si="35"/>
        <v>2536.9448082732247</v>
      </c>
      <c r="Q144" s="230"/>
    </row>
    <row r="145" spans="2:17" outlineLevel="1">
      <c r="B145" s="5" t="s">
        <v>178</v>
      </c>
      <c r="C145" s="5"/>
      <c r="D145" s="5"/>
      <c r="E145" s="5"/>
      <c r="F145" s="30">
        <f>SUM(F140:F144)</f>
        <v>28120</v>
      </c>
      <c r="G145" s="30">
        <f>SUM(G140:G144)</f>
        <v>29505</v>
      </c>
      <c r="H145" s="30">
        <f>SUM(H140:H144)</f>
        <v>32696</v>
      </c>
      <c r="I145" s="30">
        <f>SUM(I140:I144)</f>
        <v>35879</v>
      </c>
      <c r="J145" s="30">
        <f>SUM(J140:J144)</f>
        <v>34246</v>
      </c>
      <c r="K145" s="31">
        <f t="shared" ref="K145:O145" ca="1" si="36">SUM(K140:K144)</f>
        <v>42668.571777720281</v>
      </c>
      <c r="L145" s="31">
        <f t="shared" ca="1" si="36"/>
        <v>52419.452723222865</v>
      </c>
      <c r="M145" s="31">
        <f t="shared" ca="1" si="36"/>
        <v>61480.93582703267</v>
      </c>
      <c r="N145" s="31">
        <f t="shared" ca="1" si="36"/>
        <v>74478.14796279963</v>
      </c>
      <c r="O145" s="31">
        <f t="shared" ca="1" si="36"/>
        <v>89259.013747312725</v>
      </c>
      <c r="Q145" s="232"/>
    </row>
    <row r="146" spans="2:17" outlineLevel="1">
      <c r="F146" s="28"/>
      <c r="G146" s="28"/>
      <c r="H146" s="28"/>
      <c r="I146" s="28"/>
      <c r="J146" s="28"/>
      <c r="K146" s="29"/>
      <c r="L146" s="29"/>
      <c r="M146" s="29"/>
      <c r="N146" s="29"/>
      <c r="O146" s="29"/>
    </row>
    <row r="147" spans="2:17" outlineLevel="1">
      <c r="B147" s="1" t="s">
        <v>179</v>
      </c>
      <c r="F147" s="28"/>
      <c r="G147" s="28"/>
      <c r="H147" s="28"/>
      <c r="I147" s="28"/>
      <c r="J147" s="28"/>
      <c r="K147" s="29"/>
      <c r="L147" s="29"/>
      <c r="M147" s="29"/>
      <c r="N147" s="29"/>
      <c r="O147" s="29"/>
    </row>
    <row r="148" spans="2:17" outlineLevel="1">
      <c r="C148" t="s">
        <v>180</v>
      </c>
      <c r="F148" s="32">
        <v>21807</v>
      </c>
      <c r="G148" s="32">
        <v>23492</v>
      </c>
      <c r="H148" s="32">
        <v>24646</v>
      </c>
      <c r="I148" s="32">
        <v>26684</v>
      </c>
      <c r="J148" s="32">
        <v>29032</v>
      </c>
      <c r="K148" s="29">
        <f>K367</f>
        <v>31427.096486439161</v>
      </c>
      <c r="L148" s="29">
        <f t="shared" ref="L148:O148" si="37">L367</f>
        <v>33726.374754644348</v>
      </c>
      <c r="M148" s="29">
        <f t="shared" si="37"/>
        <v>35926.972791024753</v>
      </c>
      <c r="N148" s="29">
        <f t="shared" si="37"/>
        <v>38025.971341717741</v>
      </c>
      <c r="O148" s="29">
        <f t="shared" si="37"/>
        <v>40020.392767783429</v>
      </c>
    </row>
    <row r="149" spans="2:17" outlineLevel="1">
      <c r="C149" t="s">
        <v>181</v>
      </c>
      <c r="F149" s="32">
        <v>2788</v>
      </c>
      <c r="G149" s="32">
        <v>2890</v>
      </c>
      <c r="H149" s="32">
        <v>2774</v>
      </c>
      <c r="I149" s="32">
        <v>2713</v>
      </c>
      <c r="J149" s="32">
        <v>2617</v>
      </c>
      <c r="K149" s="29">
        <f>AVERAGE(F149:J149)</f>
        <v>2756.4</v>
      </c>
      <c r="L149" s="29">
        <f t="shared" ref="L149:O149" si="38">K149</f>
        <v>2756.4</v>
      </c>
      <c r="M149" s="29">
        <f t="shared" si="38"/>
        <v>2756.4</v>
      </c>
      <c r="N149" s="29">
        <f t="shared" si="38"/>
        <v>2756.4</v>
      </c>
      <c r="O149" s="29">
        <f t="shared" si="38"/>
        <v>2756.4</v>
      </c>
    </row>
    <row r="150" spans="2:17" outlineLevel="1">
      <c r="C150" t="s">
        <v>134</v>
      </c>
      <c r="F150" s="32">
        <v>2841</v>
      </c>
      <c r="G150" s="32">
        <v>3381</v>
      </c>
      <c r="H150" s="32">
        <v>4050</v>
      </c>
      <c r="I150" s="32">
        <v>3718</v>
      </c>
      <c r="J150" s="32">
        <v>3936</v>
      </c>
      <c r="K150" s="29">
        <f>K446</f>
        <v>4050.3581208847781</v>
      </c>
      <c r="L150" s="29">
        <f t="shared" ref="L150:O150" si="39">L446</f>
        <v>4175.7240051185308</v>
      </c>
      <c r="M150" s="29">
        <f t="shared" si="39"/>
        <v>4314.9136177121054</v>
      </c>
      <c r="N150" s="29">
        <f t="shared" si="39"/>
        <v>4468.4931911841304</v>
      </c>
      <c r="O150" s="29">
        <f t="shared" si="39"/>
        <v>4639.0946119425498</v>
      </c>
    </row>
    <row r="151" spans="2:17" ht="15" outlineLevel="1" thickBot="1">
      <c r="B151" s="102" t="s">
        <v>182</v>
      </c>
      <c r="C151" s="33"/>
      <c r="D151" s="33"/>
      <c r="E151" s="33"/>
      <c r="F151" s="100">
        <f>SUM(F148:F150,F145)</f>
        <v>55556</v>
      </c>
      <c r="G151" s="100">
        <f>SUM(G148:G150,G145)</f>
        <v>59268</v>
      </c>
      <c r="H151" s="100">
        <f>SUM(H148:H150,H145)</f>
        <v>64166</v>
      </c>
      <c r="I151" s="100">
        <f>SUM(I148:I150,I145)</f>
        <v>68994</v>
      </c>
      <c r="J151" s="100">
        <f>SUM(J148:J150,J145)</f>
        <v>69831</v>
      </c>
      <c r="K151" s="101">
        <f ca="1">SUM(K148:K150,K145)</f>
        <v>80902.426385044208</v>
      </c>
      <c r="L151" s="101">
        <f ca="1">SUM(L148:L150,L145)</f>
        <v>93077.951482985751</v>
      </c>
      <c r="M151" s="101">
        <f ca="1">SUM(M148:M150,M145)</f>
        <v>104479.22223576953</v>
      </c>
      <c r="N151" s="101">
        <f ca="1">SUM(N148:N150,N145)</f>
        <v>119729.01249570151</v>
      </c>
      <c r="O151" s="101">
        <f ca="1">SUM(O148:O150,O145)</f>
        <v>136674.9011270387</v>
      </c>
    </row>
    <row r="152" spans="2:17" ht="15" outlineLevel="1" thickTop="1">
      <c r="F152" s="28"/>
      <c r="G152" s="28"/>
      <c r="H152" s="28"/>
      <c r="I152" s="28"/>
      <c r="J152" s="28"/>
      <c r="K152" s="29"/>
      <c r="L152" s="29"/>
      <c r="M152" s="29"/>
      <c r="N152" s="29"/>
      <c r="O152" s="29"/>
    </row>
    <row r="153" spans="2:17" outlineLevel="1">
      <c r="B153" s="1" t="s">
        <v>183</v>
      </c>
      <c r="F153" s="28"/>
      <c r="G153" s="28"/>
      <c r="H153" s="28"/>
      <c r="I153" s="28"/>
      <c r="J153" s="28"/>
      <c r="K153" s="29"/>
      <c r="L153" s="29"/>
      <c r="M153" s="29"/>
      <c r="N153" s="29"/>
      <c r="O153" s="29"/>
    </row>
    <row r="154" spans="2:17" outlineLevel="1">
      <c r="C154" t="s">
        <v>61</v>
      </c>
      <c r="F154" s="32">
        <v>14172</v>
      </c>
      <c r="G154" s="32">
        <v>16278</v>
      </c>
      <c r="H154" s="32">
        <v>17848</v>
      </c>
      <c r="I154" s="32">
        <v>17483</v>
      </c>
      <c r="J154" s="32">
        <v>19421</v>
      </c>
      <c r="K154" s="29">
        <f>K312</f>
        <v>20896.710799212407</v>
      </c>
      <c r="L154" s="29">
        <f t="shared" ref="L154:O154" si="40">L312</f>
        <v>22490.812884867526</v>
      </c>
      <c r="M154" s="29">
        <f t="shared" si="40"/>
        <v>24268.926128042938</v>
      </c>
      <c r="N154" s="29">
        <f t="shared" si="40"/>
        <v>26241.609763501812</v>
      </c>
      <c r="O154" s="29">
        <f t="shared" si="40"/>
        <v>28434.140923683051</v>
      </c>
    </row>
    <row r="155" spans="2:17" outlineLevel="1">
      <c r="C155" t="s">
        <v>184</v>
      </c>
      <c r="F155" s="32">
        <v>3605</v>
      </c>
      <c r="G155" s="32">
        <v>4090</v>
      </c>
      <c r="H155" s="32">
        <v>4381</v>
      </c>
      <c r="I155" s="32">
        <v>4278</v>
      </c>
      <c r="J155" s="32">
        <v>4794</v>
      </c>
      <c r="K155" s="29">
        <f>K295</f>
        <v>5188.6909559295627</v>
      </c>
      <c r="L155" s="29">
        <f t="shared" ref="L155:O155" si="41">L295</f>
        <v>5486.5437099844812</v>
      </c>
      <c r="M155" s="29">
        <f t="shared" si="41"/>
        <v>5814.5965256484733</v>
      </c>
      <c r="N155" s="29">
        <f t="shared" si="41"/>
        <v>6172.9287460185678</v>
      </c>
      <c r="O155" s="29">
        <f t="shared" si="41"/>
        <v>6564.833785350057</v>
      </c>
    </row>
    <row r="156" spans="2:17" outlineLevel="1">
      <c r="C156" t="s">
        <v>185</v>
      </c>
      <c r="F156" s="32">
        <v>1393</v>
      </c>
      <c r="G156" s="32">
        <v>1671</v>
      </c>
      <c r="H156" s="32">
        <v>1911</v>
      </c>
      <c r="I156" s="32">
        <v>2150</v>
      </c>
      <c r="J156" s="32">
        <v>2435</v>
      </c>
      <c r="K156" s="29">
        <f>K267</f>
        <v>2778.1493779941638</v>
      </c>
      <c r="L156" s="29">
        <f t="shared" ref="L156:O156" si="42">L267</f>
        <v>3153.9523052301415</v>
      </c>
      <c r="M156" s="29">
        <f t="shared" si="42"/>
        <v>3566.4548327032235</v>
      </c>
      <c r="N156" s="29">
        <f t="shared" si="42"/>
        <v>4020.0445687305178</v>
      </c>
      <c r="O156" s="29">
        <f t="shared" si="42"/>
        <v>4519.7214969497145</v>
      </c>
    </row>
    <row r="157" spans="2:17" outlineLevel="1">
      <c r="C157" t="s">
        <v>186</v>
      </c>
      <c r="F157" s="32">
        <v>1851</v>
      </c>
      <c r="G157" s="32">
        <v>2042</v>
      </c>
      <c r="H157" s="32">
        <v>2174</v>
      </c>
      <c r="I157" s="32">
        <v>2337</v>
      </c>
      <c r="J157" s="32">
        <v>2501</v>
      </c>
      <c r="K157" s="29">
        <f>K225</f>
        <v>2798.6149845375976</v>
      </c>
      <c r="L157" s="29">
        <f t="shared" ref="L157:O157" si="43">L225</f>
        <v>3161.1957867254223</v>
      </c>
      <c r="M157" s="29">
        <f t="shared" si="43"/>
        <v>3427.4813457290124</v>
      </c>
      <c r="N157" s="29">
        <f t="shared" si="43"/>
        <v>3717.1511328406177</v>
      </c>
      <c r="O157" s="29">
        <f t="shared" si="43"/>
        <v>4029.6636507588128</v>
      </c>
    </row>
    <row r="158" spans="2:17" outlineLevel="1">
      <c r="C158" t="s">
        <v>187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29">
        <f ca="1">K395</f>
        <v>0</v>
      </c>
      <c r="L158" s="29">
        <f t="shared" ref="L158:O158" ca="1" si="44">L395</f>
        <v>0</v>
      </c>
      <c r="M158" s="29">
        <f t="shared" ca="1" si="44"/>
        <v>0</v>
      </c>
      <c r="N158" s="29">
        <f t="shared" ca="1" si="44"/>
        <v>0</v>
      </c>
      <c r="O158" s="29">
        <f t="shared" ca="1" si="44"/>
        <v>0</v>
      </c>
    </row>
    <row r="159" spans="2:17" outlineLevel="1">
      <c r="C159" t="s">
        <v>310</v>
      </c>
      <c r="F159" s="32">
        <v>3728</v>
      </c>
      <c r="G159" s="32">
        <v>4561</v>
      </c>
      <c r="H159" s="32">
        <v>5611</v>
      </c>
      <c r="I159" s="32">
        <v>6254</v>
      </c>
      <c r="J159" s="32">
        <v>6210</v>
      </c>
      <c r="K159" s="29">
        <f>K316</f>
        <v>6677.1532960588384</v>
      </c>
      <c r="L159" s="29">
        <f t="shared" ref="L159:O159" si="45">L316</f>
        <v>7186.5188176359252</v>
      </c>
      <c r="M159" s="29">
        <f t="shared" si="45"/>
        <v>7754.6816647229462</v>
      </c>
      <c r="N159" s="29">
        <f t="shared" si="45"/>
        <v>8385.0158433957931</v>
      </c>
      <c r="O159" s="29">
        <f t="shared" si="45"/>
        <v>9085.5981887985745</v>
      </c>
    </row>
    <row r="160" spans="2:17" outlineLevel="1">
      <c r="B160" s="5" t="s">
        <v>188</v>
      </c>
      <c r="C160" s="5"/>
      <c r="D160" s="5"/>
      <c r="E160" s="5"/>
      <c r="F160" s="30">
        <f>SUM(F154:F159)</f>
        <v>24749</v>
      </c>
      <c r="G160" s="30">
        <f>SUM(G154:G159)</f>
        <v>28642</v>
      </c>
      <c r="H160" s="30">
        <f>SUM(H154:H159)</f>
        <v>31925</v>
      </c>
      <c r="I160" s="30">
        <f>SUM(I154:I159)</f>
        <v>32502</v>
      </c>
      <c r="J160" s="30">
        <f>SUM(J154:J159)</f>
        <v>35361</v>
      </c>
      <c r="K160" s="31">
        <f t="shared" ref="K160:O160" ca="1" si="46">SUM(K154:K159)</f>
        <v>38339.31941373257</v>
      </c>
      <c r="L160" s="31">
        <f t="shared" ca="1" si="46"/>
        <v>41479.023504443496</v>
      </c>
      <c r="M160" s="31">
        <f t="shared" ca="1" si="46"/>
        <v>44832.140496846594</v>
      </c>
      <c r="N160" s="31">
        <f t="shared" ca="1" si="46"/>
        <v>48536.750054487311</v>
      </c>
      <c r="O160" s="31">
        <f t="shared" ca="1" si="46"/>
        <v>52633.95804554021</v>
      </c>
    </row>
    <row r="161" spans="2:15" outlineLevel="1">
      <c r="F161" s="28"/>
      <c r="G161" s="28"/>
      <c r="H161" s="28"/>
      <c r="I161" s="28"/>
      <c r="J161" s="28"/>
      <c r="K161" s="29"/>
      <c r="L161" s="29"/>
      <c r="M161" s="29"/>
      <c r="N161" s="29"/>
      <c r="O161" s="29"/>
    </row>
    <row r="162" spans="2:15" outlineLevel="1">
      <c r="B162" s="1" t="s">
        <v>189</v>
      </c>
      <c r="F162" s="28"/>
      <c r="G162" s="28"/>
      <c r="H162" s="28"/>
      <c r="I162" s="28"/>
      <c r="J162" s="28"/>
      <c r="K162" s="29"/>
      <c r="L162" s="29"/>
      <c r="M162" s="29"/>
      <c r="N162" s="29"/>
      <c r="O162" s="29"/>
    </row>
    <row r="163" spans="2:15" outlineLevel="1">
      <c r="C163" t="s">
        <v>190</v>
      </c>
      <c r="F163" s="32">
        <v>7609</v>
      </c>
      <c r="G163" s="32">
        <v>7491</v>
      </c>
      <c r="H163" s="32">
        <v>6557</v>
      </c>
      <c r="I163" s="32">
        <v>6458</v>
      </c>
      <c r="J163" s="32">
        <v>5897</v>
      </c>
      <c r="K163" s="29">
        <f>K421</f>
        <v>5794</v>
      </c>
      <c r="L163" s="29">
        <f t="shared" ref="L163:O163" si="47">L421</f>
        <v>5718</v>
      </c>
      <c r="M163" s="29">
        <f t="shared" si="47"/>
        <v>3468</v>
      </c>
      <c r="N163" s="29">
        <f t="shared" si="47"/>
        <v>3468</v>
      </c>
      <c r="O163" s="29">
        <f t="shared" si="47"/>
        <v>3318</v>
      </c>
    </row>
    <row r="164" spans="2:15" outlineLevel="1">
      <c r="C164" t="s">
        <v>191</v>
      </c>
      <c r="F164" s="32">
        <v>2558</v>
      </c>
      <c r="G164" s="32">
        <v>2642</v>
      </c>
      <c r="H164" s="32">
        <v>2482</v>
      </c>
      <c r="I164" s="32">
        <v>2426</v>
      </c>
      <c r="J164" s="32">
        <v>2375</v>
      </c>
      <c r="K164" s="29">
        <f>AVERAGE(F164:J164)</f>
        <v>2496.6</v>
      </c>
      <c r="L164" s="29">
        <f>K164</f>
        <v>2496.6</v>
      </c>
      <c r="M164" s="29">
        <f t="shared" ref="M164:O164" si="48">L164</f>
        <v>2496.6</v>
      </c>
      <c r="N164" s="29">
        <f t="shared" si="48"/>
        <v>2496.6</v>
      </c>
      <c r="O164" s="29">
        <f t="shared" si="48"/>
        <v>2496.6</v>
      </c>
    </row>
    <row r="165" spans="2:15" outlineLevel="1">
      <c r="C165" t="s">
        <v>147</v>
      </c>
      <c r="F165" s="32">
        <v>1935</v>
      </c>
      <c r="G165" s="32">
        <v>2415</v>
      </c>
      <c r="H165" s="32">
        <v>2555</v>
      </c>
      <c r="I165" s="32">
        <v>2550</v>
      </c>
      <c r="J165" s="32">
        <v>2576</v>
      </c>
      <c r="K165" s="29">
        <f>K452</f>
        <v>2655.2083290658679</v>
      </c>
      <c r="L165" s="29">
        <f t="shared" ref="L165:O165" si="49">L452</f>
        <v>2740.9870189028434</v>
      </c>
      <c r="M165" s="29">
        <f t="shared" si="49"/>
        <v>2834.81520703562</v>
      </c>
      <c r="N165" s="29">
        <f t="shared" si="49"/>
        <v>2937.0275710585947</v>
      </c>
      <c r="O165" s="29">
        <f t="shared" si="49"/>
        <v>3049.0135813314027</v>
      </c>
    </row>
    <row r="166" spans="2:15" outlineLevel="1">
      <c r="B166" s="5" t="s">
        <v>192</v>
      </c>
      <c r="C166" s="5"/>
      <c r="D166" s="5"/>
      <c r="E166" s="5"/>
      <c r="F166" s="30">
        <f>SUM(F163:F165,F160)</f>
        <v>36851</v>
      </c>
      <c r="G166" s="30">
        <f>SUM(G163:G165,G160)</f>
        <v>41190</v>
      </c>
      <c r="H166" s="30">
        <f>SUM(H163:H165,H160)</f>
        <v>43519</v>
      </c>
      <c r="I166" s="30">
        <f>SUM(I163:I165,I160)</f>
        <v>43936</v>
      </c>
      <c r="J166" s="30">
        <f>SUM(J163:J165,J160)</f>
        <v>46209</v>
      </c>
      <c r="K166" s="31">
        <f ca="1">SUM(K163:K165,K160)</f>
        <v>49285.127742798439</v>
      </c>
      <c r="L166" s="31">
        <f ca="1">SUM(L163:L165,L160)</f>
        <v>52434.610523346339</v>
      </c>
      <c r="M166" s="31">
        <f ca="1">SUM(M163:M165,M160)</f>
        <v>53631.555703882215</v>
      </c>
      <c r="N166" s="31">
        <f ca="1">SUM(N163:N165,N160)</f>
        <v>57438.377625545909</v>
      </c>
      <c r="O166" s="31">
        <f ca="1">SUM(O163:O165,O160)</f>
        <v>61497.571626871613</v>
      </c>
    </row>
    <row r="167" spans="2:15" outlineLevel="1">
      <c r="F167" s="28"/>
      <c r="G167" s="28"/>
      <c r="H167" s="28"/>
      <c r="I167" s="28"/>
      <c r="J167" s="28"/>
      <c r="K167" s="29"/>
      <c r="L167" s="29"/>
      <c r="M167" s="29"/>
      <c r="N167" s="29"/>
      <c r="O167" s="29"/>
    </row>
    <row r="168" spans="2:15" outlineLevel="1">
      <c r="B168" s="1" t="s">
        <v>193</v>
      </c>
      <c r="F168" s="28"/>
      <c r="G168" s="28"/>
      <c r="H168" s="28"/>
      <c r="I168" s="28"/>
      <c r="J168" s="28"/>
      <c r="K168" s="29"/>
      <c r="L168" s="29"/>
      <c r="M168" s="29"/>
      <c r="N168" s="29"/>
      <c r="O168" s="29"/>
    </row>
    <row r="169" spans="2:15" outlineLevel="1">
      <c r="B169" s="1"/>
      <c r="C169" t="s">
        <v>194</v>
      </c>
      <c r="F169" s="32">
        <v>6702</v>
      </c>
      <c r="G169" s="32">
        <v>7035</v>
      </c>
      <c r="H169" s="32">
        <v>6886</v>
      </c>
      <c r="I169" s="32">
        <v>7342</v>
      </c>
      <c r="J169" s="32">
        <v>7831</v>
      </c>
      <c r="K169" s="29">
        <f>J169</f>
        <v>7831</v>
      </c>
      <c r="L169" s="29">
        <f t="shared" ref="L169:O169" si="50">K169</f>
        <v>7831</v>
      </c>
      <c r="M169" s="29">
        <f t="shared" si="50"/>
        <v>7831</v>
      </c>
      <c r="N169" s="29">
        <f t="shared" si="50"/>
        <v>7831</v>
      </c>
      <c r="O169" s="29">
        <f t="shared" si="50"/>
        <v>7831</v>
      </c>
    </row>
    <row r="170" spans="2:15" outlineLevel="1">
      <c r="C170" t="s">
        <v>195</v>
      </c>
      <c r="F170" s="32">
        <v>-1297</v>
      </c>
      <c r="G170" s="32">
        <v>-1137</v>
      </c>
      <c r="H170" s="32">
        <v>-1829</v>
      </c>
      <c r="I170" s="32">
        <v>-1805</v>
      </c>
      <c r="J170" s="32">
        <v>-1828</v>
      </c>
      <c r="K170" s="29">
        <f>J170</f>
        <v>-1828</v>
      </c>
      <c r="L170" s="29">
        <f t="shared" ref="L170:O170" si="51">K170</f>
        <v>-1828</v>
      </c>
      <c r="M170" s="29">
        <f t="shared" si="51"/>
        <v>-1828</v>
      </c>
      <c r="N170" s="29">
        <f t="shared" si="51"/>
        <v>-1828</v>
      </c>
      <c r="O170" s="29">
        <f t="shared" si="51"/>
        <v>-1828</v>
      </c>
    </row>
    <row r="171" spans="2:15" outlineLevel="1">
      <c r="C171" t="s">
        <v>196</v>
      </c>
      <c r="F171" s="32">
        <v>12879</v>
      </c>
      <c r="G171" s="32">
        <v>11666</v>
      </c>
      <c r="H171" s="32">
        <v>15585</v>
      </c>
      <c r="I171" s="32">
        <v>19521</v>
      </c>
      <c r="J171" s="32">
        <v>17619</v>
      </c>
      <c r="K171" s="29">
        <f ca="1">J171+K86+K119</f>
        <v>25596.498642245777</v>
      </c>
      <c r="L171" s="29">
        <f ca="1">K171+L86+L119</f>
        <v>34622.540959639402</v>
      </c>
      <c r="M171" s="29">
        <f ca="1">L171+M86+M119</f>
        <v>44826.866531887317</v>
      </c>
      <c r="N171" s="29">
        <f ca="1">M171+N86+N119</f>
        <v>56269.834870155617</v>
      </c>
      <c r="O171" s="29">
        <f ca="1">N171+O86+O119</f>
        <v>69156.529500167089</v>
      </c>
    </row>
    <row r="172" spans="2:15" outlineLevel="1">
      <c r="B172" s="5" t="s">
        <v>197</v>
      </c>
      <c r="C172" s="5"/>
      <c r="D172" s="5"/>
      <c r="E172" s="5"/>
      <c r="F172" s="30">
        <f>SUM(F169:F171)</f>
        <v>18284</v>
      </c>
      <c r="G172" s="30">
        <f>SUM(G169:G171)</f>
        <v>17564</v>
      </c>
      <c r="H172" s="30">
        <f>SUM(H169:H171)</f>
        <v>20642</v>
      </c>
      <c r="I172" s="30">
        <f t="shared" ref="I172:O172" si="52">SUM(I169:I171)</f>
        <v>25058</v>
      </c>
      <c r="J172" s="30">
        <f t="shared" si="52"/>
        <v>23622</v>
      </c>
      <c r="K172" s="31">
        <f t="shared" ca="1" si="52"/>
        <v>31599.498642245777</v>
      </c>
      <c r="L172" s="31">
        <f t="shared" ca="1" si="52"/>
        <v>40625.540959639402</v>
      </c>
      <c r="M172" s="31">
        <f t="shared" ca="1" si="52"/>
        <v>50829.866531887317</v>
      </c>
      <c r="N172" s="31">
        <f t="shared" ca="1" si="52"/>
        <v>62272.834870155617</v>
      </c>
      <c r="O172" s="31">
        <f t="shared" ca="1" si="52"/>
        <v>75159.529500167089</v>
      </c>
    </row>
    <row r="173" spans="2:15" outlineLevel="1">
      <c r="C173" t="s">
        <v>198</v>
      </c>
      <c r="F173" s="32">
        <v>421</v>
      </c>
      <c r="G173" s="32">
        <v>514</v>
      </c>
      <c r="H173" s="32">
        <v>5</v>
      </c>
      <c r="I173" s="32">
        <v>0</v>
      </c>
      <c r="J173" s="32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</row>
    <row r="174" spans="2:15" outlineLevel="1">
      <c r="B174" s="5" t="s">
        <v>199</v>
      </c>
      <c r="C174" s="5"/>
      <c r="D174" s="5"/>
      <c r="E174" s="5"/>
      <c r="F174" s="30">
        <f>SUM(F172:F173)</f>
        <v>18705</v>
      </c>
      <c r="G174" s="30">
        <f t="shared" ref="G174:O174" si="53">SUM(G172:G173)</f>
        <v>18078</v>
      </c>
      <c r="H174" s="30">
        <f t="shared" si="53"/>
        <v>20647</v>
      </c>
      <c r="I174" s="30">
        <f t="shared" si="53"/>
        <v>25058</v>
      </c>
      <c r="J174" s="30">
        <f t="shared" si="53"/>
        <v>23622</v>
      </c>
      <c r="K174" s="31">
        <f t="shared" ca="1" si="53"/>
        <v>31599.498642245777</v>
      </c>
      <c r="L174" s="31">
        <f t="shared" ca="1" si="53"/>
        <v>40625.540959639402</v>
      </c>
      <c r="M174" s="31">
        <f t="shared" ca="1" si="53"/>
        <v>50829.866531887317</v>
      </c>
      <c r="N174" s="31">
        <f t="shared" ca="1" si="53"/>
        <v>62272.834870155617</v>
      </c>
      <c r="O174" s="31">
        <f t="shared" ca="1" si="53"/>
        <v>75159.529500167089</v>
      </c>
    </row>
    <row r="175" spans="2:15" ht="15" outlineLevel="1" thickBot="1">
      <c r="B175" s="102" t="s">
        <v>200</v>
      </c>
      <c r="C175" s="33"/>
      <c r="D175" s="33"/>
      <c r="E175" s="33"/>
      <c r="F175" s="100">
        <f>SUM(F174,F166)</f>
        <v>55556</v>
      </c>
      <c r="G175" s="100">
        <f t="shared" ref="G175:O175" si="54">SUM(G174,G166)</f>
        <v>59268</v>
      </c>
      <c r="H175" s="100">
        <f t="shared" si="54"/>
        <v>64166</v>
      </c>
      <c r="I175" s="100">
        <f t="shared" si="54"/>
        <v>68994</v>
      </c>
      <c r="J175" s="100">
        <f t="shared" si="54"/>
        <v>69831</v>
      </c>
      <c r="K175" s="101">
        <f t="shared" ca="1" si="54"/>
        <v>80884.626385044219</v>
      </c>
      <c r="L175" s="101">
        <f t="shared" ca="1" si="54"/>
        <v>93060.151482985733</v>
      </c>
      <c r="M175" s="101">
        <f t="shared" ca="1" si="54"/>
        <v>104461.42223576954</v>
      </c>
      <c r="N175" s="101">
        <f t="shared" ca="1" si="54"/>
        <v>119711.21249570153</v>
      </c>
      <c r="O175" s="101">
        <f t="shared" ca="1" si="54"/>
        <v>136657.10112703871</v>
      </c>
    </row>
    <row r="176" spans="2:15" ht="15" outlineLevel="1" thickTop="1">
      <c r="K176" s="104"/>
    </row>
    <row r="178" spans="1:15">
      <c r="A178" s="115" t="s">
        <v>201</v>
      </c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</row>
    <row r="179" spans="1:15" outlineLevel="1"/>
    <row r="180" spans="1:15" outlineLevel="1">
      <c r="A180" s="2" t="s">
        <v>277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outlineLevel="1">
      <c r="B181" s="1" t="s">
        <v>202</v>
      </c>
    </row>
    <row r="182" spans="1:15" outlineLevel="1">
      <c r="B182" s="2" t="s">
        <v>203</v>
      </c>
      <c r="C182" s="3"/>
      <c r="D182" s="3"/>
      <c r="E182" s="4">
        <f t="shared" ref="E182:J182" si="55">F182-1</f>
        <v>2019</v>
      </c>
      <c r="F182" s="4">
        <f t="shared" si="55"/>
        <v>2020</v>
      </c>
      <c r="G182" s="4">
        <f t="shared" si="55"/>
        <v>2021</v>
      </c>
      <c r="H182" s="4">
        <f t="shared" si="55"/>
        <v>2022</v>
      </c>
      <c r="I182" s="4">
        <f t="shared" si="55"/>
        <v>2023</v>
      </c>
      <c r="J182" s="4">
        <f t="shared" si="55"/>
        <v>2024</v>
      </c>
      <c r="K182" s="7">
        <f>K$8</f>
        <v>2025</v>
      </c>
      <c r="L182" s="7">
        <f>L$8</f>
        <v>2026</v>
      </c>
      <c r="M182" s="7">
        <f>M$8</f>
        <v>2027</v>
      </c>
      <c r="N182" s="7">
        <f>N$8</f>
        <v>2028</v>
      </c>
      <c r="O182" s="7">
        <f>O$8</f>
        <v>2029</v>
      </c>
    </row>
    <row r="183" spans="1:15" outlineLevel="1">
      <c r="C183" t="s">
        <v>204</v>
      </c>
      <c r="D183" t="s">
        <v>51</v>
      </c>
      <c r="E183" s="169">
        <v>53900</v>
      </c>
      <c r="F183" s="169">
        <v>58100</v>
      </c>
      <c r="G183" s="169">
        <v>61700</v>
      </c>
      <c r="H183" s="169">
        <v>65800</v>
      </c>
      <c r="I183" s="170">
        <v>71000</v>
      </c>
      <c r="J183" s="169">
        <v>76200</v>
      </c>
      <c r="K183" s="8"/>
      <c r="L183" s="8"/>
      <c r="M183" s="8"/>
      <c r="N183" s="8"/>
      <c r="O183" s="8"/>
    </row>
    <row r="184" spans="1:15" outlineLevel="1">
      <c r="C184" t="s">
        <v>205</v>
      </c>
      <c r="D184" t="s">
        <v>51</v>
      </c>
      <c r="E184" s="170">
        <v>20800</v>
      </c>
      <c r="F184" s="170">
        <v>22600</v>
      </c>
      <c r="G184" s="170">
        <v>25600</v>
      </c>
      <c r="H184" s="169">
        <v>29100</v>
      </c>
      <c r="I184" s="169">
        <v>32300</v>
      </c>
      <c r="J184" s="169">
        <v>35400</v>
      </c>
      <c r="K184" s="8"/>
      <c r="L184" s="8"/>
      <c r="M184" s="8"/>
      <c r="N184" s="8"/>
      <c r="O184" s="8"/>
    </row>
    <row r="185" spans="1:15" outlineLevel="1">
      <c r="B185" s="5"/>
      <c r="C185" s="5" t="s">
        <v>206</v>
      </c>
      <c r="D185" s="5" t="s">
        <v>51</v>
      </c>
      <c r="E185" s="106">
        <f t="shared" ref="E185:J185" si="56">SUM(E183:E184)</f>
        <v>74700</v>
      </c>
      <c r="F185" s="106">
        <f t="shared" si="56"/>
        <v>80700</v>
      </c>
      <c r="G185" s="106">
        <f t="shared" si="56"/>
        <v>87300</v>
      </c>
      <c r="H185" s="106">
        <f t="shared" si="56"/>
        <v>94900</v>
      </c>
      <c r="I185" s="106">
        <f t="shared" si="56"/>
        <v>103300</v>
      </c>
      <c r="J185" s="106">
        <f t="shared" si="56"/>
        <v>111600</v>
      </c>
      <c r="K185" s="105"/>
      <c r="L185" s="105"/>
      <c r="M185" s="105"/>
      <c r="N185" s="105"/>
      <c r="O185" s="105"/>
    </row>
    <row r="186" spans="1:15" outlineLevel="1">
      <c r="E186" s="112"/>
      <c r="F186" s="112"/>
      <c r="G186" s="112"/>
      <c r="H186" s="112"/>
      <c r="I186" s="112"/>
      <c r="J186" s="112"/>
      <c r="K186" s="8"/>
      <c r="L186" s="8"/>
      <c r="M186" s="8"/>
      <c r="N186" s="8"/>
      <c r="O186" s="8"/>
    </row>
    <row r="187" spans="1:15" outlineLevel="1">
      <c r="F187" s="111"/>
      <c r="G187" s="111"/>
      <c r="H187" s="111"/>
      <c r="I187" s="111"/>
      <c r="J187" s="111"/>
      <c r="K187" s="8"/>
      <c r="L187" s="8"/>
      <c r="M187" s="8"/>
      <c r="N187" s="8"/>
      <c r="O187" s="8"/>
    </row>
    <row r="188" spans="1:15" outlineLevel="1">
      <c r="C188" t="s">
        <v>207</v>
      </c>
      <c r="D188" t="s">
        <v>208</v>
      </c>
      <c r="E188" s="32">
        <v>3352</v>
      </c>
      <c r="F188" s="28">
        <f>F71</f>
        <v>3541</v>
      </c>
      <c r="G188" s="28">
        <f>G71</f>
        <v>3877</v>
      </c>
      <c r="H188" s="28">
        <f>H71</f>
        <v>4224</v>
      </c>
      <c r="I188" s="28">
        <f>I71</f>
        <v>4580</v>
      </c>
      <c r="J188" s="28">
        <f>J71</f>
        <v>4828</v>
      </c>
      <c r="K188" s="8"/>
      <c r="L188" s="8"/>
      <c r="M188" s="8"/>
      <c r="N188" s="8"/>
      <c r="O188" s="8"/>
    </row>
    <row r="189" spans="1:15" outlineLevel="1">
      <c r="C189" t="s">
        <v>209</v>
      </c>
      <c r="D189" t="s">
        <v>208</v>
      </c>
      <c r="E189" s="32">
        <v>1711</v>
      </c>
      <c r="F189" s="28">
        <f>F157</f>
        <v>1851</v>
      </c>
      <c r="G189" s="28">
        <f>G157</f>
        <v>2042</v>
      </c>
      <c r="H189" s="28">
        <f>H157</f>
        <v>2174</v>
      </c>
      <c r="I189" s="28">
        <f>I157</f>
        <v>2337</v>
      </c>
      <c r="J189" s="28">
        <f>J157</f>
        <v>2501</v>
      </c>
      <c r="K189" s="8"/>
      <c r="L189" s="8"/>
      <c r="M189" s="8"/>
      <c r="N189" s="8"/>
      <c r="O189" s="8"/>
    </row>
    <row r="190" spans="1:15" outlineLevel="1">
      <c r="C190" t="s">
        <v>210</v>
      </c>
      <c r="D190" t="s">
        <v>208</v>
      </c>
      <c r="E190" s="28"/>
      <c r="F190" s="28">
        <f>F189-E189</f>
        <v>140</v>
      </c>
      <c r="G190" s="28">
        <f t="shared" ref="G190:J190" si="57">G189-F189</f>
        <v>191</v>
      </c>
      <c r="H190" s="28">
        <f t="shared" si="57"/>
        <v>132</v>
      </c>
      <c r="I190" s="28">
        <f t="shared" si="57"/>
        <v>163</v>
      </c>
      <c r="J190" s="28">
        <f t="shared" si="57"/>
        <v>164</v>
      </c>
      <c r="K190" s="8"/>
      <c r="L190" s="8"/>
      <c r="M190" s="8"/>
      <c r="N190" s="8"/>
      <c r="O190" s="8"/>
    </row>
    <row r="191" spans="1:15" outlineLevel="1">
      <c r="K191" s="8"/>
      <c r="L191" s="8"/>
      <c r="M191" s="8"/>
      <c r="N191" s="8"/>
      <c r="O191" s="8"/>
    </row>
    <row r="192" spans="1:15" outlineLevel="1">
      <c r="C192" t="s">
        <v>227</v>
      </c>
      <c r="D192" t="s">
        <v>208</v>
      </c>
      <c r="F192" s="170">
        <v>0</v>
      </c>
      <c r="G192" s="170">
        <v>0</v>
      </c>
      <c r="H192" s="170">
        <v>42</v>
      </c>
      <c r="I192" s="170">
        <v>76</v>
      </c>
      <c r="J192" s="170">
        <v>0</v>
      </c>
      <c r="K192" s="8"/>
      <c r="L192" s="8"/>
      <c r="M192" s="8"/>
      <c r="N192" s="8"/>
      <c r="O192" s="8"/>
    </row>
    <row r="193" spans="2:16" outlineLevel="1">
      <c r="B193" s="5"/>
      <c r="C193" s="5" t="s">
        <v>211</v>
      </c>
      <c r="D193" s="5" t="s">
        <v>208</v>
      </c>
      <c r="E193" s="107"/>
      <c r="F193" s="107">
        <f>SUM(F192,F190,F188)</f>
        <v>3681</v>
      </c>
      <c r="G193" s="107">
        <f t="shared" ref="G193:J193" si="58">SUM(G192,G190,G188)</f>
        <v>4068</v>
      </c>
      <c r="H193" s="107">
        <f t="shared" si="58"/>
        <v>4398</v>
      </c>
      <c r="I193" s="107">
        <f t="shared" si="58"/>
        <v>4819</v>
      </c>
      <c r="J193" s="107">
        <f t="shared" si="58"/>
        <v>4992</v>
      </c>
      <c r="K193" s="105"/>
      <c r="L193" s="105"/>
      <c r="M193" s="105"/>
      <c r="N193" s="105"/>
      <c r="O193" s="105"/>
    </row>
    <row r="194" spans="2:16" outlineLevel="1">
      <c r="K194" s="8"/>
      <c r="L194" s="8"/>
      <c r="M194" s="8"/>
      <c r="N194" s="8"/>
      <c r="O194" s="8"/>
    </row>
    <row r="195" spans="2:16" outlineLevel="1">
      <c r="C195" t="s">
        <v>212</v>
      </c>
      <c r="D195" t="s">
        <v>216</v>
      </c>
      <c r="F195" s="108">
        <f>F189/F193</f>
        <v>0.50285248573757135</v>
      </c>
      <c r="G195" s="108">
        <f>G189/G193</f>
        <v>0.50196656833824971</v>
      </c>
      <c r="H195" s="108">
        <f>H189/H193</f>
        <v>0.49431559799909047</v>
      </c>
      <c r="I195" s="108">
        <f>I189/I193</f>
        <v>0.48495538493463375</v>
      </c>
      <c r="J195" s="108">
        <f>J189/J193</f>
        <v>0.50100160256410253</v>
      </c>
      <c r="K195" s="8"/>
      <c r="L195" s="8"/>
      <c r="M195" s="8"/>
      <c r="N195" s="8"/>
      <c r="O195" s="8"/>
    </row>
    <row r="196" spans="2:16" outlineLevel="1">
      <c r="C196" t="s">
        <v>213</v>
      </c>
      <c r="D196" t="s">
        <v>216</v>
      </c>
      <c r="J196" s="109">
        <f>AVERAGE(F195:J195)</f>
        <v>0.49701832791472961</v>
      </c>
      <c r="K196" s="8"/>
      <c r="L196" s="8"/>
      <c r="M196" s="8"/>
      <c r="N196" s="8"/>
      <c r="O196" s="8"/>
    </row>
    <row r="197" spans="2:16" outlineLevel="1">
      <c r="F197" s="108"/>
      <c r="G197" s="108"/>
      <c r="H197" s="108"/>
      <c r="I197" s="108"/>
      <c r="J197" s="108"/>
      <c r="K197" s="8"/>
      <c r="L197" s="8"/>
      <c r="M197" s="8"/>
      <c r="N197" s="8"/>
      <c r="O197" s="8"/>
    </row>
    <row r="198" spans="2:16" outlineLevel="1">
      <c r="C198" t="s">
        <v>214</v>
      </c>
      <c r="D198" t="s">
        <v>51</v>
      </c>
      <c r="E198" s="32">
        <v>72800</v>
      </c>
      <c r="F198" s="28">
        <f>(F185+E185)/2</f>
        <v>77700</v>
      </c>
      <c r="G198" s="28">
        <f t="shared" ref="G198:J198" si="59">(G185+F185)/2</f>
        <v>84000</v>
      </c>
      <c r="H198" s="28">
        <f t="shared" si="59"/>
        <v>91100</v>
      </c>
      <c r="I198" s="28">
        <f t="shared" si="59"/>
        <v>99100</v>
      </c>
      <c r="J198" s="28">
        <f t="shared" si="59"/>
        <v>107450</v>
      </c>
      <c r="K198" s="8"/>
      <c r="L198" s="8"/>
      <c r="M198" s="8"/>
      <c r="N198" s="8"/>
      <c r="O198" s="8"/>
    </row>
    <row r="199" spans="2:16" outlineLevel="1">
      <c r="B199" s="5"/>
      <c r="C199" s="5" t="s">
        <v>215</v>
      </c>
      <c r="D199" s="5" t="s">
        <v>52</v>
      </c>
      <c r="E199" s="110"/>
      <c r="F199" s="110">
        <f>(F193*1000)/F198</f>
        <v>47.374517374517374</v>
      </c>
      <c r="G199" s="110">
        <f>(G193*1000)/G198</f>
        <v>48.428571428571431</v>
      </c>
      <c r="H199" s="110">
        <f>(H193*1000)/H198</f>
        <v>48.276619099890233</v>
      </c>
      <c r="I199" s="110">
        <f>(I193*1000)/I198</f>
        <v>48.627648839556002</v>
      </c>
      <c r="J199" s="110">
        <f>(J193*1000)/J198</f>
        <v>46.458818054909258</v>
      </c>
      <c r="K199" s="105"/>
      <c r="L199" s="105"/>
      <c r="M199" s="105"/>
      <c r="N199" s="105"/>
      <c r="O199" s="105"/>
    </row>
    <row r="200" spans="2:16" outlineLevel="1">
      <c r="C200" t="s">
        <v>217</v>
      </c>
      <c r="D200" t="s">
        <v>216</v>
      </c>
      <c r="E200" s="108"/>
      <c r="F200" s="108"/>
      <c r="G200" s="108">
        <f>(G199/F199)-1</f>
        <v>2.2249388753056376E-2</v>
      </c>
      <c r="H200" s="108">
        <f>(H199/G199)-1</f>
        <v>-3.1376587043314697E-3</v>
      </c>
      <c r="I200" s="108">
        <f>(I199/H199)-1</f>
        <v>7.2712162991248608E-3</v>
      </c>
      <c r="J200" s="108">
        <f>(J199/I199)-1</f>
        <v>-4.4600774176902336E-2</v>
      </c>
      <c r="K200" s="8"/>
      <c r="L200" s="8"/>
      <c r="M200" s="8"/>
      <c r="N200" s="8"/>
      <c r="O200" s="8"/>
    </row>
    <row r="201" spans="2:16" outlineLevel="1">
      <c r="K201" s="8"/>
      <c r="L201" s="8"/>
      <c r="M201" s="8"/>
      <c r="N201" s="8"/>
      <c r="O201" s="8"/>
    </row>
    <row r="202" spans="2:16" outlineLevel="1">
      <c r="C202" t="s">
        <v>228</v>
      </c>
      <c r="D202" t="s">
        <v>216</v>
      </c>
      <c r="I202" s="108"/>
      <c r="J202" s="108">
        <f>(I199/F199)^0.03333 -1</f>
        <v>8.7055166095661995E-4</v>
      </c>
      <c r="K202" s="8"/>
      <c r="L202" s="8"/>
      <c r="M202" s="8"/>
      <c r="N202" s="8"/>
      <c r="O202" s="8"/>
    </row>
    <row r="203" spans="2:16" outlineLevel="1">
      <c r="C203" t="s">
        <v>229</v>
      </c>
      <c r="D203" t="s">
        <v>216</v>
      </c>
      <c r="J203" s="171">
        <v>8.3299999999999999E-2</v>
      </c>
      <c r="K203" s="8"/>
      <c r="L203" s="8"/>
      <c r="M203" s="8"/>
      <c r="N203" s="8"/>
      <c r="O203" s="8"/>
    </row>
    <row r="204" spans="2:16" outlineLevel="1">
      <c r="C204" t="s">
        <v>230</v>
      </c>
      <c r="D204" t="s">
        <v>52</v>
      </c>
      <c r="I204" s="109"/>
      <c r="K204" s="165">
        <f>K26</f>
        <v>48.435957154090985</v>
      </c>
      <c r="L204" s="164">
        <f>L26</f>
        <v>50.497236986532279</v>
      </c>
      <c r="M204" s="164">
        <f>M26</f>
        <v>50.541197440064622</v>
      </c>
      <c r="N204" s="164">
        <f>N26</f>
        <v>50.585196163442809</v>
      </c>
      <c r="O204" s="164">
        <f>O26</f>
        <v>50.629233189982713</v>
      </c>
    </row>
    <row r="205" spans="2:16" outlineLevel="1">
      <c r="K205" s="8"/>
      <c r="L205" s="8"/>
      <c r="M205" s="8"/>
      <c r="N205" s="8"/>
      <c r="O205" s="8"/>
    </row>
    <row r="206" spans="2:16" outlineLevel="1">
      <c r="B206" s="2" t="s">
        <v>231</v>
      </c>
      <c r="C206" s="3"/>
      <c r="D206" s="3"/>
      <c r="E206" s="3"/>
      <c r="F206" s="3"/>
      <c r="G206" s="3"/>
      <c r="H206" s="3"/>
      <c r="I206" s="3"/>
      <c r="J206" s="3"/>
      <c r="K206" s="113"/>
      <c r="L206" s="113"/>
      <c r="M206" s="113"/>
      <c r="N206" s="113"/>
      <c r="O206" s="113"/>
    </row>
    <row r="207" spans="2:16" outlineLevel="1">
      <c r="C207" t="s">
        <v>234</v>
      </c>
      <c r="D207" t="s">
        <v>232</v>
      </c>
      <c r="E207" s="28"/>
      <c r="F207" s="28">
        <f>E209</f>
        <v>782</v>
      </c>
      <c r="G207" s="28">
        <f t="shared" ref="G207:O207" si="60">F209</f>
        <v>795</v>
      </c>
      <c r="H207" s="28">
        <f t="shared" si="60"/>
        <v>815</v>
      </c>
      <c r="I207" s="28">
        <f t="shared" si="60"/>
        <v>838</v>
      </c>
      <c r="J207" s="28">
        <f t="shared" si="60"/>
        <v>861</v>
      </c>
      <c r="K207" s="29">
        <f t="shared" si="60"/>
        <v>890</v>
      </c>
      <c r="L207" s="29">
        <f t="shared" si="60"/>
        <v>916</v>
      </c>
      <c r="M207" s="29">
        <f t="shared" si="60"/>
        <v>943</v>
      </c>
      <c r="N207" s="29">
        <f t="shared" si="60"/>
        <v>970</v>
      </c>
      <c r="O207" s="29">
        <f t="shared" si="60"/>
        <v>997</v>
      </c>
      <c r="P207" s="28"/>
    </row>
    <row r="208" spans="2:16" outlineLevel="1">
      <c r="C208" t="s">
        <v>235</v>
      </c>
      <c r="D208" t="s">
        <v>232</v>
      </c>
      <c r="E208" s="28"/>
      <c r="F208" s="32">
        <v>13</v>
      </c>
      <c r="G208" s="32">
        <v>20</v>
      </c>
      <c r="H208" s="32">
        <v>23</v>
      </c>
      <c r="I208" s="32">
        <v>23</v>
      </c>
      <c r="J208" s="32">
        <v>29</v>
      </c>
      <c r="K208" s="29">
        <f>K12</f>
        <v>26</v>
      </c>
      <c r="L208" s="29">
        <f>L12</f>
        <v>27</v>
      </c>
      <c r="M208" s="29">
        <f>M12</f>
        <v>27</v>
      </c>
      <c r="N208" s="29">
        <f>N12</f>
        <v>27</v>
      </c>
      <c r="O208" s="29">
        <f>O12</f>
        <v>27</v>
      </c>
      <c r="P208" s="28"/>
    </row>
    <row r="209" spans="2:16" outlineLevel="1">
      <c r="B209" s="5"/>
      <c r="C209" s="5" t="s">
        <v>233</v>
      </c>
      <c r="D209" s="5" t="s">
        <v>232</v>
      </c>
      <c r="E209" s="174">
        <v>782</v>
      </c>
      <c r="F209" s="30">
        <f>F208+F207</f>
        <v>795</v>
      </c>
      <c r="G209" s="30">
        <f t="shared" ref="G209:O209" si="61">G208+G207</f>
        <v>815</v>
      </c>
      <c r="H209" s="30">
        <f t="shared" si="61"/>
        <v>838</v>
      </c>
      <c r="I209" s="30">
        <f t="shared" si="61"/>
        <v>861</v>
      </c>
      <c r="J209" s="30">
        <f t="shared" si="61"/>
        <v>890</v>
      </c>
      <c r="K209" s="31">
        <f t="shared" si="61"/>
        <v>916</v>
      </c>
      <c r="L209" s="31">
        <f t="shared" si="61"/>
        <v>943</v>
      </c>
      <c r="M209" s="31">
        <f t="shared" si="61"/>
        <v>970</v>
      </c>
      <c r="N209" s="31">
        <f t="shared" si="61"/>
        <v>997</v>
      </c>
      <c r="O209" s="31">
        <f t="shared" si="61"/>
        <v>1024</v>
      </c>
      <c r="P209" s="28"/>
    </row>
    <row r="210" spans="2:16" outlineLevel="1">
      <c r="K210" s="8"/>
      <c r="L210" s="8"/>
      <c r="M210" s="8"/>
      <c r="N210" s="8"/>
      <c r="O210" s="8"/>
    </row>
    <row r="211" spans="2:16" outlineLevel="1">
      <c r="C211" t="s">
        <v>237</v>
      </c>
      <c r="D211" t="s">
        <v>216</v>
      </c>
      <c r="F211" s="108">
        <f>F208/F207/2</f>
        <v>8.3120204603580571E-3</v>
      </c>
      <c r="G211" s="108">
        <f t="shared" ref="G211:O211" si="62">G208/G207/2</f>
        <v>1.2578616352201259E-2</v>
      </c>
      <c r="H211" s="108">
        <f t="shared" si="62"/>
        <v>1.4110429447852761E-2</v>
      </c>
      <c r="I211" s="108">
        <f t="shared" si="62"/>
        <v>1.3723150357995227E-2</v>
      </c>
      <c r="J211" s="108">
        <f t="shared" si="62"/>
        <v>1.6840882694541232E-2</v>
      </c>
      <c r="K211" s="114">
        <f t="shared" si="62"/>
        <v>1.4606741573033709E-2</v>
      </c>
      <c r="L211" s="114">
        <f t="shared" si="62"/>
        <v>1.4737991266375546E-2</v>
      </c>
      <c r="M211" s="114">
        <f t="shared" si="62"/>
        <v>1.4316012725344645E-2</v>
      </c>
      <c r="N211" s="114">
        <f t="shared" si="62"/>
        <v>1.3917525773195877E-2</v>
      </c>
      <c r="O211" s="114">
        <f t="shared" si="62"/>
        <v>1.354062186559679E-2</v>
      </c>
    </row>
    <row r="212" spans="2:16" outlineLevel="1">
      <c r="K212" s="8"/>
      <c r="L212" s="8"/>
      <c r="M212" s="8"/>
      <c r="N212" s="8"/>
      <c r="O212" s="8"/>
    </row>
    <row r="213" spans="2:16" outlineLevel="1">
      <c r="C213" t="s">
        <v>238</v>
      </c>
      <c r="D213" t="s">
        <v>216</v>
      </c>
      <c r="F213" s="108">
        <f>F198/E198-1</f>
        <v>6.7307692307692291E-2</v>
      </c>
      <c r="G213" s="108">
        <f t="shared" ref="G213:J213" si="63">G198/F198-1</f>
        <v>8.1081081081081141E-2</v>
      </c>
      <c r="H213" s="108">
        <f t="shared" si="63"/>
        <v>8.4523809523809446E-2</v>
      </c>
      <c r="I213" s="108">
        <f t="shared" si="63"/>
        <v>8.7815587266739881E-2</v>
      </c>
      <c r="J213" s="108">
        <f t="shared" si="63"/>
        <v>8.425832492431895E-2</v>
      </c>
      <c r="K213" s="8"/>
      <c r="L213" s="8"/>
      <c r="M213" s="8"/>
      <c r="N213" s="8"/>
      <c r="O213" s="8"/>
    </row>
    <row r="214" spans="2:16" outlineLevel="1">
      <c r="B214" s="5"/>
      <c r="C214" s="5" t="s">
        <v>239</v>
      </c>
      <c r="D214" s="5" t="s">
        <v>216</v>
      </c>
      <c r="E214" s="5"/>
      <c r="F214" s="157">
        <f>(1+F213)/(1+F211) -1</f>
        <v>5.8509341007755733E-2</v>
      </c>
      <c r="G214" s="157">
        <f t="shared" ref="G214:J214" si="64">(1+G213)/(1+G211) -1</f>
        <v>6.765150243411111E-2</v>
      </c>
      <c r="H214" s="157">
        <f t="shared" si="64"/>
        <v>6.9433641575202376E-2</v>
      </c>
      <c r="I214" s="157">
        <f t="shared" si="64"/>
        <v>7.3089419811098288E-2</v>
      </c>
      <c r="J214" s="157">
        <f t="shared" si="64"/>
        <v>6.6300876938707676E-2</v>
      </c>
      <c r="K214" s="105"/>
      <c r="L214" s="105"/>
      <c r="M214" s="105"/>
      <c r="N214" s="105"/>
      <c r="O214" s="105"/>
    </row>
    <row r="215" spans="2:16" outlineLevel="1">
      <c r="K215" s="8"/>
      <c r="L215" s="8"/>
      <c r="M215" s="8"/>
      <c r="N215" s="8"/>
      <c r="O215" s="8"/>
    </row>
    <row r="216" spans="2:16" outlineLevel="1">
      <c r="C216" t="s">
        <v>240</v>
      </c>
      <c r="D216" t="s">
        <v>244</v>
      </c>
      <c r="F216">
        <f>F6</f>
        <v>364</v>
      </c>
      <c r="G216">
        <f>G6</f>
        <v>364</v>
      </c>
      <c r="H216">
        <f>H6</f>
        <v>364</v>
      </c>
      <c r="I216">
        <f>I6</f>
        <v>371</v>
      </c>
      <c r="J216">
        <f>J6</f>
        <v>364</v>
      </c>
      <c r="K216" s="8">
        <f>K6</f>
        <v>364</v>
      </c>
      <c r="L216" s="8">
        <f>L6</f>
        <v>364</v>
      </c>
      <c r="M216" s="8">
        <f>M6</f>
        <v>364</v>
      </c>
      <c r="N216" s="8">
        <f>N6</f>
        <v>371</v>
      </c>
      <c r="O216" s="8">
        <f>O6</f>
        <v>364</v>
      </c>
    </row>
    <row r="217" spans="2:16" outlineLevel="1">
      <c r="C217" t="s">
        <v>241</v>
      </c>
      <c r="D217" t="s">
        <v>216</v>
      </c>
      <c r="F217" s="108">
        <f>IF(F216=364,F214,(F214/371)*364)</f>
        <v>5.8509341007755733E-2</v>
      </c>
      <c r="G217" s="108">
        <f t="shared" ref="G217:O217" si="65">IF(G216=364,G214,(G214/371)*364)</f>
        <v>6.765150243411111E-2</v>
      </c>
      <c r="H217" s="108">
        <f t="shared" si="65"/>
        <v>6.9433641575202376E-2</v>
      </c>
      <c r="I217" s="108">
        <f t="shared" si="65"/>
        <v>7.1710374154285106E-2</v>
      </c>
      <c r="J217" s="108">
        <f t="shared" si="65"/>
        <v>6.6300876938707676E-2</v>
      </c>
      <c r="K217" s="114">
        <f t="shared" si="65"/>
        <v>0</v>
      </c>
      <c r="L217" s="114">
        <f t="shared" si="65"/>
        <v>0</v>
      </c>
      <c r="M217" s="114">
        <f t="shared" si="65"/>
        <v>0</v>
      </c>
      <c r="N217" s="114">
        <f t="shared" si="65"/>
        <v>0</v>
      </c>
      <c r="O217" s="114">
        <f t="shared" si="65"/>
        <v>0</v>
      </c>
    </row>
    <row r="218" spans="2:16" outlineLevel="1">
      <c r="C218" t="s">
        <v>242</v>
      </c>
      <c r="D218" t="s">
        <v>216</v>
      </c>
      <c r="J218" s="109">
        <f>AVERAGE(G217:J217)</f>
        <v>6.8774098775576567E-2</v>
      </c>
      <c r="K218" s="159">
        <f>IF(K216=364,$J$218,($J$218*371)/364)</f>
        <v>6.8774098775576567E-2</v>
      </c>
      <c r="L218" s="159">
        <f t="shared" ref="L218:O218" si="66">IF(L216=364,$J$218,($J$218*371)/364)</f>
        <v>6.8774098775576567E-2</v>
      </c>
      <c r="M218" s="159">
        <f t="shared" si="66"/>
        <v>6.8774098775576567E-2</v>
      </c>
      <c r="N218" s="159">
        <f t="shared" si="66"/>
        <v>7.0096677598183804E-2</v>
      </c>
      <c r="O218" s="159">
        <f t="shared" si="66"/>
        <v>6.8774098775576567E-2</v>
      </c>
    </row>
    <row r="219" spans="2:16" outlineLevel="1">
      <c r="B219" s="5"/>
      <c r="C219" s="5" t="s">
        <v>243</v>
      </c>
      <c r="D219" s="5" t="s">
        <v>216</v>
      </c>
      <c r="E219" s="5"/>
      <c r="F219" s="5"/>
      <c r="G219" s="5"/>
      <c r="H219" s="5"/>
      <c r="I219" s="5"/>
      <c r="J219" s="5"/>
      <c r="K219" s="161">
        <f>K211+K218</f>
        <v>8.3380840348610277E-2</v>
      </c>
      <c r="L219" s="161">
        <f t="shared" ref="L219:O219" si="67">L211+L218</f>
        <v>8.3512090041952119E-2</v>
      </c>
      <c r="M219" s="161">
        <f t="shared" si="67"/>
        <v>8.3090111500921215E-2</v>
      </c>
      <c r="N219" s="161">
        <f t="shared" si="67"/>
        <v>8.4014203371379687E-2</v>
      </c>
      <c r="O219" s="161">
        <f t="shared" si="67"/>
        <v>8.2314720641173358E-2</v>
      </c>
    </row>
    <row r="220" spans="2:16" outlineLevel="1">
      <c r="K220" s="8"/>
      <c r="L220" s="8"/>
      <c r="M220" s="8"/>
      <c r="N220" s="8"/>
      <c r="O220" s="8"/>
    </row>
    <row r="221" spans="2:16" outlineLevel="1">
      <c r="B221" t="s">
        <v>246</v>
      </c>
      <c r="C221" t="s">
        <v>245</v>
      </c>
      <c r="D221" t="s">
        <v>51</v>
      </c>
      <c r="J221" s="12">
        <f>J185</f>
        <v>111600</v>
      </c>
      <c r="K221" s="29">
        <f>J221*(1+K219)</f>
        <v>120905.30178290491</v>
      </c>
      <c r="L221" s="29">
        <f t="shared" ref="L221:O221" si="68">K221*(1+L219)</f>
        <v>131002.35623194826</v>
      </c>
      <c r="M221" s="29">
        <f t="shared" si="68"/>
        <v>141887.35661814426</v>
      </c>
      <c r="N221" s="29">
        <f t="shared" si="68"/>
        <v>153807.90985288852</v>
      </c>
      <c r="O221" s="29">
        <f t="shared" si="68"/>
        <v>166468.56498483181</v>
      </c>
    </row>
    <row r="222" spans="2:16" outlineLevel="1">
      <c r="B222" t="s">
        <v>247</v>
      </c>
      <c r="C222" t="s">
        <v>280</v>
      </c>
      <c r="D222" t="s">
        <v>52</v>
      </c>
      <c r="K222" s="164">
        <f>K204</f>
        <v>48.435957154090985</v>
      </c>
      <c r="L222" s="164">
        <f t="shared" ref="L222:O222" si="69">L204</f>
        <v>50.497236986532279</v>
      </c>
      <c r="M222" s="164">
        <f t="shared" si="69"/>
        <v>50.541197440064622</v>
      </c>
      <c r="N222" s="164">
        <f t="shared" si="69"/>
        <v>50.585196163442809</v>
      </c>
      <c r="O222" s="164">
        <f t="shared" si="69"/>
        <v>50.629233189982713</v>
      </c>
    </row>
    <row r="223" spans="2:16" outlineLevel="1">
      <c r="B223" s="5"/>
      <c r="C223" s="5" t="s">
        <v>248</v>
      </c>
      <c r="D223" s="5" t="s">
        <v>208</v>
      </c>
      <c r="E223" s="5"/>
      <c r="F223" s="5"/>
      <c r="G223" s="5"/>
      <c r="H223" s="5"/>
      <c r="I223" s="5"/>
      <c r="J223" s="5"/>
      <c r="K223" s="168">
        <f>K222*(AVERAGE(J221:K221)/1000)</f>
        <v>5630.808417627888</v>
      </c>
      <c r="L223" s="168">
        <f t="shared" ref="L223:O223" si="70">L222*(AVERAGE(K221:L221)/1000)</f>
        <v>6360.3203527491833</v>
      </c>
      <c r="M223" s="168">
        <f t="shared" si="70"/>
        <v>6896.0864282595321</v>
      </c>
      <c r="N223" s="168">
        <f t="shared" si="70"/>
        <v>7478.9015295193431</v>
      </c>
      <c r="O223" s="168">
        <f t="shared" si="70"/>
        <v>8107.6761649122873</v>
      </c>
    </row>
    <row r="224" spans="2:16" outlineLevel="1">
      <c r="K224" s="175"/>
      <c r="L224" s="175"/>
      <c r="M224" s="175"/>
      <c r="N224" s="175"/>
      <c r="O224" s="175"/>
    </row>
    <row r="225" spans="1:15" outlineLevel="1">
      <c r="C225" t="s">
        <v>249</v>
      </c>
      <c r="D225" t="s">
        <v>208</v>
      </c>
      <c r="J225" s="104">
        <f>J189</f>
        <v>2501</v>
      </c>
      <c r="K225" s="175">
        <f>K223*$J$196</f>
        <v>2798.6149845375976</v>
      </c>
      <c r="L225" s="175">
        <f t="shared" ref="L225:O225" si="71">L223*$J$196</f>
        <v>3161.1957867254223</v>
      </c>
      <c r="M225" s="175">
        <f t="shared" si="71"/>
        <v>3427.4813457290124</v>
      </c>
      <c r="N225" s="175">
        <f t="shared" si="71"/>
        <v>3717.1511328406177</v>
      </c>
      <c r="O225" s="175">
        <f t="shared" si="71"/>
        <v>4029.6636507588128</v>
      </c>
    </row>
    <row r="226" spans="1:15" outlineLevel="1">
      <c r="C226" t="s">
        <v>250</v>
      </c>
      <c r="D226" t="s">
        <v>208</v>
      </c>
      <c r="K226" s="175">
        <f>K225-J225</f>
        <v>297.61498453759759</v>
      </c>
      <c r="L226" s="175">
        <f t="shared" ref="L226:O226" si="72">L225-K225</f>
        <v>362.5808021878247</v>
      </c>
      <c r="M226" s="175">
        <f t="shared" si="72"/>
        <v>266.28555900359015</v>
      </c>
      <c r="N226" s="175">
        <f t="shared" si="72"/>
        <v>289.66978711160527</v>
      </c>
      <c r="O226" s="175">
        <f t="shared" si="72"/>
        <v>312.51251791819504</v>
      </c>
    </row>
    <row r="227" spans="1:15" ht="15" outlineLevel="1" thickBot="1">
      <c r="B227" s="33" t="s">
        <v>251</v>
      </c>
      <c r="C227" s="33"/>
      <c r="D227" s="33" t="s">
        <v>208</v>
      </c>
      <c r="E227" s="33"/>
      <c r="F227" s="33"/>
      <c r="G227" s="33"/>
      <c r="H227" s="33"/>
      <c r="I227" s="33"/>
      <c r="J227" s="33"/>
      <c r="K227" s="201">
        <f>K223-K226</f>
        <v>5333.1934330902905</v>
      </c>
      <c r="L227" s="201">
        <f t="shared" ref="L227:O227" si="73">L223-L226</f>
        <v>5997.7395505613586</v>
      </c>
      <c r="M227" s="201">
        <f t="shared" si="73"/>
        <v>6629.8008692559415</v>
      </c>
      <c r="N227" s="201">
        <f t="shared" si="73"/>
        <v>7189.2317424077373</v>
      </c>
      <c r="O227" s="201">
        <f t="shared" si="73"/>
        <v>7795.1636469940922</v>
      </c>
    </row>
    <row r="228" spans="1:15" ht="15" outlineLevel="1" thickTop="1">
      <c r="K228" s="8"/>
      <c r="L228" s="8"/>
      <c r="M228" s="8"/>
      <c r="N228" s="8"/>
      <c r="O228" s="8"/>
    </row>
    <row r="229" spans="1:15" outlineLevel="1">
      <c r="B229" s="1" t="s">
        <v>252</v>
      </c>
      <c r="K229" s="8"/>
      <c r="L229" s="8"/>
      <c r="M229" s="8"/>
      <c r="N229" s="8"/>
      <c r="O229" s="8"/>
    </row>
    <row r="230" spans="1:15" outlineLevel="1">
      <c r="A230" s="5"/>
      <c r="B230" s="5"/>
      <c r="C230" s="5" t="s">
        <v>253</v>
      </c>
      <c r="D230" s="5" t="s">
        <v>254</v>
      </c>
      <c r="E230" s="30"/>
      <c r="F230" s="174">
        <v>147</v>
      </c>
      <c r="G230" s="30"/>
      <c r="H230" s="30"/>
      <c r="I230" s="30"/>
      <c r="J230" s="30"/>
      <c r="K230" s="31"/>
      <c r="L230" s="31"/>
      <c r="M230" s="31"/>
      <c r="N230" s="31"/>
      <c r="O230" s="31"/>
    </row>
    <row r="231" spans="1:15" outlineLevel="1">
      <c r="C231" t="s">
        <v>255</v>
      </c>
      <c r="D231" s="173" t="s">
        <v>232</v>
      </c>
      <c r="E231" s="32">
        <v>772</v>
      </c>
      <c r="F231" s="28">
        <f>(F207+F209)/2</f>
        <v>788.5</v>
      </c>
      <c r="G231" s="28">
        <f t="shared" ref="G231:O231" si="74">(G207+G209)/2</f>
        <v>805</v>
      </c>
      <c r="H231" s="28">
        <f t="shared" si="74"/>
        <v>826.5</v>
      </c>
      <c r="I231" s="28">
        <f t="shared" si="74"/>
        <v>849.5</v>
      </c>
      <c r="J231" s="28">
        <f t="shared" si="74"/>
        <v>875.5</v>
      </c>
      <c r="K231" s="29">
        <f t="shared" si="74"/>
        <v>903</v>
      </c>
      <c r="L231" s="29">
        <f t="shared" si="74"/>
        <v>929.5</v>
      </c>
      <c r="M231" s="29">
        <f t="shared" si="74"/>
        <v>956.5</v>
      </c>
      <c r="N231" s="29">
        <f t="shared" si="74"/>
        <v>983.5</v>
      </c>
      <c r="O231" s="29">
        <f t="shared" si="74"/>
        <v>1010.5</v>
      </c>
    </row>
    <row r="232" spans="1:15" outlineLevel="1">
      <c r="B232" s="5"/>
      <c r="C232" s="5" t="s">
        <v>256</v>
      </c>
      <c r="D232" s="172" t="s">
        <v>208</v>
      </c>
      <c r="E232" s="30">
        <f>(E231*$F$230)/1000</f>
        <v>113.48399999999999</v>
      </c>
      <c r="F232" s="30">
        <f t="shared" ref="F232:O232" si="75">(F231*$F$230)/1000</f>
        <v>115.90949999999999</v>
      </c>
      <c r="G232" s="30">
        <f t="shared" si="75"/>
        <v>118.33499999999999</v>
      </c>
      <c r="H232" s="30">
        <f t="shared" si="75"/>
        <v>121.49550000000001</v>
      </c>
      <c r="I232" s="30">
        <f t="shared" si="75"/>
        <v>124.87649999999999</v>
      </c>
      <c r="J232" s="30">
        <f t="shared" si="75"/>
        <v>128.6985</v>
      </c>
      <c r="K232" s="31">
        <f t="shared" si="75"/>
        <v>132.74100000000001</v>
      </c>
      <c r="L232" s="31">
        <f t="shared" si="75"/>
        <v>136.63650000000001</v>
      </c>
      <c r="M232" s="31">
        <f t="shared" si="75"/>
        <v>140.60550000000001</v>
      </c>
      <c r="N232" s="31">
        <f t="shared" si="75"/>
        <v>144.5745</v>
      </c>
      <c r="O232" s="31">
        <f t="shared" si="75"/>
        <v>148.54349999999999</v>
      </c>
    </row>
    <row r="233" spans="1:15" outlineLevel="1">
      <c r="E233" s="28"/>
      <c r="F233" s="28"/>
      <c r="G233" s="28"/>
      <c r="H233" s="28"/>
      <c r="I233" s="28"/>
      <c r="J233" s="28"/>
      <c r="K233" s="29"/>
      <c r="L233" s="29"/>
      <c r="M233" s="29"/>
      <c r="N233" s="29"/>
      <c r="O233" s="29"/>
    </row>
    <row r="234" spans="1:15" outlineLevel="1">
      <c r="C234" t="s">
        <v>185</v>
      </c>
      <c r="D234" t="s">
        <v>208</v>
      </c>
      <c r="E234" s="28"/>
      <c r="F234" s="28"/>
      <c r="G234" s="28"/>
      <c r="H234" s="28"/>
      <c r="I234" s="28"/>
      <c r="J234" s="28"/>
      <c r="K234" s="29"/>
      <c r="L234" s="29"/>
      <c r="M234" s="29"/>
      <c r="N234" s="29"/>
      <c r="O234" s="29"/>
    </row>
    <row r="235" spans="1:15" outlineLevel="1">
      <c r="C235" t="s">
        <v>261</v>
      </c>
      <c r="D235" t="s">
        <v>208</v>
      </c>
      <c r="E235" s="28"/>
      <c r="F235" s="28">
        <f>E239</f>
        <v>1180</v>
      </c>
      <c r="G235" s="28">
        <f t="shared" ref="G235:J235" si="76">F239</f>
        <v>1393</v>
      </c>
      <c r="H235" s="28">
        <f t="shared" si="76"/>
        <v>1671</v>
      </c>
      <c r="I235" s="28">
        <f t="shared" si="76"/>
        <v>1911</v>
      </c>
      <c r="J235" s="28">
        <f t="shared" si="76"/>
        <v>2150</v>
      </c>
      <c r="K235" s="29"/>
      <c r="L235" s="29"/>
      <c r="M235" s="29"/>
      <c r="N235" s="29"/>
      <c r="O235" s="29"/>
    </row>
    <row r="236" spans="1:15" outlineLevel="1">
      <c r="C236" t="s">
        <v>262</v>
      </c>
      <c r="D236" t="s">
        <v>208</v>
      </c>
      <c r="E236" s="28"/>
      <c r="F236" s="32">
        <v>1707</v>
      </c>
      <c r="G236" s="32">
        <v>2047</v>
      </c>
      <c r="H236" s="32">
        <v>2307</v>
      </c>
      <c r="I236" s="32">
        <v>2576</v>
      </c>
      <c r="J236" s="32">
        <v>2804</v>
      </c>
      <c r="K236" s="29"/>
      <c r="L236" s="29"/>
      <c r="M236" s="29"/>
      <c r="N236" s="29"/>
      <c r="O236" s="29"/>
    </row>
    <row r="237" spans="1:15" outlineLevel="1">
      <c r="B237" s="5"/>
      <c r="C237" s="5" t="s">
        <v>258</v>
      </c>
      <c r="D237" s="5" t="s">
        <v>208</v>
      </c>
      <c r="E237" s="30">
        <f>E235+E236</f>
        <v>0</v>
      </c>
      <c r="F237" s="30">
        <f t="shared" ref="F237:J237" si="77">F235+F236</f>
        <v>2887</v>
      </c>
      <c r="G237" s="30">
        <f t="shared" si="77"/>
        <v>3440</v>
      </c>
      <c r="H237" s="30">
        <f t="shared" si="77"/>
        <v>3978</v>
      </c>
      <c r="I237" s="30">
        <f t="shared" si="77"/>
        <v>4487</v>
      </c>
      <c r="J237" s="30">
        <f t="shared" si="77"/>
        <v>4954</v>
      </c>
      <c r="K237" s="31"/>
      <c r="L237" s="31"/>
      <c r="M237" s="31"/>
      <c r="N237" s="31"/>
      <c r="O237" s="31"/>
    </row>
    <row r="238" spans="1:15" outlineLevel="1">
      <c r="E238" s="28"/>
      <c r="F238" s="28"/>
      <c r="G238" s="28"/>
      <c r="H238" s="28"/>
      <c r="I238" s="28"/>
      <c r="J238" s="28"/>
      <c r="K238" s="29"/>
      <c r="L238" s="29"/>
      <c r="M238" s="29"/>
      <c r="N238" s="29"/>
      <c r="O238" s="29"/>
    </row>
    <row r="239" spans="1:15" outlineLevel="1">
      <c r="C239" t="s">
        <v>259</v>
      </c>
      <c r="D239" t="s">
        <v>208</v>
      </c>
      <c r="E239" s="32">
        <v>1180</v>
      </c>
      <c r="F239" s="28">
        <f>F156</f>
        <v>1393</v>
      </c>
      <c r="G239" s="28">
        <f>G156</f>
        <v>1671</v>
      </c>
      <c r="H239" s="28">
        <f>H156</f>
        <v>1911</v>
      </c>
      <c r="I239" s="28">
        <f>I156</f>
        <v>2150</v>
      </c>
      <c r="J239" s="28">
        <f>J156</f>
        <v>2435</v>
      </c>
      <c r="K239" s="29"/>
      <c r="L239" s="29"/>
      <c r="M239" s="29"/>
      <c r="N239" s="29"/>
      <c r="O239" s="29"/>
    </row>
    <row r="240" spans="1:15" outlineLevel="1">
      <c r="B240" s="5"/>
      <c r="C240" s="5" t="s">
        <v>260</v>
      </c>
      <c r="D240" s="5" t="s">
        <v>208</v>
      </c>
      <c r="E240" s="30">
        <f>E237-E239</f>
        <v>-1180</v>
      </c>
      <c r="F240" s="30">
        <f t="shared" ref="F240:J240" si="78">F237-F239</f>
        <v>1494</v>
      </c>
      <c r="G240" s="30">
        <f t="shared" si="78"/>
        <v>1769</v>
      </c>
      <c r="H240" s="30">
        <f t="shared" si="78"/>
        <v>2067</v>
      </c>
      <c r="I240" s="30">
        <f t="shared" si="78"/>
        <v>2337</v>
      </c>
      <c r="J240" s="30">
        <f t="shared" si="78"/>
        <v>2519</v>
      </c>
      <c r="K240" s="31"/>
      <c r="L240" s="31"/>
      <c r="M240" s="31"/>
      <c r="N240" s="31"/>
      <c r="O240" s="31"/>
    </row>
    <row r="241" spans="2:15" outlineLevel="1">
      <c r="E241" s="28"/>
      <c r="F241" s="28"/>
      <c r="G241" s="28"/>
      <c r="H241" s="28"/>
      <c r="I241" s="28"/>
      <c r="J241" s="28"/>
      <c r="K241" s="29"/>
      <c r="L241" s="29"/>
      <c r="M241" s="29"/>
      <c r="N241" s="29"/>
      <c r="O241" s="29"/>
    </row>
    <row r="242" spans="2:15" outlineLevel="1">
      <c r="C242" t="s">
        <v>263</v>
      </c>
      <c r="D242" t="s">
        <v>208</v>
      </c>
      <c r="E242" s="32">
        <v>123</v>
      </c>
      <c r="F242" s="28">
        <f>F239-E239</f>
        <v>213</v>
      </c>
      <c r="G242" s="28">
        <f>G239-F239</f>
        <v>278</v>
      </c>
      <c r="H242" s="28">
        <f t="shared" ref="H242:J242" si="79">H239-G239</f>
        <v>240</v>
      </c>
      <c r="I242" s="28">
        <f t="shared" si="79"/>
        <v>239</v>
      </c>
      <c r="J242" s="28">
        <f t="shared" si="79"/>
        <v>285</v>
      </c>
      <c r="K242" s="29"/>
      <c r="L242" s="29"/>
      <c r="M242" s="29"/>
      <c r="N242" s="29"/>
      <c r="O242" s="29"/>
    </row>
    <row r="243" spans="2:15" outlineLevel="1">
      <c r="E243" s="28"/>
      <c r="F243" s="28"/>
      <c r="G243" s="28"/>
      <c r="H243" s="28"/>
      <c r="I243" s="28"/>
      <c r="J243" s="28"/>
      <c r="K243" s="29"/>
      <c r="L243" s="29"/>
      <c r="M243" s="29"/>
      <c r="N243" s="29"/>
      <c r="O243" s="29"/>
    </row>
    <row r="244" spans="2:15" outlineLevel="1">
      <c r="C244" t="s">
        <v>264</v>
      </c>
      <c r="D244" t="s">
        <v>208</v>
      </c>
      <c r="E244" s="32">
        <v>149351</v>
      </c>
      <c r="F244" s="28">
        <f>F70</f>
        <v>163220</v>
      </c>
      <c r="G244" s="28">
        <f>G70</f>
        <v>192052</v>
      </c>
      <c r="H244" s="28">
        <f>H70</f>
        <v>222730</v>
      </c>
      <c r="I244" s="28">
        <f>I70</f>
        <v>237710</v>
      </c>
      <c r="J244" s="28">
        <f>J70</f>
        <v>249625</v>
      </c>
      <c r="K244" s="29"/>
      <c r="L244" s="29"/>
      <c r="M244" s="29"/>
      <c r="N244" s="29"/>
      <c r="O244" s="29"/>
    </row>
    <row r="245" spans="2:15" outlineLevel="1">
      <c r="B245" s="5"/>
      <c r="C245" s="5" t="s">
        <v>265</v>
      </c>
      <c r="D245" s="5" t="s">
        <v>208</v>
      </c>
      <c r="E245" s="30">
        <f>SUM(E244,E242)</f>
        <v>149474</v>
      </c>
      <c r="F245" s="30">
        <f t="shared" ref="F245:J245" si="80">SUM(F244,F242)</f>
        <v>163433</v>
      </c>
      <c r="G245" s="30">
        <f t="shared" si="80"/>
        <v>192330</v>
      </c>
      <c r="H245" s="30">
        <f t="shared" si="80"/>
        <v>222970</v>
      </c>
      <c r="I245" s="30">
        <f t="shared" si="80"/>
        <v>237949</v>
      </c>
      <c r="J245" s="30">
        <f t="shared" si="80"/>
        <v>249910</v>
      </c>
      <c r="K245" s="31"/>
      <c r="L245" s="31"/>
      <c r="M245" s="31"/>
      <c r="N245" s="31"/>
      <c r="O245" s="31"/>
    </row>
    <row r="246" spans="2:15" outlineLevel="1">
      <c r="K246" s="8"/>
      <c r="L246" s="8"/>
      <c r="M246" s="8"/>
      <c r="N246" s="8"/>
      <c r="O246" s="8"/>
    </row>
    <row r="247" spans="2:15" outlineLevel="1">
      <c r="C247" t="s">
        <v>266</v>
      </c>
      <c r="D247" t="s">
        <v>52</v>
      </c>
      <c r="E247" s="28">
        <f>E245/E232</f>
        <v>1317.1372175813331</v>
      </c>
      <c r="F247" s="28">
        <f t="shared" ref="F247:J247" si="81">F245/F232</f>
        <v>1410.0052195894211</v>
      </c>
      <c r="G247" s="28">
        <f t="shared" si="81"/>
        <v>1625.3010520978578</v>
      </c>
      <c r="H247" s="28">
        <f t="shared" si="81"/>
        <v>1835.2120037367638</v>
      </c>
      <c r="I247" s="28">
        <f t="shared" si="81"/>
        <v>1905.4746089136067</v>
      </c>
      <c r="J247" s="28">
        <f t="shared" si="81"/>
        <v>1941.82527379884</v>
      </c>
      <c r="K247" s="8"/>
      <c r="L247" s="8"/>
      <c r="M247" s="8"/>
      <c r="N247" s="8"/>
      <c r="O247" s="8"/>
    </row>
    <row r="248" spans="2:15" outlineLevel="1">
      <c r="K248" s="8"/>
      <c r="L248" s="8"/>
      <c r="M248" s="8"/>
      <c r="N248" s="8"/>
      <c r="O248" s="8"/>
    </row>
    <row r="249" spans="2:15" outlineLevel="1">
      <c r="C249" t="s">
        <v>267</v>
      </c>
      <c r="D249" t="s">
        <v>216</v>
      </c>
      <c r="F249" s="108">
        <f>(F247/E247)-1</f>
        <v>7.0507461765162205E-2</v>
      </c>
      <c r="G249" s="108">
        <f t="shared" ref="G249:J249" si="82">(G247/F247)-1</f>
        <v>0.15269151455420049</v>
      </c>
      <c r="H249" s="108">
        <f t="shared" si="82"/>
        <v>0.1291520431663804</v>
      </c>
      <c r="I249" s="108">
        <f t="shared" si="82"/>
        <v>3.8285824762358756E-2</v>
      </c>
      <c r="J249" s="108">
        <f t="shared" si="82"/>
        <v>1.9076961044344865E-2</v>
      </c>
      <c r="K249" s="186">
        <f>AVERAGE(I249:J249,F249)</f>
        <v>4.2623415857288606E-2</v>
      </c>
      <c r="L249" s="114">
        <f>L33</f>
        <v>4.5623415857288609E-2</v>
      </c>
      <c r="M249" s="114">
        <f>M33</f>
        <v>4.8623415857288611E-2</v>
      </c>
      <c r="N249" s="114">
        <f>N33</f>
        <v>5.1623415857288614E-2</v>
      </c>
      <c r="O249" s="114">
        <f>O33</f>
        <v>5.4623415857288617E-2</v>
      </c>
    </row>
    <row r="250" spans="2:15" outlineLevel="1">
      <c r="C250" t="s">
        <v>268</v>
      </c>
      <c r="D250" t="s">
        <v>216</v>
      </c>
      <c r="F250" s="108">
        <f>(F232/E232)-1</f>
        <v>2.1373056994818729E-2</v>
      </c>
      <c r="G250" s="108">
        <f t="shared" ref="G250:O250" si="83">(G232/F232)-1</f>
        <v>2.0925808497146425E-2</v>
      </c>
      <c r="H250" s="108">
        <f t="shared" si="83"/>
        <v>2.6708074534161685E-2</v>
      </c>
      <c r="I250" s="108">
        <f t="shared" si="83"/>
        <v>2.7828191167573957E-2</v>
      </c>
      <c r="J250" s="108">
        <f t="shared" si="83"/>
        <v>3.0606238964096644E-2</v>
      </c>
      <c r="K250" s="114">
        <f t="shared" si="83"/>
        <v>3.1410622501427898E-2</v>
      </c>
      <c r="L250" s="114">
        <f t="shared" si="83"/>
        <v>2.9346622369878173E-2</v>
      </c>
      <c r="M250" s="114">
        <f t="shared" si="83"/>
        <v>2.9047875201721363E-2</v>
      </c>
      <c r="N250" s="114">
        <f t="shared" si="83"/>
        <v>2.8227914270778864E-2</v>
      </c>
      <c r="O250" s="114">
        <f t="shared" si="83"/>
        <v>2.7452974072191161E-2</v>
      </c>
    </row>
    <row r="251" spans="2:15" outlineLevel="1">
      <c r="K251" s="8"/>
      <c r="L251" s="8"/>
      <c r="M251" s="8"/>
      <c r="N251" s="8"/>
      <c r="O251" s="8"/>
    </row>
    <row r="252" spans="2:15" outlineLevel="1">
      <c r="C252" t="s">
        <v>269</v>
      </c>
      <c r="D252" t="s">
        <v>216</v>
      </c>
      <c r="F252" s="108">
        <f>(1+F249)*(1+F250)-1</f>
        <v>9.3387478758847786E-2</v>
      </c>
      <c r="G252" s="108">
        <f t="shared" ref="G252:O252" si="84">(1+G249)*(1+G250)-1</f>
        <v>0.17681251644404727</v>
      </c>
      <c r="H252" s="108">
        <f t="shared" si="84"/>
        <v>0.15930952009566912</v>
      </c>
      <c r="I252" s="108">
        <f t="shared" si="84"/>
        <v>6.7179441180427846E-2</v>
      </c>
      <c r="J252" s="108">
        <f t="shared" si="84"/>
        <v>5.0267074036873582E-2</v>
      </c>
      <c r="K252" s="114">
        <f t="shared" si="84"/>
        <v>7.5372866383931258E-2</v>
      </c>
      <c r="L252" s="114">
        <f t="shared" si="84"/>
        <v>7.6308931383554546E-2</v>
      </c>
      <c r="M252" s="114">
        <f t="shared" si="84"/>
        <v>7.908369797471404E-2</v>
      </c>
      <c r="N252" s="114">
        <f t="shared" si="84"/>
        <v>8.1308551485251845E-2</v>
      </c>
      <c r="O252" s="114">
        <f t="shared" si="84"/>
        <v>8.3575965148744435E-2</v>
      </c>
    </row>
    <row r="253" spans="2:15" outlineLevel="1">
      <c r="K253" s="8"/>
      <c r="L253" s="8"/>
      <c r="M253" s="8"/>
      <c r="N253" s="8"/>
      <c r="O253" s="8"/>
    </row>
    <row r="254" spans="2:15" outlineLevel="1">
      <c r="C254" t="s">
        <v>265</v>
      </c>
      <c r="D254" t="s">
        <v>208</v>
      </c>
      <c r="J254" s="104">
        <f>J245</f>
        <v>249910</v>
      </c>
      <c r="K254" s="167">
        <f>J254*(1+K252)</f>
        <v>268746.43303800828</v>
      </c>
      <c r="L254" s="167">
        <f>K254*(1+L252)</f>
        <v>289254.18615628069</v>
      </c>
      <c r="M254" s="167">
        <f>L254*(1+M252)</f>
        <v>312129.47685218567</v>
      </c>
      <c r="N254" s="167">
        <f>M254*(1+N252)</f>
        <v>337508.27249088633</v>
      </c>
      <c r="O254" s="167">
        <f>N254*(1+O252)</f>
        <v>365715.85210999759</v>
      </c>
    </row>
    <row r="255" spans="2:15" outlineLevel="1">
      <c r="K255" s="8"/>
      <c r="L255" s="8"/>
      <c r="M255" s="8"/>
      <c r="N255" s="8"/>
      <c r="O255" s="8"/>
    </row>
    <row r="256" spans="2:15" outlineLevel="1">
      <c r="C256" t="s">
        <v>270</v>
      </c>
      <c r="D256" t="s">
        <v>208</v>
      </c>
      <c r="F256" s="104">
        <f>F236</f>
        <v>1707</v>
      </c>
      <c r="G256" s="104">
        <f t="shared" ref="G256:J256" si="85">G236</f>
        <v>2047</v>
      </c>
      <c r="H256" s="104">
        <f t="shared" si="85"/>
        <v>2307</v>
      </c>
      <c r="I256" s="104">
        <f t="shared" si="85"/>
        <v>2576</v>
      </c>
      <c r="J256" s="104">
        <f t="shared" si="85"/>
        <v>2804</v>
      </c>
      <c r="K256" s="8"/>
      <c r="L256" s="8"/>
      <c r="M256" s="8"/>
      <c r="N256" s="8"/>
      <c r="O256" s="8"/>
    </row>
    <row r="257" spans="2:15" outlineLevel="1">
      <c r="C257" t="s">
        <v>271</v>
      </c>
      <c r="D257" t="s">
        <v>216</v>
      </c>
      <c r="F257" s="108">
        <f>F256/F245</f>
        <v>1.0444647041907082E-2</v>
      </c>
      <c r="G257" s="108">
        <f t="shared" ref="G257:J257" si="86">G256/G245</f>
        <v>1.0643165392814433E-2</v>
      </c>
      <c r="H257" s="108">
        <f t="shared" si="86"/>
        <v>1.034668341032426E-2</v>
      </c>
      <c r="I257" s="108">
        <f t="shared" si="86"/>
        <v>1.0825849236601121E-2</v>
      </c>
      <c r="J257" s="108">
        <f t="shared" si="86"/>
        <v>1.1220039214117083E-2</v>
      </c>
      <c r="K257" s="185">
        <f>K35</f>
        <v>1.1420039214117083E-2</v>
      </c>
      <c r="L257" s="184">
        <f>L35</f>
        <v>1.1620039214117084E-2</v>
      </c>
      <c r="M257" s="184">
        <f>M35</f>
        <v>1.1820039214117084E-2</v>
      </c>
      <c r="N257" s="184">
        <f>N35</f>
        <v>1.2020039214117085E-2</v>
      </c>
      <c r="O257" s="184">
        <f>O35</f>
        <v>1.2220039214117085E-2</v>
      </c>
    </row>
    <row r="258" spans="2:15" outlineLevel="1">
      <c r="J258" s="109"/>
      <c r="K258" s="8"/>
      <c r="L258" s="8"/>
      <c r="M258" s="8"/>
      <c r="N258" s="8"/>
      <c r="O258" s="8"/>
    </row>
    <row r="259" spans="2:15" outlineLevel="1">
      <c r="C259" t="s">
        <v>272</v>
      </c>
      <c r="D259" t="s">
        <v>216</v>
      </c>
      <c r="F259" s="108">
        <f>F240/F236</f>
        <v>0.87521968365553604</v>
      </c>
      <c r="G259" s="108">
        <f t="shared" ref="G259:J259" si="87">G240/G236</f>
        <v>0.86419149975574006</v>
      </c>
      <c r="H259" s="108">
        <f t="shared" si="87"/>
        <v>0.89596879063719115</v>
      </c>
      <c r="I259" s="108">
        <f t="shared" si="87"/>
        <v>0.90722049689440998</v>
      </c>
      <c r="J259" s="108">
        <f t="shared" si="87"/>
        <v>0.89835948644793151</v>
      </c>
      <c r="K259" s="8"/>
      <c r="L259" s="8"/>
      <c r="M259" s="8"/>
      <c r="N259" s="8"/>
      <c r="O259" s="8"/>
    </row>
    <row r="260" spans="2:15" outlineLevel="1">
      <c r="C260" t="s">
        <v>273</v>
      </c>
      <c r="D260" t="s">
        <v>216</v>
      </c>
      <c r="J260" s="109">
        <f>AVERAGE(F259:J259)</f>
        <v>0.88819199147816175</v>
      </c>
      <c r="K260" s="8"/>
      <c r="L260" s="8"/>
      <c r="M260" s="8"/>
      <c r="N260" s="8"/>
      <c r="O260" s="8"/>
    </row>
    <row r="261" spans="2:15" outlineLevel="1">
      <c r="K261" s="8"/>
      <c r="L261" s="8"/>
      <c r="M261" s="8"/>
      <c r="N261" s="8"/>
      <c r="O261" s="8"/>
    </row>
    <row r="262" spans="2:15" outlineLevel="1">
      <c r="C262" t="s">
        <v>185</v>
      </c>
      <c r="D262" t="s">
        <v>208</v>
      </c>
      <c r="K262" s="8"/>
      <c r="L262" s="8"/>
      <c r="M262" s="8"/>
      <c r="N262" s="8"/>
      <c r="O262" s="8"/>
    </row>
    <row r="263" spans="2:15" outlineLevel="1">
      <c r="C263" t="s">
        <v>257</v>
      </c>
      <c r="D263" t="s">
        <v>208</v>
      </c>
      <c r="J263" s="104">
        <f>J235</f>
        <v>2150</v>
      </c>
      <c r="K263" s="175">
        <f>J267</f>
        <v>2435</v>
      </c>
      <c r="L263" s="175">
        <f t="shared" ref="L263:O263" si="88">K267</f>
        <v>2778.1493779941638</v>
      </c>
      <c r="M263" s="175">
        <f t="shared" si="88"/>
        <v>3153.9523052301415</v>
      </c>
      <c r="N263" s="175">
        <f t="shared" si="88"/>
        <v>3566.4548327032235</v>
      </c>
      <c r="O263" s="175">
        <f t="shared" si="88"/>
        <v>4020.0445687305178</v>
      </c>
    </row>
    <row r="264" spans="2:15" outlineLevel="1">
      <c r="C264" t="s">
        <v>274</v>
      </c>
      <c r="D264" t="s">
        <v>208</v>
      </c>
      <c r="J264" s="104">
        <f>J236</f>
        <v>2804</v>
      </c>
      <c r="K264" s="167">
        <f>K254*K257</f>
        <v>3069.0948039481455</v>
      </c>
      <c r="L264" s="167">
        <f t="shared" ref="L264:O264" si="89">L254*L257</f>
        <v>3361.1449859835047</v>
      </c>
      <c r="M264" s="167">
        <f t="shared" si="89"/>
        <v>3689.3826562746854</v>
      </c>
      <c r="N264" s="167">
        <f t="shared" si="89"/>
        <v>4056.8626704293683</v>
      </c>
      <c r="O264" s="167">
        <f t="shared" si="89"/>
        <v>4469.0620540084155</v>
      </c>
    </row>
    <row r="265" spans="2:15" outlineLevel="1">
      <c r="B265" s="5"/>
      <c r="C265" s="5" t="s">
        <v>275</v>
      </c>
      <c r="D265" s="5" t="s">
        <v>208</v>
      </c>
      <c r="E265" s="5"/>
      <c r="F265" s="5"/>
      <c r="G265" s="5"/>
      <c r="H265" s="5"/>
      <c r="I265" s="5"/>
      <c r="J265" s="107">
        <f>SUM(J263:J264)</f>
        <v>4954</v>
      </c>
      <c r="K265" s="168">
        <f t="shared" ref="K265:O265" si="90">SUM(K263:K264)</f>
        <v>5504.0948039481455</v>
      </c>
      <c r="L265" s="168">
        <f t="shared" si="90"/>
        <v>6139.2943639776686</v>
      </c>
      <c r="M265" s="168">
        <f t="shared" si="90"/>
        <v>6843.3349615048264</v>
      </c>
      <c r="N265" s="168">
        <f t="shared" si="90"/>
        <v>7623.3175031325918</v>
      </c>
      <c r="O265" s="168">
        <f t="shared" si="90"/>
        <v>8489.1066227389329</v>
      </c>
    </row>
    <row r="266" spans="2:15" outlineLevel="1">
      <c r="C266" t="s">
        <v>260</v>
      </c>
      <c r="D266" t="s">
        <v>208</v>
      </c>
      <c r="J266" s="104">
        <f>J240</f>
        <v>2519</v>
      </c>
      <c r="K266" s="167">
        <f>K264*$J$260</f>
        <v>2725.9454259539816</v>
      </c>
      <c r="L266" s="167">
        <f t="shared" ref="L266:O266" si="91">L264*$J$260</f>
        <v>2985.3420587475271</v>
      </c>
      <c r="M266" s="167">
        <f t="shared" si="91"/>
        <v>3276.880128801603</v>
      </c>
      <c r="N266" s="167">
        <f t="shared" si="91"/>
        <v>3603.272934402074</v>
      </c>
      <c r="O266" s="167">
        <f t="shared" si="91"/>
        <v>3969.3851257892188</v>
      </c>
    </row>
    <row r="267" spans="2:15" outlineLevel="1">
      <c r="B267" s="5"/>
      <c r="C267" s="5" t="s">
        <v>279</v>
      </c>
      <c r="D267" s="5" t="s">
        <v>208</v>
      </c>
      <c r="E267" s="5"/>
      <c r="F267" s="5"/>
      <c r="G267" s="5"/>
      <c r="H267" s="5"/>
      <c r="I267" s="5"/>
      <c r="J267" s="107">
        <f>J265-J266</f>
        <v>2435</v>
      </c>
      <c r="K267" s="168">
        <f t="shared" ref="K267:O267" si="92">K265-K266</f>
        <v>2778.1493779941638</v>
      </c>
      <c r="L267" s="168">
        <f t="shared" si="92"/>
        <v>3153.9523052301415</v>
      </c>
      <c r="M267" s="168">
        <f t="shared" si="92"/>
        <v>3566.4548327032235</v>
      </c>
      <c r="N267" s="168">
        <f t="shared" si="92"/>
        <v>4020.0445687305178</v>
      </c>
      <c r="O267" s="168">
        <f t="shared" si="92"/>
        <v>4519.7214969497145</v>
      </c>
    </row>
    <row r="268" spans="2:15" outlineLevel="1">
      <c r="K268" s="8"/>
      <c r="L268" s="8"/>
      <c r="M268" s="8"/>
      <c r="N268" s="8"/>
      <c r="O268" s="8"/>
    </row>
    <row r="269" spans="2:15" outlineLevel="1">
      <c r="C269" t="s">
        <v>276</v>
      </c>
      <c r="D269" t="s">
        <v>208</v>
      </c>
      <c r="K269" s="175">
        <f>K267-J267</f>
        <v>343.14937799416384</v>
      </c>
      <c r="L269" s="175">
        <f t="shared" ref="L269:O269" si="93">L267-K267</f>
        <v>375.80292723597768</v>
      </c>
      <c r="M269" s="175">
        <f t="shared" si="93"/>
        <v>412.50252747308195</v>
      </c>
      <c r="N269" s="175">
        <f t="shared" si="93"/>
        <v>453.58973602729429</v>
      </c>
      <c r="O269" s="175">
        <f t="shared" si="93"/>
        <v>499.67692821919672</v>
      </c>
    </row>
    <row r="270" spans="2:15" ht="15" outlineLevel="1" thickBot="1">
      <c r="B270" s="33" t="s">
        <v>278</v>
      </c>
      <c r="C270" s="33"/>
      <c r="D270" s="33" t="s">
        <v>208</v>
      </c>
      <c r="E270" s="33"/>
      <c r="F270" s="33"/>
      <c r="G270" s="33"/>
      <c r="H270" s="33"/>
      <c r="I270" s="33"/>
      <c r="J270" s="33"/>
      <c r="K270" s="101">
        <f>K254-K269</f>
        <v>268403.2836600141</v>
      </c>
      <c r="L270" s="101">
        <f t="shared" ref="L270:O270" si="94">L254-L269</f>
        <v>288878.38322904473</v>
      </c>
      <c r="M270" s="101">
        <f t="shared" si="94"/>
        <v>311716.97432471259</v>
      </c>
      <c r="N270" s="101">
        <f t="shared" si="94"/>
        <v>337054.68275485904</v>
      </c>
      <c r="O270" s="101">
        <f t="shared" si="94"/>
        <v>365216.17518177838</v>
      </c>
    </row>
    <row r="271" spans="2:15" ht="15" outlineLevel="1" thickTop="1"/>
    <row r="273" spans="1:15">
      <c r="A273" s="115" t="s">
        <v>285</v>
      </c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</row>
    <row r="274" spans="1:15" outlineLevel="1"/>
    <row r="275" spans="1:15" outlineLevel="1">
      <c r="A275" s="2" t="s">
        <v>15</v>
      </c>
      <c r="B275" s="2"/>
      <c r="C275" s="2"/>
      <c r="D275" s="2"/>
      <c r="E275" s="4"/>
      <c r="F275" s="4">
        <f t="shared" ref="F275:J275" si="95">G275-1</f>
        <v>2020</v>
      </c>
      <c r="G275" s="4">
        <f t="shared" si="95"/>
        <v>2021</v>
      </c>
      <c r="H275" s="4">
        <f t="shared" si="95"/>
        <v>2022</v>
      </c>
      <c r="I275" s="4">
        <f t="shared" si="95"/>
        <v>2023</v>
      </c>
      <c r="J275" s="4">
        <f t="shared" si="95"/>
        <v>2024</v>
      </c>
      <c r="K275" s="7">
        <f>K$8</f>
        <v>2025</v>
      </c>
      <c r="L275" s="7">
        <f>L$8</f>
        <v>2026</v>
      </c>
      <c r="M275" s="7">
        <f>M$8</f>
        <v>2027</v>
      </c>
      <c r="N275" s="7">
        <f>N$8</f>
        <v>2028</v>
      </c>
      <c r="O275" s="7">
        <f>O$8</f>
        <v>2029</v>
      </c>
    </row>
    <row r="276" spans="1:15" outlineLevel="1">
      <c r="B276" t="s">
        <v>11</v>
      </c>
      <c r="D276" t="s">
        <v>208</v>
      </c>
      <c r="F276" s="28">
        <f>F70</f>
        <v>163220</v>
      </c>
      <c r="G276" s="28">
        <f>G70</f>
        <v>192052</v>
      </c>
      <c r="H276" s="28">
        <f>H70</f>
        <v>222730</v>
      </c>
      <c r="I276" s="28">
        <f>I70</f>
        <v>237710</v>
      </c>
      <c r="J276" s="28">
        <f>J70</f>
        <v>249625</v>
      </c>
      <c r="K276" s="29">
        <f>K70</f>
        <v>268403.2836600141</v>
      </c>
      <c r="L276" s="29">
        <f>L70</f>
        <v>288878.38322904473</v>
      </c>
      <c r="M276" s="29">
        <f>M70</f>
        <v>311716.97432471259</v>
      </c>
      <c r="N276" s="29">
        <f>N70</f>
        <v>337054.68275485904</v>
      </c>
      <c r="O276" s="29">
        <f>O70</f>
        <v>365216.17518177838</v>
      </c>
    </row>
    <row r="277" spans="1:15" outlineLevel="1">
      <c r="B277" t="s">
        <v>286</v>
      </c>
      <c r="D277" t="s">
        <v>208</v>
      </c>
      <c r="F277" s="28">
        <f>-F75</f>
        <v>144939</v>
      </c>
      <c r="G277" s="28">
        <f>-G75</f>
        <v>170684</v>
      </c>
      <c r="H277" s="28">
        <f>-H75</f>
        <v>199382</v>
      </c>
      <c r="I277" s="28">
        <f>-I75</f>
        <v>212586</v>
      </c>
      <c r="J277" s="28">
        <f>-J75</f>
        <v>222358</v>
      </c>
      <c r="K277" s="29"/>
      <c r="L277" s="29"/>
      <c r="M277" s="29"/>
      <c r="N277" s="29"/>
      <c r="O277" s="29"/>
    </row>
    <row r="278" spans="1:15" outlineLevel="1">
      <c r="B278" s="5" t="s">
        <v>224</v>
      </c>
      <c r="C278" s="5"/>
      <c r="D278" s="5" t="s">
        <v>216</v>
      </c>
      <c r="E278" s="5"/>
      <c r="F278" s="157">
        <f>1-(F277/F276)</f>
        <v>0.11200220561205732</v>
      </c>
      <c r="G278" s="157">
        <f t="shared" ref="G278:J278" si="96">1-(G277/G276)</f>
        <v>0.11126153333472188</v>
      </c>
      <c r="H278" s="157">
        <f t="shared" si="96"/>
        <v>0.10482647151259372</v>
      </c>
      <c r="I278" s="157">
        <f t="shared" si="96"/>
        <v>0.10569180934752431</v>
      </c>
      <c r="J278" s="157">
        <f t="shared" si="96"/>
        <v>0.10923184777165751</v>
      </c>
      <c r="K278" s="105"/>
      <c r="L278" s="105"/>
      <c r="M278" s="105"/>
      <c r="N278" s="105"/>
      <c r="O278" s="105"/>
    </row>
    <row r="279" spans="1:15" outlineLevel="1">
      <c r="B279" s="173" t="s">
        <v>287</v>
      </c>
      <c r="D279" t="s">
        <v>216</v>
      </c>
      <c r="J279" s="109">
        <f>AVERAGE(F278:J278)</f>
        <v>0.10860277351571095</v>
      </c>
      <c r="K279" s="159">
        <f>K40</f>
        <v>0.10860277351571095</v>
      </c>
      <c r="L279" s="159">
        <f>L40</f>
        <v>0.10860277351571095</v>
      </c>
      <c r="M279" s="159">
        <f>M40</f>
        <v>0.10860277351571095</v>
      </c>
      <c r="N279" s="159">
        <f>N40</f>
        <v>0.10860277351571095</v>
      </c>
      <c r="O279" s="159">
        <f>O40</f>
        <v>0.10860277351571095</v>
      </c>
    </row>
    <row r="280" spans="1:15" outlineLevel="1">
      <c r="B280" s="5" t="s">
        <v>289</v>
      </c>
      <c r="C280" s="5"/>
      <c r="D280" s="5" t="s">
        <v>208</v>
      </c>
      <c r="E280" s="5"/>
      <c r="F280" s="5"/>
      <c r="G280" s="5"/>
      <c r="H280" s="5"/>
      <c r="I280" s="5"/>
      <c r="J280" s="5"/>
      <c r="K280" s="31">
        <f>(1-K279)*K276</f>
        <v>239253.94263381249</v>
      </c>
      <c r="L280" s="31">
        <f>(1-L279)*L276</f>
        <v>257505.38960163604</v>
      </c>
      <c r="M280" s="31">
        <f>(1-M279)*M276</f>
        <v>277863.64636112313</v>
      </c>
      <c r="N280" s="31">
        <f>(1-N279)*N276</f>
        <v>300449.60938122327</v>
      </c>
      <c r="O280" s="31">
        <f>(1-O279)*O276</f>
        <v>325552.68562423752</v>
      </c>
    </row>
    <row r="281" spans="1:15" outlineLevel="1">
      <c r="B281" s="199" t="s">
        <v>288</v>
      </c>
      <c r="K281" s="8"/>
      <c r="L281" s="8"/>
      <c r="M281" s="8"/>
      <c r="N281" s="8"/>
      <c r="O281" s="8"/>
    </row>
    <row r="282" spans="1:15" outlineLevel="1">
      <c r="B282" s="173" t="s">
        <v>290</v>
      </c>
      <c r="D282" t="s">
        <v>208</v>
      </c>
      <c r="F282" s="104">
        <f>-F76</f>
        <v>16387</v>
      </c>
      <c r="G282">
        <f>-G76</f>
        <v>18537</v>
      </c>
      <c r="H282">
        <f>-H76</f>
        <v>19779</v>
      </c>
      <c r="I282">
        <f>-I76</f>
        <v>21590</v>
      </c>
      <c r="J282">
        <f>-J76</f>
        <v>22810</v>
      </c>
      <c r="K282" s="8"/>
      <c r="L282" s="8"/>
      <c r="M282" s="8"/>
      <c r="N282" s="8"/>
      <c r="O282" s="8"/>
    </row>
    <row r="283" spans="1:15" outlineLevel="1">
      <c r="C283" s="173" t="s">
        <v>291</v>
      </c>
      <c r="D283" t="s">
        <v>216</v>
      </c>
      <c r="F283" s="108">
        <f>F282/F276</f>
        <v>0.10039823551035412</v>
      </c>
      <c r="G283" s="108">
        <f t="shared" ref="G283:J283" si="97">G282/G276</f>
        <v>9.6520733967883701E-2</v>
      </c>
      <c r="H283" s="108">
        <f t="shared" si="97"/>
        <v>8.8802586090782565E-2</v>
      </c>
      <c r="I283" s="108">
        <f t="shared" si="97"/>
        <v>9.0824954776828906E-2</v>
      </c>
      <c r="J283" s="108">
        <f t="shared" si="97"/>
        <v>9.1377065598397603E-2</v>
      </c>
      <c r="K283" s="8"/>
      <c r="L283" s="8"/>
      <c r="M283" s="8"/>
      <c r="N283" s="8"/>
      <c r="O283" s="8"/>
    </row>
    <row r="284" spans="1:15" outlineLevel="1">
      <c r="C284" t="s">
        <v>296</v>
      </c>
      <c r="D284" t="s">
        <v>216</v>
      </c>
      <c r="J284" s="109">
        <f>AVERAGE(G283:J283)</f>
        <v>9.1881335108473183E-2</v>
      </c>
      <c r="K284" s="159">
        <f>K42</f>
        <v>9.0297304168993064E-2</v>
      </c>
      <c r="L284" s="159">
        <f>L42</f>
        <v>8.8713273229512946E-2</v>
      </c>
      <c r="M284" s="159">
        <f>M42</f>
        <v>8.7129242290032827E-2</v>
      </c>
      <c r="N284" s="159">
        <f>N42</f>
        <v>8.5545211350552708E-2</v>
      </c>
      <c r="O284" s="159">
        <f>O42</f>
        <v>8.3961180411072589E-2</v>
      </c>
    </row>
    <row r="285" spans="1:15" outlineLevel="1">
      <c r="C285" t="s">
        <v>292</v>
      </c>
      <c r="D285" t="s">
        <v>216</v>
      </c>
      <c r="J285" s="108">
        <f>(J276/G276)-1</f>
        <v>0.29977818507487553</v>
      </c>
      <c r="K285" s="8"/>
      <c r="L285" s="8"/>
      <c r="M285" s="8"/>
      <c r="N285" s="8"/>
      <c r="O285" s="8"/>
    </row>
    <row r="286" spans="1:15" outlineLevel="1">
      <c r="C286" t="s">
        <v>293</v>
      </c>
      <c r="D286" t="s">
        <v>216</v>
      </c>
      <c r="J286" s="109">
        <f>G283-J283</f>
        <v>5.1436683694860985E-3</v>
      </c>
      <c r="K286" s="8"/>
      <c r="L286" s="8"/>
      <c r="M286" s="8"/>
      <c r="N286" s="8"/>
      <c r="O286" s="8"/>
    </row>
    <row r="287" spans="1:15" outlineLevel="1">
      <c r="C287" t="s">
        <v>295</v>
      </c>
      <c r="D287" t="s">
        <v>216</v>
      </c>
      <c r="J287" s="108">
        <f>(O276/J276)-1</f>
        <v>0.46305928966160592</v>
      </c>
      <c r="K287" s="8"/>
      <c r="L287" s="8"/>
      <c r="M287" s="8"/>
      <c r="N287" s="8"/>
      <c r="O287" s="8"/>
    </row>
    <row r="288" spans="1:15" outlineLevel="1">
      <c r="C288" t="s">
        <v>294</v>
      </c>
      <c r="D288" t="s">
        <v>216</v>
      </c>
      <c r="J288" s="108">
        <f>(J286/J285)*J287</f>
        <v>7.9452860148385915E-3</v>
      </c>
      <c r="K288" s="8"/>
      <c r="L288" s="8"/>
      <c r="M288" s="8"/>
      <c r="N288" s="8"/>
      <c r="O288" s="8"/>
    </row>
    <row r="289" spans="1:15" outlineLevel="1">
      <c r="C289" t="s">
        <v>297</v>
      </c>
      <c r="D289" t="s">
        <v>216</v>
      </c>
      <c r="J289" s="108">
        <f>(1+J288)^0.2-1</f>
        <v>1.5840309394801189E-3</v>
      </c>
      <c r="K289" s="8"/>
      <c r="L289" s="8"/>
      <c r="M289" s="8"/>
      <c r="N289" s="8"/>
      <c r="O289" s="8"/>
    </row>
    <row r="290" spans="1:15" outlineLevel="1">
      <c r="B290" s="5" t="s">
        <v>298</v>
      </c>
      <c r="C290" s="5"/>
      <c r="D290" s="5"/>
      <c r="E290" s="5"/>
      <c r="F290" s="5"/>
      <c r="G290" s="5"/>
      <c r="H290" s="5"/>
      <c r="I290" s="5"/>
      <c r="J290" s="157"/>
      <c r="K290" s="166">
        <f>K284*K276</f>
        <v>24236.092944604818</v>
      </c>
      <c r="L290" s="166">
        <f t="shared" ref="L290:O290" si="98">L284*L276</f>
        <v>25627.346941498196</v>
      </c>
      <c r="M290" s="166">
        <f t="shared" si="98"/>
        <v>27159.663781853826</v>
      </c>
      <c r="N290" s="166">
        <f t="shared" si="98"/>
        <v>28833.414072957909</v>
      </c>
      <c r="O290" s="166">
        <f t="shared" si="98"/>
        <v>30663.981173479187</v>
      </c>
    </row>
    <row r="291" spans="1:15" outlineLevel="1">
      <c r="K291" s="8"/>
      <c r="L291" s="8"/>
      <c r="M291" s="8"/>
      <c r="N291" s="8"/>
      <c r="O291" s="8"/>
    </row>
    <row r="292" spans="1:15" outlineLevel="1">
      <c r="C292" t="s">
        <v>299</v>
      </c>
      <c r="D292" t="s">
        <v>208</v>
      </c>
      <c r="F292" s="104">
        <f>F155</f>
        <v>3605</v>
      </c>
      <c r="G292" s="104">
        <f>G155</f>
        <v>4090</v>
      </c>
      <c r="H292" s="104">
        <f>H155</f>
        <v>4381</v>
      </c>
      <c r="I292" s="104">
        <f>I155</f>
        <v>4278</v>
      </c>
      <c r="J292" s="104">
        <f>J155</f>
        <v>4794</v>
      </c>
      <c r="K292" s="8"/>
      <c r="L292" s="8"/>
      <c r="M292" s="8"/>
      <c r="N292" s="8"/>
      <c r="O292" s="8"/>
    </row>
    <row r="293" spans="1:15" outlineLevel="1">
      <c r="C293" t="s">
        <v>300</v>
      </c>
      <c r="D293" t="s">
        <v>216</v>
      </c>
      <c r="F293" s="108">
        <f>F292/F282</f>
        <v>0.21999145664246048</v>
      </c>
      <c r="G293" s="108">
        <f t="shared" ref="G293:J293" si="99">G292/G282</f>
        <v>0.22063980147812484</v>
      </c>
      <c r="H293" s="108">
        <f t="shared" si="99"/>
        <v>0.22149754790434298</v>
      </c>
      <c r="I293" s="108">
        <f t="shared" si="99"/>
        <v>0.19814729041222789</v>
      </c>
      <c r="J293" s="108">
        <f t="shared" si="99"/>
        <v>0.21017097764138537</v>
      </c>
      <c r="K293" s="8"/>
      <c r="L293" s="8"/>
      <c r="M293" s="8"/>
      <c r="N293" s="8"/>
      <c r="O293" s="8"/>
    </row>
    <row r="294" spans="1:15" outlineLevel="1">
      <c r="C294" t="s">
        <v>301</v>
      </c>
      <c r="D294" t="s">
        <v>216</v>
      </c>
      <c r="F294" s="108"/>
      <c r="G294" s="108"/>
      <c r="H294" s="108"/>
      <c r="I294" s="108"/>
      <c r="J294" s="108">
        <f>AVERAGE(F293:J293)</f>
        <v>0.21408941481570834</v>
      </c>
      <c r="K294" s="159">
        <f>$J$294</f>
        <v>0.21408941481570834</v>
      </c>
      <c r="L294" s="159">
        <f t="shared" ref="L294:O294" si="100">$J$294</f>
        <v>0.21408941481570834</v>
      </c>
      <c r="M294" s="159">
        <f t="shared" si="100"/>
        <v>0.21408941481570834</v>
      </c>
      <c r="N294" s="159">
        <f t="shared" si="100"/>
        <v>0.21408941481570834</v>
      </c>
      <c r="O294" s="159">
        <f t="shared" si="100"/>
        <v>0.21408941481570834</v>
      </c>
    </row>
    <row r="295" spans="1:15" outlineLevel="1">
      <c r="C295" t="s">
        <v>302</v>
      </c>
      <c r="D295" t="s">
        <v>208</v>
      </c>
      <c r="K295" s="167">
        <f>K294*K290</f>
        <v>5188.6909559295627</v>
      </c>
      <c r="L295" s="167">
        <f t="shared" ref="L295:O295" si="101">L294*L290</f>
        <v>5486.5437099844812</v>
      </c>
      <c r="M295" s="167">
        <f t="shared" si="101"/>
        <v>5814.5965256484733</v>
      </c>
      <c r="N295" s="167">
        <f t="shared" si="101"/>
        <v>6172.9287460185678</v>
      </c>
      <c r="O295" s="167">
        <f t="shared" si="101"/>
        <v>6564.833785350057</v>
      </c>
    </row>
    <row r="296" spans="1:15" outlineLevel="1"/>
    <row r="298" spans="1:15">
      <c r="A298" s="115" t="s">
        <v>307</v>
      </c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</row>
    <row r="299" spans="1:15" outlineLevel="1"/>
    <row r="300" spans="1:15" outlineLevel="1">
      <c r="A300" s="2" t="s">
        <v>328</v>
      </c>
      <c r="B300" s="2"/>
      <c r="C300" s="2"/>
      <c r="D300" s="2"/>
      <c r="E300" s="4"/>
      <c r="F300" s="4">
        <f t="shared" ref="F300:J300" si="102">G300-1</f>
        <v>2020</v>
      </c>
      <c r="G300" s="4">
        <f t="shared" si="102"/>
        <v>2021</v>
      </c>
      <c r="H300" s="4">
        <f t="shared" si="102"/>
        <v>2022</v>
      </c>
      <c r="I300" s="4">
        <f t="shared" si="102"/>
        <v>2023</v>
      </c>
      <c r="J300" s="4">
        <f t="shared" si="102"/>
        <v>2024</v>
      </c>
      <c r="K300" s="7">
        <f>K$8</f>
        <v>2025</v>
      </c>
      <c r="L300" s="7">
        <f>L$8</f>
        <v>2026</v>
      </c>
      <c r="M300" s="7">
        <f>M$8</f>
        <v>2027</v>
      </c>
      <c r="N300" s="7">
        <f>N$8</f>
        <v>2028</v>
      </c>
      <c r="O300" s="7">
        <f>O$8</f>
        <v>2029</v>
      </c>
    </row>
    <row r="301" spans="1:15" outlineLevel="1">
      <c r="B301" s="1" t="s">
        <v>311</v>
      </c>
      <c r="K301" s="8"/>
      <c r="L301" s="8"/>
      <c r="M301" s="8"/>
      <c r="N301" s="8"/>
      <c r="O301" s="8"/>
    </row>
    <row r="302" spans="1:15" outlineLevel="1">
      <c r="C302" t="s">
        <v>252</v>
      </c>
      <c r="D302" t="s">
        <v>208</v>
      </c>
      <c r="J302" s="104">
        <f>J70</f>
        <v>249625</v>
      </c>
      <c r="K302" s="175">
        <f>K70</f>
        <v>268403.2836600141</v>
      </c>
      <c r="L302" s="175">
        <f>L70</f>
        <v>288878.38322904473</v>
      </c>
      <c r="M302" s="175">
        <f>M70</f>
        <v>311716.97432471259</v>
      </c>
      <c r="N302" s="175">
        <f>N70</f>
        <v>337054.68275485904</v>
      </c>
      <c r="O302" s="175">
        <f>O70</f>
        <v>365216.17518177838</v>
      </c>
    </row>
    <row r="303" spans="1:15" outlineLevel="1">
      <c r="C303" t="s">
        <v>312</v>
      </c>
      <c r="D303" t="s">
        <v>216</v>
      </c>
      <c r="K303" s="114">
        <f>(K302/J302)-1</f>
        <v>7.5225973600457019E-2</v>
      </c>
      <c r="L303" s="114">
        <f t="shared" ref="L303:O303" si="103">(L302/K302)-1</f>
        <v>7.6284832621371423E-2</v>
      </c>
      <c r="M303" s="114">
        <f t="shared" si="103"/>
        <v>7.9059536543998554E-2</v>
      </c>
      <c r="N303" s="114">
        <f t="shared" si="103"/>
        <v>8.1284339696408026E-2</v>
      </c>
      <c r="O303" s="114">
        <f t="shared" si="103"/>
        <v>8.3551702046523069E-2</v>
      </c>
    </row>
    <row r="304" spans="1:15" outlineLevel="1">
      <c r="C304" t="s">
        <v>15</v>
      </c>
      <c r="D304" t="s">
        <v>208</v>
      </c>
      <c r="J304" s="104">
        <f>-J75</f>
        <v>222358</v>
      </c>
      <c r="K304" s="175">
        <f>-K75</f>
        <v>239253.94263381249</v>
      </c>
      <c r="L304" s="175">
        <f>-L75</f>
        <v>257505.38960163604</v>
      </c>
      <c r="M304" s="175">
        <f>-M75</f>
        <v>277863.64636112313</v>
      </c>
      <c r="N304" s="175">
        <f>-N75</f>
        <v>300449.60938122327</v>
      </c>
      <c r="O304" s="175">
        <f>-O75</f>
        <v>325552.68562423752</v>
      </c>
    </row>
    <row r="305" spans="2:15" outlineLevel="1">
      <c r="C305" t="s">
        <v>312</v>
      </c>
      <c r="D305" t="s">
        <v>216</v>
      </c>
      <c r="K305" s="114">
        <f>(K304/J304)-1</f>
        <v>7.59853148247982E-2</v>
      </c>
      <c r="L305" s="114">
        <f t="shared" ref="L305:O305" si="104">(L304/K304)-1</f>
        <v>7.6284832621371201E-2</v>
      </c>
      <c r="M305" s="114">
        <f t="shared" si="104"/>
        <v>7.9059536543998332E-2</v>
      </c>
      <c r="N305" s="114">
        <f t="shared" si="104"/>
        <v>8.1284339696408026E-2</v>
      </c>
      <c r="O305" s="114">
        <f t="shared" si="104"/>
        <v>8.3551702046523291E-2</v>
      </c>
    </row>
    <row r="306" spans="2:15" outlineLevel="1">
      <c r="K306" s="8"/>
      <c r="L306" s="8"/>
      <c r="M306" s="8"/>
      <c r="N306" s="8"/>
      <c r="O306" s="8"/>
    </row>
    <row r="307" spans="2:15" outlineLevel="1">
      <c r="B307" s="1" t="s">
        <v>313</v>
      </c>
      <c r="K307" s="8"/>
      <c r="L307" s="8"/>
      <c r="M307" s="8"/>
      <c r="N307" s="8"/>
      <c r="O307" s="8"/>
    </row>
    <row r="308" spans="2:15" outlineLevel="1">
      <c r="C308" t="s">
        <v>314</v>
      </c>
      <c r="J308" s="104">
        <f>J142</f>
        <v>2721</v>
      </c>
      <c r="K308" s="29">
        <f>J308*(1+K303)</f>
        <v>2925.6898741668438</v>
      </c>
      <c r="L308" s="29">
        <f t="shared" ref="L308:O308" si="105">K308*(1+L303)</f>
        <v>3148.8756365197028</v>
      </c>
      <c r="M308" s="29">
        <f t="shared" si="105"/>
        <v>3397.8242849776389</v>
      </c>
      <c r="N308" s="29">
        <f t="shared" si="105"/>
        <v>3674.0141883864658</v>
      </c>
      <c r="O308" s="29">
        <f t="shared" si="105"/>
        <v>3980.9843271692303</v>
      </c>
    </row>
    <row r="309" spans="2:15" outlineLevel="1">
      <c r="C309" t="s">
        <v>315</v>
      </c>
      <c r="J309" s="104">
        <f>J143</f>
        <v>18647</v>
      </c>
      <c r="K309" s="29">
        <f>J309*(1+K305)</f>
        <v>20063.898165538012</v>
      </c>
      <c r="L309" s="29">
        <f t="shared" ref="L309:O309" si="106">K309*(1+L305)</f>
        <v>21594.469278828317</v>
      </c>
      <c r="M309" s="29">
        <f t="shared" si="106"/>
        <v>23301.718011926096</v>
      </c>
      <c r="N309" s="29">
        <f t="shared" si="106"/>
        <v>25195.782774317406</v>
      </c>
      <c r="O309" s="29">
        <f t="shared" si="106"/>
        <v>27300.933309506097</v>
      </c>
    </row>
    <row r="310" spans="2:15" outlineLevel="1">
      <c r="C310" t="s">
        <v>309</v>
      </c>
      <c r="J310" s="104">
        <f>J144</f>
        <v>1734</v>
      </c>
      <c r="K310" s="29">
        <f>J310*(1+K303)</f>
        <v>1864.4418382231925</v>
      </c>
      <c r="L310" s="29">
        <f t="shared" ref="L310:O310" si="107">K310*(1+L303)</f>
        <v>2006.6704717843309</v>
      </c>
      <c r="M310" s="29">
        <f t="shared" si="107"/>
        <v>2165.3169092801268</v>
      </c>
      <c r="N310" s="29">
        <f t="shared" si="107"/>
        <v>2341.3232644844288</v>
      </c>
      <c r="O310" s="29">
        <f t="shared" si="107"/>
        <v>2536.9448082732247</v>
      </c>
    </row>
    <row r="311" spans="2:15" outlineLevel="1">
      <c r="K311" s="29"/>
      <c r="L311" s="29"/>
      <c r="M311" s="29"/>
      <c r="N311" s="29"/>
      <c r="O311" s="29"/>
    </row>
    <row r="312" spans="2:15" outlineLevel="1">
      <c r="C312" t="s">
        <v>61</v>
      </c>
      <c r="J312" s="104">
        <f>J154</f>
        <v>19421</v>
      </c>
      <c r="K312" s="29">
        <f>J312*(1+K305)</f>
        <v>20896.710799212407</v>
      </c>
      <c r="L312" s="29">
        <f t="shared" ref="L312:O312" si="108">K312*(1+L305)</f>
        <v>22490.812884867526</v>
      </c>
      <c r="M312" s="29">
        <f t="shared" si="108"/>
        <v>24268.926128042938</v>
      </c>
      <c r="N312" s="29">
        <f t="shared" si="108"/>
        <v>26241.609763501812</v>
      </c>
      <c r="O312" s="29">
        <f t="shared" si="108"/>
        <v>28434.140923683051</v>
      </c>
    </row>
    <row r="313" spans="2:15" outlineLevel="1">
      <c r="C313" t="s">
        <v>184</v>
      </c>
      <c r="J313" s="104">
        <f>J155</f>
        <v>4794</v>
      </c>
      <c r="K313" s="29">
        <f>K155</f>
        <v>5188.6909559295627</v>
      </c>
      <c r="L313" s="29">
        <f>L155</f>
        <v>5486.5437099844812</v>
      </c>
      <c r="M313" s="29">
        <f>M155</f>
        <v>5814.5965256484733</v>
      </c>
      <c r="N313" s="29">
        <f>N155</f>
        <v>6172.9287460185678</v>
      </c>
      <c r="O313" s="29">
        <f>O155</f>
        <v>6564.833785350057</v>
      </c>
    </row>
    <row r="314" spans="2:15" outlineLevel="1">
      <c r="C314" t="s">
        <v>185</v>
      </c>
      <c r="J314" s="104">
        <f>J156</f>
        <v>2435</v>
      </c>
      <c r="K314" s="29">
        <f>K156</f>
        <v>2778.1493779941638</v>
      </c>
      <c r="L314" s="29">
        <f>L156</f>
        <v>3153.9523052301415</v>
      </c>
      <c r="M314" s="29">
        <f>M156</f>
        <v>3566.4548327032235</v>
      </c>
      <c r="N314" s="29">
        <f>N156</f>
        <v>4020.0445687305178</v>
      </c>
      <c r="O314" s="29">
        <f>O156</f>
        <v>4519.7214969497145</v>
      </c>
    </row>
    <row r="315" spans="2:15" outlineLevel="1">
      <c r="C315" t="s">
        <v>186</v>
      </c>
      <c r="J315" s="104">
        <f>J157</f>
        <v>2501</v>
      </c>
      <c r="K315" s="29">
        <f>K157</f>
        <v>2798.6149845375976</v>
      </c>
      <c r="L315" s="29">
        <f>L157</f>
        <v>3161.1957867254223</v>
      </c>
      <c r="M315" s="29">
        <f>M157</f>
        <v>3427.4813457290124</v>
      </c>
      <c r="N315" s="29">
        <f>N157</f>
        <v>3717.1511328406177</v>
      </c>
      <c r="O315" s="29">
        <f>O157</f>
        <v>4029.6636507588128</v>
      </c>
    </row>
    <row r="316" spans="2:15" outlineLevel="1">
      <c r="C316" t="s">
        <v>316</v>
      </c>
      <c r="J316" s="104">
        <f>J159</f>
        <v>6210</v>
      </c>
      <c r="K316" s="29">
        <f>J316*(1+K303)</f>
        <v>6677.1532960588384</v>
      </c>
      <c r="L316" s="29">
        <f t="shared" ref="L316:O316" si="109">K316*(1+L303)</f>
        <v>7186.5188176359252</v>
      </c>
      <c r="M316" s="29">
        <f t="shared" si="109"/>
        <v>7754.6816647229462</v>
      </c>
      <c r="N316" s="29">
        <f t="shared" si="109"/>
        <v>8385.0158433957931</v>
      </c>
      <c r="O316" s="29">
        <f t="shared" si="109"/>
        <v>9085.5981887985745</v>
      </c>
    </row>
    <row r="317" spans="2:15" outlineLevel="1">
      <c r="K317" s="8"/>
      <c r="L317" s="8"/>
      <c r="M317" s="8"/>
      <c r="N317" s="8"/>
      <c r="O317" s="8"/>
    </row>
    <row r="318" spans="2:15" outlineLevel="1">
      <c r="C318" t="s">
        <v>317</v>
      </c>
      <c r="K318" s="29">
        <f>J309-K309</f>
        <v>-1416.8981655380121</v>
      </c>
      <c r="L318" s="29">
        <f t="shared" ref="L318:O318" si="110">K309-L309</f>
        <v>-1530.5711132903052</v>
      </c>
      <c r="M318" s="29">
        <f t="shared" si="110"/>
        <v>-1707.2487330977783</v>
      </c>
      <c r="N318" s="29">
        <f t="shared" si="110"/>
        <v>-1894.0647623913101</v>
      </c>
      <c r="O318" s="29">
        <f t="shared" si="110"/>
        <v>-2105.1505351886917</v>
      </c>
    </row>
    <row r="319" spans="2:15" outlineLevel="1">
      <c r="C319" t="s">
        <v>318</v>
      </c>
      <c r="K319" s="29">
        <f>K312-J312</f>
        <v>1475.7107992124074</v>
      </c>
      <c r="L319" s="29">
        <f t="shared" ref="L319:O319" si="111">L312-K312</f>
        <v>1594.1020856551186</v>
      </c>
      <c r="M319" s="29">
        <f t="shared" si="111"/>
        <v>1778.1132431754122</v>
      </c>
      <c r="N319" s="29">
        <f t="shared" si="111"/>
        <v>1972.6836354588741</v>
      </c>
      <c r="O319" s="29">
        <f t="shared" si="111"/>
        <v>2192.5311601812391</v>
      </c>
    </row>
    <row r="320" spans="2:15" outlineLevel="1">
      <c r="K320" s="29"/>
      <c r="L320" s="29"/>
      <c r="M320" s="29"/>
      <c r="N320" s="29"/>
      <c r="O320" s="29"/>
    </row>
    <row r="321" spans="1:15" outlineLevel="1">
      <c r="C321" t="s">
        <v>319</v>
      </c>
      <c r="K321" s="29">
        <f>J308-K308</f>
        <v>-204.68987416684377</v>
      </c>
      <c r="L321" s="29">
        <f t="shared" ref="L321:O321" si="112">K308-L308</f>
        <v>-223.185762352859</v>
      </c>
      <c r="M321" s="29">
        <f t="shared" si="112"/>
        <v>-248.94864845793609</v>
      </c>
      <c r="N321" s="29">
        <f t="shared" si="112"/>
        <v>-276.18990340882692</v>
      </c>
      <c r="O321" s="29">
        <f t="shared" si="112"/>
        <v>-306.97013878276448</v>
      </c>
    </row>
    <row r="322" spans="1:15" outlineLevel="1">
      <c r="C322" t="s">
        <v>320</v>
      </c>
      <c r="K322" s="29">
        <f>J310-K310</f>
        <v>-130.44183822319246</v>
      </c>
      <c r="L322" s="29">
        <f t="shared" ref="L322:O322" si="113">K310-L310</f>
        <v>-142.22863356113839</v>
      </c>
      <c r="M322" s="29">
        <f t="shared" si="113"/>
        <v>-158.64643749579591</v>
      </c>
      <c r="N322" s="29">
        <f t="shared" si="113"/>
        <v>-176.00635520430205</v>
      </c>
      <c r="O322" s="29">
        <f t="shared" si="113"/>
        <v>-195.62154378879586</v>
      </c>
    </row>
    <row r="323" spans="1:15" outlineLevel="1">
      <c r="B323" s="5"/>
      <c r="C323" s="6" t="s">
        <v>321</v>
      </c>
      <c r="D323" s="5"/>
      <c r="E323" s="5"/>
      <c r="F323" s="5"/>
      <c r="G323" s="5"/>
      <c r="H323" s="5"/>
      <c r="I323" s="5"/>
      <c r="J323" s="5"/>
      <c r="K323" s="31">
        <f>SUM(K321:K322)</f>
        <v>-335.13171239003623</v>
      </c>
      <c r="L323" s="31">
        <f t="shared" ref="L323:O323" si="114">SUM(L321:L322)</f>
        <v>-365.4143959139974</v>
      </c>
      <c r="M323" s="31">
        <f t="shared" si="114"/>
        <v>-407.595085953732</v>
      </c>
      <c r="N323" s="31">
        <f t="shared" si="114"/>
        <v>-452.19625861312898</v>
      </c>
      <c r="O323" s="31">
        <f t="shared" si="114"/>
        <v>-502.59168257156034</v>
      </c>
    </row>
    <row r="324" spans="1:15" outlineLevel="1">
      <c r="K324" s="29"/>
      <c r="L324" s="29"/>
      <c r="M324" s="29"/>
      <c r="N324" s="29"/>
      <c r="O324" s="29"/>
    </row>
    <row r="325" spans="1:15" outlineLevel="1">
      <c r="C325" t="s">
        <v>322</v>
      </c>
      <c r="K325" s="29">
        <f>K313-J313</f>
        <v>394.69095592956273</v>
      </c>
      <c r="L325" s="29">
        <f t="shared" ref="L325:O325" si="115">L313-K313</f>
        <v>297.85275405491848</v>
      </c>
      <c r="M325" s="29">
        <f t="shared" si="115"/>
        <v>328.05281566399208</v>
      </c>
      <c r="N325" s="29">
        <f t="shared" si="115"/>
        <v>358.33222037009455</v>
      </c>
      <c r="O325" s="29">
        <f t="shared" si="115"/>
        <v>391.90503933148921</v>
      </c>
    </row>
    <row r="326" spans="1:15" outlineLevel="1">
      <c r="C326" t="s">
        <v>323</v>
      </c>
      <c r="K326" s="29">
        <f>K314-J314</f>
        <v>343.14937799416384</v>
      </c>
      <c r="L326" s="29">
        <f t="shared" ref="L326:O326" si="116">L314-K314</f>
        <v>375.80292723597768</v>
      </c>
      <c r="M326" s="29">
        <f t="shared" si="116"/>
        <v>412.50252747308195</v>
      </c>
      <c r="N326" s="29">
        <f t="shared" si="116"/>
        <v>453.58973602729429</v>
      </c>
      <c r="O326" s="29">
        <f t="shared" si="116"/>
        <v>499.67692821919672</v>
      </c>
    </row>
    <row r="327" spans="1:15" outlineLevel="1">
      <c r="C327" t="s">
        <v>324</v>
      </c>
      <c r="K327" s="29">
        <f>K315-J315</f>
        <v>297.61498453759759</v>
      </c>
      <c r="L327" s="29">
        <f t="shared" ref="L327:O327" si="117">L315-K315</f>
        <v>362.5808021878247</v>
      </c>
      <c r="M327" s="29">
        <f t="shared" si="117"/>
        <v>266.28555900359015</v>
      </c>
      <c r="N327" s="29">
        <f t="shared" si="117"/>
        <v>289.66978711160527</v>
      </c>
      <c r="O327" s="29">
        <f t="shared" si="117"/>
        <v>312.51251791819504</v>
      </c>
    </row>
    <row r="328" spans="1:15" outlineLevel="1">
      <c r="C328" t="s">
        <v>325</v>
      </c>
      <c r="K328" s="29">
        <f>K316-J316</f>
        <v>467.15329605883835</v>
      </c>
      <c r="L328" s="29">
        <f t="shared" ref="L328:O328" si="118">L316-K316</f>
        <v>509.36552157708684</v>
      </c>
      <c r="M328" s="29">
        <f t="shared" si="118"/>
        <v>568.16284708702096</v>
      </c>
      <c r="N328" s="29">
        <f t="shared" si="118"/>
        <v>630.33417867284697</v>
      </c>
      <c r="O328" s="29">
        <f t="shared" si="118"/>
        <v>700.58234540278136</v>
      </c>
    </row>
    <row r="329" spans="1:15" outlineLevel="1">
      <c r="B329" s="5"/>
      <c r="C329" s="6" t="s">
        <v>326</v>
      </c>
      <c r="D329" s="5"/>
      <c r="E329" s="5"/>
      <c r="F329" s="5"/>
      <c r="G329" s="5"/>
      <c r="H329" s="5"/>
      <c r="I329" s="5"/>
      <c r="J329" s="5"/>
      <c r="K329" s="31">
        <f>SUM(K325:K328)</f>
        <v>1502.6086145201625</v>
      </c>
      <c r="L329" s="31">
        <f t="shared" ref="L329:O329" si="119">SUM(L325:L328)</f>
        <v>1545.6020050558077</v>
      </c>
      <c r="M329" s="31">
        <f t="shared" si="119"/>
        <v>1575.0037492276851</v>
      </c>
      <c r="N329" s="31">
        <f t="shared" si="119"/>
        <v>1731.9259221818411</v>
      </c>
      <c r="O329" s="31">
        <f t="shared" si="119"/>
        <v>1904.6768308716623</v>
      </c>
    </row>
    <row r="330" spans="1:15" outlineLevel="1">
      <c r="K330" s="29"/>
      <c r="L330" s="29"/>
      <c r="M330" s="29"/>
      <c r="N330" s="29"/>
      <c r="O330" s="29"/>
    </row>
    <row r="331" spans="1:15" outlineLevel="1">
      <c r="C331" t="s">
        <v>327</v>
      </c>
      <c r="K331" s="29">
        <f>SUM(K329,K323)</f>
        <v>1167.4769021301263</v>
      </c>
      <c r="L331" s="29">
        <f t="shared" ref="L331:O331" si="120">SUM(L329,L323)</f>
        <v>1180.1876091418103</v>
      </c>
      <c r="M331" s="29">
        <f t="shared" si="120"/>
        <v>1167.4086632739532</v>
      </c>
      <c r="N331" s="29">
        <f t="shared" si="120"/>
        <v>1279.7296635687121</v>
      </c>
      <c r="O331" s="29">
        <f t="shared" si="120"/>
        <v>1402.085148300102</v>
      </c>
    </row>
    <row r="332" spans="1:15" outlineLevel="1"/>
    <row r="334" spans="1:15">
      <c r="A334" s="115" t="s">
        <v>352</v>
      </c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</row>
    <row r="335" spans="1:15" outlineLevel="1"/>
    <row r="336" spans="1:15" outlineLevel="1">
      <c r="A336" s="2" t="s">
        <v>353</v>
      </c>
      <c r="B336" s="2"/>
      <c r="C336" s="2"/>
      <c r="D336" s="2"/>
      <c r="E336" s="4"/>
      <c r="F336" s="4">
        <f t="shared" ref="F336:J336" si="121">G336-1</f>
        <v>2020</v>
      </c>
      <c r="G336" s="4">
        <f t="shared" si="121"/>
        <v>2021</v>
      </c>
      <c r="H336" s="4">
        <f t="shared" si="121"/>
        <v>2022</v>
      </c>
      <c r="I336" s="4">
        <f t="shared" si="121"/>
        <v>2023</v>
      </c>
      <c r="J336" s="4">
        <f t="shared" si="121"/>
        <v>2024</v>
      </c>
      <c r="K336" s="7">
        <f>K$8</f>
        <v>2025</v>
      </c>
      <c r="L336" s="7">
        <f>L$8</f>
        <v>2026</v>
      </c>
      <c r="M336" s="7">
        <f>M$8</f>
        <v>2027</v>
      </c>
      <c r="N336" s="7">
        <f>N$8</f>
        <v>2028</v>
      </c>
      <c r="O336" s="7">
        <f>O$8</f>
        <v>2029</v>
      </c>
    </row>
    <row r="337" spans="1:15" outlineLevel="1">
      <c r="A337" s="220"/>
      <c r="B337" s="220"/>
      <c r="C337" s="220"/>
      <c r="D337" s="220"/>
      <c r="E337" s="221"/>
      <c r="F337" s="221"/>
      <c r="G337" s="221"/>
      <c r="H337" s="221"/>
      <c r="I337" s="221"/>
      <c r="J337" s="221"/>
      <c r="K337" s="222"/>
      <c r="L337" s="222"/>
      <c r="M337" s="222"/>
      <c r="N337" s="222"/>
      <c r="O337" s="222"/>
    </row>
    <row r="338" spans="1:15" outlineLevel="1">
      <c r="C338" t="s">
        <v>357</v>
      </c>
      <c r="K338" s="8">
        <f>K48</f>
        <v>3</v>
      </c>
      <c r="L338" s="8">
        <f>L48</f>
        <v>2</v>
      </c>
      <c r="M338" s="8">
        <f>M48</f>
        <v>2</v>
      </c>
      <c r="N338" s="8">
        <f>N48</f>
        <v>2</v>
      </c>
      <c r="O338" s="8">
        <f>O48</f>
        <v>2</v>
      </c>
    </row>
    <row r="339" spans="1:15" outlineLevel="1">
      <c r="C339" t="s">
        <v>332</v>
      </c>
      <c r="D339" t="s">
        <v>232</v>
      </c>
      <c r="F339" s="28">
        <f>F208</f>
        <v>13</v>
      </c>
      <c r="G339" s="28">
        <f t="shared" ref="G339:O339" si="122">G208</f>
        <v>20</v>
      </c>
      <c r="H339" s="28">
        <f t="shared" si="122"/>
        <v>23</v>
      </c>
      <c r="I339" s="28">
        <f t="shared" si="122"/>
        <v>23</v>
      </c>
      <c r="J339" s="28">
        <f t="shared" si="122"/>
        <v>29</v>
      </c>
      <c r="K339" s="29">
        <f t="shared" si="122"/>
        <v>26</v>
      </c>
      <c r="L339" s="29">
        <f t="shared" si="122"/>
        <v>27</v>
      </c>
      <c r="M339" s="29">
        <f t="shared" si="122"/>
        <v>27</v>
      </c>
      <c r="N339" s="29">
        <f t="shared" si="122"/>
        <v>27</v>
      </c>
      <c r="O339" s="29">
        <f t="shared" si="122"/>
        <v>27</v>
      </c>
    </row>
    <row r="340" spans="1:15" outlineLevel="1">
      <c r="C340" t="s">
        <v>333</v>
      </c>
      <c r="D340" t="s">
        <v>208</v>
      </c>
      <c r="F340" s="28">
        <f>-F112</f>
        <v>2810</v>
      </c>
      <c r="G340" s="28">
        <f>-G112</f>
        <v>3588</v>
      </c>
      <c r="H340" s="28">
        <f>-H112</f>
        <v>3891</v>
      </c>
      <c r="I340" s="28">
        <f>-I112</f>
        <v>4323</v>
      </c>
      <c r="J340" s="28">
        <f>-J112</f>
        <v>4710</v>
      </c>
      <c r="K340" s="29"/>
      <c r="L340" s="29"/>
      <c r="M340" s="29"/>
      <c r="N340" s="29"/>
      <c r="O340" s="29"/>
    </row>
    <row r="341" spans="1:15" outlineLevel="1">
      <c r="C341" t="s">
        <v>334</v>
      </c>
      <c r="D341" t="s">
        <v>208</v>
      </c>
      <c r="F341" s="28">
        <f>F340/F339</f>
        <v>216.15384615384616</v>
      </c>
      <c r="G341" s="28">
        <f t="shared" ref="G341:J341" si="123">G340/G339</f>
        <v>179.4</v>
      </c>
      <c r="H341" s="28">
        <f t="shared" si="123"/>
        <v>169.17391304347825</v>
      </c>
      <c r="I341" s="28">
        <f t="shared" si="123"/>
        <v>187.95652173913044</v>
      </c>
      <c r="J341" s="28">
        <f t="shared" si="123"/>
        <v>162.41379310344828</v>
      </c>
      <c r="K341" s="29">
        <f>K46</f>
        <v>165.66206896551725</v>
      </c>
      <c r="L341" s="29">
        <f>L46</f>
        <v>168.97531034482759</v>
      </c>
      <c r="M341" s="29">
        <f>M46</f>
        <v>172.35481655172416</v>
      </c>
      <c r="N341" s="29">
        <f>N46</f>
        <v>175.80191288275864</v>
      </c>
      <c r="O341" s="29">
        <f>O46</f>
        <v>179.31795114041381</v>
      </c>
    </row>
    <row r="342" spans="1:15" outlineLevel="1">
      <c r="B342" s="5"/>
      <c r="C342" s="5" t="s">
        <v>358</v>
      </c>
      <c r="D342" s="5"/>
      <c r="E342" s="5"/>
      <c r="F342" s="30"/>
      <c r="G342" s="30"/>
      <c r="H342" s="157"/>
      <c r="I342" s="157"/>
      <c r="J342" s="214"/>
      <c r="K342" s="31">
        <f>K341*K339</f>
        <v>4307.2137931034486</v>
      </c>
      <c r="L342" s="31">
        <f t="shared" ref="L342:O342" si="124">L341*L339</f>
        <v>4562.3333793103448</v>
      </c>
      <c r="M342" s="31">
        <f t="shared" si="124"/>
        <v>4653.5800468965526</v>
      </c>
      <c r="N342" s="31">
        <f t="shared" si="124"/>
        <v>4746.6516478344838</v>
      </c>
      <c r="O342" s="31">
        <f t="shared" si="124"/>
        <v>4841.584680791173</v>
      </c>
    </row>
    <row r="343" spans="1:15" outlineLevel="1">
      <c r="B343" s="178"/>
      <c r="C343" s="173" t="s">
        <v>357</v>
      </c>
      <c r="D343" s="178"/>
      <c r="E343" s="178"/>
      <c r="F343" s="213"/>
      <c r="G343" s="213"/>
      <c r="H343" s="112"/>
      <c r="I343" s="112"/>
      <c r="J343" s="223"/>
      <c r="K343" s="212">
        <f>K338*K341</f>
        <v>496.98620689655172</v>
      </c>
      <c r="L343" s="212">
        <f t="shared" ref="L343:O343" si="125">L338*L341</f>
        <v>337.95062068965518</v>
      </c>
      <c r="M343" s="212">
        <f t="shared" si="125"/>
        <v>344.70963310344831</v>
      </c>
      <c r="N343" s="212">
        <f t="shared" si="125"/>
        <v>351.60382576551729</v>
      </c>
      <c r="O343" s="212">
        <f t="shared" si="125"/>
        <v>358.63590228082762</v>
      </c>
    </row>
    <row r="344" spans="1:15" outlineLevel="1">
      <c r="B344" s="5"/>
      <c r="C344" s="5" t="s">
        <v>335</v>
      </c>
      <c r="D344" s="5" t="s">
        <v>208</v>
      </c>
      <c r="E344" s="5"/>
      <c r="F344" s="30"/>
      <c r="G344" s="30"/>
      <c r="H344" s="30"/>
      <c r="I344" s="30"/>
      <c r="J344" s="30"/>
      <c r="K344" s="31">
        <f>SUM(K342:K343)</f>
        <v>4804.2000000000007</v>
      </c>
      <c r="L344" s="31">
        <f t="shared" ref="L344:O344" si="126">SUM(L342:L343)</f>
        <v>4900.2839999999997</v>
      </c>
      <c r="M344" s="31">
        <f t="shared" si="126"/>
        <v>4998.2896800000008</v>
      </c>
      <c r="N344" s="31">
        <f t="shared" si="126"/>
        <v>5098.2554736000011</v>
      </c>
      <c r="O344" s="31">
        <f t="shared" si="126"/>
        <v>5200.2205830720004</v>
      </c>
    </row>
    <row r="345" spans="1:15" outlineLevel="1">
      <c r="F345" s="28"/>
      <c r="G345" s="28"/>
      <c r="H345" s="28"/>
      <c r="I345" s="28"/>
      <c r="J345" s="28"/>
      <c r="K345" s="29"/>
      <c r="L345" s="29"/>
      <c r="M345" s="29"/>
      <c r="N345" s="29"/>
      <c r="O345" s="29"/>
    </row>
    <row r="346" spans="1:15" outlineLevel="1">
      <c r="C346" t="s">
        <v>336</v>
      </c>
      <c r="F346" s="28">
        <f>E351</f>
        <v>32626</v>
      </c>
      <c r="G346" s="28">
        <f t="shared" ref="G346:O346" si="127">F351</f>
        <v>34703</v>
      </c>
      <c r="H346" s="28">
        <f t="shared" si="127"/>
        <v>37658</v>
      </c>
      <c r="I346" s="28">
        <f t="shared" si="127"/>
        <v>39932</v>
      </c>
      <c r="J346" s="28">
        <f t="shared" si="127"/>
        <v>43369</v>
      </c>
      <c r="K346" s="29">
        <f t="shared" si="127"/>
        <v>46950</v>
      </c>
      <c r="L346" s="29">
        <f t="shared" si="127"/>
        <v>50795</v>
      </c>
      <c r="M346" s="29">
        <f t="shared" si="127"/>
        <v>54736.084000000003</v>
      </c>
      <c r="N346" s="29">
        <f t="shared" si="127"/>
        <v>58775.173680000007</v>
      </c>
      <c r="O346" s="29">
        <f t="shared" si="127"/>
        <v>62914.229153600012</v>
      </c>
    </row>
    <row r="347" spans="1:15" outlineLevel="1">
      <c r="C347" t="s">
        <v>333</v>
      </c>
      <c r="F347" s="28">
        <f>F340</f>
        <v>2810</v>
      </c>
      <c r="G347" s="28">
        <f>G340</f>
        <v>3588</v>
      </c>
      <c r="H347" s="28">
        <f>H340</f>
        <v>3891</v>
      </c>
      <c r="I347" s="28">
        <f>I340</f>
        <v>4323</v>
      </c>
      <c r="J347" s="28">
        <f>J340</f>
        <v>4710</v>
      </c>
      <c r="K347" s="29">
        <f>K344</f>
        <v>4804.2000000000007</v>
      </c>
      <c r="L347" s="29">
        <f t="shared" ref="L347:O347" si="128">L344</f>
        <v>4900.2839999999997</v>
      </c>
      <c r="M347" s="29">
        <f t="shared" si="128"/>
        <v>4998.2896800000008</v>
      </c>
      <c r="N347" s="29">
        <f t="shared" si="128"/>
        <v>5098.2554736000011</v>
      </c>
      <c r="O347" s="29">
        <f t="shared" si="128"/>
        <v>5200.2205830720004</v>
      </c>
    </row>
    <row r="348" spans="1:15" outlineLevel="1">
      <c r="B348" s="5"/>
      <c r="C348" s="5" t="s">
        <v>346</v>
      </c>
      <c r="D348" s="5"/>
      <c r="E348" s="5"/>
      <c r="F348" s="30">
        <f>SUM(F346:F347)</f>
        <v>35436</v>
      </c>
      <c r="G348" s="30">
        <f t="shared" ref="G348:O348" si="129">SUM(G346:G347)</f>
        <v>38291</v>
      </c>
      <c r="H348" s="30">
        <f t="shared" si="129"/>
        <v>41549</v>
      </c>
      <c r="I348" s="30">
        <f t="shared" si="129"/>
        <v>44255</v>
      </c>
      <c r="J348" s="30">
        <f t="shared" si="129"/>
        <v>48079</v>
      </c>
      <c r="K348" s="31">
        <f t="shared" si="129"/>
        <v>51754.2</v>
      </c>
      <c r="L348" s="31">
        <f t="shared" si="129"/>
        <v>55695.284</v>
      </c>
      <c r="M348" s="31">
        <f t="shared" si="129"/>
        <v>59734.373680000004</v>
      </c>
      <c r="N348" s="31">
        <f t="shared" si="129"/>
        <v>63873.429153600009</v>
      </c>
      <c r="O348" s="31">
        <f t="shared" si="129"/>
        <v>68114.449736672017</v>
      </c>
    </row>
    <row r="349" spans="1:15" outlineLevel="1">
      <c r="C349" t="s">
        <v>347</v>
      </c>
      <c r="F349" s="28"/>
      <c r="G349" s="28"/>
      <c r="H349" s="28"/>
      <c r="I349" s="28"/>
      <c r="J349" s="28"/>
      <c r="K349" s="29">
        <f>$J$355</f>
        <v>959.2</v>
      </c>
      <c r="L349" s="29">
        <f t="shared" ref="L349:O349" si="130">$J$355</f>
        <v>959.2</v>
      </c>
      <c r="M349" s="29">
        <f t="shared" si="130"/>
        <v>959.2</v>
      </c>
      <c r="N349" s="29">
        <f t="shared" si="130"/>
        <v>959.2</v>
      </c>
      <c r="O349" s="29">
        <f t="shared" si="130"/>
        <v>959.2</v>
      </c>
    </row>
    <row r="350" spans="1:15" outlineLevel="1">
      <c r="F350" s="28"/>
      <c r="G350" s="28"/>
      <c r="H350" s="28"/>
      <c r="I350" s="28"/>
      <c r="J350" s="28"/>
      <c r="K350" s="29"/>
      <c r="L350" s="29"/>
      <c r="M350" s="29"/>
      <c r="N350" s="29"/>
      <c r="O350" s="29"/>
    </row>
    <row r="351" spans="1:15" outlineLevel="1">
      <c r="C351" t="s">
        <v>336</v>
      </c>
      <c r="D351" t="s">
        <v>208</v>
      </c>
      <c r="E351" s="215">
        <v>32626</v>
      </c>
      <c r="F351" s="215">
        <v>34703</v>
      </c>
      <c r="G351" s="215">
        <v>37658</v>
      </c>
      <c r="H351" s="215">
        <v>39932</v>
      </c>
      <c r="I351" s="215">
        <v>43369</v>
      </c>
      <c r="J351" s="215">
        <v>46950</v>
      </c>
      <c r="K351" s="29">
        <f>K348-K349</f>
        <v>50795</v>
      </c>
      <c r="L351" s="29">
        <f t="shared" ref="L351:O351" si="131">L348-L349</f>
        <v>54736.084000000003</v>
      </c>
      <c r="M351" s="29">
        <f t="shared" si="131"/>
        <v>58775.173680000007</v>
      </c>
      <c r="N351" s="29">
        <f t="shared" si="131"/>
        <v>62914.229153600012</v>
      </c>
      <c r="O351" s="29">
        <f t="shared" si="131"/>
        <v>67155.24973667202</v>
      </c>
    </row>
    <row r="352" spans="1:15" outlineLevel="1">
      <c r="B352" s="5"/>
      <c r="C352" s="5" t="s">
        <v>337</v>
      </c>
      <c r="D352" s="5" t="s">
        <v>208</v>
      </c>
      <c r="E352" s="5"/>
      <c r="F352" s="30">
        <f>F348-F351</f>
        <v>733</v>
      </c>
      <c r="G352" s="30">
        <f t="shared" ref="G352:J352" si="132">G348-G351</f>
        <v>633</v>
      </c>
      <c r="H352" s="30">
        <f t="shared" si="132"/>
        <v>1617</v>
      </c>
      <c r="I352" s="30">
        <f t="shared" si="132"/>
        <v>886</v>
      </c>
      <c r="J352" s="30">
        <f t="shared" si="132"/>
        <v>1129</v>
      </c>
      <c r="K352" s="31"/>
      <c r="L352" s="31"/>
      <c r="M352" s="31"/>
      <c r="N352" s="31"/>
      <c r="O352" s="31"/>
    </row>
    <row r="353" spans="2:15" outlineLevel="1">
      <c r="C353" t="s">
        <v>348</v>
      </c>
      <c r="D353" t="s">
        <v>208</v>
      </c>
      <c r="F353" s="215">
        <v>0</v>
      </c>
      <c r="G353" s="215">
        <v>-84</v>
      </c>
      <c r="H353" s="215">
        <v>-118</v>
      </c>
      <c r="I353" s="215">
        <v>0</v>
      </c>
      <c r="J353" s="215">
        <v>0</v>
      </c>
      <c r="K353" s="29"/>
      <c r="L353" s="29"/>
      <c r="M353" s="29"/>
      <c r="N353" s="29"/>
      <c r="O353" s="29"/>
    </row>
    <row r="354" spans="2:15" outlineLevel="1">
      <c r="B354" s="5"/>
      <c r="C354" s="5" t="s">
        <v>338</v>
      </c>
      <c r="D354" s="5" t="s">
        <v>208</v>
      </c>
      <c r="E354" s="5"/>
      <c r="F354" s="30">
        <f t="shared" ref="F354:G354" si="133">F352+F353</f>
        <v>733</v>
      </c>
      <c r="G354" s="30">
        <f t="shared" si="133"/>
        <v>549</v>
      </c>
      <c r="H354" s="30">
        <f>H352+H353</f>
        <v>1499</v>
      </c>
      <c r="I354" s="30">
        <f t="shared" ref="I354:J354" si="134">I352+I353</f>
        <v>886</v>
      </c>
      <c r="J354" s="30">
        <f t="shared" si="134"/>
        <v>1129</v>
      </c>
      <c r="K354" s="31"/>
      <c r="L354" s="31"/>
      <c r="M354" s="31"/>
      <c r="N354" s="31"/>
      <c r="O354" s="31"/>
    </row>
    <row r="355" spans="2:15" outlineLevel="1">
      <c r="B355" s="178"/>
      <c r="C355" s="173" t="s">
        <v>350</v>
      </c>
      <c r="D355" s="173" t="s">
        <v>208</v>
      </c>
      <c r="E355" s="178"/>
      <c r="F355" s="213"/>
      <c r="G355" s="213"/>
      <c r="H355" s="213"/>
      <c r="I355" s="213"/>
      <c r="J355" s="213">
        <f>AVERAGE(F354:J354)</f>
        <v>959.2</v>
      </c>
      <c r="K355" s="212"/>
      <c r="L355" s="212"/>
      <c r="M355" s="212"/>
      <c r="N355" s="212"/>
      <c r="O355" s="212"/>
    </row>
    <row r="356" spans="2:15" outlineLevel="1">
      <c r="F356" s="28"/>
      <c r="G356" s="28"/>
      <c r="H356" s="28"/>
      <c r="I356" s="28"/>
      <c r="J356" s="28"/>
      <c r="K356" s="29"/>
      <c r="L356" s="29"/>
      <c r="M356" s="29"/>
      <c r="N356" s="29"/>
      <c r="O356" s="29"/>
    </row>
    <row r="357" spans="2:15" outlineLevel="1">
      <c r="C357" t="s">
        <v>339</v>
      </c>
      <c r="D357" t="s">
        <v>208</v>
      </c>
      <c r="F357" s="28">
        <f>(E351+F351)/2</f>
        <v>33664.5</v>
      </c>
      <c r="G357" s="28">
        <f t="shared" ref="G357:O357" si="135">(F351+G351)/2</f>
        <v>36180.5</v>
      </c>
      <c r="H357" s="28">
        <f t="shared" si="135"/>
        <v>38795</v>
      </c>
      <c r="I357" s="28">
        <f t="shared" si="135"/>
        <v>41650.5</v>
      </c>
      <c r="J357" s="28">
        <f t="shared" si="135"/>
        <v>45159.5</v>
      </c>
      <c r="K357" s="29">
        <f t="shared" si="135"/>
        <v>48872.5</v>
      </c>
      <c r="L357" s="29">
        <f t="shared" si="135"/>
        <v>52765.542000000001</v>
      </c>
      <c r="M357" s="29">
        <f t="shared" si="135"/>
        <v>56755.628840000005</v>
      </c>
      <c r="N357" s="29">
        <f t="shared" si="135"/>
        <v>60844.70141680001</v>
      </c>
      <c r="O357" s="29">
        <f t="shared" si="135"/>
        <v>65034.739445136016</v>
      </c>
    </row>
    <row r="358" spans="2:15" outlineLevel="1">
      <c r="C358" t="s">
        <v>340</v>
      </c>
      <c r="D358" t="s">
        <v>208</v>
      </c>
      <c r="F358" s="28">
        <f>-F101</f>
        <v>-1645</v>
      </c>
      <c r="G358" s="28">
        <f>-G101</f>
        <v>-1781</v>
      </c>
      <c r="H358" s="28">
        <f>-H101</f>
        <v>-1900</v>
      </c>
      <c r="I358" s="28">
        <f>-I101</f>
        <v>-2077</v>
      </c>
      <c r="J358" s="28">
        <f>-J101</f>
        <v>-2237</v>
      </c>
      <c r="K358" s="29"/>
      <c r="L358" s="29"/>
      <c r="M358" s="29"/>
      <c r="N358" s="29"/>
      <c r="O358" s="29"/>
    </row>
    <row r="359" spans="2:15" outlineLevel="1">
      <c r="B359" s="5"/>
      <c r="C359" s="5" t="s">
        <v>341</v>
      </c>
      <c r="D359" s="5" t="s">
        <v>216</v>
      </c>
      <c r="E359" s="5"/>
      <c r="F359" s="157">
        <f>-F358/F357</f>
        <v>4.8864530885651056E-2</v>
      </c>
      <c r="G359" s="157">
        <f t="shared" ref="G359:J359" si="136">-G358/G357</f>
        <v>4.9225411478558891E-2</v>
      </c>
      <c r="H359" s="157">
        <f t="shared" si="136"/>
        <v>4.8975383425699189E-2</v>
      </c>
      <c r="I359" s="157">
        <f t="shared" si="136"/>
        <v>4.9867348531230114E-2</v>
      </c>
      <c r="J359" s="157">
        <f t="shared" si="136"/>
        <v>4.953553515871522E-2</v>
      </c>
      <c r="K359" s="31"/>
      <c r="L359" s="31"/>
      <c r="M359" s="31"/>
      <c r="N359" s="31"/>
      <c r="O359" s="31"/>
    </row>
    <row r="360" spans="2:15" outlineLevel="1">
      <c r="B360" s="178"/>
      <c r="C360" s="173" t="s">
        <v>351</v>
      </c>
      <c r="D360" s="178"/>
      <c r="E360" s="178"/>
      <c r="F360" s="112"/>
      <c r="G360" s="112"/>
      <c r="H360" s="112"/>
      <c r="I360" s="112"/>
      <c r="J360" s="112">
        <f>AVERAGE(F359:J359)</f>
        <v>4.9293641895970894E-2</v>
      </c>
      <c r="K360" s="212"/>
      <c r="L360" s="212"/>
      <c r="M360" s="212"/>
      <c r="N360" s="212"/>
      <c r="O360" s="212"/>
    </row>
    <row r="361" spans="2:15" outlineLevel="1">
      <c r="F361" s="28"/>
      <c r="G361" s="28"/>
      <c r="H361" s="28"/>
      <c r="I361" s="28"/>
      <c r="J361" s="28"/>
      <c r="K361" s="8"/>
      <c r="L361" s="8"/>
      <c r="M361" s="8"/>
      <c r="N361" s="8"/>
      <c r="O361" s="8"/>
    </row>
    <row r="362" spans="2:15" outlineLevel="1">
      <c r="C362" t="s">
        <v>342</v>
      </c>
      <c r="D362" t="s">
        <v>208</v>
      </c>
      <c r="F362" s="28"/>
      <c r="G362" s="28"/>
      <c r="H362" s="28"/>
      <c r="I362" s="28"/>
      <c r="J362" s="28"/>
      <c r="K362" s="29">
        <f>-K357*$J$360</f>
        <v>-2409.1035135608377</v>
      </c>
      <c r="L362" s="29">
        <f>-L357*$J$360</f>
        <v>-2601.0057317948117</v>
      </c>
      <c r="M362" s="29">
        <f>-M357*$J$360</f>
        <v>-2797.6916436195984</v>
      </c>
      <c r="N362" s="29">
        <f>-N357*$J$360</f>
        <v>-2999.2569229070127</v>
      </c>
      <c r="O362" s="29">
        <f>-O357*$J$360</f>
        <v>-3205.7991570063077</v>
      </c>
    </row>
    <row r="363" spans="2:15" outlineLevel="1">
      <c r="F363" s="28"/>
      <c r="G363" s="28"/>
      <c r="H363" s="28"/>
      <c r="I363" s="28"/>
      <c r="J363" s="28"/>
      <c r="K363" s="29"/>
      <c r="L363" s="29"/>
      <c r="M363" s="29"/>
      <c r="N363" s="29"/>
      <c r="O363" s="29"/>
    </row>
    <row r="364" spans="2:15" outlineLevel="1">
      <c r="C364" t="s">
        <v>343</v>
      </c>
      <c r="D364" t="s">
        <v>208</v>
      </c>
      <c r="F364" s="28"/>
      <c r="G364" s="28"/>
      <c r="H364" s="28"/>
      <c r="I364" s="28"/>
      <c r="J364" s="28"/>
      <c r="K364" s="29">
        <f>J367</f>
        <v>29032</v>
      </c>
      <c r="L364" s="29">
        <f t="shared" ref="L364:O364" si="137">K367</f>
        <v>31427.096486439161</v>
      </c>
      <c r="M364" s="29">
        <f t="shared" si="137"/>
        <v>33726.374754644348</v>
      </c>
      <c r="N364" s="29">
        <f t="shared" si="137"/>
        <v>35926.972791024753</v>
      </c>
      <c r="O364" s="29">
        <f t="shared" si="137"/>
        <v>38025.971341717741</v>
      </c>
    </row>
    <row r="365" spans="2:15" outlineLevel="1">
      <c r="C365" t="s">
        <v>344</v>
      </c>
      <c r="D365" t="s">
        <v>208</v>
      </c>
      <c r="F365" s="28"/>
      <c r="G365" s="28"/>
      <c r="H365" s="28"/>
      <c r="I365" s="28"/>
      <c r="J365" s="28"/>
      <c r="K365" s="29">
        <f>K347</f>
        <v>4804.2000000000007</v>
      </c>
      <c r="L365" s="29">
        <f t="shared" ref="L365:O365" si="138">L347</f>
        <v>4900.2839999999997</v>
      </c>
      <c r="M365" s="29">
        <f t="shared" si="138"/>
        <v>4998.2896800000008</v>
      </c>
      <c r="N365" s="29">
        <f t="shared" si="138"/>
        <v>5098.2554736000011</v>
      </c>
      <c r="O365" s="29">
        <f t="shared" si="138"/>
        <v>5200.2205830720004</v>
      </c>
    </row>
    <row r="366" spans="2:15" outlineLevel="1">
      <c r="C366" t="s">
        <v>345</v>
      </c>
      <c r="D366" t="s">
        <v>208</v>
      </c>
      <c r="F366" s="28"/>
      <c r="G366" s="28"/>
      <c r="H366" s="28"/>
      <c r="I366" s="28"/>
      <c r="J366" s="28"/>
      <c r="K366" s="29">
        <f>K362</f>
        <v>-2409.1035135608377</v>
      </c>
      <c r="L366" s="29">
        <f t="shared" ref="L366:O366" si="139">L362</f>
        <v>-2601.0057317948117</v>
      </c>
      <c r="M366" s="29">
        <f t="shared" si="139"/>
        <v>-2797.6916436195984</v>
      </c>
      <c r="N366" s="29">
        <f t="shared" si="139"/>
        <v>-2999.2569229070127</v>
      </c>
      <c r="O366" s="29">
        <f t="shared" si="139"/>
        <v>-3205.7991570063077</v>
      </c>
    </row>
    <row r="367" spans="2:15" outlineLevel="1">
      <c r="B367" s="5"/>
      <c r="C367" s="5" t="s">
        <v>349</v>
      </c>
      <c r="D367" s="5" t="s">
        <v>208</v>
      </c>
      <c r="E367" s="5"/>
      <c r="F367" s="30"/>
      <c r="G367" s="30"/>
      <c r="H367" s="30"/>
      <c r="I367" s="30"/>
      <c r="J367" s="216">
        <v>29032</v>
      </c>
      <c r="K367" s="31">
        <f>SUM(K364:K366)</f>
        <v>31427.096486439161</v>
      </c>
      <c r="L367" s="31">
        <f t="shared" ref="L367:O367" si="140">SUM(L364:L366)</f>
        <v>33726.374754644348</v>
      </c>
      <c r="M367" s="31">
        <f t="shared" si="140"/>
        <v>35926.972791024753</v>
      </c>
      <c r="N367" s="31">
        <f t="shared" si="140"/>
        <v>38025.971341717741</v>
      </c>
      <c r="O367" s="31">
        <f t="shared" si="140"/>
        <v>40020.392767783429</v>
      </c>
    </row>
    <row r="368" spans="2:15" outlineLevel="1">
      <c r="F368" s="28"/>
      <c r="G368" s="28"/>
      <c r="H368" s="28"/>
      <c r="I368" s="28"/>
      <c r="J368" s="28"/>
      <c r="K368" s="28"/>
      <c r="L368" s="28"/>
      <c r="M368" s="28"/>
      <c r="N368" s="28"/>
      <c r="O368" s="28"/>
    </row>
    <row r="369" spans="1:16">
      <c r="F369" s="28"/>
      <c r="G369" s="28"/>
      <c r="H369" s="28"/>
      <c r="I369" s="28"/>
      <c r="J369" s="28"/>
      <c r="K369" s="28"/>
      <c r="L369" s="28"/>
      <c r="M369" s="28"/>
      <c r="N369" s="28"/>
      <c r="O369" s="28"/>
    </row>
    <row r="370" spans="1:16">
      <c r="A370" s="115" t="s">
        <v>354</v>
      </c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</row>
    <row r="371" spans="1:16" outlineLevel="1"/>
    <row r="372" spans="1:16" outlineLevel="1">
      <c r="A372" s="2"/>
      <c r="B372" s="2"/>
      <c r="C372" s="2"/>
      <c r="D372" s="2"/>
      <c r="E372" s="4">
        <f t="shared" ref="E372:J372" si="141">F372-1</f>
        <v>2019</v>
      </c>
      <c r="F372" s="4">
        <f t="shared" si="141"/>
        <v>2020</v>
      </c>
      <c r="G372" s="4">
        <f t="shared" si="141"/>
        <v>2021</v>
      </c>
      <c r="H372" s="4">
        <f t="shared" si="141"/>
        <v>2022</v>
      </c>
      <c r="I372" s="4">
        <f t="shared" si="141"/>
        <v>2023</v>
      </c>
      <c r="J372" s="4">
        <f t="shared" si="141"/>
        <v>2024</v>
      </c>
      <c r="K372" s="7">
        <f>K$8</f>
        <v>2025</v>
      </c>
      <c r="L372" s="7">
        <f>L$8</f>
        <v>2026</v>
      </c>
      <c r="M372" s="7">
        <f>M$8</f>
        <v>2027</v>
      </c>
      <c r="N372" s="7">
        <f>N$8</f>
        <v>2028</v>
      </c>
      <c r="O372" s="7">
        <f>O$8</f>
        <v>2029</v>
      </c>
      <c r="P372" s="7">
        <f>P$8</f>
        <v>2030</v>
      </c>
    </row>
    <row r="373" spans="1:16" outlineLevel="1">
      <c r="K373" s="8"/>
      <c r="L373" s="8"/>
      <c r="M373" s="8"/>
      <c r="N373" s="8"/>
      <c r="O373" s="8"/>
      <c r="P373" s="8"/>
    </row>
    <row r="374" spans="1:16" outlineLevel="1">
      <c r="B374" s="1" t="s">
        <v>364</v>
      </c>
      <c r="K374" s="8"/>
      <c r="L374" s="8"/>
      <c r="M374" s="8"/>
      <c r="N374" s="8"/>
      <c r="O374" s="8"/>
      <c r="P374" s="8"/>
    </row>
    <row r="375" spans="1:16" outlineLevel="1">
      <c r="C375" t="s">
        <v>365</v>
      </c>
      <c r="E375" s="32">
        <v>8384</v>
      </c>
      <c r="F375" s="28">
        <f>F140</f>
        <v>12277</v>
      </c>
      <c r="G375" s="28">
        <f>G140</f>
        <v>11258</v>
      </c>
      <c r="H375" s="28">
        <f>H140</f>
        <v>10203</v>
      </c>
      <c r="I375" s="28">
        <f>I140</f>
        <v>13700</v>
      </c>
      <c r="J375" s="28">
        <f>J140</f>
        <v>9906</v>
      </c>
      <c r="K375" s="29">
        <f ca="1">K140</f>
        <v>16576.541899792224</v>
      </c>
      <c r="L375" s="29">
        <f ca="1">L140</f>
        <v>24431.437336090508</v>
      </c>
      <c r="M375" s="29">
        <f ca="1">M140</f>
        <v>31378.076620848809</v>
      </c>
      <c r="N375" s="29">
        <f ca="1">N140</f>
        <v>42029.027735611344</v>
      </c>
      <c r="O375" s="29">
        <f ca="1">O140</f>
        <v>54202.151302364175</v>
      </c>
      <c r="P375" s="8"/>
    </row>
    <row r="376" spans="1:16" outlineLevel="1">
      <c r="C376" t="s">
        <v>366</v>
      </c>
      <c r="E376" s="32">
        <v>1060</v>
      </c>
      <c r="F376" s="28">
        <f>F141</f>
        <v>1028</v>
      </c>
      <c r="G376" s="28">
        <f>G141</f>
        <v>917</v>
      </c>
      <c r="H376" s="28">
        <f>H141</f>
        <v>846</v>
      </c>
      <c r="I376" s="28">
        <f>I141</f>
        <v>1534</v>
      </c>
      <c r="J376" s="28">
        <f>J141</f>
        <v>1238</v>
      </c>
      <c r="K376" s="29">
        <f>$J$376</f>
        <v>1238</v>
      </c>
      <c r="L376" s="29">
        <f t="shared" ref="L376:O376" si="142">$J$376</f>
        <v>1238</v>
      </c>
      <c r="M376" s="29">
        <f t="shared" si="142"/>
        <v>1238</v>
      </c>
      <c r="N376" s="29">
        <f t="shared" si="142"/>
        <v>1238</v>
      </c>
      <c r="O376" s="29">
        <f t="shared" si="142"/>
        <v>1238</v>
      </c>
      <c r="P376" s="8"/>
    </row>
    <row r="377" spans="1:16" outlineLevel="1">
      <c r="B377" s="5"/>
      <c r="C377" s="5" t="s">
        <v>367</v>
      </c>
      <c r="D377" s="5"/>
      <c r="E377" s="30">
        <f>SUM(E375:E376)</f>
        <v>9444</v>
      </c>
      <c r="F377" s="30">
        <f t="shared" ref="F377:O377" si="143">SUM(F375:F376)</f>
        <v>13305</v>
      </c>
      <c r="G377" s="30">
        <f t="shared" si="143"/>
        <v>12175</v>
      </c>
      <c r="H377" s="30">
        <f t="shared" si="143"/>
        <v>11049</v>
      </c>
      <c r="I377" s="30">
        <f t="shared" si="143"/>
        <v>15234</v>
      </c>
      <c r="J377" s="30">
        <f t="shared" si="143"/>
        <v>11144</v>
      </c>
      <c r="K377" s="31">
        <f t="shared" ca="1" si="143"/>
        <v>17814.541899792224</v>
      </c>
      <c r="L377" s="31">
        <f t="shared" ca="1" si="143"/>
        <v>25669.437336090508</v>
      </c>
      <c r="M377" s="31">
        <f t="shared" ca="1" si="143"/>
        <v>32616.076620848809</v>
      </c>
      <c r="N377" s="31">
        <f t="shared" ca="1" si="143"/>
        <v>43267.027735611344</v>
      </c>
      <c r="O377" s="31">
        <f t="shared" ca="1" si="143"/>
        <v>55440.151302364175</v>
      </c>
      <c r="P377" s="8"/>
    </row>
    <row r="378" spans="1:16" outlineLevel="1">
      <c r="C378" s="173" t="s">
        <v>368</v>
      </c>
      <c r="E378" s="28"/>
      <c r="F378" s="28">
        <f>AVERAGE(E377:F377)</f>
        <v>11374.5</v>
      </c>
      <c r="G378" s="28">
        <f>AVERAGE(F377:G377)</f>
        <v>12740</v>
      </c>
      <c r="H378" s="28">
        <f>AVERAGE(G377:H377)</f>
        <v>11612</v>
      </c>
      <c r="I378" s="28">
        <f>AVERAGE(H377:I377)</f>
        <v>13141.5</v>
      </c>
      <c r="J378" s="28">
        <f>AVERAGE(I377:J377)</f>
        <v>13189</v>
      </c>
      <c r="K378" s="29">
        <f ca="1">AVERAGE(J377:K377)</f>
        <v>14479.270949896112</v>
      </c>
      <c r="L378" s="29">
        <f ca="1">AVERAGE(K377:L377)</f>
        <v>21741.989617941366</v>
      </c>
      <c r="M378" s="29">
        <f ca="1">AVERAGE(L377:M377)</f>
        <v>29142.756978469661</v>
      </c>
      <c r="N378" s="29">
        <f ca="1">AVERAGE(M377:N377)</f>
        <v>37941.552178230078</v>
      </c>
      <c r="O378" s="29">
        <f ca="1">AVERAGE(N377:O377)</f>
        <v>49353.589518987763</v>
      </c>
      <c r="P378" s="8"/>
    </row>
    <row r="379" spans="1:16" outlineLevel="1">
      <c r="E379" s="28"/>
      <c r="F379" s="28"/>
      <c r="G379" s="28"/>
      <c r="H379" s="28"/>
      <c r="I379" s="28"/>
      <c r="J379" s="28"/>
      <c r="K379" s="29"/>
      <c r="L379" s="29"/>
      <c r="M379" s="29"/>
      <c r="N379" s="29"/>
      <c r="O379" s="29"/>
      <c r="P379" s="8"/>
    </row>
    <row r="380" spans="1:16" outlineLevel="1">
      <c r="C380" t="s">
        <v>369</v>
      </c>
      <c r="E380" s="28"/>
      <c r="F380" s="108">
        <f t="shared" ref="F380:I380" si="144">F382/F378</f>
        <v>7.8245197591102905E-3</v>
      </c>
      <c r="G380" s="108">
        <f t="shared" si="144"/>
        <v>3.218210361067504E-3</v>
      </c>
      <c r="H380" s="108">
        <f t="shared" si="144"/>
        <v>5.2531863589390286E-3</v>
      </c>
      <c r="I380" s="108">
        <f t="shared" si="144"/>
        <v>3.5764562645055738E-2</v>
      </c>
      <c r="J380" s="108">
        <f>J382/J378</f>
        <v>4.0412464932898629E-2</v>
      </c>
      <c r="K380" s="114">
        <f>K51</f>
        <v>3.3300000000000003E-2</v>
      </c>
      <c r="L380" s="114">
        <f>L51</f>
        <v>2.3300000000000001E-2</v>
      </c>
      <c r="M380" s="114">
        <f>M51</f>
        <v>1.4999999999999999E-2</v>
      </c>
      <c r="N380" s="114">
        <f>N51</f>
        <v>0.01</v>
      </c>
      <c r="O380" s="114">
        <f>O51</f>
        <v>0.01</v>
      </c>
      <c r="P380" s="8"/>
    </row>
    <row r="381" spans="1:16" outlineLevel="1">
      <c r="C381" t="s">
        <v>370</v>
      </c>
      <c r="E381" s="28"/>
      <c r="F381" s="28">
        <f>F81</f>
        <v>92</v>
      </c>
      <c r="G381" s="28">
        <f>G81</f>
        <v>143</v>
      </c>
      <c r="H381" s="28">
        <f>H81</f>
        <v>205</v>
      </c>
      <c r="I381" s="28">
        <f>I81</f>
        <v>533</v>
      </c>
      <c r="J381" s="28">
        <f>J81</f>
        <v>624</v>
      </c>
      <c r="K381" s="29"/>
      <c r="L381" s="29"/>
      <c r="M381" s="29"/>
      <c r="N381" s="29"/>
      <c r="O381" s="29"/>
      <c r="P381" s="8"/>
    </row>
    <row r="382" spans="1:16" outlineLevel="1">
      <c r="C382" t="s">
        <v>371</v>
      </c>
      <c r="E382" s="28"/>
      <c r="F382" s="32">
        <v>89</v>
      </c>
      <c r="G382" s="32">
        <v>41</v>
      </c>
      <c r="H382" s="32">
        <v>61</v>
      </c>
      <c r="I382" s="32">
        <v>470</v>
      </c>
      <c r="J382" s="32">
        <v>533</v>
      </c>
      <c r="K382" s="228">
        <f>IF($D$10=1,J378*K380,K378*K380)</f>
        <v>439.19370000000004</v>
      </c>
      <c r="L382" s="228">
        <f t="shared" ref="L382:O382" ca="1" si="145">IF($D$10=1,K378*L380,L378*L380)</f>
        <v>337.36701313257942</v>
      </c>
      <c r="M382" s="228">
        <f t="shared" ca="1" si="145"/>
        <v>326.1298442691205</v>
      </c>
      <c r="N382" s="228">
        <f t="shared" ca="1" si="145"/>
        <v>291.42756978469663</v>
      </c>
      <c r="O382" s="228">
        <f t="shared" ca="1" si="145"/>
        <v>379.4155217823008</v>
      </c>
      <c r="P382" s="8"/>
    </row>
    <row r="383" spans="1:16" outlineLevel="1">
      <c r="B383" s="5"/>
      <c r="C383" s="5" t="s">
        <v>372</v>
      </c>
      <c r="D383" s="5"/>
      <c r="E383" s="30"/>
      <c r="F383" s="30">
        <f>F381-F382</f>
        <v>3</v>
      </c>
      <c r="G383" s="30">
        <f t="shared" ref="G383:J383" si="146">G381-G382</f>
        <v>102</v>
      </c>
      <c r="H383" s="30">
        <f t="shared" si="146"/>
        <v>144</v>
      </c>
      <c r="I383" s="30">
        <f t="shared" si="146"/>
        <v>63</v>
      </c>
      <c r="J383" s="30">
        <f t="shared" si="146"/>
        <v>91</v>
      </c>
      <c r="K383" s="31"/>
      <c r="L383" s="31"/>
      <c r="M383" s="31"/>
      <c r="N383" s="31"/>
      <c r="O383" s="31"/>
      <c r="P383" s="8"/>
    </row>
    <row r="384" spans="1:16" outlineLevel="1">
      <c r="E384" s="28"/>
      <c r="F384" s="28"/>
      <c r="G384" s="28"/>
      <c r="H384" s="28"/>
      <c r="I384" s="28"/>
      <c r="J384" s="28">
        <f>AVERAGE(F383:J383)</f>
        <v>80.599999999999994</v>
      </c>
      <c r="K384" s="29">
        <f>$J$384</f>
        <v>80.599999999999994</v>
      </c>
      <c r="L384" s="29">
        <f t="shared" ref="L384:O384" si="147">$J$384</f>
        <v>80.599999999999994</v>
      </c>
      <c r="M384" s="29">
        <f t="shared" si="147"/>
        <v>80.599999999999994</v>
      </c>
      <c r="N384" s="29">
        <f t="shared" si="147"/>
        <v>80.599999999999994</v>
      </c>
      <c r="O384" s="29">
        <f t="shared" si="147"/>
        <v>80.599999999999994</v>
      </c>
      <c r="P384" s="8"/>
    </row>
    <row r="385" spans="2:16" ht="15" outlineLevel="1" thickBot="1">
      <c r="B385" s="33"/>
      <c r="C385" s="33" t="s">
        <v>373</v>
      </c>
      <c r="D385" s="33"/>
      <c r="E385" s="100"/>
      <c r="F385" s="100"/>
      <c r="G385" s="100"/>
      <c r="H385" s="100"/>
      <c r="I385" s="100"/>
      <c r="J385" s="100"/>
      <c r="K385" s="101">
        <f>K382+K384</f>
        <v>519.79370000000006</v>
      </c>
      <c r="L385" s="101">
        <f t="shared" ref="L385:O385" ca="1" si="148">L382+L384</f>
        <v>417.96701313257938</v>
      </c>
      <c r="M385" s="101">
        <f t="shared" ca="1" si="148"/>
        <v>406.72984426912046</v>
      </c>
      <c r="N385" s="101">
        <f t="shared" ca="1" si="148"/>
        <v>372.02756978469665</v>
      </c>
      <c r="O385" s="101">
        <f t="shared" ca="1" si="148"/>
        <v>460.01552178230077</v>
      </c>
      <c r="P385" s="8"/>
    </row>
    <row r="386" spans="2:16" ht="15" outlineLevel="1" thickTop="1">
      <c r="B386" s="178"/>
      <c r="C386" s="178"/>
      <c r="D386" s="178"/>
      <c r="E386" s="213"/>
      <c r="F386" s="213"/>
      <c r="G386" s="213"/>
      <c r="H386" s="213"/>
      <c r="I386" s="213"/>
      <c r="J386" s="213"/>
      <c r="K386" s="212"/>
      <c r="L386" s="212"/>
      <c r="M386" s="212"/>
      <c r="N386" s="212"/>
      <c r="O386" s="212"/>
      <c r="P386" s="8"/>
    </row>
    <row r="387" spans="2:16" outlineLevel="1">
      <c r="B387" s="220" t="s">
        <v>393</v>
      </c>
      <c r="C387" s="178"/>
      <c r="D387" s="178"/>
      <c r="E387" s="213"/>
      <c r="F387" s="213"/>
      <c r="G387" s="213"/>
      <c r="H387" s="213"/>
      <c r="I387" s="213"/>
      <c r="J387" s="213"/>
      <c r="K387" s="212"/>
      <c r="L387" s="212"/>
      <c r="M387" s="212"/>
      <c r="N387" s="212"/>
      <c r="O387" s="212"/>
      <c r="P387" s="8"/>
    </row>
    <row r="388" spans="2:16" outlineLevel="1">
      <c r="B388" s="178"/>
      <c r="C388" s="178" t="s">
        <v>394</v>
      </c>
      <c r="D388" s="178"/>
      <c r="E388" s="213"/>
      <c r="F388" s="213"/>
      <c r="G388" s="213"/>
      <c r="H388" s="213"/>
      <c r="I388" s="213"/>
      <c r="J388" s="213"/>
      <c r="K388" s="212">
        <f>K127</f>
        <v>9906</v>
      </c>
      <c r="L388" s="212">
        <f ca="1">L127</f>
        <v>16576.541899792224</v>
      </c>
      <c r="M388" s="212">
        <f ca="1">M127</f>
        <v>24431.437336090508</v>
      </c>
      <c r="N388" s="212">
        <f ca="1">N127</f>
        <v>31378.076620848809</v>
      </c>
      <c r="O388" s="212">
        <f ca="1">O127</f>
        <v>42029.027735611344</v>
      </c>
      <c r="P388" s="8"/>
    </row>
    <row r="389" spans="2:16" outlineLevel="1">
      <c r="B389" s="178"/>
      <c r="C389" s="178" t="s">
        <v>395</v>
      </c>
      <c r="D389" s="178"/>
      <c r="E389" s="213"/>
      <c r="F389" s="213"/>
      <c r="G389" s="213"/>
      <c r="H389" s="213"/>
      <c r="I389" s="213"/>
      <c r="J389" s="213"/>
      <c r="K389" s="212">
        <f>-K56</f>
        <v>-9030</v>
      </c>
      <c r="L389" s="212">
        <f>-L56</f>
        <v>-9295</v>
      </c>
      <c r="M389" s="212">
        <f>-M56</f>
        <v>-9565</v>
      </c>
      <c r="N389" s="212">
        <f>-N56</f>
        <v>-9835</v>
      </c>
      <c r="O389" s="212">
        <f>-O56</f>
        <v>-10105</v>
      </c>
      <c r="P389" s="8"/>
    </row>
    <row r="390" spans="2:16" outlineLevel="1">
      <c r="B390" s="178"/>
      <c r="C390" s="173" t="s">
        <v>396</v>
      </c>
      <c r="D390" s="178"/>
      <c r="E390" s="213"/>
      <c r="F390" s="213"/>
      <c r="G390" s="213"/>
      <c r="H390" s="213"/>
      <c r="I390" s="213"/>
      <c r="J390" s="213"/>
      <c r="K390" s="212">
        <f ca="1">K109+K114+K117+K118+K119+K121+K122</f>
        <v>6670.5418997922243</v>
      </c>
      <c r="L390" s="212">
        <f t="shared" ref="L390:O390" ca="1" si="149">L109+L114+L117+L118+L119+L121+L122</f>
        <v>7854.895436298284</v>
      </c>
      <c r="M390" s="212">
        <f t="shared" ca="1" si="149"/>
        <v>6946.6392847583011</v>
      </c>
      <c r="N390" s="212">
        <f t="shared" ca="1" si="149"/>
        <v>10650.951114762534</v>
      </c>
      <c r="O390" s="212">
        <f t="shared" ca="1" si="149"/>
        <v>12173.123566752827</v>
      </c>
      <c r="P390" s="8"/>
    </row>
    <row r="391" spans="2:16" outlineLevel="1">
      <c r="B391" s="5"/>
      <c r="C391" s="224" t="s">
        <v>397</v>
      </c>
      <c r="D391" s="5"/>
      <c r="E391" s="30"/>
      <c r="F391" s="30"/>
      <c r="G391" s="30"/>
      <c r="H391" s="30"/>
      <c r="I391" s="30"/>
      <c r="J391" s="30"/>
      <c r="K391" s="31">
        <f ca="1">SUM(K388:K390)</f>
        <v>7546.5418997922243</v>
      </c>
      <c r="L391" s="31">
        <f t="shared" ref="L391:O391" ca="1" si="150">SUM(L388:L390)</f>
        <v>15136.437336090508</v>
      </c>
      <c r="M391" s="31">
        <f t="shared" ca="1" si="150"/>
        <v>21813.076620848809</v>
      </c>
      <c r="N391" s="31">
        <f t="shared" ca="1" si="150"/>
        <v>32194.027735611344</v>
      </c>
      <c r="O391" s="31">
        <f t="shared" ca="1" si="150"/>
        <v>44097.151302364175</v>
      </c>
      <c r="P391" s="8"/>
    </row>
    <row r="392" spans="2:16" outlineLevel="1">
      <c r="B392" s="178"/>
      <c r="C392" s="178"/>
      <c r="D392" s="178"/>
      <c r="E392" s="213"/>
      <c r="F392" s="213"/>
      <c r="G392" s="213"/>
      <c r="H392" s="213"/>
      <c r="I392" s="213"/>
      <c r="J392" s="213"/>
      <c r="K392" s="212"/>
      <c r="L392" s="212"/>
      <c r="M392" s="212"/>
      <c r="N392" s="212"/>
      <c r="O392" s="212"/>
      <c r="P392" s="8"/>
    </row>
    <row r="393" spans="2:16" outlineLevel="1">
      <c r="B393" s="178"/>
      <c r="C393" s="173" t="s">
        <v>398</v>
      </c>
      <c r="D393" s="178"/>
      <c r="E393" s="213"/>
      <c r="F393" s="213"/>
      <c r="G393" s="213"/>
      <c r="H393" s="213"/>
      <c r="I393" s="213"/>
      <c r="J393" s="213"/>
      <c r="K393" s="212">
        <f>J395</f>
        <v>0</v>
      </c>
      <c r="L393" s="212">
        <f t="shared" ref="L393:O393" ca="1" si="151">K395</f>
        <v>0</v>
      </c>
      <c r="M393" s="212">
        <f t="shared" ca="1" si="151"/>
        <v>0</v>
      </c>
      <c r="N393" s="212">
        <f t="shared" ca="1" si="151"/>
        <v>0</v>
      </c>
      <c r="O393" s="212">
        <f t="shared" ca="1" si="151"/>
        <v>0</v>
      </c>
      <c r="P393" s="8"/>
    </row>
    <row r="394" spans="2:16" outlineLevel="1">
      <c r="B394" s="178"/>
      <c r="C394" s="173" t="s">
        <v>399</v>
      </c>
      <c r="D394" s="178"/>
      <c r="E394" s="213"/>
      <c r="F394" s="213"/>
      <c r="G394" s="213"/>
      <c r="H394" s="213"/>
      <c r="I394" s="213"/>
      <c r="J394" s="213"/>
      <c r="K394" s="212">
        <f ca="1">-(MIN(K393,K391))</f>
        <v>0</v>
      </c>
      <c r="L394" s="212">
        <f t="shared" ref="L394:O394" ca="1" si="152">-(MIN(L393,L391))</f>
        <v>0</v>
      </c>
      <c r="M394" s="212">
        <f t="shared" ca="1" si="152"/>
        <v>0</v>
      </c>
      <c r="N394" s="212">
        <f t="shared" ca="1" si="152"/>
        <v>0</v>
      </c>
      <c r="O394" s="212">
        <f t="shared" ca="1" si="152"/>
        <v>0</v>
      </c>
      <c r="P394" s="8"/>
    </row>
    <row r="395" spans="2:16" outlineLevel="1">
      <c r="B395" s="5"/>
      <c r="C395" s="224" t="s">
        <v>400</v>
      </c>
      <c r="D395" s="5"/>
      <c r="E395" s="30"/>
      <c r="F395" s="30"/>
      <c r="G395" s="30"/>
      <c r="H395" s="30"/>
      <c r="I395" s="30"/>
      <c r="J395" s="30">
        <f>J158</f>
        <v>0</v>
      </c>
      <c r="K395" s="31">
        <f ca="1">SUM(K393:K394)</f>
        <v>0</v>
      </c>
      <c r="L395" s="31">
        <f t="shared" ref="L395:O395" ca="1" si="153">SUM(L393:L394)</f>
        <v>0</v>
      </c>
      <c r="M395" s="31">
        <f t="shared" ca="1" si="153"/>
        <v>0</v>
      </c>
      <c r="N395" s="31">
        <f t="shared" ca="1" si="153"/>
        <v>0</v>
      </c>
      <c r="O395" s="31">
        <f t="shared" ca="1" si="153"/>
        <v>0</v>
      </c>
      <c r="P395" s="8"/>
    </row>
    <row r="396" spans="2:16" outlineLevel="1">
      <c r="B396" s="178"/>
      <c r="C396" s="173" t="s">
        <v>123</v>
      </c>
      <c r="D396" s="178"/>
      <c r="E396" s="213"/>
      <c r="F396" s="213"/>
      <c r="G396" s="213"/>
      <c r="H396" s="213"/>
      <c r="I396" s="213"/>
      <c r="J396" s="213"/>
      <c r="K396" s="227" t="str">
        <f ca="1">IF(K395&lt;0,"ERROR","OK")</f>
        <v>OK</v>
      </c>
      <c r="L396" s="227" t="str">
        <f t="shared" ref="L396:O396" ca="1" si="154">IF(L395&lt;0,"ERROR","OK")</f>
        <v>OK</v>
      </c>
      <c r="M396" s="227" t="str">
        <f t="shared" ca="1" si="154"/>
        <v>OK</v>
      </c>
      <c r="N396" s="227" t="str">
        <f t="shared" ca="1" si="154"/>
        <v>OK</v>
      </c>
      <c r="O396" s="227" t="str">
        <f t="shared" ca="1" si="154"/>
        <v>OK</v>
      </c>
      <c r="P396" s="8"/>
    </row>
    <row r="397" spans="2:16" outlineLevel="1">
      <c r="B397" s="178"/>
      <c r="C397" s="178"/>
      <c r="D397" s="178"/>
      <c r="E397" s="213"/>
      <c r="F397" s="213"/>
      <c r="G397" s="213"/>
      <c r="H397" s="213"/>
      <c r="I397" s="213"/>
      <c r="J397" s="213"/>
      <c r="K397" s="212"/>
      <c r="L397" s="212"/>
      <c r="M397" s="212"/>
      <c r="N397" s="212"/>
      <c r="O397" s="212"/>
      <c r="P397" s="8"/>
    </row>
    <row r="398" spans="2:16" outlineLevel="1">
      <c r="B398" s="178"/>
      <c r="C398" s="173" t="s">
        <v>401</v>
      </c>
      <c r="D398" s="178"/>
      <c r="E398" s="213"/>
      <c r="F398" s="213"/>
      <c r="G398" s="213"/>
      <c r="H398" s="213"/>
      <c r="I398" s="213"/>
      <c r="J398" s="213"/>
      <c r="K398" s="225">
        <f>K55</f>
        <v>4.7700000000000006E-2</v>
      </c>
      <c r="L398" s="225">
        <f>L55</f>
        <v>3.7700000000000004E-2</v>
      </c>
      <c r="M398" s="225">
        <f>M55</f>
        <v>2.9400000000000003E-2</v>
      </c>
      <c r="N398" s="225">
        <f>N55</f>
        <v>2.4399999999999998E-2</v>
      </c>
      <c r="O398" s="225">
        <f>O55</f>
        <v>2.4399999999999998E-2</v>
      </c>
      <c r="P398" s="8"/>
    </row>
    <row r="399" spans="2:16" outlineLevel="1">
      <c r="B399" s="5"/>
      <c r="C399" s="224" t="s">
        <v>402</v>
      </c>
      <c r="D399" s="5"/>
      <c r="E399" s="30"/>
      <c r="F399" s="30"/>
      <c r="G399" s="30"/>
      <c r="H399" s="30"/>
      <c r="I399" s="30"/>
      <c r="J399" s="30"/>
      <c r="K399" s="31">
        <f ca="1">(AVERAGE(K393,K395)*K398)</f>
        <v>0</v>
      </c>
      <c r="L399" s="31">
        <f t="shared" ref="L399:O399" ca="1" si="155">(AVERAGE(L393,L395)*L398)</f>
        <v>0</v>
      </c>
      <c r="M399" s="31">
        <f t="shared" ca="1" si="155"/>
        <v>0</v>
      </c>
      <c r="N399" s="31">
        <f t="shared" ca="1" si="155"/>
        <v>0</v>
      </c>
      <c r="O399" s="31">
        <f t="shared" ca="1" si="155"/>
        <v>0</v>
      </c>
      <c r="P399" s="8"/>
    </row>
    <row r="400" spans="2:16" outlineLevel="1">
      <c r="E400" s="28"/>
      <c r="F400" s="28"/>
      <c r="G400" s="28"/>
      <c r="H400" s="28"/>
      <c r="I400" s="28"/>
      <c r="J400" s="28"/>
      <c r="K400" s="29"/>
      <c r="L400" s="29"/>
      <c r="M400" s="29"/>
      <c r="N400" s="29"/>
      <c r="O400" s="29"/>
      <c r="P400" s="8"/>
    </row>
    <row r="401" spans="2:16" outlineLevel="1">
      <c r="B401" s="1" t="s">
        <v>190</v>
      </c>
      <c r="E401" s="28"/>
      <c r="F401" s="28"/>
      <c r="G401" s="28"/>
      <c r="H401" s="28"/>
      <c r="I401" s="28"/>
      <c r="J401" s="28"/>
      <c r="K401" s="29"/>
      <c r="L401" s="29"/>
      <c r="M401" s="29"/>
      <c r="N401" s="29"/>
      <c r="O401" s="29"/>
      <c r="P401" s="8"/>
    </row>
    <row r="402" spans="2:16" outlineLevel="1">
      <c r="C402" t="s">
        <v>374</v>
      </c>
      <c r="E402" s="28"/>
      <c r="F402" s="28"/>
      <c r="G402" s="28"/>
      <c r="H402" s="28"/>
      <c r="I402" s="28"/>
      <c r="J402" s="28"/>
      <c r="K402" s="29"/>
      <c r="L402" s="29"/>
      <c r="M402" s="29"/>
      <c r="N402" s="29"/>
      <c r="O402" s="29"/>
      <c r="P402" s="8"/>
    </row>
    <row r="403" spans="2:16" outlineLevel="1">
      <c r="C403" t="s">
        <v>375</v>
      </c>
      <c r="D403" s="170">
        <v>2027</v>
      </c>
      <c r="E403" s="28"/>
      <c r="F403" s="28"/>
      <c r="G403" s="28"/>
      <c r="H403" s="28"/>
      <c r="I403" s="28"/>
      <c r="J403" s="32">
        <v>1000</v>
      </c>
      <c r="K403" s="29">
        <f>IF($D403&gt;=K$372,$J403,0)</f>
        <v>1000</v>
      </c>
      <c r="L403" s="29">
        <f t="shared" ref="L403:P406" si="156">IF($D403&gt;=L$372,$J403,0)</f>
        <v>1000</v>
      </c>
      <c r="M403" s="29">
        <f t="shared" si="156"/>
        <v>1000</v>
      </c>
      <c r="N403" s="29">
        <f t="shared" si="156"/>
        <v>0</v>
      </c>
      <c r="O403" s="29">
        <f t="shared" si="156"/>
        <v>0</v>
      </c>
      <c r="P403" s="29">
        <f t="shared" si="156"/>
        <v>0</v>
      </c>
    </row>
    <row r="404" spans="2:16" outlineLevel="1">
      <c r="C404" t="s">
        <v>376</v>
      </c>
      <c r="D404" s="170">
        <v>2027</v>
      </c>
      <c r="E404" s="28"/>
      <c r="F404" s="28"/>
      <c r="G404" s="28"/>
      <c r="H404" s="28"/>
      <c r="I404" s="28"/>
      <c r="J404" s="32">
        <v>1250</v>
      </c>
      <c r="K404" s="29">
        <f t="shared" ref="K404:K406" si="157">IF($D404&gt;=K$372,$J404,0)</f>
        <v>1250</v>
      </c>
      <c r="L404" s="29">
        <f t="shared" si="156"/>
        <v>1250</v>
      </c>
      <c r="M404" s="29">
        <f t="shared" si="156"/>
        <v>1250</v>
      </c>
      <c r="N404" s="29">
        <f t="shared" si="156"/>
        <v>0</v>
      </c>
      <c r="O404" s="29">
        <f t="shared" si="156"/>
        <v>0</v>
      </c>
      <c r="P404" s="29">
        <f t="shared" si="156"/>
        <v>0</v>
      </c>
    </row>
    <row r="405" spans="2:16" outlineLevel="1">
      <c r="C405" t="s">
        <v>383</v>
      </c>
      <c r="D405" s="170">
        <v>2030</v>
      </c>
      <c r="E405" s="28"/>
      <c r="F405" s="28"/>
      <c r="G405" s="28"/>
      <c r="H405" s="28"/>
      <c r="I405" s="28"/>
      <c r="J405" s="32">
        <v>1750</v>
      </c>
      <c r="K405" s="29">
        <f t="shared" si="157"/>
        <v>1750</v>
      </c>
      <c r="L405" s="29">
        <f t="shared" si="156"/>
        <v>1750</v>
      </c>
      <c r="M405" s="29">
        <f t="shared" si="156"/>
        <v>1750</v>
      </c>
      <c r="N405" s="29">
        <f t="shared" si="156"/>
        <v>1750</v>
      </c>
      <c r="O405" s="29">
        <f t="shared" si="156"/>
        <v>1750</v>
      </c>
      <c r="P405" s="29">
        <f t="shared" si="156"/>
        <v>1750</v>
      </c>
    </row>
    <row r="406" spans="2:16" outlineLevel="1">
      <c r="C406" t="s">
        <v>378</v>
      </c>
      <c r="D406" s="170">
        <v>2032</v>
      </c>
      <c r="E406" s="28"/>
      <c r="F406" s="28"/>
      <c r="G406" s="28"/>
      <c r="H406" s="28"/>
      <c r="I406" s="28"/>
      <c r="J406" s="32">
        <v>1000</v>
      </c>
      <c r="K406" s="29">
        <f t="shared" si="157"/>
        <v>1000</v>
      </c>
      <c r="L406" s="29">
        <f t="shared" si="156"/>
        <v>1000</v>
      </c>
      <c r="M406" s="29">
        <f t="shared" si="156"/>
        <v>1000</v>
      </c>
      <c r="N406" s="29">
        <f t="shared" si="156"/>
        <v>1000</v>
      </c>
      <c r="O406" s="29">
        <f t="shared" si="156"/>
        <v>1000</v>
      </c>
      <c r="P406" s="29">
        <f t="shared" si="156"/>
        <v>1000</v>
      </c>
    </row>
    <row r="407" spans="2:16" outlineLevel="1">
      <c r="E407" s="28"/>
      <c r="F407" s="28"/>
      <c r="G407" s="28"/>
      <c r="H407" s="28"/>
      <c r="I407" s="28"/>
      <c r="J407" s="28"/>
      <c r="K407" s="29"/>
      <c r="L407" s="29"/>
      <c r="M407" s="29"/>
      <c r="N407" s="29"/>
      <c r="O407" s="29"/>
      <c r="P407" s="29"/>
    </row>
    <row r="408" spans="2:16" outlineLevel="1">
      <c r="C408" t="s">
        <v>379</v>
      </c>
      <c r="E408" s="28"/>
      <c r="F408" s="28"/>
      <c r="G408" s="28"/>
      <c r="H408" s="28"/>
      <c r="I408" s="28"/>
      <c r="J408" s="32">
        <v>919</v>
      </c>
      <c r="K408" s="29">
        <f>J408-K52</f>
        <v>816</v>
      </c>
      <c r="L408" s="29">
        <f>K408-L52</f>
        <v>740</v>
      </c>
      <c r="M408" s="29">
        <f>L408-M52</f>
        <v>740</v>
      </c>
      <c r="N408" s="29">
        <f>M408-N52</f>
        <v>740</v>
      </c>
      <c r="O408" s="29">
        <f>N408-O52</f>
        <v>590</v>
      </c>
      <c r="P408" s="8"/>
    </row>
    <row r="409" spans="2:16" outlineLevel="1">
      <c r="E409" s="28"/>
      <c r="F409" s="28"/>
      <c r="G409" s="28"/>
      <c r="H409" s="28"/>
      <c r="I409" s="28"/>
      <c r="J409" s="28"/>
      <c r="K409" s="29"/>
      <c r="L409" s="29"/>
      <c r="M409" s="29"/>
      <c r="N409" s="29"/>
      <c r="O409" s="29"/>
      <c r="P409" s="8"/>
    </row>
    <row r="410" spans="2:16" outlineLevel="1">
      <c r="C410" t="s">
        <v>380</v>
      </c>
      <c r="E410" s="28"/>
      <c r="F410" s="28"/>
      <c r="G410" s="28"/>
      <c r="H410" s="28"/>
      <c r="I410" s="28"/>
      <c r="J410" s="28"/>
      <c r="K410" s="29"/>
      <c r="L410" s="29"/>
      <c r="M410" s="29"/>
      <c r="N410" s="29"/>
      <c r="O410" s="29"/>
      <c r="P410" s="8"/>
    </row>
    <row r="411" spans="2:16" outlineLevel="1">
      <c r="C411" t="s">
        <v>375</v>
      </c>
      <c r="D411" s="171">
        <v>0.03</v>
      </c>
      <c r="E411" s="28"/>
      <c r="F411" s="28"/>
      <c r="G411" s="28"/>
      <c r="H411" s="28"/>
      <c r="I411" s="28"/>
      <c r="J411" s="15"/>
      <c r="K411" s="162">
        <f t="shared" ref="K411:O411" si="158">$D411*K403</f>
        <v>30</v>
      </c>
      <c r="L411" s="162">
        <f t="shared" si="158"/>
        <v>30</v>
      </c>
      <c r="M411" s="162">
        <f t="shared" si="158"/>
        <v>30</v>
      </c>
      <c r="N411" s="162">
        <f t="shared" si="158"/>
        <v>0</v>
      </c>
      <c r="O411" s="162">
        <f t="shared" si="158"/>
        <v>0</v>
      </c>
      <c r="P411" s="8"/>
    </row>
    <row r="412" spans="2:16" outlineLevel="1">
      <c r="C412" t="s">
        <v>376</v>
      </c>
      <c r="D412" s="171">
        <v>1.375E-2</v>
      </c>
      <c r="E412" s="28"/>
      <c r="F412" s="28"/>
      <c r="G412" s="28"/>
      <c r="H412" s="28"/>
      <c r="I412" s="28"/>
      <c r="J412" s="15"/>
      <c r="K412" s="162">
        <f>$D412*K404</f>
        <v>17.1875</v>
      </c>
      <c r="L412" s="162">
        <f>$D412*L404</f>
        <v>17.1875</v>
      </c>
      <c r="M412" s="162">
        <f>$D412*M404</f>
        <v>17.1875</v>
      </c>
      <c r="N412" s="162">
        <f>$D412*N404</f>
        <v>0</v>
      </c>
      <c r="O412" s="162">
        <f>$D412*O404</f>
        <v>0</v>
      </c>
      <c r="P412" s="8"/>
    </row>
    <row r="413" spans="2:16" outlineLevel="1">
      <c r="C413" t="s">
        <v>377</v>
      </c>
      <c r="D413" s="171">
        <v>1.6E-2</v>
      </c>
      <c r="E413" s="28"/>
      <c r="F413" s="28"/>
      <c r="G413" s="28"/>
      <c r="H413" s="28"/>
      <c r="I413" s="28"/>
      <c r="J413" s="15"/>
      <c r="K413" s="162">
        <f>$D413*K405</f>
        <v>28</v>
      </c>
      <c r="L413" s="162">
        <f>$D413*L405</f>
        <v>28</v>
      </c>
      <c r="M413" s="162">
        <f>$D413*M405</f>
        <v>28</v>
      </c>
      <c r="N413" s="162">
        <f>$D413*N405</f>
        <v>28</v>
      </c>
      <c r="O413" s="162">
        <f>$D413*O405</f>
        <v>28</v>
      </c>
      <c r="P413" s="8"/>
    </row>
    <row r="414" spans="2:16" outlineLevel="1">
      <c r="C414" t="s">
        <v>378</v>
      </c>
      <c r="D414" s="171">
        <v>1.7500000000000002E-2</v>
      </c>
      <c r="E414" s="28"/>
      <c r="F414" s="28"/>
      <c r="G414" s="28"/>
      <c r="H414" s="28"/>
      <c r="I414" s="28"/>
      <c r="J414" s="15"/>
      <c r="K414" s="162">
        <f>$D414*K406</f>
        <v>17.5</v>
      </c>
      <c r="L414" s="162">
        <f>$D414*L406</f>
        <v>17.5</v>
      </c>
      <c r="M414" s="162">
        <f>$D414*M406</f>
        <v>17.5</v>
      </c>
      <c r="N414" s="162">
        <f>$D414*N406</f>
        <v>17.5</v>
      </c>
      <c r="O414" s="162">
        <f>$D414*O406</f>
        <v>17.5</v>
      </c>
      <c r="P414" s="8"/>
    </row>
    <row r="415" spans="2:16" outlineLevel="1">
      <c r="C415" t="s">
        <v>381</v>
      </c>
      <c r="D415" s="171">
        <v>1.7600000000000001E-2</v>
      </c>
      <c r="E415" s="28"/>
      <c r="F415" s="28"/>
      <c r="G415" s="28"/>
      <c r="H415" s="28"/>
      <c r="I415" s="28"/>
      <c r="J415" s="28"/>
      <c r="K415" s="29">
        <f>AVERAGE(J408:K408)*$D$415</f>
        <v>15.268000000000001</v>
      </c>
      <c r="L415" s="29">
        <f t="shared" ref="L415:O415" si="159">AVERAGE(K408:L408)*$D$415</f>
        <v>13.6928</v>
      </c>
      <c r="M415" s="29">
        <f t="shared" si="159"/>
        <v>13.024000000000001</v>
      </c>
      <c r="N415" s="29">
        <f t="shared" si="159"/>
        <v>13.024000000000001</v>
      </c>
      <c r="O415" s="29">
        <f t="shared" si="159"/>
        <v>11.704000000000001</v>
      </c>
      <c r="P415" s="8"/>
    </row>
    <row r="416" spans="2:16" outlineLevel="1">
      <c r="B416" s="5"/>
      <c r="C416" s="5" t="s">
        <v>382</v>
      </c>
      <c r="D416" s="5"/>
      <c r="E416" s="30"/>
      <c r="F416" s="30"/>
      <c r="G416" s="30"/>
      <c r="H416" s="30"/>
      <c r="I416" s="30"/>
      <c r="J416" s="30"/>
      <c r="K416" s="31">
        <f t="shared" ref="K416:O416" si="160">SUM(K411:K415)</f>
        <v>107.9555</v>
      </c>
      <c r="L416" s="31">
        <f t="shared" si="160"/>
        <v>106.38030000000001</v>
      </c>
      <c r="M416" s="31">
        <f t="shared" si="160"/>
        <v>105.7115</v>
      </c>
      <c r="N416" s="31">
        <f t="shared" si="160"/>
        <v>58.524000000000001</v>
      </c>
      <c r="O416" s="31">
        <f t="shared" si="160"/>
        <v>57.204000000000001</v>
      </c>
      <c r="P416" s="8"/>
    </row>
    <row r="417" spans="2:16" outlineLevel="1">
      <c r="E417" s="28"/>
      <c r="F417" s="28"/>
      <c r="G417" s="28"/>
      <c r="H417" s="28"/>
      <c r="I417" s="28"/>
      <c r="J417" s="28"/>
      <c r="K417" s="29"/>
      <c r="L417" s="29"/>
      <c r="M417" s="29"/>
      <c r="N417" s="29"/>
      <c r="O417" s="29"/>
      <c r="P417" s="8"/>
    </row>
    <row r="418" spans="2:16" outlineLevel="1">
      <c r="C418" t="s">
        <v>361</v>
      </c>
      <c r="F418" s="170">
        <v>48</v>
      </c>
      <c r="G418" s="170">
        <v>40</v>
      </c>
      <c r="H418" s="170">
        <v>33</v>
      </c>
      <c r="I418" s="170">
        <v>26</v>
      </c>
      <c r="J418" s="170">
        <v>22</v>
      </c>
      <c r="K418" s="8">
        <f>K53</f>
        <v>19</v>
      </c>
      <c r="L418" s="8">
        <f>L53</f>
        <v>16</v>
      </c>
      <c r="M418" s="8">
        <f>M53</f>
        <v>13</v>
      </c>
      <c r="N418" s="8">
        <f>N53</f>
        <v>10</v>
      </c>
      <c r="O418" s="8">
        <f>O53</f>
        <v>7</v>
      </c>
      <c r="P418" s="8"/>
    </row>
    <row r="419" spans="2:16" outlineLevel="1">
      <c r="C419" t="s">
        <v>384</v>
      </c>
      <c r="I419" s="104"/>
      <c r="K419" s="29">
        <f>J421</f>
        <v>5897</v>
      </c>
      <c r="L419" s="29">
        <f t="shared" ref="L419:O419" si="161">K421</f>
        <v>5794</v>
      </c>
      <c r="M419" s="29">
        <f t="shared" si="161"/>
        <v>5718</v>
      </c>
      <c r="N419" s="29">
        <f t="shared" si="161"/>
        <v>3468</v>
      </c>
      <c r="O419" s="29">
        <f t="shared" si="161"/>
        <v>3468</v>
      </c>
      <c r="P419" s="8"/>
    </row>
    <row r="420" spans="2:16" outlineLevel="1">
      <c r="C420" t="s">
        <v>385</v>
      </c>
      <c r="K420" s="29">
        <f>SUM(L403:L406)-SUM(K403:K406)+K408-J408</f>
        <v>-103</v>
      </c>
      <c r="L420" s="29">
        <f t="shared" ref="L420:O420" si="162">SUM(M403:M406)-SUM(L403:L406)+L408-K408</f>
        <v>-76</v>
      </c>
      <c r="M420" s="29">
        <f t="shared" si="162"/>
        <v>-2250</v>
      </c>
      <c r="N420" s="29">
        <f t="shared" si="162"/>
        <v>0</v>
      </c>
      <c r="O420" s="29">
        <f t="shared" si="162"/>
        <v>-150</v>
      </c>
      <c r="P420" s="8"/>
    </row>
    <row r="421" spans="2:16" ht="15" outlineLevel="1" thickBot="1">
      <c r="B421" s="33"/>
      <c r="C421" s="33" t="s">
        <v>386</v>
      </c>
      <c r="D421" s="33"/>
      <c r="E421" s="33"/>
      <c r="F421" s="33"/>
      <c r="G421" s="33"/>
      <c r="H421" s="33"/>
      <c r="I421" s="33"/>
      <c r="J421" s="100">
        <f>SUM(J403:J408)-J418</f>
        <v>5897</v>
      </c>
      <c r="K421" s="101">
        <f>SUM(K419:K420)</f>
        <v>5794</v>
      </c>
      <c r="L421" s="101">
        <f t="shared" ref="L421:O421" si="163">SUM(L419:L420)</f>
        <v>5718</v>
      </c>
      <c r="M421" s="101">
        <f t="shared" si="163"/>
        <v>3468</v>
      </c>
      <c r="N421" s="101">
        <f t="shared" si="163"/>
        <v>3468</v>
      </c>
      <c r="O421" s="101">
        <f t="shared" si="163"/>
        <v>3318</v>
      </c>
      <c r="P421" s="8"/>
    </row>
    <row r="422" spans="2:16" ht="15" outlineLevel="1" thickTop="1">
      <c r="K422" s="8"/>
      <c r="L422" s="8"/>
      <c r="M422" s="8"/>
      <c r="N422" s="8"/>
      <c r="O422" s="8"/>
      <c r="P422" s="8"/>
    </row>
    <row r="423" spans="2:16" outlineLevel="1">
      <c r="C423" t="s">
        <v>387</v>
      </c>
      <c r="F423" s="28"/>
      <c r="G423" s="28"/>
      <c r="H423" s="28"/>
      <c r="I423" s="28"/>
      <c r="J423" s="28"/>
      <c r="K423" s="29">
        <f>J53-K53</f>
        <v>3</v>
      </c>
      <c r="L423" s="29">
        <f>K53-L53</f>
        <v>3</v>
      </c>
      <c r="M423" s="29">
        <f>L53-M53</f>
        <v>3</v>
      </c>
      <c r="N423" s="29">
        <f>M53-N53</f>
        <v>3</v>
      </c>
      <c r="O423" s="29">
        <f>N53-O53</f>
        <v>3</v>
      </c>
      <c r="P423" s="8"/>
    </row>
    <row r="424" spans="2:16" outlineLevel="1">
      <c r="F424" s="28"/>
      <c r="G424" s="28"/>
      <c r="H424" s="28"/>
      <c r="I424" s="28"/>
      <c r="J424" s="28"/>
      <c r="K424" s="29"/>
      <c r="L424" s="29"/>
      <c r="M424" s="29"/>
      <c r="N424" s="29"/>
      <c r="O424" s="29"/>
      <c r="P424" s="8"/>
    </row>
    <row r="425" spans="2:16" outlineLevel="1">
      <c r="B425" s="1" t="s">
        <v>388</v>
      </c>
      <c r="F425" s="28"/>
      <c r="G425" s="28"/>
      <c r="H425" s="28"/>
      <c r="I425" s="28"/>
      <c r="J425" s="28"/>
      <c r="K425" s="29"/>
      <c r="L425" s="29"/>
      <c r="M425" s="29"/>
      <c r="N425" s="29"/>
      <c r="O425" s="29"/>
      <c r="P425" s="8"/>
    </row>
    <row r="426" spans="2:16" outlineLevel="1">
      <c r="C426" t="s">
        <v>389</v>
      </c>
      <c r="F426" s="32">
        <v>688</v>
      </c>
      <c r="G426" s="32">
        <v>1052</v>
      </c>
      <c r="H426" s="32">
        <v>1628</v>
      </c>
      <c r="I426" s="32">
        <v>1432</v>
      </c>
      <c r="J426" s="32">
        <v>1498</v>
      </c>
      <c r="K426" s="29"/>
      <c r="L426" s="29"/>
      <c r="M426" s="29"/>
      <c r="N426" s="29"/>
      <c r="O426" s="29"/>
      <c r="P426" s="8"/>
    </row>
    <row r="427" spans="2:16" outlineLevel="1">
      <c r="C427" t="s">
        <v>362</v>
      </c>
      <c r="F427" s="32">
        <v>33</v>
      </c>
      <c r="G427" s="32">
        <v>37</v>
      </c>
      <c r="H427" s="32">
        <v>45</v>
      </c>
      <c r="I427" s="32">
        <v>54</v>
      </c>
      <c r="J427" s="32">
        <v>58</v>
      </c>
      <c r="K427" s="29">
        <f>K54</f>
        <v>29</v>
      </c>
      <c r="L427" s="29">
        <f>L54</f>
        <v>29</v>
      </c>
      <c r="M427" s="29">
        <f>M54</f>
        <v>29</v>
      </c>
      <c r="N427" s="29">
        <f>N54</f>
        <v>29</v>
      </c>
      <c r="O427" s="29">
        <f>O54</f>
        <v>29</v>
      </c>
      <c r="P427" s="8">
        <f>P54</f>
        <v>0</v>
      </c>
    </row>
    <row r="428" spans="2:16" outlineLevel="1">
      <c r="C428" t="s">
        <v>369</v>
      </c>
      <c r="F428" s="229">
        <v>6.3399999999999998E-2</v>
      </c>
      <c r="G428" s="229">
        <v>4.9099999999999998E-2</v>
      </c>
      <c r="H428" s="229">
        <v>3.9699999999999999E-2</v>
      </c>
      <c r="I428" s="229">
        <v>4.4699999999999997E-2</v>
      </c>
      <c r="J428" s="229">
        <v>4.5900000000000003E-2</v>
      </c>
      <c r="K428" s="29"/>
      <c r="L428" s="29"/>
      <c r="M428" s="29"/>
      <c r="N428" s="29"/>
      <c r="O428" s="29"/>
      <c r="P428" s="8"/>
    </row>
    <row r="429" spans="2:16" outlineLevel="1">
      <c r="F429" s="28"/>
      <c r="G429" s="28"/>
      <c r="H429" s="28"/>
      <c r="I429" s="28"/>
      <c r="J429" s="28"/>
      <c r="K429" s="29"/>
      <c r="L429" s="29"/>
      <c r="M429" s="29"/>
      <c r="N429" s="29"/>
      <c r="O429" s="29"/>
      <c r="P429" s="8"/>
    </row>
    <row r="430" spans="2:16" ht="15" outlineLevel="1" thickBot="1">
      <c r="B430" s="33"/>
      <c r="C430" s="33" t="s">
        <v>390</v>
      </c>
      <c r="D430" s="33"/>
      <c r="E430" s="33"/>
      <c r="F430" s="100"/>
      <c r="G430" s="100"/>
      <c r="H430" s="100"/>
      <c r="I430" s="100"/>
      <c r="J430" s="100"/>
      <c r="K430" s="101">
        <f ca="1">K416+K423+K427+K399</f>
        <v>139.9555</v>
      </c>
      <c r="L430" s="101">
        <f t="shared" ref="L430:O430" ca="1" si="164">L416+L423+L427+L399</f>
        <v>138.38030000000001</v>
      </c>
      <c r="M430" s="101">
        <f t="shared" ca="1" si="164"/>
        <v>137.7115</v>
      </c>
      <c r="N430" s="101">
        <f t="shared" ca="1" si="164"/>
        <v>90.524000000000001</v>
      </c>
      <c r="O430" s="101">
        <f t="shared" ca="1" si="164"/>
        <v>89.204000000000008</v>
      </c>
      <c r="P430" s="8"/>
    </row>
    <row r="431" spans="2:16" ht="15" outlineLevel="1" thickTop="1"/>
    <row r="433" spans="1:15">
      <c r="A433" s="115" t="s">
        <v>422</v>
      </c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</row>
    <row r="434" spans="1:15" outlineLevel="1"/>
    <row r="435" spans="1:15" outlineLevel="1">
      <c r="A435" s="2"/>
      <c r="B435" s="2"/>
      <c r="C435" s="2"/>
      <c r="D435" s="2"/>
      <c r="E435" s="4">
        <f t="shared" ref="E435:J435" si="165">F435-1</f>
        <v>2019</v>
      </c>
      <c r="F435" s="4">
        <f t="shared" si="165"/>
        <v>2020</v>
      </c>
      <c r="G435" s="4">
        <f t="shared" si="165"/>
        <v>2021</v>
      </c>
      <c r="H435" s="4">
        <f t="shared" si="165"/>
        <v>2022</v>
      </c>
      <c r="I435" s="4">
        <f t="shared" si="165"/>
        <v>2023</v>
      </c>
      <c r="J435" s="4">
        <f t="shared" si="165"/>
        <v>2024</v>
      </c>
      <c r="K435" s="7">
        <f>K$8</f>
        <v>2025</v>
      </c>
      <c r="L435" s="7">
        <f>L$8</f>
        <v>2026</v>
      </c>
      <c r="M435" s="7">
        <f>M$8</f>
        <v>2027</v>
      </c>
      <c r="N435" s="7">
        <f>N$8</f>
        <v>2028</v>
      </c>
      <c r="O435" s="7">
        <f>O$8</f>
        <v>2029</v>
      </c>
    </row>
    <row r="436" spans="1:15" outlineLevel="1">
      <c r="C436" t="s">
        <v>13</v>
      </c>
      <c r="D436" t="s">
        <v>208</v>
      </c>
      <c r="E436" s="28"/>
      <c r="F436" s="28"/>
      <c r="G436" s="28"/>
      <c r="H436" s="28"/>
      <c r="I436" s="28"/>
      <c r="J436" s="28">
        <f>J72</f>
        <v>254453</v>
      </c>
      <c r="K436" s="29">
        <f>K72</f>
        <v>273736.47709310439</v>
      </c>
      <c r="L436" s="29">
        <f>L72</f>
        <v>294876.12277960608</v>
      </c>
      <c r="M436" s="29">
        <f>M72</f>
        <v>318346.77519396855</v>
      </c>
      <c r="N436" s="29">
        <f>N72</f>
        <v>344243.91449726676</v>
      </c>
      <c r="O436" s="29">
        <f>O72</f>
        <v>373011.33882877248</v>
      </c>
    </row>
    <row r="437" spans="1:15" outlineLevel="1">
      <c r="C437" t="s">
        <v>312</v>
      </c>
      <c r="D437" t="s">
        <v>216</v>
      </c>
      <c r="E437" s="28"/>
      <c r="F437" s="28"/>
      <c r="G437" s="28"/>
      <c r="H437" s="28"/>
      <c r="I437" s="28"/>
      <c r="J437" s="108"/>
      <c r="K437" s="114">
        <f>K436/J436-1</f>
        <v>7.5784042998527701E-2</v>
      </c>
      <c r="L437" s="114">
        <f t="shared" ref="L437:O437" si="166">L436/K436-1</f>
        <v>7.7226264877046757E-2</v>
      </c>
      <c r="M437" s="114">
        <f t="shared" si="166"/>
        <v>7.9594957343849471E-2</v>
      </c>
      <c r="N437" s="114">
        <f t="shared" si="166"/>
        <v>8.1348835047941215E-2</v>
      </c>
      <c r="O437" s="114">
        <f t="shared" si="166"/>
        <v>8.3566980039480487E-2</v>
      </c>
    </row>
    <row r="438" spans="1:15" outlineLevel="1">
      <c r="C438" t="s">
        <v>407</v>
      </c>
      <c r="D438" t="s">
        <v>216</v>
      </c>
      <c r="E438" s="28"/>
      <c r="F438" s="28"/>
      <c r="G438" s="28"/>
      <c r="H438" s="28"/>
      <c r="I438" s="28"/>
      <c r="J438" s="108">
        <f>J428</f>
        <v>4.5900000000000003E-2</v>
      </c>
      <c r="K438" s="114"/>
      <c r="L438" s="114"/>
      <c r="M438" s="114"/>
      <c r="N438" s="114"/>
      <c r="O438" s="114"/>
    </row>
    <row r="439" spans="1:15" outlineLevel="1">
      <c r="E439" s="28"/>
      <c r="F439" s="28"/>
      <c r="G439" s="28"/>
      <c r="H439" s="28"/>
      <c r="I439" s="28"/>
      <c r="J439" s="28"/>
      <c r="K439" s="29"/>
      <c r="L439" s="29"/>
      <c r="M439" s="29"/>
      <c r="N439" s="29"/>
      <c r="O439" s="29"/>
    </row>
    <row r="440" spans="1:15" outlineLevel="1">
      <c r="B440" s="1" t="s">
        <v>408</v>
      </c>
      <c r="E440" s="28"/>
      <c r="F440" s="28"/>
      <c r="G440" s="28"/>
      <c r="H440" s="28"/>
      <c r="I440" s="28"/>
      <c r="J440" s="28"/>
      <c r="K440" s="29"/>
      <c r="L440" s="29"/>
      <c r="M440" s="29"/>
      <c r="N440" s="29"/>
      <c r="O440" s="29"/>
    </row>
    <row r="441" spans="1:15" outlineLevel="1">
      <c r="C441" t="s">
        <v>409</v>
      </c>
      <c r="D441" t="s">
        <v>208</v>
      </c>
      <c r="E441" s="28"/>
      <c r="F441" s="28"/>
      <c r="G441" s="28"/>
      <c r="H441" s="28"/>
      <c r="I441" s="28"/>
      <c r="J441" s="28">
        <v>994</v>
      </c>
      <c r="K441" s="29">
        <f>$J$441</f>
        <v>994</v>
      </c>
      <c r="L441" s="29">
        <f t="shared" ref="L441:O441" si="167">$J$441</f>
        <v>994</v>
      </c>
      <c r="M441" s="29">
        <f t="shared" si="167"/>
        <v>994</v>
      </c>
      <c r="N441" s="29">
        <f t="shared" si="167"/>
        <v>994</v>
      </c>
      <c r="O441" s="29">
        <f t="shared" si="167"/>
        <v>994</v>
      </c>
    </row>
    <row r="442" spans="1:15" outlineLevel="1">
      <c r="C442" t="s">
        <v>410</v>
      </c>
      <c r="D442" t="s">
        <v>208</v>
      </c>
      <c r="E442" s="28"/>
      <c r="F442" s="28"/>
      <c r="G442" s="28"/>
      <c r="H442" s="28"/>
      <c r="I442" s="28"/>
      <c r="J442" s="28">
        <v>1433</v>
      </c>
      <c r="K442" s="29">
        <f>$J$442</f>
        <v>1433</v>
      </c>
      <c r="L442" s="29">
        <f t="shared" ref="L442:O442" si="168">$J$442</f>
        <v>1433</v>
      </c>
      <c r="M442" s="29">
        <f t="shared" si="168"/>
        <v>1433</v>
      </c>
      <c r="N442" s="29">
        <f t="shared" si="168"/>
        <v>1433</v>
      </c>
      <c r="O442" s="29">
        <f t="shared" si="168"/>
        <v>1433</v>
      </c>
    </row>
    <row r="443" spans="1:15" outlineLevel="1">
      <c r="C443" t="s">
        <v>411</v>
      </c>
      <c r="D443" t="s">
        <v>208</v>
      </c>
      <c r="E443" s="28"/>
      <c r="F443" s="28"/>
      <c r="G443" s="28"/>
      <c r="H443" s="28"/>
      <c r="I443" s="28"/>
      <c r="J443" s="28">
        <v>548</v>
      </c>
      <c r="K443" s="29">
        <f>J443*(1+K437)</f>
        <v>589.52965556319316</v>
      </c>
      <c r="L443" s="29">
        <f t="shared" ref="L443:O443" si="169">K443*(1+L437)</f>
        <v>635.05682889659045</v>
      </c>
      <c r="M443" s="29">
        <f t="shared" si="169"/>
        <v>685.60415010353483</v>
      </c>
      <c r="N443" s="29">
        <f t="shared" si="169"/>
        <v>741.37724901849117</v>
      </c>
      <c r="O443" s="29">
        <f t="shared" si="169"/>
        <v>803.33190678894437</v>
      </c>
    </row>
    <row r="444" spans="1:15" outlineLevel="1">
      <c r="C444" t="s">
        <v>412</v>
      </c>
      <c r="D444" t="s">
        <v>208</v>
      </c>
      <c r="E444" s="28"/>
      <c r="F444" s="28"/>
      <c r="G444" s="28"/>
      <c r="H444" s="28"/>
      <c r="I444" s="28"/>
      <c r="J444" s="28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0</v>
      </c>
    </row>
    <row r="445" spans="1:15" outlineLevel="1">
      <c r="C445" t="s">
        <v>166</v>
      </c>
      <c r="D445" t="s">
        <v>208</v>
      </c>
      <c r="E445" s="28"/>
      <c r="F445" s="28"/>
      <c r="G445" s="28"/>
      <c r="H445" s="28"/>
      <c r="I445" s="28"/>
      <c r="J445" s="28">
        <v>961</v>
      </c>
      <c r="K445" s="29">
        <f>J445*(1+K437)</f>
        <v>1033.8284653215851</v>
      </c>
      <c r="L445" s="29">
        <f t="shared" ref="L445:O445" si="170">K445*(1+L437)</f>
        <v>1113.6671762219405</v>
      </c>
      <c r="M445" s="29">
        <f t="shared" si="170"/>
        <v>1202.3094676085711</v>
      </c>
      <c r="N445" s="29">
        <f t="shared" si="170"/>
        <v>1300.1159421656389</v>
      </c>
      <c r="O445" s="29">
        <f t="shared" si="170"/>
        <v>1408.7627051536051</v>
      </c>
    </row>
    <row r="446" spans="1:15" ht="15" outlineLevel="1" thickBot="1">
      <c r="B446" s="33" t="s">
        <v>413</v>
      </c>
      <c r="C446" s="33"/>
      <c r="D446" s="33" t="s">
        <v>208</v>
      </c>
      <c r="E446" s="100"/>
      <c r="F446" s="100"/>
      <c r="G446" s="100"/>
      <c r="H446" s="100"/>
      <c r="I446" s="100"/>
      <c r="J446" s="100">
        <f>SUM(J441:J445)</f>
        <v>3936</v>
      </c>
      <c r="K446" s="101">
        <f t="shared" ref="K446:O446" si="171">SUM(K441:K445)</f>
        <v>4050.3581208847781</v>
      </c>
      <c r="L446" s="101">
        <f t="shared" si="171"/>
        <v>4175.7240051185308</v>
      </c>
      <c r="M446" s="101">
        <f t="shared" si="171"/>
        <v>4314.9136177121054</v>
      </c>
      <c r="N446" s="101">
        <f t="shared" si="171"/>
        <v>4468.4931911841304</v>
      </c>
      <c r="O446" s="101">
        <f t="shared" si="171"/>
        <v>4639.0946119425498</v>
      </c>
    </row>
    <row r="447" spans="1:15" ht="15" outlineLevel="1" thickTop="1">
      <c r="E447" s="28"/>
      <c r="F447" s="28"/>
      <c r="G447" s="28"/>
      <c r="H447" s="28"/>
      <c r="I447" s="28"/>
      <c r="J447" s="28"/>
      <c r="K447" s="29"/>
      <c r="L447" s="29"/>
      <c r="M447" s="29"/>
      <c r="N447" s="29"/>
      <c r="O447" s="29"/>
    </row>
    <row r="448" spans="1:15" outlineLevel="1">
      <c r="B448" s="1" t="s">
        <v>414</v>
      </c>
      <c r="E448" s="28"/>
      <c r="F448" s="28"/>
      <c r="G448" s="28"/>
      <c r="H448" s="28"/>
      <c r="I448" s="28"/>
      <c r="J448" s="28"/>
      <c r="K448" s="29"/>
      <c r="L448" s="29"/>
      <c r="M448" s="29"/>
      <c r="N448" s="29"/>
      <c r="O448" s="29"/>
    </row>
    <row r="449" spans="1:15" outlineLevel="1">
      <c r="C449" t="s">
        <v>415</v>
      </c>
      <c r="D449" t="s">
        <v>208</v>
      </c>
      <c r="E449" s="28"/>
      <c r="F449" s="28"/>
      <c r="G449" s="28"/>
      <c r="H449" s="28"/>
      <c r="I449" s="28"/>
      <c r="J449" s="28">
        <v>1351</v>
      </c>
      <c r="K449" s="29">
        <f>$J$449</f>
        <v>1351</v>
      </c>
      <c r="L449" s="29">
        <f t="shared" ref="L449:O449" si="172">$J$449</f>
        <v>1351</v>
      </c>
      <c r="M449" s="29">
        <f t="shared" si="172"/>
        <v>1351</v>
      </c>
      <c r="N449" s="29">
        <f t="shared" si="172"/>
        <v>1351</v>
      </c>
      <c r="O449" s="29">
        <f t="shared" si="172"/>
        <v>1351</v>
      </c>
    </row>
    <row r="450" spans="1:15" outlineLevel="1">
      <c r="C450" t="s">
        <v>416</v>
      </c>
      <c r="D450" t="s">
        <v>208</v>
      </c>
      <c r="E450" s="28"/>
      <c r="F450" s="28"/>
      <c r="G450" s="28"/>
      <c r="H450" s="28"/>
      <c r="I450" s="28"/>
      <c r="J450" s="28">
        <v>769</v>
      </c>
      <c r="K450" s="29">
        <f>J450*(1+K437)</f>
        <v>827.27792906586785</v>
      </c>
      <c r="L450" s="29">
        <f t="shared" ref="L450:O450" si="173">K450*(1+L437)</f>
        <v>891.16551354284331</v>
      </c>
      <c r="M450" s="29">
        <f t="shared" si="173"/>
        <v>962.09779457959564</v>
      </c>
      <c r="N450" s="29">
        <f t="shared" si="173"/>
        <v>1040.3633293708392</v>
      </c>
      <c r="O450" s="29">
        <f t="shared" si="173"/>
        <v>1127.3033509501795</v>
      </c>
    </row>
    <row r="451" spans="1:15" outlineLevel="1">
      <c r="C451" t="s">
        <v>417</v>
      </c>
      <c r="D451" t="s">
        <v>208</v>
      </c>
      <c r="E451" s="28"/>
      <c r="F451" s="28"/>
      <c r="G451" s="28"/>
      <c r="H451" s="28"/>
      <c r="I451" s="28"/>
      <c r="J451" s="28">
        <v>456</v>
      </c>
      <c r="K451" s="29">
        <f>(1+$J$438)*J451</f>
        <v>476.93040000000002</v>
      </c>
      <c r="L451" s="29">
        <f t="shared" ref="L451:O451" si="174">(1+$J$438)*K451</f>
        <v>498.82150536000006</v>
      </c>
      <c r="M451" s="29">
        <f t="shared" si="174"/>
        <v>521.71741245602414</v>
      </c>
      <c r="N451" s="29">
        <f t="shared" si="174"/>
        <v>545.66424168775563</v>
      </c>
      <c r="O451" s="29">
        <f t="shared" si="174"/>
        <v>570.7102303812236</v>
      </c>
    </row>
    <row r="452" spans="1:15" ht="15" outlineLevel="1" thickBot="1">
      <c r="B452" s="33" t="s">
        <v>418</v>
      </c>
      <c r="C452" s="33"/>
      <c r="D452" s="33" t="s">
        <v>208</v>
      </c>
      <c r="E452" s="100"/>
      <c r="F452" s="100"/>
      <c r="G452" s="100"/>
      <c r="H452" s="100"/>
      <c r="I452" s="100"/>
      <c r="J452" s="100">
        <f>SUM(J449:J451)</f>
        <v>2576</v>
      </c>
      <c r="K452" s="101">
        <f>SUM(K449:K451)</f>
        <v>2655.2083290658679</v>
      </c>
      <c r="L452" s="101">
        <f t="shared" ref="L452:O452" si="175">SUM(L449:L451)</f>
        <v>2740.9870189028434</v>
      </c>
      <c r="M452" s="101">
        <f t="shared" si="175"/>
        <v>2834.81520703562</v>
      </c>
      <c r="N452" s="101">
        <f t="shared" si="175"/>
        <v>2937.0275710585947</v>
      </c>
      <c r="O452" s="101">
        <f t="shared" si="175"/>
        <v>3049.0135813314027</v>
      </c>
    </row>
    <row r="453" spans="1:15" ht="15" outlineLevel="1" thickTop="1">
      <c r="E453" s="28"/>
      <c r="F453" s="28"/>
      <c r="G453" s="28"/>
      <c r="H453" s="28"/>
      <c r="I453" s="28"/>
      <c r="J453" s="28"/>
      <c r="K453" s="29"/>
      <c r="L453" s="29"/>
      <c r="M453" s="29"/>
      <c r="N453" s="29"/>
      <c r="O453" s="29"/>
    </row>
    <row r="454" spans="1:15" outlineLevel="1">
      <c r="C454" t="s">
        <v>419</v>
      </c>
      <c r="D454" t="s">
        <v>208</v>
      </c>
      <c r="E454" s="28"/>
      <c r="F454" s="28"/>
      <c r="G454" s="28"/>
      <c r="H454" s="28"/>
      <c r="I454" s="28"/>
      <c r="J454" s="28"/>
      <c r="K454" s="29">
        <f>J446-K446</f>
        <v>-114.35812088477815</v>
      </c>
      <c r="L454" s="29">
        <f t="shared" ref="L454:O454" si="176">K446-L446</f>
        <v>-125.36588423375269</v>
      </c>
      <c r="M454" s="29">
        <f t="shared" si="176"/>
        <v>-139.18961259357457</v>
      </c>
      <c r="N454" s="29">
        <f t="shared" si="176"/>
        <v>-153.579573472025</v>
      </c>
      <c r="O454" s="29">
        <f t="shared" si="176"/>
        <v>-170.60142075841941</v>
      </c>
    </row>
    <row r="455" spans="1:15" outlineLevel="1">
      <c r="C455" t="s">
        <v>420</v>
      </c>
      <c r="D455" t="s">
        <v>208</v>
      </c>
      <c r="E455" s="28"/>
      <c r="F455" s="28"/>
      <c r="G455" s="28"/>
      <c r="H455" s="28"/>
      <c r="I455" s="28"/>
      <c r="J455" s="28"/>
      <c r="K455" s="29">
        <f>K452-J452</f>
        <v>79.208329065867929</v>
      </c>
      <c r="L455" s="29">
        <f t="shared" ref="L455:O455" si="177">L452-K452</f>
        <v>85.778689836975445</v>
      </c>
      <c r="M455" s="29">
        <f t="shared" si="177"/>
        <v>93.828188132776631</v>
      </c>
      <c r="N455" s="29">
        <f t="shared" si="177"/>
        <v>102.21236402297473</v>
      </c>
      <c r="O455" s="29">
        <f t="shared" si="177"/>
        <v>111.98601027280802</v>
      </c>
    </row>
    <row r="456" spans="1:15" ht="15" outlineLevel="1" thickBot="1">
      <c r="B456" s="33"/>
      <c r="C456" s="33" t="s">
        <v>421</v>
      </c>
      <c r="D456" s="33" t="s">
        <v>208</v>
      </c>
      <c r="E456" s="100"/>
      <c r="F456" s="100"/>
      <c r="G456" s="100"/>
      <c r="H456" s="100"/>
      <c r="I456" s="100"/>
      <c r="J456" s="100"/>
      <c r="K456" s="101">
        <f>SUM(K454:K455)</f>
        <v>-35.149791818910217</v>
      </c>
      <c r="L456" s="101">
        <f t="shared" ref="L456:O456" si="178">SUM(L454:L455)</f>
        <v>-39.587194396777249</v>
      </c>
      <c r="M456" s="101">
        <f t="shared" si="178"/>
        <v>-45.361424460797934</v>
      </c>
      <c r="N456" s="101">
        <f t="shared" si="178"/>
        <v>-51.367209449050279</v>
      </c>
      <c r="O456" s="101">
        <f t="shared" si="178"/>
        <v>-58.615410485611392</v>
      </c>
    </row>
    <row r="457" spans="1:15" ht="15" outlineLevel="1" thickTop="1">
      <c r="C457" s="173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</row>
    <row r="458" spans="1:15"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</row>
    <row r="459" spans="1:15">
      <c r="A459" s="115" t="s">
        <v>392</v>
      </c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</row>
    <row r="460" spans="1:15" outlineLevel="1"/>
    <row r="461" spans="1:15" outlineLevel="1">
      <c r="A461" s="2"/>
      <c r="B461" s="2"/>
      <c r="C461" s="2"/>
      <c r="D461" s="2"/>
      <c r="E461" s="4">
        <f t="shared" ref="E461:J461" si="179">F461-1</f>
        <v>2019</v>
      </c>
      <c r="F461" s="4">
        <f t="shared" si="179"/>
        <v>2020</v>
      </c>
      <c r="G461" s="4">
        <f t="shared" si="179"/>
        <v>2021</v>
      </c>
      <c r="H461" s="4">
        <f t="shared" si="179"/>
        <v>2022</v>
      </c>
      <c r="I461" s="4">
        <f t="shared" si="179"/>
        <v>2023</v>
      </c>
      <c r="J461" s="4">
        <f t="shared" si="179"/>
        <v>2024</v>
      </c>
      <c r="K461" s="7">
        <f>K$8</f>
        <v>2025</v>
      </c>
      <c r="L461" s="7">
        <f>L$8</f>
        <v>2026</v>
      </c>
      <c r="M461" s="7">
        <f>M$8</f>
        <v>2027</v>
      </c>
      <c r="N461" s="7">
        <f>N$8</f>
        <v>2028</v>
      </c>
      <c r="O461" s="7">
        <f>O$8</f>
        <v>2029</v>
      </c>
    </row>
    <row r="462" spans="1:15" outlineLevel="1">
      <c r="B462" s="1" t="s">
        <v>171</v>
      </c>
      <c r="E462" s="28"/>
      <c r="F462" s="28"/>
      <c r="G462" s="28"/>
      <c r="H462" s="28"/>
      <c r="I462" s="28"/>
      <c r="J462" s="28"/>
      <c r="K462" s="29"/>
      <c r="L462" s="29"/>
      <c r="M462" s="29"/>
      <c r="N462" s="29"/>
      <c r="O462" s="29"/>
    </row>
    <row r="463" spans="1:15" outlineLevel="1">
      <c r="C463" t="s">
        <v>423</v>
      </c>
      <c r="D463" t="s">
        <v>208</v>
      </c>
      <c r="E463" s="28"/>
      <c r="F463" s="28"/>
      <c r="G463" s="28"/>
      <c r="H463" s="28">
        <f>H132</f>
        <v>1940</v>
      </c>
      <c r="I463" s="28">
        <f>I132</f>
        <v>2234</v>
      </c>
      <c r="J463" s="28">
        <f>J132</f>
        <v>2319</v>
      </c>
      <c r="K463" s="29"/>
      <c r="L463" s="29"/>
      <c r="M463" s="29"/>
      <c r="N463" s="29"/>
      <c r="O463" s="29"/>
    </row>
    <row r="464" spans="1:15" outlineLevel="1">
      <c r="C464" t="s">
        <v>424</v>
      </c>
      <c r="D464" t="s">
        <v>208</v>
      </c>
      <c r="E464" s="28"/>
      <c r="F464" s="28"/>
      <c r="G464" s="28"/>
      <c r="H464" s="28">
        <f>-H83</f>
        <v>1925</v>
      </c>
      <c r="I464" s="28">
        <f>-I83</f>
        <v>2195</v>
      </c>
      <c r="J464" s="28">
        <f>-J83</f>
        <v>2373</v>
      </c>
      <c r="K464" s="29"/>
      <c r="L464" s="29"/>
      <c r="M464" s="29"/>
      <c r="N464" s="29"/>
      <c r="O464" s="29"/>
    </row>
    <row r="465" spans="1:15" outlineLevel="1">
      <c r="E465" s="28"/>
      <c r="F465" s="28"/>
      <c r="G465" s="28"/>
      <c r="H465" s="28"/>
      <c r="I465" s="28"/>
      <c r="J465" s="28"/>
      <c r="K465" s="29"/>
      <c r="L465" s="29"/>
      <c r="M465" s="29"/>
      <c r="N465" s="29"/>
      <c r="O465" s="29"/>
    </row>
    <row r="466" spans="1:15" outlineLevel="1">
      <c r="C466" t="s">
        <v>429</v>
      </c>
      <c r="D466" t="s">
        <v>208</v>
      </c>
      <c r="E466" s="28"/>
      <c r="F466" s="28"/>
      <c r="G466" s="28"/>
      <c r="H466" s="28">
        <f>H82</f>
        <v>7840</v>
      </c>
      <c r="I466" s="28">
        <f>I82</f>
        <v>8487</v>
      </c>
      <c r="J466" s="28">
        <f>J82</f>
        <v>9740</v>
      </c>
      <c r="K466" s="228">
        <f ca="1">K82</f>
        <v>10626.279714687082</v>
      </c>
      <c r="L466" s="228">
        <f t="shared" ref="L466:O466" ca="1" si="180">L82</f>
        <v>12022.972949604431</v>
      </c>
      <c r="M466" s="228">
        <f t="shared" ca="1" si="180"/>
        <v>13592.48339526072</v>
      </c>
      <c r="N466" s="228">
        <f t="shared" ca="1" si="180"/>
        <v>15242.394612870274</v>
      </c>
      <c r="O466" s="228">
        <f t="shared" ca="1" si="180"/>
        <v>17165.483552838072</v>
      </c>
    </row>
    <row r="467" spans="1:15" outlineLevel="1">
      <c r="E467" s="28"/>
      <c r="F467" s="28"/>
      <c r="G467" s="28"/>
      <c r="H467" s="28"/>
      <c r="I467" s="28"/>
      <c r="J467" s="28"/>
      <c r="K467" s="29"/>
      <c r="L467" s="29"/>
      <c r="M467" s="29"/>
      <c r="N467" s="29"/>
      <c r="O467" s="29"/>
    </row>
    <row r="468" spans="1:15" outlineLevel="1">
      <c r="C468" t="s">
        <v>425</v>
      </c>
      <c r="D468" t="s">
        <v>216</v>
      </c>
      <c r="E468" s="28"/>
      <c r="F468" s="108"/>
      <c r="G468" s="108"/>
      <c r="H468" s="108">
        <f t="shared" ref="H468:J468" si="181">H463/H466</f>
        <v>0.24744897959183673</v>
      </c>
      <c r="I468" s="108">
        <f t="shared" si="181"/>
        <v>0.26322611052197481</v>
      </c>
      <c r="J468" s="108">
        <f t="shared" si="181"/>
        <v>0.23809034907597537</v>
      </c>
      <c r="K468" s="29"/>
      <c r="L468" s="29"/>
      <c r="M468" s="29"/>
      <c r="N468" s="29"/>
      <c r="O468" s="29"/>
    </row>
    <row r="469" spans="1:15" outlineLevel="1">
      <c r="C469" t="s">
        <v>426</v>
      </c>
      <c r="D469" t="s">
        <v>216</v>
      </c>
      <c r="E469" s="28"/>
      <c r="F469" s="108"/>
      <c r="G469" s="108"/>
      <c r="H469" s="108"/>
      <c r="I469" s="108"/>
      <c r="J469" s="108">
        <f>AVERAGE(H468:J468)</f>
        <v>0.24958847972992895</v>
      </c>
      <c r="K469" s="29"/>
      <c r="L469" s="29"/>
      <c r="M469" s="29"/>
      <c r="N469" s="29"/>
      <c r="O469" s="29"/>
    </row>
    <row r="470" spans="1:15" outlineLevel="1">
      <c r="C470" t="s">
        <v>427</v>
      </c>
      <c r="D470" t="s">
        <v>216</v>
      </c>
      <c r="E470" s="28"/>
      <c r="F470" s="108"/>
      <c r="G470" s="108"/>
      <c r="H470" s="108">
        <f t="shared" ref="H470:J470" si="182">H464/H466</f>
        <v>0.24553571428571427</v>
      </c>
      <c r="I470" s="108">
        <f t="shared" si="182"/>
        <v>0.25863084717803697</v>
      </c>
      <c r="J470" s="108">
        <f t="shared" si="182"/>
        <v>0.24363449691991787</v>
      </c>
      <c r="K470" s="29"/>
      <c r="L470" s="29"/>
      <c r="M470" s="29"/>
      <c r="N470" s="29"/>
      <c r="O470" s="29"/>
    </row>
    <row r="471" spans="1:15" outlineLevel="1">
      <c r="C471" t="s">
        <v>426</v>
      </c>
      <c r="D471" t="s">
        <v>216</v>
      </c>
      <c r="E471" s="28"/>
      <c r="F471" s="28"/>
      <c r="G471" s="28"/>
      <c r="H471" s="28"/>
      <c r="I471" s="28"/>
      <c r="J471" s="108">
        <f>AVERAGE(H470:J470)</f>
        <v>0.24926701946122307</v>
      </c>
      <c r="K471" s="114">
        <f>J471</f>
        <v>0.24926701946122307</v>
      </c>
      <c r="L471" s="114">
        <f t="shared" ref="L471:O471" si="183">K471</f>
        <v>0.24926701946122307</v>
      </c>
      <c r="M471" s="114">
        <f t="shared" si="183"/>
        <v>0.24926701946122307</v>
      </c>
      <c r="N471" s="114">
        <f t="shared" si="183"/>
        <v>0.24926701946122307</v>
      </c>
      <c r="O471" s="114">
        <f t="shared" si="183"/>
        <v>0.24926701946122307</v>
      </c>
    </row>
    <row r="472" spans="1:15" outlineLevel="1">
      <c r="E472" s="28"/>
      <c r="F472" s="28"/>
      <c r="G472" s="28"/>
      <c r="H472" s="28"/>
      <c r="I472" s="28"/>
      <c r="J472" s="28"/>
      <c r="K472" s="29"/>
      <c r="L472" s="29"/>
      <c r="M472" s="29"/>
      <c r="N472" s="29"/>
      <c r="O472" s="29"/>
    </row>
    <row r="473" spans="1:15" ht="15" outlineLevel="1" thickBot="1">
      <c r="B473" s="33"/>
      <c r="C473" s="33" t="s">
        <v>428</v>
      </c>
      <c r="D473" s="33" t="s">
        <v>208</v>
      </c>
      <c r="E473" s="100"/>
      <c r="F473" s="100"/>
      <c r="G473" s="100"/>
      <c r="H473" s="100"/>
      <c r="I473" s="100"/>
      <c r="J473" s="100"/>
      <c r="K473" s="101">
        <f ca="1">K471*K466</f>
        <v>2648.7810724413048</v>
      </c>
      <c r="L473" s="101">
        <f t="shared" ref="L473:O473" ca="1" si="184">L471*L466</f>
        <v>2996.9306322108064</v>
      </c>
      <c r="M473" s="101">
        <f t="shared" ca="1" si="184"/>
        <v>3388.1578230128052</v>
      </c>
      <c r="N473" s="101">
        <f t="shared" ca="1" si="184"/>
        <v>3799.4262746019763</v>
      </c>
      <c r="O473" s="101">
        <f t="shared" ca="1" si="184"/>
        <v>4278.7889228265922</v>
      </c>
    </row>
    <row r="474" spans="1:15" ht="15" outlineLevel="1" thickTop="1"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</row>
    <row r="475" spans="1:15"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</row>
    <row r="476" spans="1:15">
      <c r="A476" s="115" t="s">
        <v>430</v>
      </c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</row>
    <row r="478" spans="1:15">
      <c r="A478" s="2"/>
      <c r="B478" s="2"/>
      <c r="C478" s="2"/>
      <c r="D478" s="2"/>
      <c r="E478" s="4">
        <f t="shared" ref="E478:J478" si="185">F478-1</f>
        <v>2019</v>
      </c>
      <c r="F478" s="4">
        <f t="shared" si="185"/>
        <v>2020</v>
      </c>
      <c r="G478" s="4">
        <f t="shared" si="185"/>
        <v>2021</v>
      </c>
      <c r="H478" s="4">
        <f t="shared" si="185"/>
        <v>2022</v>
      </c>
      <c r="I478" s="4">
        <f t="shared" si="185"/>
        <v>2023</v>
      </c>
      <c r="J478" s="4">
        <f t="shared" si="185"/>
        <v>2024</v>
      </c>
      <c r="K478" s="7">
        <f>K$8</f>
        <v>2025</v>
      </c>
      <c r="L478" s="7">
        <f>L$8</f>
        <v>2026</v>
      </c>
      <c r="M478" s="7">
        <f>M$8</f>
        <v>2027</v>
      </c>
      <c r="N478" s="7">
        <f>N$8</f>
        <v>2028</v>
      </c>
      <c r="O478" s="7">
        <f>O$8</f>
        <v>2029</v>
      </c>
    </row>
    <row r="479" spans="1:15">
      <c r="B479" s="1" t="s">
        <v>431</v>
      </c>
      <c r="E479" s="28"/>
      <c r="F479" s="28">
        <f>F103</f>
        <v>619</v>
      </c>
      <c r="G479" s="28">
        <f t="shared" ref="G479:J479" si="186">G103</f>
        <v>665</v>
      </c>
      <c r="H479" s="28">
        <f t="shared" si="186"/>
        <v>724</v>
      </c>
      <c r="I479" s="28">
        <f t="shared" si="186"/>
        <v>774</v>
      </c>
      <c r="J479" s="28">
        <f t="shared" si="186"/>
        <v>818</v>
      </c>
      <c r="K479" s="28"/>
      <c r="L479" s="28"/>
      <c r="M479" s="28"/>
      <c r="N479" s="28"/>
      <c r="O479" s="28"/>
    </row>
    <row r="480" spans="1:15">
      <c r="C480" t="s">
        <v>432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</row>
    <row r="481" spans="2:15">
      <c r="C481" t="s">
        <v>433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</row>
    <row r="482" spans="2:15">
      <c r="C482" t="s">
        <v>434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</row>
    <row r="483" spans="2:15">
      <c r="C483" t="s">
        <v>435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</row>
    <row r="484" spans="2:15">
      <c r="C484" t="s">
        <v>434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</row>
    <row r="485" spans="2:15">
      <c r="C485" t="s">
        <v>436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</row>
    <row r="486" spans="2:15">
      <c r="C486" t="s">
        <v>437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</row>
    <row r="487" spans="2:15"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2:15">
      <c r="C488" t="s">
        <v>438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</row>
    <row r="489" spans="2:15">
      <c r="C489" t="s">
        <v>439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</row>
    <row r="490" spans="2:15">
      <c r="C490" t="s">
        <v>440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</row>
    <row r="491" spans="2:15">
      <c r="C491" t="s">
        <v>441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</row>
    <row r="492" spans="2:15">
      <c r="C492" t="s">
        <v>442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</row>
    <row r="493" spans="2:15">
      <c r="B493" s="5"/>
      <c r="C493" s="5" t="s">
        <v>443</v>
      </c>
      <c r="D493" s="5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</row>
    <row r="494" spans="2:15"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</row>
    <row r="495" spans="2:15">
      <c r="B495" s="1" t="s">
        <v>444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</row>
    <row r="496" spans="2:15">
      <c r="C496" t="s">
        <v>445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</row>
    <row r="497" spans="2:15">
      <c r="C497" t="s">
        <v>312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</row>
    <row r="498" spans="2:15">
      <c r="C498" t="s">
        <v>446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</row>
    <row r="499" spans="2:15"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</row>
    <row r="500" spans="2:15">
      <c r="C500" t="s">
        <v>447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</row>
    <row r="501" spans="2:15"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</row>
    <row r="502" spans="2:15">
      <c r="C502" t="s">
        <v>448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2:15"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</row>
    <row r="504" spans="2:15">
      <c r="B504" s="1" t="s">
        <v>72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</row>
    <row r="505" spans="2:15">
      <c r="C505" t="s">
        <v>449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</row>
    <row r="506" spans="2:15"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</row>
    <row r="507" spans="2:15"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2:15"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</row>
    <row r="509" spans="2:15"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</row>
    <row r="510" spans="2:15"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</row>
    <row r="511" spans="2:15"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</row>
    <row r="512" spans="2:15"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5:15"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</row>
    <row r="514" spans="5:15"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</row>
    <row r="515" spans="5:15"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</row>
    <row r="516" spans="5:15"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</row>
    <row r="517" spans="5:15"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5:15"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</row>
    <row r="519" spans="5:15"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</row>
    <row r="520" spans="5:15"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</row>
    <row r="521" spans="5:15"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</row>
    <row r="522" spans="5:15"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</row>
    <row r="523" spans="5:15"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</row>
    <row r="524" spans="5:15"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</row>
    <row r="525" spans="5:15"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</row>
    <row r="526" spans="5:15"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</row>
    <row r="527" spans="5:15"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5:15"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</row>
    <row r="529" spans="5:15"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</row>
    <row r="530" spans="5:15"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</row>
    <row r="531" spans="5:15"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</row>
    <row r="532" spans="5:15"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5:15"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</row>
    <row r="534" spans="5:15"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</row>
    <row r="535" spans="5:15"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</row>
    <row r="536" spans="5:15"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</row>
    <row r="537" spans="5:15"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5:15"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</row>
    <row r="539" spans="5:15"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</row>
    <row r="540" spans="5:15"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</row>
    <row r="541" spans="5:15"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</row>
    <row r="542" spans="5:15"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5:15"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</row>
    <row r="544" spans="5:15"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</row>
    <row r="545" spans="5:15"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</row>
    <row r="546" spans="5:15"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</row>
    <row r="547" spans="5:15"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</row>
    <row r="548" spans="5:15"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</row>
    <row r="549" spans="5:15"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</row>
    <row r="550" spans="5:15"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</row>
    <row r="551" spans="5:15"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</row>
    <row r="552" spans="5:15"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</row>
    <row r="553" spans="5:15"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</row>
    <row r="554" spans="5:15"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</row>
    <row r="555" spans="5:15"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</row>
    <row r="556" spans="5:15"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</row>
    <row r="557" spans="5:15"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5:15"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</row>
    <row r="559" spans="5:15"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</row>
    <row r="560" spans="5:15"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</row>
    <row r="561" spans="5:15"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</row>
    <row r="562" spans="5:15"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5:15"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</row>
    <row r="564" spans="5:15"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</row>
    <row r="565" spans="5:15"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</row>
    <row r="566" spans="5:15"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</row>
    <row r="567" spans="5:15"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</row>
    <row r="568" spans="5:15"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</row>
    <row r="569" spans="5:15"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</row>
    <row r="570" spans="5:15"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</row>
    <row r="571" spans="5:15"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</row>
    <row r="572" spans="5:15"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5:15"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</row>
    <row r="574" spans="5:15"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</row>
    <row r="575" spans="5:15"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</row>
    <row r="576" spans="5:15"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</row>
    <row r="577" spans="5:15"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5:15"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</row>
    <row r="579" spans="5:15"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</row>
    <row r="580" spans="5:15"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</row>
    <row r="581" spans="5:15"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</row>
    <row r="582" spans="5:15"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</row>
    <row r="583" spans="5:15"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</row>
    <row r="584" spans="5:15"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</row>
    <row r="585" spans="5:15"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</row>
    <row r="586" spans="5:15"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</row>
    <row r="587" spans="5:15"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</row>
    <row r="588" spans="5:15"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</row>
    <row r="589" spans="5:15"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</row>
    <row r="590" spans="5:15"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</row>
    <row r="591" spans="5:15"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</row>
    <row r="592" spans="5:15"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</row>
    <row r="593" spans="5:15"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</row>
    <row r="594" spans="5:15"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</row>
    <row r="595" spans="5:15"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</row>
  </sheetData>
  <mergeCells count="15">
    <mergeCell ref="A459:O459"/>
    <mergeCell ref="A476:O476"/>
    <mergeCell ref="A273:O273"/>
    <mergeCell ref="A298:O298"/>
    <mergeCell ref="A334:O334"/>
    <mergeCell ref="A370:O370"/>
    <mergeCell ref="A433:O433"/>
    <mergeCell ref="A178:O178"/>
    <mergeCell ref="A2:O2"/>
    <mergeCell ref="A3:O3"/>
    <mergeCell ref="A66:O66"/>
    <mergeCell ref="A96:O96"/>
    <mergeCell ref="A135:O135"/>
    <mergeCell ref="B33:B34"/>
    <mergeCell ref="B35:B36"/>
  </mergeCells>
  <conditionalFormatting sqref="F136:O136">
    <cfRule type="containsText" dxfId="1" priority="2" operator="containsText" text="ERROR">
      <formula>NOT(ISERROR(SEARCH("ERROR",F136)))</formula>
    </cfRule>
  </conditionalFormatting>
  <conditionalFormatting sqref="K396:O396">
    <cfRule type="containsText" dxfId="0" priority="1" operator="containsText" text="ERROR">
      <formula>NOT(ISERROR(SEARCH("ERROR",K396)))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6350</xdr:colOff>
                    <xdr:row>8</xdr:row>
                    <xdr:rowOff>177800</xdr:rowOff>
                  </from>
                  <to>
                    <xdr:col>4</xdr:col>
                    <xdr:colOff>203200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E1E4-963E-4FB9-BA5C-73609344D4AF}">
  <dimension ref="G5:G16"/>
  <sheetViews>
    <sheetView workbookViewId="0">
      <selection activeCell="G17" sqref="G17"/>
    </sheetView>
  </sheetViews>
  <sheetFormatPr defaultRowHeight="14.5"/>
  <sheetData>
    <row r="5" spans="7:7">
      <c r="G5" t="s">
        <v>218</v>
      </c>
    </row>
    <row r="6" spans="7:7">
      <c r="G6" t="s">
        <v>219</v>
      </c>
    </row>
    <row r="7" spans="7:7">
      <c r="G7" t="s">
        <v>220</v>
      </c>
    </row>
    <row r="8" spans="7:7">
      <c r="G8" t="s">
        <v>221</v>
      </c>
    </row>
    <row r="9" spans="7:7">
      <c r="G9" t="s">
        <v>222</v>
      </c>
    </row>
    <row r="10" spans="7:7">
      <c r="G10" t="s">
        <v>223</v>
      </c>
    </row>
    <row r="11" spans="7:7">
      <c r="G11" t="s">
        <v>224</v>
      </c>
    </row>
    <row r="12" spans="7:7">
      <c r="G12" t="s">
        <v>226</v>
      </c>
    </row>
    <row r="13" spans="7:7">
      <c r="G13" t="s">
        <v>225</v>
      </c>
    </row>
    <row r="14" spans="7:7">
      <c r="G14" t="s">
        <v>329</v>
      </c>
    </row>
    <row r="15" spans="7:7">
      <c r="G15" t="s">
        <v>330</v>
      </c>
    </row>
    <row r="16" spans="7:7">
      <c r="G16" t="s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F23A-4F0A-4D19-A66C-67D3B2635F28}">
  <dimension ref="A2:U24"/>
  <sheetViews>
    <sheetView workbookViewId="0">
      <selection activeCell="E24" sqref="E24"/>
    </sheetView>
  </sheetViews>
  <sheetFormatPr defaultRowHeight="14.5"/>
  <sheetData>
    <row r="2" spans="1:21" ht="15" thickBot="1">
      <c r="D2">
        <v>2022</v>
      </c>
      <c r="E2">
        <v>2021</v>
      </c>
      <c r="F2">
        <v>2020</v>
      </c>
      <c r="G2" t="s">
        <v>49</v>
      </c>
      <c r="K2">
        <v>2024</v>
      </c>
      <c r="L2">
        <v>2023</v>
      </c>
      <c r="M2">
        <v>2022</v>
      </c>
      <c r="Q2">
        <v>2020</v>
      </c>
      <c r="R2">
        <v>2021</v>
      </c>
      <c r="S2">
        <v>2022</v>
      </c>
      <c r="T2">
        <v>2023</v>
      </c>
      <c r="U2">
        <v>2024</v>
      </c>
    </row>
    <row r="3" spans="1:21" ht="18.5">
      <c r="A3" s="124" t="s">
        <v>31</v>
      </c>
      <c r="B3" s="124"/>
      <c r="C3" s="124"/>
      <c r="D3" s="17"/>
      <c r="E3" s="17"/>
      <c r="F3" s="17"/>
      <c r="H3" s="124" t="s">
        <v>31</v>
      </c>
      <c r="I3" s="124"/>
      <c r="J3" s="124"/>
      <c r="K3" s="17"/>
      <c r="L3" s="17"/>
      <c r="M3" s="17"/>
    </row>
    <row r="4" spans="1:21">
      <c r="A4" s="119" t="s">
        <v>32</v>
      </c>
      <c r="B4" s="119"/>
      <c r="C4" s="119"/>
      <c r="D4" s="23">
        <v>222730</v>
      </c>
      <c r="E4" s="23">
        <v>192052</v>
      </c>
      <c r="F4" s="23">
        <v>163220</v>
      </c>
      <c r="G4" s="15">
        <f>D4-M4</f>
        <v>0</v>
      </c>
      <c r="H4" s="119" t="s">
        <v>32</v>
      </c>
      <c r="I4" s="119"/>
      <c r="J4" s="119"/>
      <c r="K4" s="23">
        <v>249625</v>
      </c>
      <c r="L4" s="23">
        <v>237710</v>
      </c>
      <c r="M4" s="23">
        <v>222730</v>
      </c>
      <c r="Q4">
        <v>163220</v>
      </c>
      <c r="R4">
        <v>192052</v>
      </c>
      <c r="S4">
        <v>222730</v>
      </c>
      <c r="T4">
        <v>237710</v>
      </c>
      <c r="U4">
        <v>249625</v>
      </c>
    </row>
    <row r="5" spans="1:21" ht="15" thickBot="1">
      <c r="A5" s="120" t="s">
        <v>12</v>
      </c>
      <c r="B5" s="120"/>
      <c r="C5" s="120"/>
      <c r="D5" s="24">
        <v>4224</v>
      </c>
      <c r="E5" s="24">
        <v>3877</v>
      </c>
      <c r="F5" s="24">
        <v>3541</v>
      </c>
      <c r="G5" s="15">
        <f t="shared" ref="G5:G24" si="0">D5-M5</f>
        <v>0</v>
      </c>
      <c r="H5" s="120" t="s">
        <v>12</v>
      </c>
      <c r="I5" s="120"/>
      <c r="J5" s="120"/>
      <c r="K5" s="24">
        <v>4828</v>
      </c>
      <c r="L5" s="24">
        <v>4580</v>
      </c>
      <c r="M5" s="24">
        <v>4224</v>
      </c>
      <c r="Q5">
        <v>3541</v>
      </c>
      <c r="R5">
        <v>3877</v>
      </c>
      <c r="S5">
        <v>4224</v>
      </c>
      <c r="T5">
        <v>4580</v>
      </c>
      <c r="U5">
        <v>4828</v>
      </c>
    </row>
    <row r="6" spans="1:21">
      <c r="A6" s="117" t="s">
        <v>33</v>
      </c>
      <c r="B6" s="117"/>
      <c r="C6" s="117"/>
      <c r="D6" s="25">
        <v>226954</v>
      </c>
      <c r="E6" s="25">
        <v>195929</v>
      </c>
      <c r="F6" s="25">
        <v>166761</v>
      </c>
      <c r="G6" s="15">
        <f t="shared" si="0"/>
        <v>0</v>
      </c>
      <c r="H6" s="117" t="s">
        <v>33</v>
      </c>
      <c r="I6" s="117"/>
      <c r="J6" s="117"/>
      <c r="K6" s="25">
        <v>254453</v>
      </c>
      <c r="L6" s="25">
        <v>242290</v>
      </c>
      <c r="M6" s="25">
        <v>226954</v>
      </c>
      <c r="Q6">
        <v>166761</v>
      </c>
      <c r="R6">
        <v>195929</v>
      </c>
      <c r="S6">
        <v>226954</v>
      </c>
      <c r="T6">
        <v>242290</v>
      </c>
      <c r="U6">
        <v>254453</v>
      </c>
    </row>
    <row r="7" spans="1:21" ht="18.5">
      <c r="A7" s="124" t="s">
        <v>34</v>
      </c>
      <c r="B7" s="124"/>
      <c r="C7" s="124"/>
      <c r="D7" s="16"/>
      <c r="E7" s="16"/>
      <c r="F7" s="16"/>
      <c r="G7" s="15">
        <f t="shared" si="0"/>
        <v>0</v>
      </c>
      <c r="H7" s="124" t="s">
        <v>34</v>
      </c>
      <c r="I7" s="124"/>
      <c r="J7" s="124"/>
      <c r="K7" s="16"/>
      <c r="L7" s="16"/>
      <c r="M7" s="16"/>
    </row>
    <row r="8" spans="1:21">
      <c r="A8" s="119" t="s">
        <v>35</v>
      </c>
      <c r="B8" s="119"/>
      <c r="C8" s="119"/>
      <c r="D8" s="26">
        <v>199382</v>
      </c>
      <c r="E8" s="26">
        <v>170684</v>
      </c>
      <c r="F8" s="26">
        <v>144939</v>
      </c>
      <c r="G8" s="15">
        <f t="shared" si="0"/>
        <v>0</v>
      </c>
      <c r="H8" s="119" t="s">
        <v>35</v>
      </c>
      <c r="I8" s="119"/>
      <c r="J8" s="119"/>
      <c r="K8" s="26">
        <v>222358</v>
      </c>
      <c r="L8" s="26">
        <v>212586</v>
      </c>
      <c r="M8" s="26">
        <v>199382</v>
      </c>
      <c r="Q8">
        <v>144939</v>
      </c>
      <c r="R8">
        <v>170684</v>
      </c>
      <c r="S8">
        <v>199382</v>
      </c>
      <c r="T8">
        <v>212586</v>
      </c>
      <c r="U8">
        <v>222358</v>
      </c>
    </row>
    <row r="9" spans="1:21" ht="15" thickBot="1">
      <c r="A9" s="120" t="s">
        <v>36</v>
      </c>
      <c r="B9" s="120"/>
      <c r="C9" s="120"/>
      <c r="D9" s="24">
        <v>19779</v>
      </c>
      <c r="E9" s="24">
        <v>18537</v>
      </c>
      <c r="F9" s="24">
        <v>16387</v>
      </c>
      <c r="G9" s="15">
        <f t="shared" si="0"/>
        <v>0</v>
      </c>
      <c r="H9" s="120" t="s">
        <v>36</v>
      </c>
      <c r="I9" s="120"/>
      <c r="J9" s="120"/>
      <c r="K9" s="24">
        <v>22810</v>
      </c>
      <c r="L9" s="24">
        <v>21590</v>
      </c>
      <c r="M9" s="24">
        <v>19779</v>
      </c>
      <c r="Q9">
        <v>16387</v>
      </c>
      <c r="R9">
        <v>18537</v>
      </c>
      <c r="S9">
        <v>19779</v>
      </c>
      <c r="T9">
        <v>21590</v>
      </c>
      <c r="U9">
        <v>22810</v>
      </c>
    </row>
    <row r="10" spans="1:21">
      <c r="A10" s="117" t="s">
        <v>37</v>
      </c>
      <c r="B10" s="117"/>
      <c r="C10" s="117"/>
      <c r="D10" s="25">
        <v>7793</v>
      </c>
      <c r="E10" s="25">
        <v>6708</v>
      </c>
      <c r="F10" s="25">
        <v>5435</v>
      </c>
      <c r="G10" s="15">
        <f t="shared" si="0"/>
        <v>0</v>
      </c>
      <c r="H10" s="117" t="s">
        <v>37</v>
      </c>
      <c r="I10" s="117"/>
      <c r="J10" s="117"/>
      <c r="K10" s="25">
        <v>9285</v>
      </c>
      <c r="L10" s="25">
        <v>8114</v>
      </c>
      <c r="M10" s="25">
        <v>7793</v>
      </c>
      <c r="Q10">
        <v>5435</v>
      </c>
      <c r="R10">
        <v>6708</v>
      </c>
      <c r="S10">
        <v>7793</v>
      </c>
      <c r="T10">
        <v>8114</v>
      </c>
      <c r="U10">
        <v>9285</v>
      </c>
    </row>
    <row r="11" spans="1:21" ht="18.5">
      <c r="A11" s="124" t="s">
        <v>38</v>
      </c>
      <c r="B11" s="124"/>
      <c r="C11" s="124"/>
      <c r="D11" s="16"/>
      <c r="E11" s="16"/>
      <c r="F11" s="16"/>
      <c r="G11" s="15">
        <f t="shared" si="0"/>
        <v>0</v>
      </c>
      <c r="H11" s="124" t="s">
        <v>38</v>
      </c>
      <c r="I11" s="124"/>
      <c r="J11" s="124"/>
      <c r="K11" s="16"/>
      <c r="L11" s="16"/>
      <c r="M11" s="16"/>
    </row>
    <row r="12" spans="1:21">
      <c r="A12" s="119" t="s">
        <v>39</v>
      </c>
      <c r="B12" s="119"/>
      <c r="C12" s="119"/>
      <c r="D12" s="22">
        <v>-158</v>
      </c>
      <c r="E12" s="22">
        <v>-171</v>
      </c>
      <c r="F12" s="22">
        <v>-160</v>
      </c>
      <c r="G12" s="15">
        <f t="shared" si="0"/>
        <v>0</v>
      </c>
      <c r="H12" s="119" t="s">
        <v>39</v>
      </c>
      <c r="I12" s="119"/>
      <c r="J12" s="119"/>
      <c r="K12" s="22">
        <v>-169</v>
      </c>
      <c r="L12" s="22">
        <v>-160</v>
      </c>
      <c r="M12" s="22">
        <v>-158</v>
      </c>
      <c r="Q12">
        <v>-160</v>
      </c>
      <c r="R12">
        <v>-171</v>
      </c>
      <c r="S12">
        <v>-158</v>
      </c>
      <c r="T12">
        <v>-160</v>
      </c>
      <c r="U12">
        <v>-169</v>
      </c>
    </row>
    <row r="13" spans="1:21" ht="15" thickBot="1">
      <c r="A13" s="120" t="s">
        <v>40</v>
      </c>
      <c r="B13" s="120"/>
      <c r="C13" s="120"/>
      <c r="D13" s="13">
        <v>205</v>
      </c>
      <c r="E13" s="13">
        <v>143</v>
      </c>
      <c r="F13" s="13">
        <v>92</v>
      </c>
      <c r="G13" s="15">
        <f t="shared" si="0"/>
        <v>0</v>
      </c>
      <c r="H13" s="120" t="s">
        <v>40</v>
      </c>
      <c r="I13" s="120"/>
      <c r="J13" s="120"/>
      <c r="K13" s="13">
        <v>624</v>
      </c>
      <c r="L13" s="13">
        <v>533</v>
      </c>
      <c r="M13" s="13">
        <v>205</v>
      </c>
      <c r="Q13">
        <v>92</v>
      </c>
      <c r="R13">
        <v>143</v>
      </c>
      <c r="S13">
        <v>205</v>
      </c>
      <c r="T13">
        <v>533</v>
      </c>
      <c r="U13">
        <v>624</v>
      </c>
    </row>
    <row r="14" spans="1:21">
      <c r="A14" s="123" t="s">
        <v>41</v>
      </c>
      <c r="B14" s="123"/>
      <c r="C14" s="123"/>
      <c r="D14" s="25">
        <v>7840</v>
      </c>
      <c r="E14" s="25">
        <v>6680</v>
      </c>
      <c r="F14" s="25">
        <v>5367</v>
      </c>
      <c r="G14" s="15">
        <f t="shared" si="0"/>
        <v>0</v>
      </c>
      <c r="H14" s="123" t="s">
        <v>41</v>
      </c>
      <c r="I14" s="123"/>
      <c r="J14" s="123"/>
      <c r="K14" s="25">
        <v>9740</v>
      </c>
      <c r="L14" s="25">
        <v>8487</v>
      </c>
      <c r="M14" s="25">
        <v>7840</v>
      </c>
      <c r="N14" s="12"/>
      <c r="Q14">
        <v>5367</v>
      </c>
      <c r="R14">
        <v>6680</v>
      </c>
      <c r="S14">
        <v>7840</v>
      </c>
      <c r="T14">
        <v>8487</v>
      </c>
      <c r="U14">
        <v>9740</v>
      </c>
    </row>
    <row r="15" spans="1:21" ht="15" thickBot="1">
      <c r="A15" s="120" t="s">
        <v>42</v>
      </c>
      <c r="B15" s="120"/>
      <c r="C15" s="120"/>
      <c r="D15" s="24">
        <v>1925</v>
      </c>
      <c r="E15" s="24">
        <v>1601</v>
      </c>
      <c r="F15" s="24">
        <v>1308</v>
      </c>
      <c r="G15" s="15">
        <f t="shared" si="0"/>
        <v>0</v>
      </c>
      <c r="H15" s="120" t="s">
        <v>42</v>
      </c>
      <c r="I15" s="120"/>
      <c r="J15" s="120"/>
      <c r="K15" s="24">
        <v>2373</v>
      </c>
      <c r="L15" s="24">
        <v>2195</v>
      </c>
      <c r="M15" s="24">
        <v>1925</v>
      </c>
      <c r="Q15">
        <v>1308</v>
      </c>
      <c r="R15">
        <v>1601</v>
      </c>
      <c r="S15">
        <v>1925</v>
      </c>
      <c r="T15">
        <v>2195</v>
      </c>
      <c r="U15">
        <v>2373</v>
      </c>
    </row>
    <row r="16" spans="1:21">
      <c r="A16" s="119" t="s">
        <v>43</v>
      </c>
      <c r="B16" s="119"/>
      <c r="C16" s="119"/>
      <c r="D16" s="25">
        <v>5915</v>
      </c>
      <c r="E16" s="25">
        <v>5079</v>
      </c>
      <c r="F16" s="25">
        <v>4059</v>
      </c>
      <c r="G16" s="15">
        <f t="shared" si="0"/>
        <v>0</v>
      </c>
      <c r="H16" s="125" t="s">
        <v>43</v>
      </c>
      <c r="I16" s="125"/>
      <c r="J16" s="125"/>
      <c r="K16" s="25">
        <v>7367</v>
      </c>
      <c r="L16" s="25">
        <v>6292</v>
      </c>
      <c r="M16" s="25">
        <v>5915</v>
      </c>
      <c r="Q16">
        <v>4059</v>
      </c>
      <c r="R16">
        <v>5079</v>
      </c>
      <c r="S16">
        <v>5915</v>
      </c>
      <c r="T16">
        <v>6292</v>
      </c>
      <c r="U16">
        <v>7367</v>
      </c>
    </row>
    <row r="17" spans="1:21" ht="15" thickBot="1">
      <c r="A17" s="122" t="s">
        <v>44</v>
      </c>
      <c r="B17" s="122"/>
      <c r="C17" s="122"/>
      <c r="D17" s="21">
        <v>-71</v>
      </c>
      <c r="E17" s="21">
        <v>-72</v>
      </c>
      <c r="F17" s="21">
        <v>-57</v>
      </c>
      <c r="G17" s="15">
        <f t="shared" si="0"/>
        <v>0</v>
      </c>
      <c r="H17" s="122" t="s">
        <v>44</v>
      </c>
      <c r="I17" s="122"/>
      <c r="J17" s="122"/>
      <c r="K17" s="13" t="s">
        <v>48</v>
      </c>
      <c r="L17" s="13" t="s">
        <v>48</v>
      </c>
      <c r="M17" s="21">
        <v>-71</v>
      </c>
      <c r="Q17">
        <v>-57</v>
      </c>
      <c r="R17">
        <v>-72</v>
      </c>
      <c r="S17">
        <v>-71</v>
      </c>
      <c r="T17" t="s">
        <v>50</v>
      </c>
      <c r="U17" t="s">
        <v>50</v>
      </c>
    </row>
    <row r="18" spans="1:21" ht="15" thickBot="1">
      <c r="A18" s="123" t="s">
        <v>45</v>
      </c>
      <c r="B18" s="123"/>
      <c r="C18" s="123"/>
      <c r="D18" s="27">
        <v>5844</v>
      </c>
      <c r="E18" s="27">
        <v>5007</v>
      </c>
      <c r="F18" s="27">
        <v>4002</v>
      </c>
      <c r="G18" s="15">
        <f t="shared" si="0"/>
        <v>0</v>
      </c>
      <c r="H18" s="123" t="s">
        <v>45</v>
      </c>
      <c r="I18" s="123"/>
      <c r="J18" s="123"/>
      <c r="K18" s="27">
        <v>7367</v>
      </c>
      <c r="L18" s="27">
        <v>6292</v>
      </c>
      <c r="M18" s="27">
        <v>5844</v>
      </c>
      <c r="Q18">
        <v>4002</v>
      </c>
      <c r="R18">
        <v>5007</v>
      </c>
      <c r="S18">
        <v>5844</v>
      </c>
      <c r="T18">
        <v>6292</v>
      </c>
      <c r="U18">
        <v>7367</v>
      </c>
    </row>
    <row r="19" spans="1:21" ht="18" thickTop="1">
      <c r="A19" s="121" t="s">
        <v>46</v>
      </c>
      <c r="B19" s="121"/>
      <c r="C19" s="121"/>
      <c r="D19" s="18"/>
      <c r="E19" s="18"/>
      <c r="F19" s="18"/>
      <c r="G19" s="15">
        <f t="shared" si="0"/>
        <v>0</v>
      </c>
      <c r="H19" s="121" t="s">
        <v>46</v>
      </c>
      <c r="I19" s="121"/>
      <c r="J19" s="121"/>
      <c r="K19" s="18"/>
      <c r="L19" s="18"/>
      <c r="M19" s="18"/>
    </row>
    <row r="20" spans="1:21" ht="24" customHeight="1" thickBot="1">
      <c r="A20" s="119" t="s">
        <v>28</v>
      </c>
      <c r="B20" s="119"/>
      <c r="C20" s="119"/>
      <c r="D20" s="11">
        <v>13.17</v>
      </c>
      <c r="E20" s="11">
        <v>11.3</v>
      </c>
      <c r="F20" s="11">
        <v>9.0500000000000007</v>
      </c>
      <c r="G20" s="15">
        <f t="shared" si="0"/>
        <v>0</v>
      </c>
      <c r="H20" s="119" t="s">
        <v>28</v>
      </c>
      <c r="I20" s="119"/>
      <c r="J20" s="119"/>
      <c r="K20" s="11">
        <v>16.59</v>
      </c>
      <c r="L20" s="11">
        <v>14.18</v>
      </c>
      <c r="M20" s="11">
        <v>13.17</v>
      </c>
      <c r="Q20">
        <v>9.0500000000000007</v>
      </c>
      <c r="R20">
        <v>11.3</v>
      </c>
      <c r="S20">
        <v>13.17</v>
      </c>
      <c r="T20">
        <v>14.18</v>
      </c>
      <c r="U20">
        <v>16.59</v>
      </c>
    </row>
    <row r="21" spans="1:21" ht="15.5" thickTop="1" thickBot="1">
      <c r="A21" s="120" t="s">
        <v>29</v>
      </c>
      <c r="B21" s="120"/>
      <c r="C21" s="120"/>
      <c r="D21" s="19">
        <v>13.14</v>
      </c>
      <c r="E21" s="19">
        <v>11.27</v>
      </c>
      <c r="F21" s="19">
        <v>9.02</v>
      </c>
      <c r="G21" s="15">
        <f t="shared" si="0"/>
        <v>0</v>
      </c>
      <c r="H21" s="120" t="s">
        <v>29</v>
      </c>
      <c r="I21" s="120"/>
      <c r="J21" s="120"/>
      <c r="K21" s="19">
        <v>16.559999999999999</v>
      </c>
      <c r="L21" s="19">
        <v>14.16</v>
      </c>
      <c r="M21" s="19">
        <v>13.14</v>
      </c>
      <c r="Q21">
        <v>9.02</v>
      </c>
      <c r="R21">
        <v>11.27</v>
      </c>
      <c r="S21">
        <v>13.14</v>
      </c>
      <c r="T21">
        <v>14.16</v>
      </c>
      <c r="U21">
        <v>16.559999999999999</v>
      </c>
    </row>
    <row r="22" spans="1:21" ht="19" thickTop="1">
      <c r="A22" s="119" t="s">
        <v>47</v>
      </c>
      <c r="B22" s="119"/>
      <c r="C22" s="119"/>
      <c r="D22" s="20"/>
      <c r="E22" s="20"/>
      <c r="F22" s="20"/>
      <c r="G22" s="15">
        <f t="shared" si="0"/>
        <v>0</v>
      </c>
      <c r="H22" s="119" t="s">
        <v>47</v>
      </c>
      <c r="I22" s="119"/>
      <c r="J22" s="119"/>
      <c r="K22" s="20"/>
      <c r="L22" s="20"/>
      <c r="M22" s="20"/>
    </row>
    <row r="23" spans="1:21" ht="26.5" customHeight="1">
      <c r="A23" s="118" t="s">
        <v>28</v>
      </c>
      <c r="B23" s="118"/>
      <c r="C23" s="118"/>
      <c r="D23" s="14">
        <v>443651</v>
      </c>
      <c r="E23" s="14">
        <v>443089</v>
      </c>
      <c r="F23" s="14">
        <v>442297</v>
      </c>
      <c r="G23" s="15">
        <f t="shared" si="0"/>
        <v>0</v>
      </c>
      <c r="H23" s="118" t="s">
        <v>28</v>
      </c>
      <c r="I23" s="118"/>
      <c r="J23" s="118"/>
      <c r="K23" s="14">
        <v>443914</v>
      </c>
      <c r="L23" s="14">
        <v>443854</v>
      </c>
      <c r="M23" s="14">
        <v>443651</v>
      </c>
      <c r="Q23">
        <v>442297</v>
      </c>
      <c r="R23">
        <v>443089</v>
      </c>
      <c r="S23">
        <v>443651</v>
      </c>
      <c r="T23">
        <v>443854</v>
      </c>
      <c r="U23">
        <v>443914</v>
      </c>
    </row>
    <row r="24" spans="1:21">
      <c r="A24" s="117" t="s">
        <v>29</v>
      </c>
      <c r="B24" s="117"/>
      <c r="C24" s="117"/>
      <c r="D24" s="26">
        <v>444757</v>
      </c>
      <c r="E24" s="26">
        <v>444346</v>
      </c>
      <c r="F24" s="26">
        <v>443901</v>
      </c>
      <c r="G24" s="15">
        <f t="shared" si="0"/>
        <v>0</v>
      </c>
      <c r="H24" s="117" t="s">
        <v>29</v>
      </c>
      <c r="I24" s="117"/>
      <c r="J24" s="117"/>
      <c r="K24" s="26">
        <v>444759</v>
      </c>
      <c r="L24" s="26">
        <v>444452</v>
      </c>
      <c r="M24" s="26">
        <v>444757</v>
      </c>
      <c r="Q24">
        <v>443901</v>
      </c>
      <c r="R24">
        <v>444346</v>
      </c>
      <c r="S24">
        <v>444757</v>
      </c>
      <c r="T24">
        <v>444452</v>
      </c>
      <c r="U24">
        <v>444759</v>
      </c>
    </row>
  </sheetData>
  <mergeCells count="44">
    <mergeCell ref="H8:J8"/>
    <mergeCell ref="H7:J7"/>
    <mergeCell ref="H17:J17"/>
    <mergeCell ref="H18:J18"/>
    <mergeCell ref="H16:J16"/>
    <mergeCell ref="H15:J15"/>
    <mergeCell ref="H14:J14"/>
    <mergeCell ref="H24:J24"/>
    <mergeCell ref="H12:J12"/>
    <mergeCell ref="H11:J11"/>
    <mergeCell ref="H10:J10"/>
    <mergeCell ref="H9:J9"/>
    <mergeCell ref="H13:J13"/>
    <mergeCell ref="A6:C6"/>
    <mergeCell ref="A4:C4"/>
    <mergeCell ref="A5:C5"/>
    <mergeCell ref="A3:C3"/>
    <mergeCell ref="A12:C12"/>
    <mergeCell ref="A11:C11"/>
    <mergeCell ref="A10:C10"/>
    <mergeCell ref="A9:C9"/>
    <mergeCell ref="A8:C8"/>
    <mergeCell ref="A7:C7"/>
    <mergeCell ref="A13:C13"/>
    <mergeCell ref="H6:J6"/>
    <mergeCell ref="H5:J5"/>
    <mergeCell ref="H3:J3"/>
    <mergeCell ref="H4:J4"/>
    <mergeCell ref="H23:J23"/>
    <mergeCell ref="H22:J22"/>
    <mergeCell ref="H21:J21"/>
    <mergeCell ref="H19:J19"/>
    <mergeCell ref="H20:J20"/>
    <mergeCell ref="A19:C19"/>
    <mergeCell ref="A17:C17"/>
    <mergeCell ref="A16:C16"/>
    <mergeCell ref="A15:C15"/>
    <mergeCell ref="A14:C14"/>
    <mergeCell ref="A18:C18"/>
    <mergeCell ref="A24:C24"/>
    <mergeCell ref="A23:C23"/>
    <mergeCell ref="A22:C22"/>
    <mergeCell ref="A20:C20"/>
    <mergeCell ref="A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F4B-B187-4C0F-945A-8459866150AB}">
  <dimension ref="B1:U46"/>
  <sheetViews>
    <sheetView topLeftCell="C23" workbookViewId="0">
      <selection activeCell="Q28" sqref="Q28:U29"/>
    </sheetView>
  </sheetViews>
  <sheetFormatPr defaultRowHeight="14.5"/>
  <cols>
    <col min="2" max="2" width="21.1796875" customWidth="1"/>
    <col min="3" max="3" width="20.453125" customWidth="1"/>
    <col min="4" max="4" width="19.81640625" customWidth="1"/>
    <col min="9" max="9" width="32.1796875" customWidth="1"/>
    <col min="10" max="10" width="13.81640625" customWidth="1"/>
  </cols>
  <sheetData>
    <row r="1" spans="2:21">
      <c r="H1" t="s">
        <v>123</v>
      </c>
    </row>
    <row r="2" spans="2:21" ht="18" thickBot="1">
      <c r="B2" s="136"/>
      <c r="C2" s="136"/>
      <c r="D2" s="136"/>
      <c r="E2" s="54">
        <v>2024</v>
      </c>
      <c r="F2" s="54">
        <v>2023</v>
      </c>
      <c r="G2" s="54">
        <v>2022</v>
      </c>
      <c r="I2" s="136"/>
      <c r="J2" s="136"/>
      <c r="K2" s="136"/>
      <c r="L2" s="54">
        <v>2022</v>
      </c>
      <c r="M2" s="54">
        <v>2021</v>
      </c>
      <c r="N2" s="54">
        <v>2020</v>
      </c>
    </row>
    <row r="3" spans="2:21" ht="18.5">
      <c r="B3" s="129" t="s">
        <v>83</v>
      </c>
      <c r="C3" s="129"/>
      <c r="D3" s="129"/>
      <c r="E3" s="17"/>
      <c r="F3" s="17"/>
      <c r="G3" s="17"/>
      <c r="I3" s="129" t="s">
        <v>83</v>
      </c>
      <c r="J3" s="129"/>
      <c r="K3" s="129"/>
      <c r="L3" s="17"/>
      <c r="M3" s="17"/>
      <c r="N3" s="17"/>
      <c r="P3" t="s">
        <v>83</v>
      </c>
    </row>
    <row r="4" spans="2:21">
      <c r="B4" s="131" t="s">
        <v>43</v>
      </c>
      <c r="C4" s="131"/>
      <c r="D4" s="131"/>
      <c r="E4" s="47">
        <v>7367</v>
      </c>
      <c r="F4" s="47">
        <v>6292</v>
      </c>
      <c r="G4" s="47">
        <v>5915</v>
      </c>
      <c r="H4" s="12">
        <f>G4-L4</f>
        <v>0</v>
      </c>
      <c r="I4" s="131" t="s">
        <v>43</v>
      </c>
      <c r="J4" s="131"/>
      <c r="K4" s="131"/>
      <c r="L4" s="47">
        <v>5915</v>
      </c>
      <c r="M4" s="47">
        <v>5079</v>
      </c>
      <c r="N4" s="47">
        <v>4059</v>
      </c>
      <c r="P4" t="s">
        <v>43</v>
      </c>
      <c r="Q4">
        <v>4059</v>
      </c>
      <c r="R4">
        <v>5079</v>
      </c>
      <c r="S4">
        <v>5915</v>
      </c>
      <c r="T4">
        <v>6292</v>
      </c>
      <c r="U4">
        <v>7367</v>
      </c>
    </row>
    <row r="5" spans="2:21" ht="17.5">
      <c r="B5" s="135" t="s">
        <v>84</v>
      </c>
      <c r="C5" s="135"/>
      <c r="D5" s="135"/>
      <c r="E5" s="16"/>
      <c r="F5" s="16"/>
      <c r="G5" s="16"/>
      <c r="H5" s="12">
        <f t="shared" ref="H5:H8" si="0">G5-L5</f>
        <v>0</v>
      </c>
      <c r="I5" s="135" t="s">
        <v>84</v>
      </c>
      <c r="J5" s="135"/>
      <c r="K5" s="135"/>
      <c r="L5" s="16"/>
      <c r="M5" s="16"/>
      <c r="N5" s="16"/>
      <c r="P5" t="s">
        <v>85</v>
      </c>
      <c r="Q5">
        <v>1645</v>
      </c>
      <c r="R5">
        <v>1781</v>
      </c>
      <c r="S5">
        <v>1900</v>
      </c>
      <c r="T5">
        <v>2077</v>
      </c>
      <c r="U5">
        <v>2237</v>
      </c>
    </row>
    <row r="6" spans="2:21">
      <c r="B6" s="137" t="s">
        <v>85</v>
      </c>
      <c r="C6" s="137"/>
      <c r="D6" s="137"/>
      <c r="E6" s="48">
        <v>2237</v>
      </c>
      <c r="F6" s="48">
        <v>2077</v>
      </c>
      <c r="G6" s="48">
        <v>1900</v>
      </c>
      <c r="H6" s="12">
        <f t="shared" si="0"/>
        <v>0</v>
      </c>
      <c r="I6" s="137" t="s">
        <v>85</v>
      </c>
      <c r="J6" s="137"/>
      <c r="K6" s="137"/>
      <c r="L6" s="48">
        <v>1900</v>
      </c>
      <c r="M6" s="48">
        <v>1781</v>
      </c>
      <c r="N6" s="48">
        <v>1645</v>
      </c>
      <c r="P6" t="s">
        <v>56</v>
      </c>
      <c r="Q6">
        <v>194</v>
      </c>
      <c r="R6">
        <v>286</v>
      </c>
      <c r="S6">
        <v>377</v>
      </c>
      <c r="T6">
        <v>412</v>
      </c>
      <c r="U6">
        <v>315</v>
      </c>
    </row>
    <row r="7" spans="2:21">
      <c r="B7" s="138" t="s">
        <v>56</v>
      </c>
      <c r="C7" s="138"/>
      <c r="D7" s="138"/>
      <c r="E7" s="45">
        <v>315</v>
      </c>
      <c r="F7" s="45">
        <v>412</v>
      </c>
      <c r="G7" s="45">
        <v>377</v>
      </c>
      <c r="H7" s="12">
        <f t="shared" si="0"/>
        <v>0</v>
      </c>
      <c r="I7" s="138" t="s">
        <v>56</v>
      </c>
      <c r="J7" s="138"/>
      <c r="K7" s="138"/>
      <c r="L7" s="45">
        <v>377</v>
      </c>
      <c r="M7" s="45">
        <v>286</v>
      </c>
      <c r="N7" s="45">
        <v>194</v>
      </c>
      <c r="P7" t="s">
        <v>57</v>
      </c>
      <c r="Q7">
        <v>619</v>
      </c>
      <c r="R7">
        <v>665</v>
      </c>
      <c r="S7">
        <v>724</v>
      </c>
      <c r="T7">
        <v>774</v>
      </c>
      <c r="U7">
        <v>818</v>
      </c>
    </row>
    <row r="8" spans="2:21">
      <c r="B8" s="137" t="s">
        <v>57</v>
      </c>
      <c r="C8" s="137"/>
      <c r="D8" s="137"/>
      <c r="E8" s="40">
        <v>818</v>
      </c>
      <c r="F8" s="40">
        <v>774</v>
      </c>
      <c r="G8" s="40">
        <v>724</v>
      </c>
      <c r="H8" s="12">
        <f t="shared" si="0"/>
        <v>0</v>
      </c>
      <c r="I8" s="137" t="s">
        <v>57</v>
      </c>
      <c r="J8" s="137"/>
      <c r="K8" s="137"/>
      <c r="L8" s="40">
        <v>724</v>
      </c>
      <c r="M8" s="40">
        <v>665</v>
      </c>
      <c r="N8" s="40">
        <v>619</v>
      </c>
      <c r="P8" t="s">
        <v>86</v>
      </c>
      <c r="Q8">
        <f>SUM(N9:N10)</f>
        <v>146</v>
      </c>
      <c r="R8">
        <v>85</v>
      </c>
      <c r="S8">
        <f>SUM(L9:L10)</f>
        <v>39</v>
      </c>
      <c r="T8">
        <v>495</v>
      </c>
      <c r="U8">
        <v>-9</v>
      </c>
    </row>
    <row r="9" spans="2:21">
      <c r="B9" s="132" t="s">
        <v>86</v>
      </c>
      <c r="C9" s="132"/>
      <c r="D9" s="132"/>
      <c r="E9" s="44">
        <v>-9</v>
      </c>
      <c r="F9" s="45">
        <v>495</v>
      </c>
      <c r="G9" s="45">
        <v>39</v>
      </c>
      <c r="H9" s="12"/>
      <c r="I9" s="139" t="s">
        <v>119</v>
      </c>
      <c r="J9" s="139"/>
      <c r="K9" s="139"/>
      <c r="L9" s="45">
        <v>76</v>
      </c>
      <c r="M9" s="45">
        <v>85</v>
      </c>
      <c r="N9" s="45">
        <v>42</v>
      </c>
      <c r="P9" t="s">
        <v>87</v>
      </c>
    </row>
    <row r="10" spans="2:21">
      <c r="H10" s="12"/>
      <c r="I10" s="139" t="s">
        <v>120</v>
      </c>
      <c r="J10" s="139"/>
      <c r="K10" s="139"/>
      <c r="L10" s="43">
        <v>-37</v>
      </c>
      <c r="M10" s="40">
        <v>59</v>
      </c>
      <c r="N10" s="40">
        <v>104</v>
      </c>
      <c r="P10" t="s">
        <v>88</v>
      </c>
      <c r="Q10">
        <v>-791</v>
      </c>
      <c r="R10">
        <v>-1892</v>
      </c>
      <c r="S10">
        <v>-4003</v>
      </c>
      <c r="T10">
        <v>1228</v>
      </c>
      <c r="U10">
        <v>-2068</v>
      </c>
    </row>
    <row r="11" spans="2:21" ht="17.5">
      <c r="B11" s="140" t="s">
        <v>87</v>
      </c>
      <c r="C11" s="140"/>
      <c r="D11" s="140"/>
      <c r="E11" s="34"/>
      <c r="F11" s="34"/>
      <c r="G11" s="34"/>
      <c r="H11" s="12"/>
      <c r="I11" s="135" t="s">
        <v>87</v>
      </c>
      <c r="J11" s="135"/>
      <c r="K11" s="135"/>
      <c r="L11" s="16"/>
      <c r="M11" s="16"/>
      <c r="N11" s="16"/>
      <c r="P11" t="s">
        <v>89</v>
      </c>
      <c r="Q11">
        <v>2261</v>
      </c>
      <c r="R11">
        <v>1838</v>
      </c>
      <c r="S11">
        <v>1891</v>
      </c>
      <c r="T11">
        <v>-382</v>
      </c>
      <c r="U11">
        <v>1938</v>
      </c>
    </row>
    <row r="12" spans="2:21">
      <c r="B12" s="126" t="s">
        <v>88</v>
      </c>
      <c r="C12" s="126"/>
      <c r="D12" s="126"/>
      <c r="E12" s="46">
        <v>-2068</v>
      </c>
      <c r="F12" s="50">
        <v>1228</v>
      </c>
      <c r="G12" s="46">
        <v>-4003</v>
      </c>
      <c r="H12" s="12">
        <f>G12-L12</f>
        <v>0</v>
      </c>
      <c r="I12" s="133" t="s">
        <v>88</v>
      </c>
      <c r="J12" s="133"/>
      <c r="K12" s="133"/>
      <c r="L12" s="39">
        <v>-4003</v>
      </c>
      <c r="M12" s="39">
        <v>-1892</v>
      </c>
      <c r="N12" s="43">
        <v>-791</v>
      </c>
      <c r="P12" t="s">
        <v>62</v>
      </c>
      <c r="Q12">
        <v>728</v>
      </c>
      <c r="R12">
        <v>1057</v>
      </c>
      <c r="S12">
        <v>549</v>
      </c>
      <c r="T12">
        <v>172</v>
      </c>
      <c r="U12">
        <v>741</v>
      </c>
    </row>
    <row r="13" spans="2:21">
      <c r="B13" s="133" t="s">
        <v>89</v>
      </c>
      <c r="C13" s="133"/>
      <c r="D13" s="133"/>
      <c r="E13" s="48">
        <v>1938</v>
      </c>
      <c r="F13" s="43">
        <v>-382</v>
      </c>
      <c r="G13" s="48">
        <v>1891</v>
      </c>
      <c r="H13" s="12">
        <f>G13-L13</f>
        <v>0</v>
      </c>
      <c r="I13" s="126" t="s">
        <v>89</v>
      </c>
      <c r="J13" s="126"/>
      <c r="K13" s="126"/>
      <c r="L13" s="50">
        <v>1891</v>
      </c>
      <c r="M13" s="50">
        <v>1838</v>
      </c>
      <c r="N13" s="50">
        <v>2261</v>
      </c>
    </row>
    <row r="14" spans="2:21" ht="15" thickBot="1">
      <c r="B14" s="126" t="s">
        <v>62</v>
      </c>
      <c r="C14" s="126"/>
      <c r="D14" s="126"/>
      <c r="E14" s="38">
        <v>741</v>
      </c>
      <c r="F14" s="38">
        <v>172</v>
      </c>
      <c r="G14" s="38">
        <v>549</v>
      </c>
      <c r="H14" s="12">
        <f>G14-L14</f>
        <v>0</v>
      </c>
      <c r="I14" s="133" t="s">
        <v>62</v>
      </c>
      <c r="J14" s="133"/>
      <c r="K14" s="133"/>
      <c r="L14" s="58">
        <v>549</v>
      </c>
      <c r="M14" s="60">
        <v>1057</v>
      </c>
      <c r="N14" s="58">
        <v>728</v>
      </c>
    </row>
    <row r="15" spans="2:21" ht="15" thickBot="1">
      <c r="B15" s="133" t="s">
        <v>90</v>
      </c>
      <c r="C15" s="133"/>
      <c r="D15" s="133"/>
      <c r="E15" s="49">
        <v>11339</v>
      </c>
      <c r="F15" s="49">
        <v>11068</v>
      </c>
      <c r="G15" s="49">
        <v>7392</v>
      </c>
      <c r="H15" s="12">
        <f>G15-L15</f>
        <v>0</v>
      </c>
      <c r="I15" s="126" t="s">
        <v>90</v>
      </c>
      <c r="J15" s="126"/>
      <c r="K15" s="126"/>
      <c r="L15" s="59">
        <v>7392</v>
      </c>
      <c r="M15" s="59">
        <v>8958</v>
      </c>
      <c r="N15" s="59">
        <v>8861</v>
      </c>
      <c r="P15" t="s">
        <v>66</v>
      </c>
      <c r="Q15">
        <v>-2810</v>
      </c>
      <c r="R15">
        <v>-3588</v>
      </c>
      <c r="S15">
        <v>-3891</v>
      </c>
      <c r="T15">
        <v>-4323</v>
      </c>
      <c r="U15">
        <v>-4710</v>
      </c>
    </row>
    <row r="16" spans="2:21" ht="18.5">
      <c r="B16" s="129" t="s">
        <v>91</v>
      </c>
      <c r="C16" s="129"/>
      <c r="D16" s="129"/>
      <c r="E16" s="17"/>
      <c r="F16" s="17"/>
      <c r="G16" s="17"/>
      <c r="H16" s="12"/>
      <c r="I16" s="127" t="s">
        <v>91</v>
      </c>
      <c r="J16" s="127"/>
      <c r="K16" s="127"/>
      <c r="L16" s="35"/>
      <c r="M16" s="35"/>
      <c r="N16" s="35"/>
      <c r="P16" t="s">
        <v>166</v>
      </c>
      <c r="Q16">
        <v>-1081</v>
      </c>
      <c r="R16">
        <v>53</v>
      </c>
      <c r="S16">
        <v>-24</v>
      </c>
      <c r="T16">
        <v>-649</v>
      </c>
      <c r="U16">
        <v>301</v>
      </c>
    </row>
    <row r="17" spans="2:21">
      <c r="B17" s="131" t="s">
        <v>92</v>
      </c>
      <c r="C17" s="131"/>
      <c r="D17" s="131"/>
      <c r="E17" s="39">
        <v>-1470</v>
      </c>
      <c r="F17" s="39">
        <v>-1622</v>
      </c>
      <c r="G17" s="39">
        <v>-1121</v>
      </c>
      <c r="H17" s="12"/>
      <c r="I17" s="128" t="s">
        <v>92</v>
      </c>
      <c r="J17" s="128"/>
      <c r="K17" s="128"/>
      <c r="L17" s="46">
        <v>-1121</v>
      </c>
      <c r="M17" s="46">
        <v>-1331</v>
      </c>
      <c r="N17" s="46">
        <v>-1626</v>
      </c>
      <c r="O17" s="12"/>
      <c r="P17" s="12"/>
      <c r="Q17" s="12"/>
    </row>
    <row r="18" spans="2:21">
      <c r="B18" s="128" t="s">
        <v>93</v>
      </c>
      <c r="C18" s="128"/>
      <c r="D18" s="128"/>
      <c r="E18" s="50">
        <v>1790</v>
      </c>
      <c r="F18" s="45">
        <v>937</v>
      </c>
      <c r="G18" s="50">
        <v>1145</v>
      </c>
      <c r="H18" s="12"/>
      <c r="I18" s="131" t="s">
        <v>93</v>
      </c>
      <c r="J18" s="131"/>
      <c r="K18" s="131"/>
      <c r="L18" s="48">
        <v>1145</v>
      </c>
      <c r="M18" s="48">
        <v>1446</v>
      </c>
      <c r="N18" s="48">
        <v>1678</v>
      </c>
      <c r="O18" s="12"/>
      <c r="P18" s="12"/>
    </row>
    <row r="19" spans="2:21">
      <c r="B19" s="131" t="s">
        <v>94</v>
      </c>
      <c r="C19" s="131"/>
      <c r="D19" s="131"/>
      <c r="E19" s="39">
        <v>-4710</v>
      </c>
      <c r="F19" s="39">
        <v>-4323</v>
      </c>
      <c r="G19" s="39">
        <v>-3891</v>
      </c>
      <c r="H19" s="12"/>
      <c r="I19" s="128" t="s">
        <v>94</v>
      </c>
      <c r="J19" s="128"/>
      <c r="K19" s="128"/>
      <c r="L19" s="46">
        <v>-3891</v>
      </c>
      <c r="M19" s="46">
        <v>-3588</v>
      </c>
      <c r="N19" s="46">
        <v>-2810</v>
      </c>
      <c r="P19" t="s">
        <v>70</v>
      </c>
      <c r="Q19">
        <v>929</v>
      </c>
      <c r="R19">
        <v>-53</v>
      </c>
      <c r="S19">
        <v>-753</v>
      </c>
      <c r="T19">
        <v>-93</v>
      </c>
      <c r="U19">
        <v>-571</v>
      </c>
    </row>
    <row r="20" spans="2:21">
      <c r="H20" s="12"/>
      <c r="I20" s="132" t="s">
        <v>121</v>
      </c>
      <c r="J20" s="132"/>
      <c r="K20" s="132"/>
      <c r="L20" s="62" t="s">
        <v>102</v>
      </c>
      <c r="M20" s="62" t="s">
        <v>102</v>
      </c>
      <c r="N20" s="63">
        <v>-1163</v>
      </c>
      <c r="P20" t="s">
        <v>167</v>
      </c>
      <c r="Q20">
        <v>-196</v>
      </c>
      <c r="R20">
        <v>-496</v>
      </c>
      <c r="S20">
        <v>-439</v>
      </c>
      <c r="T20">
        <v>-676</v>
      </c>
      <c r="U20">
        <v>-700</v>
      </c>
    </row>
    <row r="21" spans="2:21" ht="15" thickBot="1">
      <c r="B21" s="128" t="s">
        <v>95</v>
      </c>
      <c r="C21" s="128"/>
      <c r="D21" s="128"/>
      <c r="E21" s="42">
        <v>-19</v>
      </c>
      <c r="F21" s="38">
        <v>36</v>
      </c>
      <c r="G21" s="42">
        <v>-48</v>
      </c>
      <c r="H21" s="12"/>
      <c r="I21" s="128" t="s">
        <v>95</v>
      </c>
      <c r="J21" s="128"/>
      <c r="K21" s="128"/>
      <c r="L21" s="42">
        <v>-48</v>
      </c>
      <c r="M21" s="42">
        <v>-62</v>
      </c>
      <c r="N21" s="38">
        <v>30</v>
      </c>
      <c r="P21" t="s">
        <v>168</v>
      </c>
      <c r="Q21" s="12">
        <v>-1479</v>
      </c>
      <c r="R21" s="12">
        <v>-5748</v>
      </c>
      <c r="S21" s="12">
        <v>-1498</v>
      </c>
      <c r="T21" s="12">
        <v>-1251</v>
      </c>
      <c r="U21" s="12">
        <v>-9041</v>
      </c>
    </row>
    <row r="22" spans="2:21" ht="15" thickBot="1">
      <c r="B22" s="133" t="s">
        <v>96</v>
      </c>
      <c r="C22" s="133"/>
      <c r="D22" s="133"/>
      <c r="E22" s="41">
        <v>-4409</v>
      </c>
      <c r="F22" s="41">
        <v>-4972</v>
      </c>
      <c r="G22" s="41">
        <v>-3915</v>
      </c>
      <c r="H22" s="12"/>
      <c r="I22" s="133" t="s">
        <v>96</v>
      </c>
      <c r="J22" s="133"/>
      <c r="K22" s="133"/>
      <c r="L22" s="41">
        <v>-3915</v>
      </c>
      <c r="M22" s="41">
        <v>-3535</v>
      </c>
      <c r="N22" s="41">
        <v>-3891</v>
      </c>
      <c r="P22" t="s">
        <v>73</v>
      </c>
      <c r="R22">
        <v>-67</v>
      </c>
      <c r="S22">
        <v>-180</v>
      </c>
      <c r="T22">
        <v>-291</v>
      </c>
      <c r="U22">
        <v>-137</v>
      </c>
    </row>
    <row r="23" spans="2:21" ht="18.5">
      <c r="B23" s="129" t="s">
        <v>97</v>
      </c>
      <c r="C23" s="129"/>
      <c r="D23" s="129"/>
      <c r="E23" s="17"/>
      <c r="F23" s="17"/>
      <c r="G23" s="17"/>
      <c r="H23" s="12"/>
      <c r="I23" s="129" t="s">
        <v>97</v>
      </c>
      <c r="J23" s="129"/>
      <c r="K23" s="129"/>
      <c r="L23" s="17"/>
      <c r="M23" s="17"/>
      <c r="N23" s="17"/>
      <c r="P23" t="s">
        <v>169</v>
      </c>
      <c r="Q23">
        <v>-401</v>
      </c>
      <c r="R23">
        <v>-124</v>
      </c>
      <c r="S23">
        <v>-1413</v>
      </c>
      <c r="T23">
        <v>-303</v>
      </c>
      <c r="U23">
        <v>-315</v>
      </c>
    </row>
    <row r="24" spans="2:21">
      <c r="B24" s="132" t="s">
        <v>98</v>
      </c>
      <c r="C24" s="132"/>
      <c r="D24" s="132"/>
      <c r="E24" s="64">
        <v>-920</v>
      </c>
      <c r="F24" s="64">
        <v>-935</v>
      </c>
      <c r="G24" s="64">
        <v>-6</v>
      </c>
      <c r="H24" s="12"/>
    </row>
    <row r="25" spans="2:21">
      <c r="B25" s="132" t="s">
        <v>99</v>
      </c>
      <c r="C25" s="132"/>
      <c r="D25" s="132"/>
      <c r="E25" s="62">
        <v>928</v>
      </c>
      <c r="F25" s="62">
        <v>917</v>
      </c>
      <c r="G25" s="62">
        <v>53</v>
      </c>
      <c r="H25" s="12"/>
    </row>
    <row r="26" spans="2:21">
      <c r="B26" s="131" t="s">
        <v>100</v>
      </c>
      <c r="C26" s="131"/>
      <c r="D26" s="131"/>
      <c r="E26" s="39">
        <v>-1077</v>
      </c>
      <c r="F26" s="43">
        <v>-75</v>
      </c>
      <c r="G26" s="98">
        <v>-800</v>
      </c>
      <c r="H26" s="12"/>
      <c r="I26" s="128" t="s">
        <v>100</v>
      </c>
      <c r="J26" s="128"/>
      <c r="K26" s="128"/>
      <c r="L26" s="98">
        <v>-800</v>
      </c>
      <c r="M26" s="44">
        <v>-94</v>
      </c>
      <c r="N26" s="46">
        <v>-3200</v>
      </c>
      <c r="P26" t="s">
        <v>76</v>
      </c>
      <c r="Q26">
        <v>70</v>
      </c>
      <c r="R26">
        <v>46</v>
      </c>
      <c r="S26">
        <v>-249</v>
      </c>
      <c r="T26">
        <v>15</v>
      </c>
      <c r="U26">
        <v>40</v>
      </c>
    </row>
    <row r="27" spans="2:21">
      <c r="B27" s="128" t="s">
        <v>101</v>
      </c>
      <c r="C27" s="128"/>
      <c r="D27" s="128"/>
      <c r="E27" s="45">
        <v>498</v>
      </c>
      <c r="F27" s="45" t="s">
        <v>102</v>
      </c>
      <c r="G27" s="45" t="s">
        <v>102</v>
      </c>
      <c r="H27" s="12"/>
      <c r="I27" s="131" t="s">
        <v>101</v>
      </c>
      <c r="J27" s="131"/>
      <c r="K27" s="131"/>
      <c r="L27" s="40" t="s">
        <v>102</v>
      </c>
      <c r="M27" s="40" t="s">
        <v>102</v>
      </c>
      <c r="N27" s="48">
        <v>3992</v>
      </c>
    </row>
    <row r="28" spans="2:21">
      <c r="B28" s="131" t="s">
        <v>103</v>
      </c>
      <c r="C28" s="131"/>
      <c r="D28" s="131"/>
      <c r="E28" s="43">
        <v>-315</v>
      </c>
      <c r="F28" s="43">
        <v>-303</v>
      </c>
      <c r="G28" s="98">
        <v>-363</v>
      </c>
      <c r="H28" s="12"/>
      <c r="I28" s="131" t="s">
        <v>103</v>
      </c>
      <c r="J28" s="131"/>
      <c r="K28" s="131"/>
      <c r="L28" s="98">
        <v>-363</v>
      </c>
      <c r="M28" s="43">
        <v>-312</v>
      </c>
      <c r="N28" s="43">
        <v>-330</v>
      </c>
      <c r="P28" t="s">
        <v>170</v>
      </c>
      <c r="Q28">
        <v>124</v>
      </c>
      <c r="R28">
        <v>149</v>
      </c>
      <c r="S28">
        <v>145</v>
      </c>
      <c r="T28">
        <v>125</v>
      </c>
      <c r="U28">
        <v>129</v>
      </c>
    </row>
    <row r="29" spans="2:21">
      <c r="B29" s="128" t="s">
        <v>104</v>
      </c>
      <c r="C29" s="128"/>
      <c r="D29" s="128"/>
      <c r="E29" s="44">
        <v>-700</v>
      </c>
      <c r="F29" s="44">
        <v>-676</v>
      </c>
      <c r="G29" s="98">
        <v>-439</v>
      </c>
      <c r="H29" s="12"/>
      <c r="I29" s="128" t="s">
        <v>104</v>
      </c>
      <c r="J29" s="128"/>
      <c r="K29" s="128"/>
      <c r="L29" s="98">
        <v>-439</v>
      </c>
      <c r="M29" s="44">
        <v>-496</v>
      </c>
      <c r="N29" s="44">
        <v>-196</v>
      </c>
      <c r="P29" t="s">
        <v>171</v>
      </c>
      <c r="Q29">
        <v>1052</v>
      </c>
      <c r="R29">
        <v>1527</v>
      </c>
      <c r="S29">
        <v>1940</v>
      </c>
      <c r="T29">
        <v>2234</v>
      </c>
      <c r="U29">
        <v>2319</v>
      </c>
    </row>
    <row r="30" spans="2:21">
      <c r="B30" s="131" t="s">
        <v>105</v>
      </c>
      <c r="C30" s="131"/>
      <c r="D30" s="131"/>
      <c r="E30" s="39">
        <v>-9041</v>
      </c>
      <c r="F30" s="39">
        <v>-1251</v>
      </c>
      <c r="G30" s="99">
        <v>-1498</v>
      </c>
      <c r="H30" s="12"/>
      <c r="I30" s="131" t="s">
        <v>105</v>
      </c>
      <c r="J30" s="131"/>
      <c r="K30" s="131"/>
      <c r="L30" s="99">
        <v>-1498</v>
      </c>
      <c r="M30" s="39">
        <v>-5748</v>
      </c>
      <c r="N30" s="39">
        <v>-1479</v>
      </c>
    </row>
    <row r="31" spans="2:21">
      <c r="B31" s="132" t="s">
        <v>106</v>
      </c>
      <c r="C31" s="132"/>
      <c r="D31" s="132"/>
      <c r="E31" s="64">
        <v>-137</v>
      </c>
      <c r="F31" s="64">
        <v>-291</v>
      </c>
      <c r="G31" s="64">
        <v>-180</v>
      </c>
      <c r="H31" s="12"/>
    </row>
    <row r="32" spans="2:21">
      <c r="B32" s="131" t="s">
        <v>107</v>
      </c>
      <c r="C32" s="131"/>
      <c r="D32" s="131"/>
      <c r="E32" s="40" t="s">
        <v>102</v>
      </c>
      <c r="F32" s="40" t="s">
        <v>102</v>
      </c>
      <c r="G32" s="98">
        <v>-208</v>
      </c>
      <c r="H32" s="12"/>
      <c r="I32" s="128" t="s">
        <v>107</v>
      </c>
      <c r="J32" s="128"/>
      <c r="K32" s="128"/>
      <c r="L32" s="98">
        <v>-208</v>
      </c>
      <c r="M32" s="45" t="s">
        <v>102</v>
      </c>
      <c r="N32" s="45" t="s">
        <v>102</v>
      </c>
    </row>
    <row r="33" spans="2:14">
      <c r="B33" s="128" t="s">
        <v>108</v>
      </c>
      <c r="C33" s="128"/>
      <c r="D33" s="128"/>
      <c r="E33" s="45" t="s">
        <v>102</v>
      </c>
      <c r="F33" s="45" t="s">
        <v>102</v>
      </c>
      <c r="G33" s="98">
        <v>-842</v>
      </c>
      <c r="H33" s="12"/>
      <c r="I33" s="131" t="s">
        <v>108</v>
      </c>
      <c r="J33" s="131"/>
      <c r="K33" s="131"/>
      <c r="L33" s="98">
        <v>-842</v>
      </c>
      <c r="M33" s="40" t="s">
        <v>102</v>
      </c>
      <c r="N33" s="40" t="s">
        <v>102</v>
      </c>
    </row>
    <row r="34" spans="2:14" ht="15" thickBot="1">
      <c r="H34" s="12"/>
      <c r="I34" s="132" t="s">
        <v>122</v>
      </c>
      <c r="J34" s="132"/>
      <c r="K34" s="132"/>
      <c r="L34" s="65">
        <v>-133</v>
      </c>
      <c r="M34" s="66">
        <v>162</v>
      </c>
      <c r="N34" s="66">
        <v>66</v>
      </c>
    </row>
    <row r="35" spans="2:14" ht="15" thickBot="1">
      <c r="B35" s="133" t="s">
        <v>109</v>
      </c>
      <c r="C35" s="133"/>
      <c r="D35" s="133"/>
      <c r="E35" s="67">
        <v>-10764</v>
      </c>
      <c r="F35" s="67">
        <v>-2614</v>
      </c>
      <c r="G35" s="67">
        <v>-4283</v>
      </c>
      <c r="H35" s="12"/>
      <c r="I35" s="133" t="s">
        <v>109</v>
      </c>
      <c r="J35" s="133"/>
      <c r="K35" s="133"/>
      <c r="L35" s="41">
        <v>-4283</v>
      </c>
      <c r="M35" s="41">
        <v>-6488</v>
      </c>
      <c r="N35" s="41">
        <v>-1147</v>
      </c>
    </row>
    <row r="36" spans="2:14" ht="15" thickBot="1">
      <c r="B36" s="134" t="s">
        <v>110</v>
      </c>
      <c r="C36" s="134"/>
      <c r="D36" s="134"/>
      <c r="E36" s="45">
        <v>40</v>
      </c>
      <c r="F36" s="45">
        <v>15</v>
      </c>
      <c r="G36" s="44">
        <v>-249</v>
      </c>
      <c r="H36" s="12"/>
      <c r="I36" s="134" t="s">
        <v>110</v>
      </c>
      <c r="J36" s="134"/>
      <c r="K36" s="134"/>
      <c r="L36" s="56">
        <v>-249</v>
      </c>
      <c r="M36" s="57">
        <v>46</v>
      </c>
      <c r="N36" s="57">
        <v>70</v>
      </c>
    </row>
    <row r="37" spans="2:14">
      <c r="B37" s="131" t="s">
        <v>111</v>
      </c>
      <c r="C37" s="131"/>
      <c r="D37" s="131"/>
      <c r="E37" s="39">
        <v>-3794</v>
      </c>
      <c r="F37" s="48">
        <v>3497</v>
      </c>
      <c r="G37" s="39">
        <v>-1055</v>
      </c>
      <c r="H37" s="12"/>
      <c r="I37" s="131" t="s">
        <v>111</v>
      </c>
      <c r="J37" s="131"/>
      <c r="K37" s="131"/>
      <c r="L37" s="55">
        <v>-1055</v>
      </c>
      <c r="M37" s="55">
        <v>-1019</v>
      </c>
      <c r="N37" s="61">
        <v>3893</v>
      </c>
    </row>
    <row r="38" spans="2:14" ht="15" thickBot="1">
      <c r="B38" s="129" t="s">
        <v>112</v>
      </c>
      <c r="C38" s="129"/>
      <c r="D38" s="129"/>
      <c r="E38" s="51">
        <v>13700</v>
      </c>
      <c r="F38" s="51">
        <v>10203</v>
      </c>
      <c r="G38" s="51">
        <v>11258</v>
      </c>
      <c r="H38" s="12"/>
      <c r="I38" s="129" t="s">
        <v>112</v>
      </c>
      <c r="J38" s="129"/>
      <c r="K38" s="129"/>
      <c r="L38" s="51">
        <v>11258</v>
      </c>
      <c r="M38" s="51">
        <v>12277</v>
      </c>
      <c r="N38" s="51">
        <v>8384</v>
      </c>
    </row>
    <row r="39" spans="2:14">
      <c r="B39" s="127" t="s">
        <v>113</v>
      </c>
      <c r="C39" s="127"/>
      <c r="D39" s="127"/>
      <c r="E39" s="52">
        <v>9906</v>
      </c>
      <c r="F39" s="52">
        <v>13700</v>
      </c>
      <c r="G39" s="52">
        <v>10203</v>
      </c>
      <c r="H39" s="12"/>
      <c r="I39" s="127" t="s">
        <v>113</v>
      </c>
      <c r="J39" s="127"/>
      <c r="K39" s="127"/>
      <c r="L39" s="52">
        <v>10203</v>
      </c>
      <c r="M39" s="52">
        <v>11258</v>
      </c>
      <c r="N39" s="52">
        <v>12277</v>
      </c>
    </row>
    <row r="40" spans="2:14" ht="18.5">
      <c r="B40" s="127" t="s">
        <v>114</v>
      </c>
      <c r="C40" s="127"/>
      <c r="D40" s="127"/>
      <c r="E40" s="34"/>
      <c r="F40" s="34"/>
      <c r="G40" s="34"/>
      <c r="H40" s="12"/>
      <c r="I40" s="127" t="s">
        <v>114</v>
      </c>
      <c r="J40" s="127"/>
      <c r="K40" s="127"/>
      <c r="L40" s="34"/>
      <c r="M40" s="34"/>
      <c r="N40" s="34"/>
    </row>
    <row r="41" spans="2:14" ht="17.5">
      <c r="B41" s="128" t="s">
        <v>80</v>
      </c>
      <c r="C41" s="128"/>
      <c r="D41" s="128"/>
      <c r="E41" s="16"/>
      <c r="F41" s="16"/>
      <c r="G41" s="16"/>
      <c r="H41" s="12"/>
      <c r="I41" s="128" t="s">
        <v>80</v>
      </c>
      <c r="J41" s="128"/>
      <c r="K41" s="128"/>
      <c r="L41" s="16"/>
      <c r="M41" s="16"/>
      <c r="N41" s="16"/>
    </row>
    <row r="42" spans="2:14">
      <c r="B42" s="130" t="s">
        <v>81</v>
      </c>
      <c r="C42" s="130"/>
      <c r="D42" s="130"/>
      <c r="E42" s="36">
        <v>129</v>
      </c>
      <c r="F42" s="36">
        <v>125</v>
      </c>
      <c r="G42" s="36">
        <v>145</v>
      </c>
      <c r="H42" s="12"/>
      <c r="I42" s="130" t="s">
        <v>81</v>
      </c>
      <c r="J42" s="130"/>
      <c r="K42" s="130"/>
      <c r="L42" s="36">
        <v>145</v>
      </c>
      <c r="M42" s="36">
        <v>149</v>
      </c>
      <c r="N42" s="36">
        <v>124</v>
      </c>
    </row>
    <row r="43" spans="2:14">
      <c r="B43" s="126" t="s">
        <v>115</v>
      </c>
      <c r="C43" s="126"/>
      <c r="D43" s="126"/>
      <c r="E43" s="53">
        <v>2319</v>
      </c>
      <c r="F43" s="53">
        <v>2234</v>
      </c>
      <c r="G43" s="53">
        <v>1940</v>
      </c>
      <c r="H43" s="12"/>
      <c r="I43" s="126" t="s">
        <v>115</v>
      </c>
      <c r="J43" s="126"/>
      <c r="K43" s="126"/>
      <c r="L43" s="53">
        <v>1940</v>
      </c>
      <c r="M43" s="53">
        <v>1527</v>
      </c>
      <c r="N43" s="53">
        <v>1052</v>
      </c>
    </row>
    <row r="44" spans="2:14" ht="18.5">
      <c r="B44" s="127" t="s">
        <v>116</v>
      </c>
      <c r="C44" s="127"/>
      <c r="D44" s="127"/>
      <c r="E44" s="34"/>
      <c r="F44" s="34"/>
      <c r="G44" s="34"/>
      <c r="H44" s="12"/>
      <c r="I44" s="127" t="s">
        <v>116</v>
      </c>
      <c r="J44" s="127"/>
      <c r="K44" s="127"/>
      <c r="L44" s="34"/>
      <c r="M44" s="34"/>
      <c r="N44" s="34"/>
    </row>
    <row r="45" spans="2:14">
      <c r="B45" s="132" t="s">
        <v>117</v>
      </c>
      <c r="C45" s="132"/>
      <c r="D45" s="132"/>
      <c r="E45" s="68" t="s">
        <v>102</v>
      </c>
      <c r="F45" s="68">
        <v>452</v>
      </c>
      <c r="G45" s="68" t="s">
        <v>102</v>
      </c>
    </row>
    <row r="46" spans="2:14">
      <c r="B46" s="131" t="s">
        <v>118</v>
      </c>
      <c r="C46" s="131"/>
      <c r="D46" s="131"/>
      <c r="E46" s="36">
        <v>203</v>
      </c>
      <c r="F46" s="36">
        <v>170</v>
      </c>
      <c r="G46" s="36">
        <v>156</v>
      </c>
      <c r="I46" s="128" t="s">
        <v>118</v>
      </c>
      <c r="J46" s="128"/>
      <c r="K46" s="128"/>
      <c r="L46" s="37">
        <v>156</v>
      </c>
      <c r="M46" s="37">
        <v>184</v>
      </c>
      <c r="N46" s="37">
        <v>204</v>
      </c>
    </row>
  </sheetData>
  <mergeCells count="83">
    <mergeCell ref="B7:D7"/>
    <mergeCell ref="B2:D2"/>
    <mergeCell ref="B3:D3"/>
    <mergeCell ref="B4:D4"/>
    <mergeCell ref="B5:D5"/>
    <mergeCell ref="B6:D6"/>
    <mergeCell ref="B21:D21"/>
    <mergeCell ref="B8:D8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5:D35"/>
    <mergeCell ref="B36:D36"/>
    <mergeCell ref="B37:D37"/>
    <mergeCell ref="B38:D38"/>
    <mergeCell ref="B39:D39"/>
    <mergeCell ref="B46:D46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B40:D40"/>
    <mergeCell ref="B41:D41"/>
    <mergeCell ref="B42:D42"/>
    <mergeCell ref="B43:D43"/>
    <mergeCell ref="B44:D44"/>
    <mergeCell ref="B45:D45"/>
    <mergeCell ref="I22:K22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37:K37"/>
    <mergeCell ref="I23:K23"/>
    <mergeCell ref="I27:K27"/>
    <mergeCell ref="I26:K26"/>
    <mergeCell ref="I28:K28"/>
    <mergeCell ref="I29:K29"/>
    <mergeCell ref="I30:K30"/>
    <mergeCell ref="I32:K32"/>
    <mergeCell ref="I33:K33"/>
    <mergeCell ref="I34:K34"/>
    <mergeCell ref="I35:K35"/>
    <mergeCell ref="I36:K36"/>
    <mergeCell ref="I43:K43"/>
    <mergeCell ref="I44:K44"/>
    <mergeCell ref="I46:K46"/>
    <mergeCell ref="I38:K38"/>
    <mergeCell ref="I39:K39"/>
    <mergeCell ref="I40:K40"/>
    <mergeCell ref="I41:K41"/>
    <mergeCell ref="I42:K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E521-FDBC-44B0-B43A-3786863284E3}">
  <dimension ref="B1:AJ40"/>
  <sheetViews>
    <sheetView topLeftCell="R14" workbookViewId="0">
      <selection activeCell="AF37" sqref="AF37:AJ37"/>
    </sheetView>
  </sheetViews>
  <sheetFormatPr defaultRowHeight="14.5"/>
  <cols>
    <col min="2" max="2" width="18.36328125" customWidth="1"/>
    <col min="3" max="3" width="16.08984375" customWidth="1"/>
    <col min="8" max="8" width="18.453125" customWidth="1"/>
    <col min="9" max="9" width="14.7265625" customWidth="1"/>
    <col min="14" max="14" width="17.90625" customWidth="1"/>
    <col min="15" max="15" width="20.36328125" customWidth="1"/>
    <col min="24" max="28" width="10.08984375" bestFit="1" customWidth="1"/>
  </cols>
  <sheetData>
    <row r="1" spans="2:36" ht="15" thickBot="1"/>
    <row r="2" spans="2:36" ht="17.5">
      <c r="B2" s="154" t="s">
        <v>124</v>
      </c>
      <c r="C2" s="154"/>
      <c r="D2" s="154"/>
      <c r="E2" s="69">
        <v>2024</v>
      </c>
      <c r="F2" s="69">
        <v>2023</v>
      </c>
      <c r="H2" s="154" t="s">
        <v>124</v>
      </c>
      <c r="I2" s="154"/>
      <c r="J2" s="154"/>
      <c r="K2" s="69">
        <v>2022</v>
      </c>
      <c r="L2" s="69">
        <v>2021</v>
      </c>
      <c r="N2" s="154" t="s">
        <v>124</v>
      </c>
      <c r="O2" s="154"/>
      <c r="P2" s="154"/>
      <c r="Q2" s="70">
        <v>2020</v>
      </c>
      <c r="R2" s="70">
        <v>2019</v>
      </c>
      <c r="U2" s="148" t="s">
        <v>124</v>
      </c>
      <c r="V2" s="148"/>
      <c r="W2" s="148"/>
      <c r="X2" s="95">
        <v>2020</v>
      </c>
      <c r="Y2" s="95">
        <v>2021</v>
      </c>
      <c r="Z2" s="95">
        <v>2022</v>
      </c>
      <c r="AA2" s="95">
        <v>2023</v>
      </c>
      <c r="AB2" s="95">
        <v>2024</v>
      </c>
    </row>
    <row r="3" spans="2:36" ht="17.5">
      <c r="B3" s="151" t="s">
        <v>125</v>
      </c>
      <c r="C3" s="151"/>
      <c r="D3" s="151"/>
      <c r="E3" s="71"/>
      <c r="F3" s="71"/>
      <c r="H3" s="151" t="s">
        <v>125</v>
      </c>
      <c r="I3" s="151"/>
      <c r="J3" s="151"/>
      <c r="K3" s="71"/>
      <c r="L3" s="71"/>
      <c r="N3" s="151" t="s">
        <v>125</v>
      </c>
      <c r="O3" s="151"/>
      <c r="P3" s="151"/>
      <c r="Q3" s="72"/>
      <c r="R3" s="72"/>
      <c r="U3" s="142" t="s">
        <v>125</v>
      </c>
      <c r="V3" s="142"/>
      <c r="W3" s="142"/>
      <c r="X3" s="96"/>
      <c r="Y3" s="96"/>
      <c r="Z3" s="96"/>
      <c r="AA3" s="96"/>
      <c r="AB3" s="96"/>
      <c r="AD3" s="1" t="s">
        <v>174</v>
      </c>
      <c r="AF3">
        <v>2020</v>
      </c>
      <c r="AG3">
        <v>2021</v>
      </c>
      <c r="AH3">
        <v>2022</v>
      </c>
      <c r="AI3">
        <v>2023</v>
      </c>
      <c r="AJ3">
        <v>2024</v>
      </c>
    </row>
    <row r="4" spans="2:36">
      <c r="B4" s="149" t="s">
        <v>126</v>
      </c>
      <c r="C4" s="149"/>
      <c r="D4" s="149"/>
      <c r="E4" s="73">
        <v>9906</v>
      </c>
      <c r="F4" s="73">
        <v>13700</v>
      </c>
      <c r="H4" s="149" t="s">
        <v>126</v>
      </c>
      <c r="I4" s="149"/>
      <c r="J4" s="149"/>
      <c r="K4" s="73">
        <v>10203</v>
      </c>
      <c r="L4" s="73">
        <v>11258</v>
      </c>
      <c r="N4" s="149" t="s">
        <v>126</v>
      </c>
      <c r="O4" s="149"/>
      <c r="P4" s="149"/>
      <c r="Q4" s="73">
        <v>12277</v>
      </c>
      <c r="R4" s="73">
        <v>8384</v>
      </c>
      <c r="U4" s="145" t="s">
        <v>126</v>
      </c>
      <c r="V4" s="145"/>
      <c r="W4" s="145"/>
      <c r="X4" s="97">
        <v>12277</v>
      </c>
      <c r="Y4" s="97">
        <v>11258</v>
      </c>
      <c r="Z4" s="97">
        <v>10203</v>
      </c>
      <c r="AA4" s="97">
        <v>13700</v>
      </c>
      <c r="AB4" s="97">
        <v>9906</v>
      </c>
      <c r="AE4" t="s">
        <v>175</v>
      </c>
      <c r="AF4" s="104">
        <v>12277</v>
      </c>
      <c r="AG4" s="104">
        <v>11258</v>
      </c>
      <c r="AH4" s="104">
        <v>10203</v>
      </c>
      <c r="AI4" s="104">
        <v>13700</v>
      </c>
      <c r="AJ4" s="104">
        <v>9906</v>
      </c>
    </row>
    <row r="5" spans="2:36">
      <c r="B5" s="150" t="s">
        <v>127</v>
      </c>
      <c r="C5" s="150"/>
      <c r="D5" s="150"/>
      <c r="E5" s="74">
        <v>1238</v>
      </c>
      <c r="F5" s="74">
        <v>1534</v>
      </c>
      <c r="H5" s="150" t="s">
        <v>127</v>
      </c>
      <c r="I5" s="150"/>
      <c r="J5" s="150"/>
      <c r="K5" s="75">
        <v>846</v>
      </c>
      <c r="L5" s="75">
        <v>917</v>
      </c>
      <c r="N5" s="150" t="s">
        <v>127</v>
      </c>
      <c r="O5" s="150"/>
      <c r="P5" s="150"/>
      <c r="Q5" s="74">
        <v>1028</v>
      </c>
      <c r="R5" s="74">
        <v>1060</v>
      </c>
      <c r="U5" s="144" t="s">
        <v>127</v>
      </c>
      <c r="V5" s="144"/>
      <c r="W5" s="144"/>
      <c r="X5" s="97">
        <v>1028</v>
      </c>
      <c r="Y5" s="97">
        <v>917</v>
      </c>
      <c r="Z5" s="97">
        <v>846</v>
      </c>
      <c r="AA5" s="97">
        <v>1534</v>
      </c>
      <c r="AB5" s="97">
        <v>1238</v>
      </c>
      <c r="AE5" t="s">
        <v>176</v>
      </c>
      <c r="AF5" s="104">
        <v>1028</v>
      </c>
      <c r="AG5" s="104">
        <v>917</v>
      </c>
      <c r="AH5" s="104">
        <v>846</v>
      </c>
      <c r="AI5" s="104">
        <v>1534</v>
      </c>
      <c r="AJ5" s="104">
        <v>1238</v>
      </c>
    </row>
    <row r="6" spans="2:36">
      <c r="B6" s="149" t="s">
        <v>128</v>
      </c>
      <c r="C6" s="149"/>
      <c r="D6" s="149"/>
      <c r="E6" s="76">
        <v>2721</v>
      </c>
      <c r="F6" s="76">
        <v>2285</v>
      </c>
      <c r="H6" s="149" t="s">
        <v>128</v>
      </c>
      <c r="I6" s="149"/>
      <c r="J6" s="149"/>
      <c r="K6" s="76">
        <v>2241</v>
      </c>
      <c r="L6" s="76">
        <v>1803</v>
      </c>
      <c r="N6" s="149" t="s">
        <v>128</v>
      </c>
      <c r="O6" s="149"/>
      <c r="P6" s="149"/>
      <c r="Q6" s="76">
        <v>1550</v>
      </c>
      <c r="R6" s="76">
        <v>1535</v>
      </c>
      <c r="U6" s="145" t="s">
        <v>128</v>
      </c>
      <c r="V6" s="145"/>
      <c r="W6" s="145"/>
      <c r="X6" s="97">
        <v>1550</v>
      </c>
      <c r="Y6" s="97">
        <v>1803</v>
      </c>
      <c r="Z6" s="97">
        <v>2241</v>
      </c>
      <c r="AA6" s="97">
        <v>2285</v>
      </c>
      <c r="AB6" s="97">
        <v>2721</v>
      </c>
      <c r="AE6" t="s">
        <v>128</v>
      </c>
      <c r="AF6" s="104">
        <v>1550</v>
      </c>
      <c r="AG6" s="104">
        <v>1803</v>
      </c>
      <c r="AH6" s="104">
        <v>2241</v>
      </c>
      <c r="AI6" s="104">
        <v>2285</v>
      </c>
      <c r="AJ6" s="104">
        <v>2721</v>
      </c>
    </row>
    <row r="7" spans="2:36">
      <c r="B7" s="150" t="s">
        <v>88</v>
      </c>
      <c r="C7" s="150"/>
      <c r="D7" s="150"/>
      <c r="E7" s="74">
        <v>18647</v>
      </c>
      <c r="F7" s="74">
        <v>16651</v>
      </c>
      <c r="H7" s="150" t="s">
        <v>88</v>
      </c>
      <c r="I7" s="150"/>
      <c r="J7" s="150"/>
      <c r="K7" s="74">
        <v>17907</v>
      </c>
      <c r="L7" s="74">
        <v>14215</v>
      </c>
      <c r="N7" s="150" t="s">
        <v>88</v>
      </c>
      <c r="O7" s="150"/>
      <c r="P7" s="150"/>
      <c r="Q7" s="74">
        <v>12242</v>
      </c>
      <c r="R7" s="74">
        <v>11395</v>
      </c>
      <c r="U7" s="144" t="s">
        <v>88</v>
      </c>
      <c r="V7" s="144"/>
      <c r="W7" s="144"/>
      <c r="X7" s="97">
        <v>12242</v>
      </c>
      <c r="Y7" s="97">
        <v>14215</v>
      </c>
      <c r="Z7" s="97">
        <v>17907</v>
      </c>
      <c r="AA7" s="97">
        <v>16651</v>
      </c>
      <c r="AB7" s="97">
        <v>18647</v>
      </c>
      <c r="AE7" t="s">
        <v>177</v>
      </c>
      <c r="AF7" s="104">
        <v>12242</v>
      </c>
      <c r="AG7" s="104">
        <v>14215</v>
      </c>
      <c r="AH7" s="104">
        <v>17907</v>
      </c>
      <c r="AI7" s="104">
        <v>16651</v>
      </c>
      <c r="AJ7" s="104">
        <v>18647</v>
      </c>
    </row>
    <row r="8" spans="2:36" ht="15" thickBot="1">
      <c r="B8" s="149" t="s">
        <v>129</v>
      </c>
      <c r="C8" s="149"/>
      <c r="D8" s="149"/>
      <c r="E8" s="77">
        <v>1734</v>
      </c>
      <c r="F8" s="77">
        <v>1709</v>
      </c>
      <c r="H8" s="149" t="s">
        <v>129</v>
      </c>
      <c r="I8" s="149"/>
      <c r="J8" s="149"/>
      <c r="K8" s="77">
        <v>1499</v>
      </c>
      <c r="L8" s="77">
        <v>1312</v>
      </c>
      <c r="N8" s="149" t="s">
        <v>129</v>
      </c>
      <c r="O8" s="149"/>
      <c r="P8" s="149"/>
      <c r="Q8" s="77">
        <v>1023</v>
      </c>
      <c r="R8" s="77">
        <v>1111</v>
      </c>
      <c r="U8" s="145" t="s">
        <v>129</v>
      </c>
      <c r="V8" s="145"/>
      <c r="W8" s="145"/>
      <c r="X8" s="103">
        <v>1023</v>
      </c>
      <c r="Y8" s="103">
        <v>1312</v>
      </c>
      <c r="Z8" s="103">
        <v>1499</v>
      </c>
      <c r="AA8" s="103">
        <v>1709</v>
      </c>
      <c r="AB8" s="103">
        <v>1734</v>
      </c>
      <c r="AD8" s="5" t="s">
        <v>178</v>
      </c>
      <c r="AE8" s="5"/>
    </row>
    <row r="9" spans="2:36">
      <c r="B9" s="150" t="s">
        <v>130</v>
      </c>
      <c r="C9" s="150"/>
      <c r="D9" s="150"/>
      <c r="E9" s="78">
        <v>34246</v>
      </c>
      <c r="F9" s="78">
        <v>35879</v>
      </c>
      <c r="H9" s="150" t="s">
        <v>130</v>
      </c>
      <c r="I9" s="150"/>
      <c r="J9" s="150"/>
      <c r="K9" s="78">
        <v>32696</v>
      </c>
      <c r="L9" s="78">
        <v>29505</v>
      </c>
      <c r="N9" s="150" t="s">
        <v>130</v>
      </c>
      <c r="O9" s="150"/>
      <c r="P9" s="150"/>
      <c r="Q9" s="78">
        <v>28120</v>
      </c>
      <c r="R9" s="78">
        <v>23485</v>
      </c>
      <c r="U9" s="144" t="s">
        <v>130</v>
      </c>
      <c r="V9" s="144"/>
      <c r="W9" s="144"/>
      <c r="X9" s="97">
        <v>28120</v>
      </c>
      <c r="Y9" s="97">
        <v>29505</v>
      </c>
      <c r="Z9" s="97">
        <v>32696</v>
      </c>
      <c r="AA9" s="97">
        <v>35879</v>
      </c>
      <c r="AB9" s="97">
        <v>34246</v>
      </c>
    </row>
    <row r="10" spans="2:36" ht="17.5">
      <c r="B10" s="152" t="s">
        <v>131</v>
      </c>
      <c r="C10" s="152"/>
      <c r="D10" s="152"/>
      <c r="E10" s="79"/>
      <c r="F10" s="79"/>
      <c r="H10" s="152" t="s">
        <v>131</v>
      </c>
      <c r="I10" s="152"/>
      <c r="J10" s="152"/>
      <c r="K10" s="79"/>
      <c r="L10" s="79"/>
      <c r="N10" s="152" t="s">
        <v>131</v>
      </c>
      <c r="O10" s="152"/>
      <c r="P10" s="152"/>
      <c r="Q10" s="80"/>
      <c r="R10" s="80"/>
      <c r="U10" s="141" t="s">
        <v>131</v>
      </c>
      <c r="V10" s="141"/>
      <c r="W10" s="141"/>
      <c r="X10" s="97"/>
      <c r="Y10" s="97"/>
      <c r="Z10" s="97"/>
      <c r="AA10" s="97"/>
      <c r="AB10" s="97"/>
      <c r="AD10" s="1" t="s">
        <v>179</v>
      </c>
    </row>
    <row r="11" spans="2:36">
      <c r="B11" s="150" t="s">
        <v>132</v>
      </c>
      <c r="C11" s="150"/>
      <c r="D11" s="150"/>
      <c r="E11" s="74">
        <v>29032</v>
      </c>
      <c r="F11" s="74">
        <v>26684</v>
      </c>
      <c r="H11" s="150" t="s">
        <v>132</v>
      </c>
      <c r="I11" s="150"/>
      <c r="J11" s="150"/>
      <c r="K11" s="74">
        <v>24646</v>
      </c>
      <c r="L11" s="74">
        <v>23492</v>
      </c>
      <c r="N11" s="150" t="s">
        <v>132</v>
      </c>
      <c r="O11" s="150"/>
      <c r="P11" s="150"/>
      <c r="Q11" s="74">
        <v>21807</v>
      </c>
      <c r="R11" s="74">
        <v>20890</v>
      </c>
      <c r="U11" s="144" t="s">
        <v>132</v>
      </c>
      <c r="V11" s="144"/>
      <c r="W11" s="144"/>
      <c r="X11" s="97">
        <v>21807</v>
      </c>
      <c r="Y11" s="97">
        <v>23492</v>
      </c>
      <c r="Z11" s="97">
        <v>24646</v>
      </c>
      <c r="AA11" s="97">
        <v>26684</v>
      </c>
      <c r="AB11" s="97">
        <v>29032</v>
      </c>
      <c r="AE11" t="s">
        <v>180</v>
      </c>
      <c r="AF11" s="104">
        <v>21807</v>
      </c>
      <c r="AG11" s="104">
        <v>23492</v>
      </c>
      <c r="AH11" s="104">
        <v>24646</v>
      </c>
      <c r="AI11" s="104">
        <v>26684</v>
      </c>
      <c r="AJ11" s="104">
        <v>29032</v>
      </c>
    </row>
    <row r="12" spans="2:36">
      <c r="B12" s="149" t="s">
        <v>133</v>
      </c>
      <c r="C12" s="149"/>
      <c r="D12" s="149"/>
      <c r="E12" s="76">
        <v>2617</v>
      </c>
      <c r="F12" s="76">
        <v>2713</v>
      </c>
      <c r="H12" s="149" t="s">
        <v>133</v>
      </c>
      <c r="I12" s="149"/>
      <c r="J12" s="149"/>
      <c r="K12" s="76">
        <v>2774</v>
      </c>
      <c r="L12" s="76">
        <v>2890</v>
      </c>
      <c r="N12" s="149" t="s">
        <v>133</v>
      </c>
      <c r="O12" s="149"/>
      <c r="P12" s="149"/>
      <c r="Q12" s="76">
        <v>2788</v>
      </c>
      <c r="R12" s="81" t="s">
        <v>165</v>
      </c>
      <c r="U12" s="145" t="s">
        <v>133</v>
      </c>
      <c r="V12" s="145"/>
      <c r="W12" s="145"/>
      <c r="X12" s="97">
        <v>2788</v>
      </c>
      <c r="Y12" s="97">
        <v>2890</v>
      </c>
      <c r="Z12" s="97">
        <v>2774</v>
      </c>
      <c r="AA12" s="97">
        <v>2713</v>
      </c>
      <c r="AB12" s="97">
        <v>2617</v>
      </c>
      <c r="AE12" t="s">
        <v>181</v>
      </c>
      <c r="AF12" s="104">
        <v>2788</v>
      </c>
      <c r="AG12" s="104">
        <v>2890</v>
      </c>
      <c r="AH12" s="104">
        <v>2774</v>
      </c>
      <c r="AI12" s="104">
        <v>2713</v>
      </c>
      <c r="AJ12" s="104">
        <v>2617</v>
      </c>
    </row>
    <row r="13" spans="2:36" ht="15" thickBot="1">
      <c r="B13" s="150" t="s">
        <v>134</v>
      </c>
      <c r="C13" s="150"/>
      <c r="D13" s="150"/>
      <c r="E13" s="82">
        <v>3936</v>
      </c>
      <c r="F13" s="82">
        <v>3718</v>
      </c>
      <c r="H13" s="150" t="s">
        <v>134</v>
      </c>
      <c r="I13" s="150"/>
      <c r="J13" s="150"/>
      <c r="K13" s="82">
        <v>4050</v>
      </c>
      <c r="L13" s="82">
        <v>3381</v>
      </c>
      <c r="N13" s="150" t="s">
        <v>134</v>
      </c>
      <c r="O13" s="150"/>
      <c r="P13" s="150"/>
      <c r="Q13" s="82">
        <v>2841</v>
      </c>
      <c r="R13" s="82">
        <v>1025</v>
      </c>
      <c r="U13" s="144" t="s">
        <v>134</v>
      </c>
      <c r="V13" s="144"/>
      <c r="W13" s="144"/>
      <c r="X13" s="97">
        <v>2841</v>
      </c>
      <c r="Y13" s="97">
        <v>3381</v>
      </c>
      <c r="Z13" s="97">
        <v>4050</v>
      </c>
      <c r="AA13" s="97">
        <v>3718</v>
      </c>
      <c r="AB13" s="97">
        <v>3936</v>
      </c>
      <c r="AE13" t="s">
        <v>134</v>
      </c>
      <c r="AF13" s="104">
        <v>3864</v>
      </c>
      <c r="AG13" s="104">
        <v>4693</v>
      </c>
      <c r="AH13" s="104">
        <v>5549</v>
      </c>
      <c r="AI13" s="104">
        <v>5427</v>
      </c>
      <c r="AJ13" s="104">
        <v>5670</v>
      </c>
    </row>
    <row r="14" spans="2:36" ht="15" thickBot="1">
      <c r="B14" s="152" t="s">
        <v>135</v>
      </c>
      <c r="C14" s="152"/>
      <c r="D14" s="152"/>
      <c r="E14" s="83">
        <v>69831</v>
      </c>
      <c r="F14" s="83">
        <v>68994</v>
      </c>
      <c r="H14" s="152" t="s">
        <v>135</v>
      </c>
      <c r="I14" s="152"/>
      <c r="J14" s="152"/>
      <c r="K14" s="83">
        <v>64166</v>
      </c>
      <c r="L14" s="83">
        <v>59268</v>
      </c>
      <c r="N14" s="152" t="s">
        <v>135</v>
      </c>
      <c r="O14" s="152"/>
      <c r="P14" s="152"/>
      <c r="Q14" s="83">
        <v>55556</v>
      </c>
      <c r="R14" s="83">
        <v>45400</v>
      </c>
      <c r="U14" s="141" t="s">
        <v>135</v>
      </c>
      <c r="V14" s="141"/>
      <c r="W14" s="141"/>
      <c r="X14" s="97">
        <v>55556</v>
      </c>
      <c r="Y14" s="97">
        <v>59268</v>
      </c>
      <c r="Z14" s="97">
        <v>64166</v>
      </c>
      <c r="AA14" s="97">
        <v>68994</v>
      </c>
      <c r="AB14" s="97">
        <v>69831</v>
      </c>
      <c r="AD14" s="102" t="s">
        <v>182</v>
      </c>
      <c r="AE14" s="33"/>
    </row>
    <row r="15" spans="2:36" ht="18" thickTop="1">
      <c r="B15" s="153" t="s">
        <v>136</v>
      </c>
      <c r="C15" s="153"/>
      <c r="D15" s="153"/>
      <c r="E15" s="84"/>
      <c r="F15" s="84"/>
      <c r="H15" s="153" t="s">
        <v>136</v>
      </c>
      <c r="I15" s="153"/>
      <c r="J15" s="153"/>
      <c r="K15" s="84"/>
      <c r="L15" s="84"/>
      <c r="N15" s="153" t="s">
        <v>136</v>
      </c>
      <c r="O15" s="153"/>
      <c r="P15" s="153"/>
      <c r="Q15" s="85"/>
      <c r="R15" s="85"/>
      <c r="U15" s="147" t="s">
        <v>136</v>
      </c>
      <c r="V15" s="147"/>
      <c r="W15" s="147"/>
      <c r="X15" s="97"/>
      <c r="Y15" s="97"/>
      <c r="Z15" s="97"/>
      <c r="AA15" s="97"/>
      <c r="AB15" s="97"/>
    </row>
    <row r="16" spans="2:36" ht="17.5">
      <c r="B16" s="152" t="s">
        <v>137</v>
      </c>
      <c r="C16" s="152"/>
      <c r="D16" s="152"/>
      <c r="E16" s="79"/>
      <c r="F16" s="79"/>
      <c r="H16" s="152" t="s">
        <v>137</v>
      </c>
      <c r="I16" s="152"/>
      <c r="J16" s="152"/>
      <c r="K16" s="79"/>
      <c r="L16" s="79"/>
      <c r="N16" s="152" t="s">
        <v>137</v>
      </c>
      <c r="O16" s="152"/>
      <c r="P16" s="152"/>
      <c r="Q16" s="80"/>
      <c r="R16" s="80"/>
      <c r="U16" s="141" t="s">
        <v>137</v>
      </c>
      <c r="V16" s="141"/>
      <c r="W16" s="141"/>
      <c r="X16" s="97"/>
      <c r="Y16" s="97"/>
      <c r="Z16" s="97"/>
      <c r="AA16" s="97"/>
      <c r="AB16" s="97"/>
      <c r="AD16" s="1" t="s">
        <v>183</v>
      </c>
    </row>
    <row r="17" spans="2:36">
      <c r="B17" s="150" t="s">
        <v>89</v>
      </c>
      <c r="C17" s="150"/>
      <c r="D17" s="150"/>
      <c r="E17" s="86">
        <v>19421</v>
      </c>
      <c r="F17" s="86">
        <v>17483</v>
      </c>
      <c r="H17" s="150" t="s">
        <v>89</v>
      </c>
      <c r="I17" s="150"/>
      <c r="J17" s="150"/>
      <c r="K17" s="86">
        <v>17848</v>
      </c>
      <c r="L17" s="86">
        <v>16278</v>
      </c>
      <c r="N17" s="150" t="s">
        <v>89</v>
      </c>
      <c r="O17" s="150"/>
      <c r="P17" s="150"/>
      <c r="Q17" s="86">
        <v>14172</v>
      </c>
      <c r="R17" s="86">
        <v>11679</v>
      </c>
      <c r="U17" s="144" t="s">
        <v>89</v>
      </c>
      <c r="V17" s="144"/>
      <c r="W17" s="144"/>
      <c r="X17" s="97">
        <v>14172</v>
      </c>
      <c r="Y17" s="97">
        <v>16278</v>
      </c>
      <c r="Z17" s="97">
        <v>17848</v>
      </c>
      <c r="AA17" s="97">
        <v>17483</v>
      </c>
      <c r="AB17" s="97">
        <v>19421</v>
      </c>
      <c r="AE17" t="s">
        <v>61</v>
      </c>
      <c r="AF17" s="104">
        <f t="shared" ref="AF17:AH20" si="0">X17</f>
        <v>14172</v>
      </c>
      <c r="AG17" s="104">
        <f t="shared" si="0"/>
        <v>16278</v>
      </c>
      <c r="AH17" s="104">
        <f t="shared" si="0"/>
        <v>17848</v>
      </c>
      <c r="AI17" s="104">
        <f t="shared" ref="AI17:AJ20" si="1">AA17</f>
        <v>17483</v>
      </c>
      <c r="AJ17" s="104">
        <f t="shared" si="1"/>
        <v>19421</v>
      </c>
    </row>
    <row r="18" spans="2:36">
      <c r="B18" s="149" t="s">
        <v>138</v>
      </c>
      <c r="C18" s="149"/>
      <c r="D18" s="149"/>
      <c r="E18" s="76">
        <v>4794</v>
      </c>
      <c r="F18" s="76">
        <v>4278</v>
      </c>
      <c r="H18" s="149" t="s">
        <v>138</v>
      </c>
      <c r="I18" s="149"/>
      <c r="J18" s="149"/>
      <c r="K18" s="76">
        <v>4381</v>
      </c>
      <c r="L18" s="76">
        <v>4090</v>
      </c>
      <c r="N18" s="149" t="s">
        <v>138</v>
      </c>
      <c r="O18" s="149"/>
      <c r="P18" s="149"/>
      <c r="Q18" s="76">
        <v>3605</v>
      </c>
      <c r="R18" s="76">
        <v>3176</v>
      </c>
      <c r="U18" s="145" t="s">
        <v>138</v>
      </c>
      <c r="V18" s="145"/>
      <c r="W18" s="145"/>
      <c r="X18" s="97">
        <v>3605</v>
      </c>
      <c r="Y18" s="97">
        <v>4090</v>
      </c>
      <c r="Z18" s="97">
        <v>4381</v>
      </c>
      <c r="AA18" s="97">
        <v>4278</v>
      </c>
      <c r="AB18" s="97">
        <v>4794</v>
      </c>
      <c r="AE18" t="s">
        <v>184</v>
      </c>
      <c r="AF18" s="104">
        <f t="shared" si="0"/>
        <v>3605</v>
      </c>
      <c r="AG18" s="104">
        <f t="shared" si="0"/>
        <v>4090</v>
      </c>
      <c r="AH18" s="104">
        <f t="shared" si="0"/>
        <v>4381</v>
      </c>
      <c r="AI18" s="104">
        <f t="shared" si="1"/>
        <v>4278</v>
      </c>
      <c r="AJ18" s="104">
        <f t="shared" si="1"/>
        <v>4794</v>
      </c>
    </row>
    <row r="19" spans="2:36">
      <c r="B19" s="150" t="s">
        <v>139</v>
      </c>
      <c r="C19" s="150"/>
      <c r="D19" s="150"/>
      <c r="E19" s="74">
        <v>2435</v>
      </c>
      <c r="F19" s="74">
        <v>2150</v>
      </c>
      <c r="H19" s="150" t="s">
        <v>139</v>
      </c>
      <c r="I19" s="150"/>
      <c r="J19" s="150"/>
      <c r="K19" s="74">
        <v>1911</v>
      </c>
      <c r="L19" s="74">
        <v>1671</v>
      </c>
      <c r="N19" s="150" t="s">
        <v>139</v>
      </c>
      <c r="O19" s="150"/>
      <c r="P19" s="150"/>
      <c r="Q19" s="74">
        <v>1393</v>
      </c>
      <c r="R19" s="74">
        <v>1180</v>
      </c>
      <c r="U19" s="144" t="s">
        <v>139</v>
      </c>
      <c r="V19" s="144"/>
      <c r="W19" s="144"/>
      <c r="X19" s="97">
        <v>1393</v>
      </c>
      <c r="Y19" s="97">
        <v>1671</v>
      </c>
      <c r="Z19" s="97">
        <v>1911</v>
      </c>
      <c r="AA19" s="97">
        <v>2150</v>
      </c>
      <c r="AB19" s="97">
        <v>2435</v>
      </c>
      <c r="AE19" t="s">
        <v>185</v>
      </c>
      <c r="AF19" s="104">
        <f t="shared" si="0"/>
        <v>1393</v>
      </c>
      <c r="AG19" s="104">
        <f t="shared" si="0"/>
        <v>1671</v>
      </c>
      <c r="AH19" s="104">
        <f t="shared" si="0"/>
        <v>1911</v>
      </c>
      <c r="AI19" s="104">
        <f t="shared" si="1"/>
        <v>2150</v>
      </c>
      <c r="AJ19" s="104">
        <f t="shared" si="1"/>
        <v>2435</v>
      </c>
    </row>
    <row r="20" spans="2:36">
      <c r="B20" s="149" t="s">
        <v>140</v>
      </c>
      <c r="C20" s="149"/>
      <c r="D20" s="149"/>
      <c r="E20" s="76">
        <v>2501</v>
      </c>
      <c r="F20" s="76">
        <v>2337</v>
      </c>
      <c r="H20" s="149" t="s">
        <v>140</v>
      </c>
      <c r="I20" s="149"/>
      <c r="J20" s="149"/>
      <c r="K20" s="76">
        <v>2174</v>
      </c>
      <c r="L20" s="76">
        <v>2042</v>
      </c>
      <c r="N20" s="149" t="s">
        <v>140</v>
      </c>
      <c r="O20" s="149"/>
      <c r="P20" s="149"/>
      <c r="Q20" s="76">
        <v>1851</v>
      </c>
      <c r="R20" s="76">
        <v>1711</v>
      </c>
      <c r="U20" s="145" t="s">
        <v>140</v>
      </c>
      <c r="V20" s="145"/>
      <c r="W20" s="145"/>
      <c r="X20" s="97">
        <v>1851</v>
      </c>
      <c r="Y20" s="97">
        <v>2042</v>
      </c>
      <c r="Z20" s="97">
        <v>2174</v>
      </c>
      <c r="AA20" s="97">
        <v>2337</v>
      </c>
      <c r="AB20" s="97">
        <v>2501</v>
      </c>
      <c r="AE20" t="s">
        <v>186</v>
      </c>
      <c r="AF20" s="104">
        <f t="shared" si="0"/>
        <v>1851</v>
      </c>
      <c r="AG20" s="104">
        <f t="shared" si="0"/>
        <v>2042</v>
      </c>
      <c r="AH20" s="104">
        <f t="shared" si="0"/>
        <v>2174</v>
      </c>
      <c r="AI20" s="104">
        <f t="shared" si="1"/>
        <v>2337</v>
      </c>
      <c r="AJ20" s="104">
        <f t="shared" si="1"/>
        <v>2501</v>
      </c>
    </row>
    <row r="21" spans="2:36">
      <c r="B21" s="150" t="s">
        <v>141</v>
      </c>
      <c r="C21" s="150"/>
      <c r="D21" s="150"/>
      <c r="E21" s="75">
        <v>103</v>
      </c>
      <c r="F21" s="74">
        <v>1081</v>
      </c>
      <c r="H21" s="150" t="s">
        <v>141</v>
      </c>
      <c r="I21" s="150"/>
      <c r="J21" s="150"/>
      <c r="K21" s="75">
        <v>73</v>
      </c>
      <c r="L21" s="75">
        <v>799</v>
      </c>
      <c r="N21" s="150" t="s">
        <v>141</v>
      </c>
      <c r="O21" s="150"/>
      <c r="P21" s="150"/>
      <c r="Q21" s="75">
        <v>95</v>
      </c>
      <c r="R21" s="74">
        <v>1699</v>
      </c>
      <c r="U21" s="144" t="s">
        <v>141</v>
      </c>
      <c r="V21" s="144"/>
      <c r="W21" s="144"/>
      <c r="X21" s="103">
        <v>95</v>
      </c>
      <c r="Y21" s="103">
        <v>799</v>
      </c>
      <c r="Z21" s="103">
        <v>73</v>
      </c>
      <c r="AA21" s="103">
        <v>1081</v>
      </c>
      <c r="AB21" s="103">
        <v>103</v>
      </c>
      <c r="AE21" t="s">
        <v>187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ht="15" thickBot="1">
      <c r="B22" s="149" t="s">
        <v>142</v>
      </c>
      <c r="C22" s="149"/>
      <c r="D22" s="149"/>
      <c r="E22" s="77">
        <v>6210</v>
      </c>
      <c r="F22" s="77">
        <v>6254</v>
      </c>
      <c r="H22" s="149" t="s">
        <v>142</v>
      </c>
      <c r="I22" s="149"/>
      <c r="J22" s="149"/>
      <c r="K22" s="77">
        <v>5611</v>
      </c>
      <c r="L22" s="77">
        <v>4561</v>
      </c>
      <c r="N22" s="149" t="s">
        <v>142</v>
      </c>
      <c r="O22" s="149"/>
      <c r="P22" s="149"/>
      <c r="Q22" s="77">
        <v>3728</v>
      </c>
      <c r="R22" s="77">
        <v>3792</v>
      </c>
      <c r="U22" s="145" t="s">
        <v>142</v>
      </c>
      <c r="V22" s="145"/>
      <c r="W22" s="145"/>
      <c r="X22" s="103">
        <v>3728</v>
      </c>
      <c r="Y22" s="103">
        <v>4561</v>
      </c>
      <c r="Z22" s="103">
        <v>5611</v>
      </c>
      <c r="AA22" s="103">
        <v>6254</v>
      </c>
      <c r="AB22" s="103">
        <v>6210</v>
      </c>
      <c r="AD22" s="5" t="s">
        <v>188</v>
      </c>
      <c r="AE22" s="5"/>
    </row>
    <row r="23" spans="2:36">
      <c r="B23" s="150" t="s">
        <v>143</v>
      </c>
      <c r="C23" s="150"/>
      <c r="D23" s="150"/>
      <c r="E23" s="78">
        <v>35464</v>
      </c>
      <c r="F23" s="78">
        <v>33583</v>
      </c>
      <c r="H23" s="150" t="s">
        <v>143</v>
      </c>
      <c r="I23" s="150"/>
      <c r="J23" s="150"/>
      <c r="K23" s="78">
        <v>31998</v>
      </c>
      <c r="L23" s="78">
        <v>29441</v>
      </c>
      <c r="N23" s="150" t="s">
        <v>143</v>
      </c>
      <c r="O23" s="150"/>
      <c r="P23" s="150"/>
      <c r="Q23" s="78">
        <v>24844</v>
      </c>
      <c r="R23" s="78">
        <v>23237</v>
      </c>
      <c r="U23" s="144" t="s">
        <v>143</v>
      </c>
      <c r="V23" s="144"/>
      <c r="W23" s="144"/>
      <c r="X23" s="97">
        <v>24844</v>
      </c>
      <c r="Y23" s="97">
        <v>29441</v>
      </c>
      <c r="Z23" s="97">
        <v>31998</v>
      </c>
      <c r="AA23" s="97">
        <v>33583</v>
      </c>
      <c r="AB23" s="97">
        <v>35464</v>
      </c>
    </row>
    <row r="24" spans="2:36" ht="17.5">
      <c r="B24" s="152" t="s">
        <v>144</v>
      </c>
      <c r="C24" s="152"/>
      <c r="D24" s="152"/>
      <c r="E24" s="79"/>
      <c r="F24" s="79"/>
      <c r="H24" s="152" t="s">
        <v>144</v>
      </c>
      <c r="I24" s="152"/>
      <c r="J24" s="152"/>
      <c r="K24" s="79"/>
      <c r="L24" s="79"/>
      <c r="N24" s="152" t="s">
        <v>144</v>
      </c>
      <c r="O24" s="152"/>
      <c r="P24" s="152"/>
      <c r="Q24" s="80"/>
      <c r="R24" s="80"/>
      <c r="U24" s="141" t="s">
        <v>144</v>
      </c>
      <c r="V24" s="141"/>
      <c r="W24" s="141"/>
      <c r="X24" s="97"/>
      <c r="Y24" s="97"/>
      <c r="Z24" s="97"/>
      <c r="AA24" s="97"/>
      <c r="AB24" s="97"/>
      <c r="AD24" s="1" t="s">
        <v>189</v>
      </c>
    </row>
    <row r="25" spans="2:36">
      <c r="B25" s="150" t="s">
        <v>145</v>
      </c>
      <c r="C25" s="150"/>
      <c r="D25" s="150"/>
      <c r="E25" s="74">
        <v>5794</v>
      </c>
      <c r="F25" s="74">
        <v>5377</v>
      </c>
      <c r="H25" s="150" t="s">
        <v>145</v>
      </c>
      <c r="I25" s="150"/>
      <c r="J25" s="150"/>
      <c r="K25" s="74">
        <v>6484</v>
      </c>
      <c r="L25" s="74">
        <v>6692</v>
      </c>
      <c r="N25" s="150" t="s">
        <v>145</v>
      </c>
      <c r="O25" s="150"/>
      <c r="P25" s="150"/>
      <c r="Q25" s="74">
        <v>7514</v>
      </c>
      <c r="R25" s="74">
        <v>5124</v>
      </c>
      <c r="U25" s="144" t="s">
        <v>145</v>
      </c>
      <c r="V25" s="144"/>
      <c r="W25" s="144"/>
      <c r="X25" s="97">
        <v>7514</v>
      </c>
      <c r="Y25" s="97">
        <v>6692</v>
      </c>
      <c r="Z25" s="97">
        <v>6484</v>
      </c>
      <c r="AA25" s="97">
        <v>5377</v>
      </c>
      <c r="AB25" s="97">
        <v>5794</v>
      </c>
      <c r="AE25" t="s">
        <v>190</v>
      </c>
      <c r="AF25" s="104">
        <f>SUM(X25,X21)</f>
        <v>7609</v>
      </c>
      <c r="AG25" s="104">
        <f>SUM(Y25,Y21)</f>
        <v>7491</v>
      </c>
      <c r="AH25" s="104">
        <f>SUM(Z25,Z21)</f>
        <v>6557</v>
      </c>
      <c r="AI25" s="104">
        <f>SUM(AA25,AA21)</f>
        <v>6458</v>
      </c>
      <c r="AJ25" s="104">
        <f>SUM(AB25,AB21)</f>
        <v>5897</v>
      </c>
    </row>
    <row r="26" spans="2:36">
      <c r="B26" s="149" t="s">
        <v>146</v>
      </c>
      <c r="C26" s="149"/>
      <c r="D26" s="149"/>
      <c r="E26" s="76">
        <v>2375</v>
      </c>
      <c r="F26" s="76">
        <v>2426</v>
      </c>
      <c r="H26" s="149" t="s">
        <v>146</v>
      </c>
      <c r="I26" s="149"/>
      <c r="J26" s="149"/>
      <c r="K26" s="76">
        <v>2482</v>
      </c>
      <c r="L26" s="76">
        <v>2642</v>
      </c>
      <c r="N26" s="149" t="s">
        <v>146</v>
      </c>
      <c r="O26" s="149"/>
      <c r="P26" s="149"/>
      <c r="Q26" s="76">
        <v>2558</v>
      </c>
      <c r="R26" s="81" t="s">
        <v>152</v>
      </c>
      <c r="U26" s="145" t="s">
        <v>146</v>
      </c>
      <c r="V26" s="145"/>
      <c r="W26" s="145"/>
      <c r="X26" s="97">
        <v>2558</v>
      </c>
      <c r="Y26" s="97">
        <v>2642</v>
      </c>
      <c r="Z26" s="97">
        <v>2482</v>
      </c>
      <c r="AA26" s="97">
        <v>2426</v>
      </c>
      <c r="AB26" s="97">
        <v>2375</v>
      </c>
      <c r="AE26" t="s">
        <v>191</v>
      </c>
      <c r="AF26" s="104">
        <f>X26</f>
        <v>2558</v>
      </c>
      <c r="AG26" s="104">
        <f>Y26</f>
        <v>2642</v>
      </c>
      <c r="AH26" s="104">
        <f>Z26</f>
        <v>2482</v>
      </c>
      <c r="AI26" s="104">
        <f>AA26</f>
        <v>2426</v>
      </c>
      <c r="AJ26" s="104">
        <f>AB26</f>
        <v>2375</v>
      </c>
    </row>
    <row r="27" spans="2:36" ht="15" thickBot="1">
      <c r="B27" s="150" t="s">
        <v>147</v>
      </c>
      <c r="C27" s="150"/>
      <c r="D27" s="150"/>
      <c r="E27" s="82">
        <v>2576</v>
      </c>
      <c r="F27" s="82">
        <v>2550</v>
      </c>
      <c r="H27" s="150" t="s">
        <v>147</v>
      </c>
      <c r="I27" s="150"/>
      <c r="J27" s="150"/>
      <c r="K27" s="82">
        <v>2555</v>
      </c>
      <c r="L27" s="82">
        <v>2415</v>
      </c>
      <c r="N27" s="150" t="s">
        <v>147</v>
      </c>
      <c r="O27" s="150"/>
      <c r="P27" s="150"/>
      <c r="Q27" s="82">
        <v>1935</v>
      </c>
      <c r="R27" s="82">
        <v>1455</v>
      </c>
      <c r="U27" s="144" t="s">
        <v>147</v>
      </c>
      <c r="V27" s="144"/>
      <c r="W27" s="144"/>
      <c r="X27" s="97">
        <v>1935</v>
      </c>
      <c r="Y27" s="97">
        <v>2415</v>
      </c>
      <c r="Z27" s="97">
        <v>2555</v>
      </c>
      <c r="AA27" s="97">
        <v>2550</v>
      </c>
      <c r="AB27" s="97">
        <v>2576</v>
      </c>
      <c r="AE27" t="s">
        <v>147</v>
      </c>
      <c r="AF27" s="104">
        <f>SUM(X27,X22)</f>
        <v>5663</v>
      </c>
      <c r="AG27" s="104">
        <f>SUM(Y27,Y22)</f>
        <v>6976</v>
      </c>
      <c r="AH27" s="104">
        <f>SUM(Z27,Z22)</f>
        <v>8166</v>
      </c>
      <c r="AI27" s="104">
        <f>SUM(AA27,AA22)</f>
        <v>8804</v>
      </c>
      <c r="AJ27" s="104">
        <f>SUM(AB27,AB22)</f>
        <v>8786</v>
      </c>
    </row>
    <row r="28" spans="2:36" ht="15" thickBot="1">
      <c r="B28" s="152" t="s">
        <v>148</v>
      </c>
      <c r="C28" s="152"/>
      <c r="D28" s="152"/>
      <c r="E28" s="87">
        <v>46209</v>
      </c>
      <c r="F28" s="87">
        <v>43936</v>
      </c>
      <c r="H28" s="152" t="s">
        <v>148</v>
      </c>
      <c r="I28" s="152"/>
      <c r="J28" s="152"/>
      <c r="K28" s="87">
        <v>43519</v>
      </c>
      <c r="L28" s="87">
        <v>41190</v>
      </c>
      <c r="N28" s="152" t="s">
        <v>148</v>
      </c>
      <c r="O28" s="152"/>
      <c r="P28" s="152"/>
      <c r="Q28" s="87">
        <v>36851</v>
      </c>
      <c r="R28" s="87">
        <v>29816</v>
      </c>
      <c r="U28" s="141" t="s">
        <v>148</v>
      </c>
      <c r="V28" s="141"/>
      <c r="W28" s="141"/>
      <c r="X28" s="97">
        <v>36851</v>
      </c>
      <c r="Y28" s="97">
        <v>41190</v>
      </c>
      <c r="Z28" s="97">
        <v>43519</v>
      </c>
      <c r="AA28" s="97">
        <v>43936</v>
      </c>
      <c r="AB28" s="97">
        <v>46209</v>
      </c>
      <c r="AD28" s="5" t="s">
        <v>192</v>
      </c>
      <c r="AE28" s="5"/>
    </row>
    <row r="29" spans="2:36" ht="17.5">
      <c r="B29" s="151" t="s">
        <v>149</v>
      </c>
      <c r="C29" s="151"/>
      <c r="D29" s="151"/>
      <c r="E29" s="88"/>
      <c r="F29" s="88"/>
      <c r="H29" s="151" t="s">
        <v>149</v>
      </c>
      <c r="I29" s="151"/>
      <c r="J29" s="151"/>
      <c r="K29" s="88"/>
      <c r="L29" s="88"/>
      <c r="N29" s="151" t="s">
        <v>149</v>
      </c>
      <c r="O29" s="151"/>
      <c r="P29" s="151"/>
      <c r="Q29" s="89"/>
      <c r="R29" s="89"/>
      <c r="U29" s="142" t="s">
        <v>149</v>
      </c>
      <c r="V29" s="142"/>
      <c r="W29" s="142"/>
      <c r="X29" s="97"/>
      <c r="Y29" s="97"/>
      <c r="Z29" s="97"/>
      <c r="AA29" s="97"/>
      <c r="AB29" s="97"/>
    </row>
    <row r="30" spans="2:36" ht="17.5">
      <c r="B30" s="152" t="s">
        <v>150</v>
      </c>
      <c r="C30" s="152"/>
      <c r="D30" s="152"/>
      <c r="E30" s="79"/>
      <c r="F30" s="79"/>
      <c r="H30" s="152" t="s">
        <v>150</v>
      </c>
      <c r="I30" s="152"/>
      <c r="J30" s="152"/>
      <c r="K30" s="79"/>
      <c r="L30" s="79"/>
      <c r="N30" s="152" t="s">
        <v>150</v>
      </c>
      <c r="O30" s="152"/>
      <c r="P30" s="152"/>
      <c r="Q30" s="80"/>
      <c r="R30" s="80"/>
      <c r="U30" s="141" t="s">
        <v>150</v>
      </c>
      <c r="V30" s="141"/>
      <c r="W30" s="141"/>
      <c r="X30" s="97"/>
      <c r="Y30" s="97"/>
      <c r="Z30" s="97"/>
      <c r="AA30" s="97"/>
      <c r="AB30" s="97"/>
    </row>
    <row r="31" spans="2:36">
      <c r="B31" s="156" t="s">
        <v>151</v>
      </c>
      <c r="C31" s="156"/>
      <c r="D31" s="156"/>
      <c r="E31" s="75" t="s">
        <v>152</v>
      </c>
      <c r="F31" s="75" t="s">
        <v>152</v>
      </c>
      <c r="H31" s="156" t="s">
        <v>151</v>
      </c>
      <c r="I31" s="156"/>
      <c r="J31" s="156"/>
      <c r="K31" s="75" t="s">
        <v>152</v>
      </c>
      <c r="L31" s="75" t="s">
        <v>152</v>
      </c>
      <c r="N31" s="150" t="s">
        <v>162</v>
      </c>
      <c r="O31" s="150"/>
      <c r="P31" s="150"/>
      <c r="Q31" s="75" t="s">
        <v>152</v>
      </c>
      <c r="R31" s="75" t="s">
        <v>152</v>
      </c>
      <c r="U31" s="146" t="s">
        <v>151</v>
      </c>
      <c r="V31" s="146"/>
      <c r="W31" s="146"/>
      <c r="X31" s="97" t="s">
        <v>50</v>
      </c>
      <c r="Y31" s="97" t="s">
        <v>50</v>
      </c>
      <c r="Z31" s="97" t="s">
        <v>50</v>
      </c>
      <c r="AA31" s="97" t="s">
        <v>50</v>
      </c>
      <c r="AB31" s="97" t="s">
        <v>50</v>
      </c>
    </row>
    <row r="32" spans="2:36">
      <c r="B32" s="155" t="s">
        <v>153</v>
      </c>
      <c r="C32" s="155"/>
      <c r="D32" s="155"/>
      <c r="E32" s="81">
        <v>2</v>
      </c>
      <c r="F32" s="81">
        <v>2</v>
      </c>
      <c r="H32" s="155" t="s">
        <v>159</v>
      </c>
      <c r="I32" s="155"/>
      <c r="J32" s="155"/>
      <c r="K32" s="81">
        <v>2</v>
      </c>
      <c r="L32" s="81">
        <v>4</v>
      </c>
      <c r="N32" s="149" t="s">
        <v>163</v>
      </c>
      <c r="O32" s="149"/>
      <c r="P32" s="149"/>
      <c r="Q32" s="81">
        <v>4</v>
      </c>
      <c r="R32" s="81">
        <v>4</v>
      </c>
      <c r="U32" s="143" t="s">
        <v>159</v>
      </c>
      <c r="V32" s="143"/>
      <c r="W32" s="143"/>
      <c r="X32" s="97">
        <v>4</v>
      </c>
      <c r="Y32" s="97">
        <v>4</v>
      </c>
      <c r="Z32" s="97">
        <v>2</v>
      </c>
      <c r="AA32" s="97">
        <v>2</v>
      </c>
      <c r="AB32" s="97">
        <v>2</v>
      </c>
      <c r="AD32" s="1" t="s">
        <v>193</v>
      </c>
    </row>
    <row r="33" spans="2:36">
      <c r="B33" s="150" t="s">
        <v>154</v>
      </c>
      <c r="C33" s="150"/>
      <c r="D33" s="150"/>
      <c r="E33" s="74">
        <v>7829</v>
      </c>
      <c r="F33" s="74">
        <v>7340</v>
      </c>
      <c r="H33" s="150" t="s">
        <v>154</v>
      </c>
      <c r="I33" s="150"/>
      <c r="J33" s="150"/>
      <c r="K33" s="74">
        <v>6884</v>
      </c>
      <c r="L33" s="74">
        <v>7031</v>
      </c>
      <c r="N33" s="150" t="s">
        <v>154</v>
      </c>
      <c r="O33" s="150"/>
      <c r="P33" s="150"/>
      <c r="Q33" s="74">
        <v>6698</v>
      </c>
      <c r="R33" s="74">
        <v>6417</v>
      </c>
      <c r="U33" s="144" t="s">
        <v>154</v>
      </c>
      <c r="V33" s="144"/>
      <c r="W33" s="144"/>
      <c r="X33" s="97">
        <v>6698</v>
      </c>
      <c r="Y33" s="97">
        <v>7031</v>
      </c>
      <c r="Z33" s="97">
        <v>6884</v>
      </c>
      <c r="AA33" s="97">
        <v>7340</v>
      </c>
      <c r="AB33" s="97">
        <v>7829</v>
      </c>
      <c r="AD33" s="1"/>
      <c r="AE33" t="s">
        <v>194</v>
      </c>
      <c r="AF33" s="104">
        <f>SUM(X31:X33)</f>
        <v>6702</v>
      </c>
      <c r="AG33" s="104">
        <f>SUM(Y31:Y33)</f>
        <v>7035</v>
      </c>
      <c r="AH33" s="104">
        <f t="shared" ref="AH33:AJ33" si="2">SUM(Z31:Z33)</f>
        <v>6886</v>
      </c>
      <c r="AI33" s="104">
        <f t="shared" si="2"/>
        <v>7342</v>
      </c>
      <c r="AJ33" s="104">
        <f t="shared" si="2"/>
        <v>7831</v>
      </c>
    </row>
    <row r="34" spans="2:36">
      <c r="B34" s="149" t="s">
        <v>155</v>
      </c>
      <c r="C34" s="149"/>
      <c r="D34" s="149"/>
      <c r="E34" s="90">
        <v>-1828</v>
      </c>
      <c r="F34" s="90">
        <v>-1805</v>
      </c>
      <c r="H34" s="149" t="s">
        <v>155</v>
      </c>
      <c r="I34" s="149"/>
      <c r="J34" s="149"/>
      <c r="K34" s="90">
        <v>-1829</v>
      </c>
      <c r="L34" s="90">
        <v>-1137</v>
      </c>
      <c r="N34" s="149" t="s">
        <v>155</v>
      </c>
      <c r="O34" s="149"/>
      <c r="P34" s="149"/>
      <c r="Q34" s="90">
        <v>-1297</v>
      </c>
      <c r="R34" s="90">
        <v>-1436</v>
      </c>
      <c r="U34" s="145" t="s">
        <v>155</v>
      </c>
      <c r="V34" s="145"/>
      <c r="W34" s="145"/>
      <c r="X34" s="97">
        <v>-1297</v>
      </c>
      <c r="Y34" s="97">
        <v>-1137</v>
      </c>
      <c r="Z34" s="97">
        <v>-1829</v>
      </c>
      <c r="AA34" s="97">
        <v>-1805</v>
      </c>
      <c r="AB34" s="97">
        <v>-1828</v>
      </c>
      <c r="AE34" t="s">
        <v>195</v>
      </c>
      <c r="AF34" s="104">
        <f t="shared" ref="AF34:AJ35" si="3">X34</f>
        <v>-1297</v>
      </c>
      <c r="AG34" s="104">
        <f t="shared" si="3"/>
        <v>-1137</v>
      </c>
      <c r="AH34" s="104">
        <f t="shared" si="3"/>
        <v>-1829</v>
      </c>
      <c r="AI34" s="104">
        <f t="shared" si="3"/>
        <v>-1805</v>
      </c>
      <c r="AJ34" s="104">
        <f t="shared" si="3"/>
        <v>-1828</v>
      </c>
    </row>
    <row r="35" spans="2:36" ht="15" thickBot="1">
      <c r="B35" s="150" t="s">
        <v>156</v>
      </c>
      <c r="C35" s="150"/>
      <c r="D35" s="150"/>
      <c r="E35" s="74">
        <v>17619</v>
      </c>
      <c r="F35" s="74">
        <v>19521</v>
      </c>
      <c r="H35" s="150" t="s">
        <v>156</v>
      </c>
      <c r="I35" s="150"/>
      <c r="J35" s="150"/>
      <c r="K35" s="82">
        <v>15585</v>
      </c>
      <c r="L35" s="82">
        <v>11666</v>
      </c>
      <c r="N35" s="150" t="s">
        <v>156</v>
      </c>
      <c r="O35" s="150"/>
      <c r="P35" s="150"/>
      <c r="Q35" s="82">
        <v>12879</v>
      </c>
      <c r="R35" s="82">
        <v>10258</v>
      </c>
      <c r="U35" s="144" t="s">
        <v>156</v>
      </c>
      <c r="V35" s="144"/>
      <c r="W35" s="144"/>
      <c r="X35" s="97">
        <v>12879</v>
      </c>
      <c r="Y35" s="97">
        <v>11666</v>
      </c>
      <c r="Z35" s="97">
        <v>15585</v>
      </c>
      <c r="AA35" s="97">
        <v>19521</v>
      </c>
      <c r="AB35" s="97">
        <v>17619</v>
      </c>
      <c r="AE35" t="s">
        <v>196</v>
      </c>
      <c r="AF35" s="104">
        <f t="shared" si="3"/>
        <v>12879</v>
      </c>
      <c r="AG35" s="104">
        <f t="shared" si="3"/>
        <v>11666</v>
      </c>
      <c r="AH35" s="104">
        <f t="shared" si="3"/>
        <v>15585</v>
      </c>
      <c r="AI35" s="104">
        <f t="shared" si="3"/>
        <v>19521</v>
      </c>
      <c r="AJ35" s="104">
        <f t="shared" si="3"/>
        <v>17619</v>
      </c>
    </row>
    <row r="36" spans="2:36">
      <c r="B36" s="91"/>
      <c r="C36" s="91"/>
      <c r="D36" s="91"/>
      <c r="E36" s="91"/>
      <c r="F36" s="91"/>
      <c r="H36" s="149" t="s">
        <v>160</v>
      </c>
      <c r="I36" s="149"/>
      <c r="J36" s="149"/>
      <c r="K36" s="92">
        <v>20642</v>
      </c>
      <c r="L36" s="92">
        <v>17564</v>
      </c>
      <c r="N36" s="149" t="s">
        <v>160</v>
      </c>
      <c r="O36" s="149"/>
      <c r="P36" s="149"/>
      <c r="Q36" s="92">
        <v>18284</v>
      </c>
      <c r="R36" s="92">
        <v>15243</v>
      </c>
      <c r="U36" s="145" t="s">
        <v>160</v>
      </c>
      <c r="V36" s="145"/>
      <c r="W36" s="145"/>
      <c r="X36" s="97">
        <v>18284</v>
      </c>
      <c r="Y36" s="97">
        <v>17564</v>
      </c>
      <c r="Z36" s="97">
        <v>20642</v>
      </c>
      <c r="AA36" s="97"/>
      <c r="AB36" s="97"/>
      <c r="AD36" s="5" t="s">
        <v>197</v>
      </c>
      <c r="AE36" s="5"/>
    </row>
    <row r="37" spans="2:36" ht="15" thickBot="1">
      <c r="B37" s="91"/>
      <c r="C37" s="91"/>
      <c r="D37" s="91"/>
      <c r="E37" s="91"/>
      <c r="F37" s="91"/>
      <c r="H37" s="150" t="s">
        <v>161</v>
      </c>
      <c r="I37" s="150"/>
      <c r="J37" s="150"/>
      <c r="K37" s="93">
        <v>5</v>
      </c>
      <c r="L37" s="93">
        <v>514</v>
      </c>
      <c r="N37" s="150" t="s">
        <v>161</v>
      </c>
      <c r="O37" s="150"/>
      <c r="P37" s="150"/>
      <c r="Q37" s="93">
        <v>421</v>
      </c>
      <c r="R37" s="93">
        <v>341</v>
      </c>
      <c r="U37" s="144" t="s">
        <v>161</v>
      </c>
      <c r="V37" s="144"/>
      <c r="W37" s="144"/>
      <c r="X37" s="97">
        <v>421</v>
      </c>
      <c r="Y37" s="97">
        <v>514</v>
      </c>
      <c r="Z37" s="97">
        <v>5</v>
      </c>
      <c r="AA37" s="97"/>
      <c r="AB37" s="97"/>
      <c r="AE37" t="s">
        <v>198</v>
      </c>
      <c r="AF37" s="104">
        <f>X37</f>
        <v>421</v>
      </c>
      <c r="AG37" s="104">
        <f>Y37</f>
        <v>514</v>
      </c>
      <c r="AH37" s="104">
        <f>Z37</f>
        <v>5</v>
      </c>
      <c r="AI37" s="104">
        <f>AA37</f>
        <v>0</v>
      </c>
      <c r="AJ37" s="104">
        <f>AB37</f>
        <v>0</v>
      </c>
    </row>
    <row r="38" spans="2:36" ht="15" thickBot="1">
      <c r="B38" s="152" t="s">
        <v>157</v>
      </c>
      <c r="C38" s="152"/>
      <c r="D38" s="152"/>
      <c r="E38" s="87">
        <v>23622</v>
      </c>
      <c r="F38" s="87">
        <v>25058</v>
      </c>
      <c r="H38" s="152" t="s">
        <v>157</v>
      </c>
      <c r="I38" s="152"/>
      <c r="J38" s="152"/>
      <c r="K38" s="87">
        <v>20647</v>
      </c>
      <c r="L38" s="87">
        <v>18078</v>
      </c>
      <c r="N38" s="149" t="s">
        <v>164</v>
      </c>
      <c r="O38" s="149"/>
      <c r="P38" s="149"/>
      <c r="Q38" s="87">
        <v>18705</v>
      </c>
      <c r="R38" s="87">
        <v>15584</v>
      </c>
      <c r="U38" s="141" t="s">
        <v>157</v>
      </c>
      <c r="V38" s="141"/>
      <c r="W38" s="141"/>
      <c r="X38" s="97">
        <v>18705</v>
      </c>
      <c r="Y38" s="97">
        <v>18078</v>
      </c>
      <c r="Z38" s="97">
        <v>20647</v>
      </c>
      <c r="AA38" s="97">
        <v>25058</v>
      </c>
      <c r="AB38" s="97">
        <v>23622</v>
      </c>
      <c r="AD38" s="5" t="s">
        <v>199</v>
      </c>
      <c r="AE38" s="5"/>
    </row>
    <row r="39" spans="2:36" ht="15" thickBot="1">
      <c r="B39" s="151" t="s">
        <v>158</v>
      </c>
      <c r="C39" s="151"/>
      <c r="D39" s="151"/>
      <c r="E39" s="94">
        <v>69831</v>
      </c>
      <c r="F39" s="94">
        <v>68994</v>
      </c>
      <c r="H39" s="151" t="s">
        <v>158</v>
      </c>
      <c r="I39" s="151"/>
      <c r="J39" s="151"/>
      <c r="K39" s="94">
        <v>64166</v>
      </c>
      <c r="L39" s="94">
        <v>59268</v>
      </c>
      <c r="N39" s="151" t="s">
        <v>158</v>
      </c>
      <c r="O39" s="151"/>
      <c r="P39" s="151"/>
      <c r="Q39" s="94">
        <v>55556</v>
      </c>
      <c r="R39" s="94">
        <v>45400</v>
      </c>
      <c r="U39" s="142" t="s">
        <v>158</v>
      </c>
      <c r="V39" s="142"/>
      <c r="W39" s="142"/>
      <c r="X39" s="97">
        <v>55556</v>
      </c>
      <c r="Y39" s="97">
        <v>59268</v>
      </c>
      <c r="Z39" s="97">
        <v>64166</v>
      </c>
      <c r="AA39" s="97">
        <v>68994</v>
      </c>
      <c r="AB39" s="97">
        <v>69831</v>
      </c>
      <c r="AD39" s="102" t="s">
        <v>200</v>
      </c>
      <c r="AE39" s="33"/>
    </row>
    <row r="40" spans="2:36" ht="15" thickTop="1"/>
  </sheetData>
  <mergeCells count="150">
    <mergeCell ref="B11:D11"/>
    <mergeCell ref="B12:D12"/>
    <mergeCell ref="B13:D13"/>
    <mergeCell ref="B2:D2"/>
    <mergeCell ref="B3:D3"/>
    <mergeCell ref="B4:D4"/>
    <mergeCell ref="B5:D5"/>
    <mergeCell ref="B6:D6"/>
    <mergeCell ref="B7:D7"/>
    <mergeCell ref="B35:D35"/>
    <mergeCell ref="B38:D38"/>
    <mergeCell ref="B39:D39"/>
    <mergeCell ref="B26:D26"/>
    <mergeCell ref="B27:D27"/>
    <mergeCell ref="B28:D28"/>
    <mergeCell ref="B29:D29"/>
    <mergeCell ref="B30:D30"/>
    <mergeCell ref="B31:D31"/>
    <mergeCell ref="H2:J2"/>
    <mergeCell ref="H3:J3"/>
    <mergeCell ref="H4:J4"/>
    <mergeCell ref="H5:J5"/>
    <mergeCell ref="H6:J6"/>
    <mergeCell ref="H7:J7"/>
    <mergeCell ref="B32:D32"/>
    <mergeCell ref="B33:D33"/>
    <mergeCell ref="B34:D34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H14:J14"/>
    <mergeCell ref="H15:J15"/>
    <mergeCell ref="H16:J16"/>
    <mergeCell ref="H17:J17"/>
    <mergeCell ref="H18:J18"/>
    <mergeCell ref="H19:J19"/>
    <mergeCell ref="H8:J8"/>
    <mergeCell ref="H9:J9"/>
    <mergeCell ref="H10:J10"/>
    <mergeCell ref="H11:J11"/>
    <mergeCell ref="H12:J12"/>
    <mergeCell ref="H13:J13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N10:P10"/>
    <mergeCell ref="N11:P11"/>
    <mergeCell ref="N12:P12"/>
    <mergeCell ref="N13:P13"/>
    <mergeCell ref="N14:P14"/>
    <mergeCell ref="N15:P15"/>
    <mergeCell ref="H38:J38"/>
    <mergeCell ref="H39:J39"/>
    <mergeCell ref="N2:P2"/>
    <mergeCell ref="N3:P3"/>
    <mergeCell ref="N4:P4"/>
    <mergeCell ref="N5:P5"/>
    <mergeCell ref="N6:P6"/>
    <mergeCell ref="N7:P7"/>
    <mergeCell ref="N8:P8"/>
    <mergeCell ref="N9:P9"/>
    <mergeCell ref="H32:J32"/>
    <mergeCell ref="H33:J33"/>
    <mergeCell ref="H34:J34"/>
    <mergeCell ref="H35:J35"/>
    <mergeCell ref="H36:J36"/>
    <mergeCell ref="H37:J37"/>
    <mergeCell ref="H26:J26"/>
    <mergeCell ref="H27:J27"/>
    <mergeCell ref="N22:P22"/>
    <mergeCell ref="N23:P23"/>
    <mergeCell ref="N24:P24"/>
    <mergeCell ref="N25:P25"/>
    <mergeCell ref="N26:P26"/>
    <mergeCell ref="N27:P27"/>
    <mergeCell ref="N16:P16"/>
    <mergeCell ref="N17:P17"/>
    <mergeCell ref="N18:P18"/>
    <mergeCell ref="N19:P19"/>
    <mergeCell ref="N20:P20"/>
    <mergeCell ref="N21:P21"/>
    <mergeCell ref="N34:P34"/>
    <mergeCell ref="N35:P35"/>
    <mergeCell ref="N36:P36"/>
    <mergeCell ref="N37:P37"/>
    <mergeCell ref="N38:P38"/>
    <mergeCell ref="N39:P39"/>
    <mergeCell ref="N28:P28"/>
    <mergeCell ref="N29:P29"/>
    <mergeCell ref="N30:P30"/>
    <mergeCell ref="N31:P31"/>
    <mergeCell ref="N32:P32"/>
    <mergeCell ref="N33:P33"/>
    <mergeCell ref="U8:W8"/>
    <mergeCell ref="U9:W9"/>
    <mergeCell ref="U10:W10"/>
    <mergeCell ref="U11:W11"/>
    <mergeCell ref="U12:W12"/>
    <mergeCell ref="U13:W13"/>
    <mergeCell ref="U2:W2"/>
    <mergeCell ref="U3:W3"/>
    <mergeCell ref="U4:W4"/>
    <mergeCell ref="U5:W5"/>
    <mergeCell ref="U6:W6"/>
    <mergeCell ref="U7:W7"/>
    <mergeCell ref="U20:W20"/>
    <mergeCell ref="U21:W21"/>
    <mergeCell ref="U22:W22"/>
    <mergeCell ref="U23:W23"/>
    <mergeCell ref="U24:W24"/>
    <mergeCell ref="U25:W25"/>
    <mergeCell ref="U14:W14"/>
    <mergeCell ref="U15:W15"/>
    <mergeCell ref="U16:W16"/>
    <mergeCell ref="U17:W17"/>
    <mergeCell ref="U18:W18"/>
    <mergeCell ref="U19:W19"/>
    <mergeCell ref="U38:W38"/>
    <mergeCell ref="U39:W39"/>
    <mergeCell ref="U32:W32"/>
    <mergeCell ref="U33:W33"/>
    <mergeCell ref="U34:W34"/>
    <mergeCell ref="U35:W35"/>
    <mergeCell ref="U36:W36"/>
    <mergeCell ref="U37:W37"/>
    <mergeCell ref="U26:W26"/>
    <mergeCell ref="U27:W27"/>
    <mergeCell ref="U28:W28"/>
    <mergeCell ref="U29:W29"/>
    <mergeCell ref="U30:W30"/>
    <mergeCell ref="U31:W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Model</vt:lpstr>
      <vt:lpstr>Performance Metrics</vt:lpstr>
      <vt:lpstr>Income Statement (Raw)</vt:lpstr>
      <vt:lpstr>CFS (Raw)</vt:lpstr>
      <vt:lpstr>Balance Sheet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Aggarwal</dc:creator>
  <cp:lastModifiedBy>Keshav Aggarwal</cp:lastModifiedBy>
  <dcterms:created xsi:type="dcterms:W3CDTF">2015-06-05T18:17:20Z</dcterms:created>
  <dcterms:modified xsi:type="dcterms:W3CDTF">2025-07-20T14:31:19Z</dcterms:modified>
</cp:coreProperties>
</file>