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b7d91c61a0f33f7/Desktop/VS_Code/automated_financial_model/"/>
    </mc:Choice>
  </mc:AlternateContent>
  <xr:revisionPtr revIDLastSave="2155" documentId="11_F25DC773A252ABDACC1048EDE15D42E05BDE58EC" xr6:coauthVersionLast="47" xr6:coauthVersionMax="47" xr10:uidLastSave="{9BD93754-BF0A-49CC-A129-1A3DDD3CCE6A}"/>
  <bookViews>
    <workbookView xWindow="-110" yWindow="-110" windowWidth="25820" windowHeight="13900" xr2:uid="{00000000-000D-0000-FFFF-FFFF00000000}"/>
  </bookViews>
  <sheets>
    <sheet name="Statements" sheetId="1" r:id="rId1"/>
    <sheet name="Performance Metrics" sheetId="9" r:id="rId2"/>
    <sheet name="Income Statement (Raw)" sheetId="3" state="hidden" r:id="rId3"/>
    <sheet name="CFS (Raw)" sheetId="5" state="hidden" r:id="rId4"/>
    <sheet name="Balance Sheet (Raw)" sheetId="7" state="hidden" r:id="rId5"/>
  </sheets>
  <definedNames>
    <definedName name="_xlnm._FilterDatabase" localSheetId="0" hidden="1">Statements!$K$8:$K$8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1" l="1"/>
  <c r="N60" i="1"/>
  <c r="M60" i="1"/>
  <c r="L60" i="1"/>
  <c r="K60" i="1"/>
  <c r="O154" i="1"/>
  <c r="N154" i="1"/>
  <c r="M154" i="1"/>
  <c r="L154" i="1"/>
  <c r="K154" i="1"/>
  <c r="K156" i="1" s="1"/>
  <c r="K162" i="1" s="1"/>
  <c r="O231" i="1"/>
  <c r="N231" i="1"/>
  <c r="M231" i="1"/>
  <c r="L231" i="1"/>
  <c r="K231" i="1"/>
  <c r="O230" i="1"/>
  <c r="N230" i="1"/>
  <c r="M230" i="1"/>
  <c r="L230" i="1"/>
  <c r="K230" i="1"/>
  <c r="J229" i="1"/>
  <c r="O229" i="1"/>
  <c r="N229" i="1"/>
  <c r="M229" i="1"/>
  <c r="L229" i="1"/>
  <c r="K229" i="1"/>
  <c r="O227" i="1"/>
  <c r="N227" i="1"/>
  <c r="M227" i="1"/>
  <c r="L227" i="1"/>
  <c r="K227" i="1"/>
  <c r="O226" i="1"/>
  <c r="N226" i="1"/>
  <c r="M226" i="1"/>
  <c r="L226" i="1"/>
  <c r="K226" i="1"/>
  <c r="L225" i="1"/>
  <c r="M225" i="1" s="1"/>
  <c r="N225" i="1" s="1"/>
  <c r="O225" i="1" s="1"/>
  <c r="K225" i="1"/>
  <c r="J225" i="1"/>
  <c r="O223" i="1"/>
  <c r="N223" i="1"/>
  <c r="M223" i="1"/>
  <c r="L223" i="1"/>
  <c r="K223" i="1"/>
  <c r="O222" i="1"/>
  <c r="N222" i="1"/>
  <c r="M222" i="1"/>
  <c r="L222" i="1"/>
  <c r="K222" i="1"/>
  <c r="J222" i="1"/>
  <c r="O221" i="1"/>
  <c r="N221" i="1"/>
  <c r="M221" i="1"/>
  <c r="L221" i="1"/>
  <c r="K221" i="1"/>
  <c r="J221" i="1"/>
  <c r="I221" i="1"/>
  <c r="H221" i="1"/>
  <c r="G221" i="1"/>
  <c r="F221" i="1"/>
  <c r="O220" i="1"/>
  <c r="N220" i="1"/>
  <c r="M220" i="1"/>
  <c r="L220" i="1"/>
  <c r="K220" i="1"/>
  <c r="J220" i="1"/>
  <c r="I220" i="1"/>
  <c r="H220" i="1"/>
  <c r="G220" i="1"/>
  <c r="F220" i="1"/>
  <c r="O6" i="1"/>
  <c r="N6" i="1"/>
  <c r="M6" i="1"/>
  <c r="L6" i="1"/>
  <c r="K6" i="1"/>
  <c r="J6" i="1"/>
  <c r="I6" i="1"/>
  <c r="H6" i="1"/>
  <c r="G6" i="1"/>
  <c r="F6" i="1"/>
  <c r="F211" i="1"/>
  <c r="F213" i="1" s="1"/>
  <c r="G211" i="1" s="1"/>
  <c r="J193" i="1"/>
  <c r="I193" i="1"/>
  <c r="H193" i="1"/>
  <c r="G193" i="1"/>
  <c r="F193" i="1"/>
  <c r="F194" i="1" s="1"/>
  <c r="J192" i="1"/>
  <c r="I192" i="1"/>
  <c r="H192" i="1"/>
  <c r="G192" i="1"/>
  <c r="F192" i="1"/>
  <c r="J189" i="1"/>
  <c r="I189" i="1"/>
  <c r="H189" i="1"/>
  <c r="G189" i="1"/>
  <c r="F189" i="1"/>
  <c r="E189" i="1"/>
  <c r="O168" i="1"/>
  <c r="O170" i="1" s="1"/>
  <c r="N168" i="1"/>
  <c r="N170" i="1" s="1"/>
  <c r="M168" i="1"/>
  <c r="M170" i="1" s="1"/>
  <c r="L168" i="1"/>
  <c r="L170" i="1" s="1"/>
  <c r="K168" i="1"/>
  <c r="K170" i="1" s="1"/>
  <c r="J168" i="1"/>
  <c r="J170" i="1" s="1"/>
  <c r="I168" i="1"/>
  <c r="I170" i="1" s="1"/>
  <c r="H168" i="1"/>
  <c r="H170" i="1" s="1"/>
  <c r="G168" i="1"/>
  <c r="G170" i="1" s="1"/>
  <c r="F168" i="1"/>
  <c r="F170" i="1" s="1"/>
  <c r="O156" i="1"/>
  <c r="O162" i="1" s="1"/>
  <c r="N156" i="1"/>
  <c r="N162" i="1" s="1"/>
  <c r="M156" i="1"/>
  <c r="M162" i="1" s="1"/>
  <c r="L156" i="1"/>
  <c r="L162" i="1" s="1"/>
  <c r="J156" i="1"/>
  <c r="J162" i="1" s="1"/>
  <c r="I156" i="1"/>
  <c r="I162" i="1" s="1"/>
  <c r="H156" i="1"/>
  <c r="H162" i="1" s="1"/>
  <c r="G156" i="1"/>
  <c r="G162" i="1" s="1"/>
  <c r="F156" i="1"/>
  <c r="F162" i="1" s="1"/>
  <c r="O142" i="1"/>
  <c r="O148" i="1" s="1"/>
  <c r="N142" i="1"/>
  <c r="N148" i="1" s="1"/>
  <c r="M142" i="1"/>
  <c r="M148" i="1" s="1"/>
  <c r="L142" i="1"/>
  <c r="L148" i="1" s="1"/>
  <c r="K142" i="1"/>
  <c r="K148" i="1" s="1"/>
  <c r="J142" i="1"/>
  <c r="J148" i="1" s="1"/>
  <c r="I142" i="1"/>
  <c r="I148" i="1" s="1"/>
  <c r="H142" i="1"/>
  <c r="H148" i="1" s="1"/>
  <c r="G142" i="1"/>
  <c r="G148" i="1" s="1"/>
  <c r="F142" i="1"/>
  <c r="F148" i="1" s="1"/>
  <c r="AJ37" i="7"/>
  <c r="AI37" i="7"/>
  <c r="AH37" i="7"/>
  <c r="AG37" i="7"/>
  <c r="AF37" i="7"/>
  <c r="AJ35" i="7"/>
  <c r="AJ34" i="7"/>
  <c r="AI35" i="7"/>
  <c r="AI34" i="7"/>
  <c r="AH35" i="7"/>
  <c r="AH34" i="7"/>
  <c r="AG35" i="7"/>
  <c r="AG34" i="7"/>
  <c r="AJ33" i="7"/>
  <c r="AI33" i="7"/>
  <c r="AH33" i="7"/>
  <c r="AG33" i="7"/>
  <c r="AF33" i="7"/>
  <c r="AF35" i="7"/>
  <c r="AF34" i="7"/>
  <c r="AJ20" i="7"/>
  <c r="AI20" i="7"/>
  <c r="AJ19" i="7"/>
  <c r="AI19" i="7"/>
  <c r="AJ18" i="7"/>
  <c r="AI18" i="7"/>
  <c r="AJ17" i="7"/>
  <c r="AI17" i="7"/>
  <c r="AH20" i="7"/>
  <c r="AH19" i="7"/>
  <c r="AH18" i="7"/>
  <c r="AH17" i="7"/>
  <c r="AG20" i="7"/>
  <c r="AG19" i="7"/>
  <c r="AG18" i="7"/>
  <c r="AG17" i="7"/>
  <c r="AJ27" i="7"/>
  <c r="AJ26" i="7"/>
  <c r="AI27" i="7"/>
  <c r="AI26" i="7"/>
  <c r="AH27" i="7"/>
  <c r="AH26" i="7"/>
  <c r="AG27" i="7"/>
  <c r="AG26" i="7"/>
  <c r="AF27" i="7"/>
  <c r="AJ25" i="7"/>
  <c r="AI25" i="7"/>
  <c r="AH25" i="7"/>
  <c r="AG25" i="7"/>
  <c r="AF25" i="7"/>
  <c r="AF26" i="7"/>
  <c r="AF20" i="7"/>
  <c r="AF19" i="7"/>
  <c r="AF18" i="7"/>
  <c r="AF17" i="7"/>
  <c r="O103" i="1"/>
  <c r="N103" i="1"/>
  <c r="M103" i="1"/>
  <c r="L103" i="1"/>
  <c r="K103" i="1"/>
  <c r="O108" i="1"/>
  <c r="N108" i="1"/>
  <c r="M108" i="1"/>
  <c r="L108" i="1"/>
  <c r="K108" i="1"/>
  <c r="O116" i="1"/>
  <c r="N116" i="1"/>
  <c r="M116" i="1"/>
  <c r="L116" i="1"/>
  <c r="K116" i="1"/>
  <c r="J116" i="1"/>
  <c r="I116" i="1"/>
  <c r="H116" i="1"/>
  <c r="G116" i="1"/>
  <c r="F116" i="1"/>
  <c r="J108" i="1"/>
  <c r="I108" i="1"/>
  <c r="H108" i="1"/>
  <c r="G108" i="1"/>
  <c r="F108" i="1"/>
  <c r="J103" i="1"/>
  <c r="I103" i="1"/>
  <c r="H103" i="1"/>
  <c r="G103" i="1"/>
  <c r="F103" i="1"/>
  <c r="Q8" i="5"/>
  <c r="S8" i="5"/>
  <c r="H15" i="5"/>
  <c r="H14" i="5"/>
  <c r="H13" i="5"/>
  <c r="H12" i="5"/>
  <c r="H8" i="5"/>
  <c r="H7" i="5"/>
  <c r="H6" i="5"/>
  <c r="H5" i="5"/>
  <c r="H4" i="5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O61" i="1"/>
  <c r="O66" i="1" s="1"/>
  <c r="O71" i="1" s="1"/>
  <c r="O73" i="1" s="1"/>
  <c r="O75" i="1" s="1"/>
  <c r="N61" i="1"/>
  <c r="N66" i="1" s="1"/>
  <c r="N71" i="1" s="1"/>
  <c r="N73" i="1" s="1"/>
  <c r="N75" i="1" s="1"/>
  <c r="M61" i="1"/>
  <c r="M66" i="1" s="1"/>
  <c r="M71" i="1" s="1"/>
  <c r="M73" i="1" s="1"/>
  <c r="M75" i="1" s="1"/>
  <c r="L61" i="1"/>
  <c r="L66" i="1" s="1"/>
  <c r="L71" i="1" s="1"/>
  <c r="L73" i="1" s="1"/>
  <c r="L75" i="1" s="1"/>
  <c r="K61" i="1"/>
  <c r="K66" i="1" s="1"/>
  <c r="K71" i="1" s="1"/>
  <c r="K73" i="1" s="1"/>
  <c r="K75" i="1" s="1"/>
  <c r="J61" i="1"/>
  <c r="J66" i="1" s="1"/>
  <c r="J71" i="1" s="1"/>
  <c r="J73" i="1" s="1"/>
  <c r="J75" i="1" s="1"/>
  <c r="J82" i="1" s="1"/>
  <c r="I61" i="1"/>
  <c r="I66" i="1" s="1"/>
  <c r="I71" i="1" s="1"/>
  <c r="I73" i="1" s="1"/>
  <c r="I75" i="1" s="1"/>
  <c r="I82" i="1" s="1"/>
  <c r="H61" i="1"/>
  <c r="H66" i="1" s="1"/>
  <c r="H71" i="1" s="1"/>
  <c r="H73" i="1" s="1"/>
  <c r="H75" i="1" s="1"/>
  <c r="H82" i="1" s="1"/>
  <c r="G61" i="1"/>
  <c r="G66" i="1" s="1"/>
  <c r="G71" i="1" s="1"/>
  <c r="G73" i="1" s="1"/>
  <c r="G75" i="1" s="1"/>
  <c r="G82" i="1" s="1"/>
  <c r="F61" i="1"/>
  <c r="F66" i="1" s="1"/>
  <c r="F71" i="1" s="1"/>
  <c r="F73" i="1" s="1"/>
  <c r="F75" i="1" s="1"/>
  <c r="F82" i="1" s="1"/>
  <c r="K18" i="1"/>
  <c r="L18" i="1"/>
  <c r="M18" i="1"/>
  <c r="N18" i="1"/>
  <c r="O18" i="1"/>
  <c r="F202" i="1" l="1"/>
  <c r="F217" i="1" s="1"/>
  <c r="F215" i="1"/>
  <c r="G213" i="1"/>
  <c r="H211" i="1" s="1"/>
  <c r="G215" i="1"/>
  <c r="H202" i="1"/>
  <c r="I202" i="1"/>
  <c r="I217" i="1" s="1"/>
  <c r="J202" i="1"/>
  <c r="H194" i="1"/>
  <c r="G202" i="1"/>
  <c r="G217" i="1" s="1"/>
  <c r="G218" i="1" s="1"/>
  <c r="F197" i="1"/>
  <c r="F203" i="1" s="1"/>
  <c r="G194" i="1"/>
  <c r="G197" i="1" s="1"/>
  <c r="H197" i="1"/>
  <c r="H203" i="1" s="1"/>
  <c r="I194" i="1"/>
  <c r="I197" i="1" s="1"/>
  <c r="I203" i="1" s="1"/>
  <c r="J194" i="1"/>
  <c r="J197" i="1" s="1"/>
  <c r="J199" i="1" s="1"/>
  <c r="F199" i="1"/>
  <c r="G199" i="1"/>
  <c r="H199" i="1"/>
  <c r="F171" i="1"/>
  <c r="L171" i="1"/>
  <c r="M171" i="1"/>
  <c r="N171" i="1"/>
  <c r="O171" i="1"/>
  <c r="G171" i="1"/>
  <c r="I171" i="1"/>
  <c r="K171" i="1"/>
  <c r="H171" i="1"/>
  <c r="J171" i="1"/>
  <c r="F119" i="1"/>
  <c r="F121" i="1" s="1"/>
  <c r="G120" i="1" s="1"/>
  <c r="K119" i="1"/>
  <c r="H119" i="1"/>
  <c r="M119" i="1"/>
  <c r="I119" i="1"/>
  <c r="N119" i="1"/>
  <c r="L119" i="1"/>
  <c r="J119" i="1"/>
  <c r="G119" i="1"/>
  <c r="O119" i="1"/>
  <c r="J81" i="1"/>
  <c r="F81" i="1"/>
  <c r="G81" i="1"/>
  <c r="I81" i="1"/>
  <c r="H81" i="1"/>
  <c r="G203" i="1" l="1"/>
  <c r="G204" i="1" s="1"/>
  <c r="F218" i="1"/>
  <c r="H213" i="1"/>
  <c r="I211" i="1" s="1"/>
  <c r="H215" i="1"/>
  <c r="J206" i="1"/>
  <c r="I204" i="1"/>
  <c r="J217" i="1"/>
  <c r="H217" i="1"/>
  <c r="J203" i="1"/>
  <c r="I199" i="1"/>
  <c r="J200" i="1"/>
  <c r="G121" i="1"/>
  <c r="H120" i="1" s="1"/>
  <c r="H121" i="1" s="1"/>
  <c r="I120" i="1" s="1"/>
  <c r="I121" i="1" s="1"/>
  <c r="J120" i="1" s="1"/>
  <c r="J121" i="1" s="1"/>
  <c r="K120" i="1" s="1"/>
  <c r="K121" i="1" s="1"/>
  <c r="L120" i="1" s="1"/>
  <c r="L121" i="1" s="1"/>
  <c r="M120" i="1" s="1"/>
  <c r="M121" i="1" s="1"/>
  <c r="N120" i="1" s="1"/>
  <c r="N121" i="1" s="1"/>
  <c r="O120" i="1" s="1"/>
  <c r="O121" i="1" s="1"/>
  <c r="K12" i="1"/>
  <c r="K212" i="1" s="1"/>
  <c r="L12" i="1"/>
  <c r="L212" i="1" s="1"/>
  <c r="M12" i="1"/>
  <c r="M212" i="1" s="1"/>
  <c r="N12" i="1"/>
  <c r="N212" i="1" s="1"/>
  <c r="O12" i="1"/>
  <c r="O212" i="1" s="1"/>
  <c r="K8" i="1"/>
  <c r="H204" i="1" l="1"/>
  <c r="I213" i="1"/>
  <c r="J211" i="1" s="1"/>
  <c r="I215" i="1"/>
  <c r="I218" i="1" s="1"/>
  <c r="K208" i="1"/>
  <c r="L208" i="1" s="1"/>
  <c r="M208" i="1" s="1"/>
  <c r="N208" i="1" s="1"/>
  <c r="O208" i="1" s="1"/>
  <c r="J204" i="1"/>
  <c r="H218" i="1"/>
  <c r="K136" i="1"/>
  <c r="J136" i="1" s="1"/>
  <c r="I136" i="1" s="1"/>
  <c r="H136" i="1" s="1"/>
  <c r="G136" i="1" s="1"/>
  <c r="F136" i="1" s="1"/>
  <c r="K186" i="1"/>
  <c r="J186" i="1" s="1"/>
  <c r="I186" i="1" s="1"/>
  <c r="H186" i="1" s="1"/>
  <c r="G186" i="1" s="1"/>
  <c r="F186" i="1" s="1"/>
  <c r="E186" i="1" s="1"/>
  <c r="K92" i="1"/>
  <c r="J92" i="1" s="1"/>
  <c r="I92" i="1" s="1"/>
  <c r="H92" i="1" s="1"/>
  <c r="G92" i="1" s="1"/>
  <c r="F92" i="1" s="1"/>
  <c r="K57" i="1"/>
  <c r="J57" i="1" s="1"/>
  <c r="I57" i="1" s="1"/>
  <c r="H57" i="1" s="1"/>
  <c r="G57" i="1" s="1"/>
  <c r="F57" i="1" s="1"/>
  <c r="L8" i="1"/>
  <c r="J213" i="1" l="1"/>
  <c r="K211" i="1" s="1"/>
  <c r="J215" i="1"/>
  <c r="J218" i="1" s="1"/>
  <c r="L136" i="1"/>
  <c r="L186" i="1"/>
  <c r="L92" i="1"/>
  <c r="L57" i="1"/>
  <c r="M8" i="1"/>
  <c r="K213" i="1" l="1"/>
  <c r="L211" i="1" s="1"/>
  <c r="K215" i="1"/>
  <c r="M136" i="1"/>
  <c r="M186" i="1"/>
  <c r="M92" i="1"/>
  <c r="M57" i="1"/>
  <c r="N8" i="1"/>
  <c r="L213" i="1" l="1"/>
  <c r="M211" i="1" s="1"/>
  <c r="L215" i="1"/>
  <c r="N136" i="1"/>
  <c r="N186" i="1"/>
  <c r="N92" i="1"/>
  <c r="N57" i="1"/>
  <c r="O8" i="1"/>
  <c r="M213" i="1" l="1"/>
  <c r="N211" i="1" s="1"/>
  <c r="M215" i="1"/>
  <c r="O136" i="1"/>
  <c r="O186" i="1"/>
  <c r="O92" i="1"/>
  <c r="O57" i="1"/>
  <c r="N213" i="1" l="1"/>
  <c r="O211" i="1" s="1"/>
  <c r="N215" i="1"/>
  <c r="O213" i="1" l="1"/>
  <c r="O2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tc={87379581-145D-4850-A472-6CEEC181F31A}</author>
  </authors>
  <commentList>
    <comment ref="F120" authorId="0" shapeId="0" xr:uid="{87379581-145D-4850-A472-6CEEC181F3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Cash and Cash Equivalent from PY B.S.
Others are being calculated, but should match the CCE of the B.S.
</t>
      </text>
    </comment>
  </commentList>
</comments>
</file>

<file path=xl/sharedStrings.xml><?xml version="1.0" encoding="utf-8"?>
<sst xmlns="http://schemas.openxmlformats.org/spreadsheetml/2006/main" count="543" uniqueCount="253">
  <si>
    <t xml:space="preserve"> </t>
  </si>
  <si>
    <t>Costco Wholesale</t>
  </si>
  <si>
    <t>Assumptions</t>
  </si>
  <si>
    <t>First year of forecast</t>
  </si>
  <si>
    <t>Scenarios</t>
  </si>
  <si>
    <t>Base Case</t>
  </si>
  <si>
    <t>Best Case</t>
  </si>
  <si>
    <t>Worst Case</t>
  </si>
  <si>
    <t>Variable 2</t>
  </si>
  <si>
    <t>Income Statement</t>
  </si>
  <si>
    <t>Income Statement (in millions of USD)</t>
  </si>
  <si>
    <t>Revenue</t>
  </si>
  <si>
    <t>Net Sales</t>
  </si>
  <si>
    <t>Membership fees</t>
  </si>
  <si>
    <t>Total Revenue</t>
  </si>
  <si>
    <t>Operating Expenses</t>
  </si>
  <si>
    <t>Merchandise Costs</t>
  </si>
  <si>
    <t>SG&amp;A</t>
  </si>
  <si>
    <t>Operating Income</t>
  </si>
  <si>
    <t>Other Income (Expenses)</t>
  </si>
  <si>
    <t>Interest Expenses</t>
  </si>
  <si>
    <t>Interest Income</t>
  </si>
  <si>
    <t>Income before Taxes</t>
  </si>
  <si>
    <t>Provision for Income Taxes</t>
  </si>
  <si>
    <t>Net Income</t>
  </si>
  <si>
    <t>Non-controlling interest</t>
  </si>
  <si>
    <t>Net Income Attributable to Costco</t>
  </si>
  <si>
    <t>Weighted-average share count (basic)</t>
  </si>
  <si>
    <t>EPS</t>
  </si>
  <si>
    <t>Basic</t>
  </si>
  <si>
    <t>Diluted</t>
  </si>
  <si>
    <t>Weighted-average share count (diluted)</t>
  </si>
  <si>
    <t>REVENUE</t>
  </si>
  <si>
    <t>Net sales</t>
  </si>
  <si>
    <t>Total revenue</t>
  </si>
  <si>
    <t>OPERATING EXPENSES</t>
  </si>
  <si>
    <t>Merchandise costs</t>
  </si>
  <si>
    <t>Selling, general and administrative</t>
  </si>
  <si>
    <t>Operating income</t>
  </si>
  <si>
    <t>OTHER INCOME (EXPENSE)</t>
  </si>
  <si>
    <t>Interest expense</t>
  </si>
  <si>
    <t>Interest income and other, net</t>
  </si>
  <si>
    <t>INCOME BEFORE INCOME TAXES</t>
  </si>
  <si>
    <t>Provision for income taxes</t>
  </si>
  <si>
    <t>Net income including noncontrolling interests</t>
  </si>
  <si>
    <t>Net income attributable to noncontrolling interests</t>
  </si>
  <si>
    <t>NET INCOME ATTRIBUTABLE TO COSTCO</t>
  </si>
  <si>
    <t>NET INCOME PER COMMON SHARE ATTRIBUTABLE TO COSTCO:</t>
  </si>
  <si>
    <t>Shares used in calculation (000’s)</t>
  </si>
  <si>
    <r>
      <t>—</t>
    </r>
    <r>
      <rPr>
        <sz val="9"/>
        <color rgb="FF000000"/>
        <rFont val="Arial"/>
        <family val="2"/>
      </rPr>
      <t> </t>
    </r>
  </si>
  <si>
    <t>check</t>
  </si>
  <si>
    <t>— </t>
  </si>
  <si>
    <t>(000s)</t>
  </si>
  <si>
    <t>USD</t>
  </si>
  <si>
    <t>Cash Flow Statement</t>
  </si>
  <si>
    <t>Cash Flow Statement (in millions of USD)</t>
  </si>
  <si>
    <t>Depreciation and Amortization</t>
  </si>
  <si>
    <t>Non-cash lease expense</t>
  </si>
  <si>
    <t>Stock-based compensation</t>
  </si>
  <si>
    <t>Other non-cash operating activities</t>
  </si>
  <si>
    <t>Changes in Operating Assets and Liabilities:</t>
  </si>
  <si>
    <t>Merchandise Inventory</t>
  </si>
  <si>
    <t>Accounts Payable</t>
  </si>
  <si>
    <t>Other operating assets and liabilities, net</t>
  </si>
  <si>
    <t>Net Cash Provided by Operating Activities</t>
  </si>
  <si>
    <t>Cash Flow from Investing Activities</t>
  </si>
  <si>
    <t>Cash Flow from Operating Activities</t>
  </si>
  <si>
    <t>Additions to PPE</t>
  </si>
  <si>
    <t>Other Investing activities</t>
  </si>
  <si>
    <t>Net Cash from Investing Activities</t>
  </si>
  <si>
    <t>Cash Flows from Financing Activities</t>
  </si>
  <si>
    <t>Changes in Debt</t>
  </si>
  <si>
    <t>Shares Repurchases</t>
  </si>
  <si>
    <t>Dividends</t>
  </si>
  <si>
    <t>Financing lease payments</t>
  </si>
  <si>
    <t>Other Financing activities</t>
  </si>
  <si>
    <t>Net Cash from Financing Activities</t>
  </si>
  <si>
    <t>Forex Effects</t>
  </si>
  <si>
    <t>Net Change in Cash</t>
  </si>
  <si>
    <t>Cash beginning balance</t>
  </si>
  <si>
    <t>Cash ending balance</t>
  </si>
  <si>
    <t>Cash paid during the year for:</t>
  </si>
  <si>
    <t>Interest</t>
  </si>
  <si>
    <t>Income Taxes</t>
  </si>
  <si>
    <t>CASH FLOWS FROM OPERATING ACTIVITIES</t>
  </si>
  <si>
    <t>Adjustments to reconcile net income including noncontrolling interests to net cash provided by operating activities:</t>
  </si>
  <si>
    <t>Depreciation and amortization</t>
  </si>
  <si>
    <t>Impairment of assets and other non-cash operating activities, net</t>
  </si>
  <si>
    <t>Changes in operating assets and liabilities:</t>
  </si>
  <si>
    <t>Merchandise inventories</t>
  </si>
  <si>
    <t>Accounts payable</t>
  </si>
  <si>
    <t>Net cash provided by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</si>
  <si>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</si>
  <si>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</si>
  <si>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</si>
  <si>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</si>
  <si>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Other investing activities, net</t>
  </si>
  <si>
    <t>Net cash used in investing activities</t>
  </si>
  <si>
    <t>CASH FLOWS FROM FINANCING ACTIVITIES</t>
  </si>
  <si>
    <t>Repayments of short-term borrowings</t>
  </si>
  <si>
    <t>Proceeds from short-term borrowings</t>
  </si>
  <si>
    <t>Repayments of long-term debt</t>
  </si>
  <si>
    <t>Proceeds from issuance of long-term debt</t>
  </si>
  <si>
    <r>
      <t>—</t>
    </r>
    <r>
      <rPr>
        <sz val="8"/>
        <color rgb="FF000000"/>
        <rFont val="Arial"/>
        <family val="2"/>
      </rPr>
      <t> </t>
    </r>
  </si>
  <si>
    <t>Tax withholdings on stock-based awards</t>
  </si>
  <si>
    <t>Repurchases of common stock</t>
  </si>
  <si>
    <t>Cash dividend payments</t>
  </si>
  <si>
    <t>Financing lease payments and other financing activities, net</t>
  </si>
  <si>
    <t>Dividend to noncontrolling interest</t>
  </si>
  <si>
    <t>Acquisition of noncontrolling interest</t>
  </si>
  <si>
    <t>Net cash used in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</si>
  <si>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</si>
  <si>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</si>
  <si>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</si>
  <si>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</si>
  <si>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</si>
  <si>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Income taxes, net</t>
  </si>
  <si>
    <t>SUPPLEMENTAL DISCLOSURE OF NON-CASH ACTIVITIES:</t>
  </si>
  <si>
    <t>Cash dividend declared, but not yet paid</t>
  </si>
  <si>
    <t>Capital expenditures included in liabilities</t>
  </si>
  <si>
    <t>Other non-cash operating activities, net</t>
  </si>
  <si>
    <t>Deferred income taxes</t>
  </si>
  <si>
    <t>Acquisitions</t>
  </si>
  <si>
    <t>Other financing activities, net</t>
  </si>
  <si>
    <t>Check</t>
  </si>
  <si>
    <t>ASSETS</t>
  </si>
  <si>
    <t>CURRENT ASSETS</t>
  </si>
  <si>
    <t>Cash and cash equivalents</t>
  </si>
  <si>
    <t>Short-term investments</t>
  </si>
  <si>
    <t>Receivables, net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</si>
  <si>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</si>
  <si>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</si>
  <si>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</si>
  <si>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</si>
  <si>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</si>
  <si>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</si>
  <si>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</si>
  <si>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LIABILITIES AND EQUITY</t>
  </si>
  <si>
    <t>CURRENT LIABILITIES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</si>
  <si>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</si>
  <si>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</si>
  <si>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</si>
  <si>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</si>
  <si>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</si>
  <si>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</si>
  <si>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</si>
  <si>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</si>
  <si>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</si>
  <si>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</si>
  <si>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</si>
  <si>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COMMITMENTS AND CONTINGENCIES</t>
  </si>
  <si>
    <t>EQUITY</t>
  </si>
  <si>
    <r>
      <t>Preferred stock $</t>
    </r>
    <r>
      <rPr>
        <sz val="9"/>
        <color rgb="FF000000"/>
        <rFont val="Revert-layer"/>
      </rPr>
      <t>0.005</t>
    </r>
    <r>
      <rPr>
        <sz val="9"/>
        <color rgb="FF000000"/>
        <rFont val="Arial"/>
        <family val="2"/>
      </rPr>
      <t> par value; </t>
    </r>
    <r>
      <rPr>
        <sz val="9"/>
        <color rgb="FF000000"/>
        <rFont val="Revert-layer"/>
      </rPr>
      <t>100,000,000</t>
    </r>
    <r>
      <rPr>
        <sz val="9"/>
        <color rgb="FF000000"/>
        <rFont val="Arial"/>
        <family val="2"/>
      </rPr>
      <t> shares authorized; no shares issued and outstanding</t>
    </r>
  </si>
  <si>
    <r>
      <t>—</t>
    </r>
    <r>
      <rPr>
        <sz val="10"/>
        <color rgb="FF000000"/>
        <rFont val="Arial"/>
        <family val="2"/>
      </rPr>
      <t> </t>
    </r>
  </si>
  <si>
    <r>
      <t>Common stock $</t>
    </r>
    <r>
      <rPr>
        <sz val="9"/>
        <color rgb="FF000000"/>
        <rFont val="Revert-layer"/>
      </rPr>
      <t>0.005</t>
    </r>
    <r>
      <rPr>
        <sz val="9"/>
        <color rgb="FF000000"/>
        <rFont val="Arial"/>
        <family val="2"/>
      </rPr>
      <t> par value; </t>
    </r>
    <r>
      <rPr>
        <sz val="9"/>
        <color rgb="FF000000"/>
        <rFont val="Revert-layer"/>
      </rPr>
      <t>900,000,000</t>
    </r>
    <r>
      <rPr>
        <sz val="9"/>
        <color rgb="FF000000"/>
        <rFont val="Arial"/>
        <family val="2"/>
      </rPr>
      <t> shares authorized; </t>
    </r>
    <r>
      <rPr>
        <sz val="9"/>
        <color rgb="FF000000"/>
        <rFont val="Revert-layer"/>
      </rPr>
      <t>443,126,000</t>
    </r>
    <r>
      <rPr>
        <sz val="9"/>
        <color rgb="FF000000"/>
        <rFont val="Arial"/>
        <family val="2"/>
      </rPr>
      <t> and </t>
    </r>
    <r>
      <rPr>
        <sz val="9"/>
        <color rgb="FF000000"/>
        <rFont val="Revert-layer"/>
      </rPr>
      <t>442,793,000</t>
    </r>
    <r>
      <rPr>
        <sz val="9"/>
        <color rgb="FF000000"/>
        <rFont val="Arial"/>
        <family val="2"/>
      </rPr>
      <t> shares issued and outstanding</t>
    </r>
  </si>
  <si>
    <t>Additional paid-in capital</t>
  </si>
  <si>
    <t>Accumulated other comprehensive loss</t>
  </si>
  <si>
    <t>Retained earnings</t>
  </si>
  <si>
    <t>TOTAL EQUITY</t>
  </si>
  <si>
    <t>TOTAL LIABILITIES AND EQUITY</t>
  </si>
  <si>
    <r>
      <t>Common stock $</t>
    </r>
    <r>
      <rPr>
        <sz val="9"/>
        <color rgb="FF000000"/>
        <rFont val="Revert-layer"/>
      </rPr>
      <t>0.005</t>
    </r>
    <r>
      <rPr>
        <sz val="9"/>
        <color rgb="FF000000"/>
        <rFont val="Arial"/>
        <family val="2"/>
      </rPr>
      <t> par value; </t>
    </r>
    <r>
      <rPr>
        <sz val="9"/>
        <color rgb="FF000000"/>
        <rFont val="Revert-layer"/>
      </rPr>
      <t>900,000,000</t>
    </r>
    <r>
      <rPr>
        <sz val="9"/>
        <color rgb="FF000000"/>
        <rFont val="Arial"/>
        <family val="2"/>
      </rPr>
      <t> shares authorized; </t>
    </r>
    <r>
      <rPr>
        <sz val="9"/>
        <color rgb="FF000000"/>
        <rFont val="Revert-layer"/>
      </rPr>
      <t>442,664,000</t>
    </r>
    <r>
      <rPr>
        <sz val="9"/>
        <color rgb="FF000000"/>
        <rFont val="Arial"/>
        <family val="2"/>
      </rPr>
      <t> and </t>
    </r>
    <r>
      <rPr>
        <sz val="9"/>
        <color rgb="FF000000"/>
        <rFont val="Revert-layer"/>
      </rPr>
      <t>441,825,000</t>
    </r>
    <r>
      <rPr>
        <sz val="9"/>
        <color rgb="FF000000"/>
        <rFont val="Arial"/>
        <family val="2"/>
      </rPr>
      <t> shares issued and outstanding</t>
    </r>
  </si>
  <si>
    <t>Total Costco stockholders’ equity</t>
  </si>
  <si>
    <t>Noncontrolling interests</t>
  </si>
  <si>
    <t>Preferred stock $0.01 par value; 100,000,000 shares authorized; no shares issued and outstanding</t>
  </si>
  <si>
    <t>Common stock $0.01 par value; 900,000,000 shares authorized; 441,255,000 and 439,625,000 shares issued and outstanding</t>
  </si>
  <si>
    <t>Total equity</t>
  </si>
  <si>
    <t>—</t>
  </si>
  <si>
    <t>Other</t>
  </si>
  <si>
    <t>Share Rep</t>
  </si>
  <si>
    <t>Div</t>
  </si>
  <si>
    <t>other</t>
  </si>
  <si>
    <t xml:space="preserve">Int </t>
  </si>
  <si>
    <t>Income Tax</t>
  </si>
  <si>
    <t>Balance Sheet</t>
  </si>
  <si>
    <t>Balance Sheet (in millions of USD)</t>
  </si>
  <si>
    <t>Current Assets</t>
  </si>
  <si>
    <t>Cash and Equivalents</t>
  </si>
  <si>
    <t>Short-term Investments</t>
  </si>
  <si>
    <t>Merchandise Inventories</t>
  </si>
  <si>
    <t>Total Current Assets</t>
  </si>
  <si>
    <t>Other Assets</t>
  </si>
  <si>
    <t>PPE</t>
  </si>
  <si>
    <t>Operating lease ROUs</t>
  </si>
  <si>
    <t>Total Assets</t>
  </si>
  <si>
    <t>Current Liabilities</t>
  </si>
  <si>
    <t>Accrued Salaries and Benefits</t>
  </si>
  <si>
    <t>Accrued Member Rewards</t>
  </si>
  <si>
    <t>Deferred Membership fees</t>
  </si>
  <si>
    <t>Revolving Debt</t>
  </si>
  <si>
    <t>Total Current Liabilities</t>
  </si>
  <si>
    <t>Other Liabilities</t>
  </si>
  <si>
    <t>Debt</t>
  </si>
  <si>
    <t>Long-term Operating lease liabilties</t>
  </si>
  <si>
    <t>Total Liabilities</t>
  </si>
  <si>
    <t>Equity</t>
  </si>
  <si>
    <t>Common Stock/PIC</t>
  </si>
  <si>
    <t>AOCI</t>
  </si>
  <si>
    <t>Retained Earnings</t>
  </si>
  <si>
    <t>Total Costco Shareholder Equity</t>
  </si>
  <si>
    <t>Non-controlling interests</t>
  </si>
  <si>
    <t>Total Equity</t>
  </si>
  <si>
    <t>Total Liabilities and Equities</t>
  </si>
  <si>
    <t>Revenue Schedule</t>
  </si>
  <si>
    <t>Membership Revenue</t>
  </si>
  <si>
    <t>Price</t>
  </si>
  <si>
    <t>Gold Star members (notes)</t>
  </si>
  <si>
    <t>Executive members (notes)</t>
  </si>
  <si>
    <t>Gold Star Equivalents (GSEs)</t>
  </si>
  <si>
    <t>Membership Fee Revenue (IS)</t>
  </si>
  <si>
    <t>mm</t>
  </si>
  <si>
    <t>Deferred Revenue (BS)</t>
  </si>
  <si>
    <t>Change in Deferred Revenue</t>
  </si>
  <si>
    <t>Membership fee revenue (cash)</t>
  </si>
  <si>
    <t>Def. Revenue / Member fee Rev (cash)</t>
  </si>
  <si>
    <t>Average of the proportion</t>
  </si>
  <si>
    <t>Average GSEs</t>
  </si>
  <si>
    <t>Implied Fee Rev per GSE</t>
  </si>
  <si>
    <t>(%)</t>
  </si>
  <si>
    <t>Growth rate in GSE fees</t>
  </si>
  <si>
    <t>ROIC</t>
  </si>
  <si>
    <t>EV/EBITDA</t>
  </si>
  <si>
    <t>EV/Revenue</t>
  </si>
  <si>
    <t>ROA</t>
  </si>
  <si>
    <t>ROE</t>
  </si>
  <si>
    <t>ROCE</t>
  </si>
  <si>
    <t>Gross Margin</t>
  </si>
  <si>
    <t>Net Income Margin</t>
  </si>
  <si>
    <t>EBITDA Margin</t>
  </si>
  <si>
    <t>Forex Effect (notes: below membership schedule, not always provided)</t>
  </si>
  <si>
    <t>Average 5-year growth rate in GSE (2024 seems to be an outlier, therefore, exluded it from the calculation) For 2025, please recheck.</t>
  </si>
  <si>
    <t>FY 2025 price increase</t>
  </si>
  <si>
    <t>Forecast: Fee per GSE</t>
  </si>
  <si>
    <t>Quantity</t>
  </si>
  <si>
    <t>units</t>
  </si>
  <si>
    <t>Ending Warehouse count</t>
  </si>
  <si>
    <t>Warehouse count (beg) (notes: Warehouse Properties)</t>
  </si>
  <si>
    <t>Warehouse openings (notes: Highlights for "year")</t>
  </si>
  <si>
    <t>Growth Count in Warehouses per year</t>
  </si>
  <si>
    <t>Warehouse Growth (take average of openings as they are opened throughout the year)</t>
  </si>
  <si>
    <t>Growth in GSEs</t>
  </si>
  <si>
    <t>Comparable GSE growth</t>
  </si>
  <si>
    <t>Days in the period</t>
  </si>
  <si>
    <t>Comparable GSE growth (adjusted)</t>
  </si>
  <si>
    <t>Average Comp. growth rate</t>
  </si>
  <si>
    <t>Total forecast GSE growth rate</t>
  </si>
  <si>
    <t>Days</t>
  </si>
  <si>
    <t>GSE count</t>
  </si>
  <si>
    <t>Q</t>
  </si>
  <si>
    <t>P</t>
  </si>
  <si>
    <t>Membership revenue (cash)</t>
  </si>
  <si>
    <t>Deferred Membership revenue (for BS)</t>
  </si>
  <si>
    <t>Change in Def. revenue</t>
  </si>
  <si>
    <t>Membership revenue (accrual)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</si>
</sst>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&quot;FY &quot;0&quot;E&quot;"/>
    <numFmt numFmtId="165" formatCode="&quot;FY &quot;0"/>
    <numFmt numFmtId="166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rgb="FF212529"/>
      <name val="Unset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Revert-layer"/>
    </font>
    <font>
      <sz val="11"/>
      <color theme="8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rgb="FF000000"/>
      <name val="Revert-layer"/>
    </font>
    <font>
      <sz val="8"/>
      <color rgb="FF000000"/>
      <name val="Arial"/>
      <family val="2"/>
    </font>
    <font>
      <sz val="8"/>
      <color rgb="FF000000"/>
      <name val="Revert-layer"/>
    </font>
    <font>
      <sz val="10"/>
      <color rgb="FF000000"/>
      <name val="Arial"/>
      <family val="2"/>
    </font>
    <font>
      <sz val="10"/>
      <color rgb="FF000000"/>
      <name val="Revert-laye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EE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50505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0" fontId="2" fillId="0" borderId="3" xfId="0" applyFont="1" applyBorder="1"/>
    <xf numFmtId="164" fontId="0" fillId="4" borderId="2" xfId="0" applyNumberFormat="1" applyFill="1" applyBorder="1"/>
    <xf numFmtId="0" fontId="0" fillId="4" borderId="0" xfId="0" applyFill="1"/>
    <xf numFmtId="164" fontId="0" fillId="4" borderId="1" xfId="0" applyNumberFormat="1" applyFill="1" applyBorder="1"/>
    <xf numFmtId="164" fontId="0" fillId="4" borderId="0" xfId="0" applyNumberFormat="1" applyFill="1"/>
    <xf numFmtId="0" fontId="8" fillId="5" borderId="0" xfId="0" applyFont="1" applyFill="1" applyAlignment="1">
      <alignment horizontal="right" wrapText="1"/>
    </xf>
    <xf numFmtId="3" fontId="0" fillId="0" borderId="0" xfId="0" applyNumberFormat="1"/>
    <xf numFmtId="0" fontId="8" fillId="6" borderId="6" xfId="0" applyFont="1" applyFill="1" applyBorder="1" applyAlignment="1">
      <alignment wrapText="1"/>
    </xf>
    <xf numFmtId="3" fontId="8" fillId="6" borderId="0" xfId="0" applyNumberFormat="1" applyFont="1" applyFill="1" applyAlignment="1">
      <alignment wrapText="1"/>
    </xf>
    <xf numFmtId="43" fontId="0" fillId="0" borderId="0" xfId="1" applyFont="1"/>
    <xf numFmtId="0" fontId="5" fillId="6" borderId="0" xfId="0" applyFont="1" applyFill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3" fontId="8" fillId="5" borderId="0" xfId="0" applyNumberFormat="1" applyFont="1" applyFill="1" applyAlignment="1">
      <alignment horizontal="right" wrapText="1"/>
    </xf>
    <xf numFmtId="3" fontId="8" fillId="6" borderId="6" xfId="0" applyNumberFormat="1" applyFont="1" applyFill="1" applyBorder="1" applyAlignment="1">
      <alignment wrapText="1"/>
    </xf>
    <xf numFmtId="3" fontId="8" fillId="5" borderId="4" xfId="0" applyNumberFormat="1" applyFont="1" applyFill="1" applyBorder="1" applyAlignment="1">
      <alignment wrapText="1"/>
    </xf>
    <xf numFmtId="3" fontId="8" fillId="5" borderId="0" xfId="0" applyNumberFormat="1" applyFont="1" applyFill="1" applyAlignment="1">
      <alignment wrapText="1"/>
    </xf>
    <xf numFmtId="3" fontId="8" fillId="5" borderId="4" xfId="0" applyNumberFormat="1" applyFont="1" applyFill="1" applyBorder="1" applyAlignment="1">
      <alignment horizontal="right" wrapText="1"/>
    </xf>
    <xf numFmtId="166" fontId="0" fillId="0" borderId="0" xfId="1" applyNumberFormat="1" applyFont="1"/>
    <xf numFmtId="166" fontId="0" fillId="4" borderId="0" xfId="1" applyNumberFormat="1" applyFont="1" applyFill="1"/>
    <xf numFmtId="166" fontId="0" fillId="0" borderId="3" xfId="1" applyNumberFormat="1" applyFont="1" applyBorder="1"/>
    <xf numFmtId="166" fontId="0" fillId="4" borderId="3" xfId="1" applyNumberFormat="1" applyFont="1" applyFill="1" applyBorder="1"/>
    <xf numFmtId="166" fontId="9" fillId="0" borderId="0" xfId="1" applyNumberFormat="1" applyFont="1"/>
    <xf numFmtId="0" fontId="0" fillId="0" borderId="7" xfId="0" applyBorder="1"/>
    <xf numFmtId="0" fontId="5" fillId="5" borderId="0" xfId="0" applyFont="1" applyFill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13" fillId="5" borderId="0" xfId="0" applyFont="1" applyFill="1" applyAlignment="1">
      <alignment horizontal="right" wrapText="1"/>
    </xf>
    <xf numFmtId="0" fontId="13" fillId="6" borderId="0" xfId="0" applyFont="1" applyFill="1" applyAlignment="1">
      <alignment horizontal="right" wrapText="1"/>
    </xf>
    <xf numFmtId="0" fontId="13" fillId="6" borderId="6" xfId="0" applyFont="1" applyFill="1" applyBorder="1" applyAlignment="1">
      <alignment wrapText="1"/>
    </xf>
    <xf numFmtId="3" fontId="12" fillId="5" borderId="0" xfId="0" applyNumberFormat="1" applyFont="1" applyFill="1" applyAlignment="1">
      <alignment wrapText="1"/>
    </xf>
    <xf numFmtId="0" fontId="13" fillId="5" borderId="0" xfId="0" applyFont="1" applyFill="1" applyAlignment="1">
      <alignment wrapText="1"/>
    </xf>
    <xf numFmtId="3" fontId="12" fillId="5" borderId="8" xfId="0" applyNumberFormat="1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3" fillId="6" borderId="0" xfId="0" applyFont="1" applyFill="1" applyAlignment="1">
      <alignment wrapText="1"/>
    </xf>
    <xf numFmtId="3" fontId="12" fillId="6" borderId="0" xfId="0" applyNumberFormat="1" applyFont="1" applyFill="1" applyAlignment="1">
      <alignment wrapText="1"/>
    </xf>
    <xf numFmtId="3" fontId="13" fillId="5" borderId="0" xfId="0" applyNumberFormat="1" applyFont="1" applyFill="1" applyAlignment="1">
      <alignment horizontal="right" wrapText="1"/>
    </xf>
    <xf numFmtId="3" fontId="13" fillId="5" borderId="0" xfId="0" applyNumberFormat="1" applyFont="1" applyFill="1" applyAlignment="1">
      <alignment wrapText="1"/>
    </xf>
    <xf numFmtId="3" fontId="13" fillId="5" borderId="8" xfId="0" applyNumberFormat="1" applyFont="1" applyFill="1" applyBorder="1" applyAlignment="1">
      <alignment wrapText="1"/>
    </xf>
    <xf numFmtId="3" fontId="13" fillId="6" borderId="0" xfId="0" applyNumberFormat="1" applyFont="1" applyFill="1" applyAlignment="1">
      <alignment wrapText="1"/>
    </xf>
    <xf numFmtId="3" fontId="13" fillId="6" borderId="6" xfId="0" applyNumberFormat="1" applyFont="1" applyFill="1" applyBorder="1" applyAlignment="1">
      <alignment wrapText="1"/>
    </xf>
    <xf numFmtId="3" fontId="13" fillId="5" borderId="4" xfId="0" applyNumberFormat="1" applyFont="1" applyFill="1" applyBorder="1" applyAlignment="1">
      <alignment horizontal="right" wrapText="1"/>
    </xf>
    <xf numFmtId="3" fontId="13" fillId="6" borderId="0" xfId="0" applyNumberFormat="1" applyFont="1" applyFill="1" applyAlignment="1">
      <alignment horizontal="right" wrapText="1"/>
    </xf>
    <xf numFmtId="0" fontId="5" fillId="5" borderId="6" xfId="0" applyFont="1" applyFill="1" applyBorder="1" applyAlignment="1">
      <alignment vertical="center" wrapText="1"/>
    </xf>
    <xf numFmtId="3" fontId="12" fillId="5" borderId="4" xfId="0" applyNumberFormat="1" applyFont="1" applyFill="1" applyBorder="1" applyAlignment="1">
      <alignment wrapText="1"/>
    </xf>
    <xf numFmtId="0" fontId="12" fillId="6" borderId="8" xfId="0" applyFont="1" applyFill="1" applyBorder="1" applyAlignment="1">
      <alignment wrapText="1"/>
    </xf>
    <xf numFmtId="0" fontId="13" fillId="6" borderId="8" xfId="0" applyFont="1" applyFill="1" applyBorder="1" applyAlignment="1">
      <alignment wrapText="1"/>
    </xf>
    <xf numFmtId="0" fontId="13" fillId="5" borderId="6" xfId="0" applyFont="1" applyFill="1" applyBorder="1" applyAlignment="1">
      <alignment wrapText="1"/>
    </xf>
    <xf numFmtId="3" fontId="13" fillId="6" borderId="8" xfId="0" applyNumberFormat="1" applyFont="1" applyFill="1" applyBorder="1" applyAlignment="1">
      <alignment wrapText="1"/>
    </xf>
    <xf numFmtId="3" fontId="13" fillId="5" borderId="6" xfId="0" applyNumberFormat="1" applyFont="1" applyFill="1" applyBorder="1" applyAlignment="1">
      <alignment wrapText="1"/>
    </xf>
    <xf numFmtId="3" fontId="13" fillId="5" borderId="4" xfId="0" applyNumberFormat="1" applyFont="1" applyFill="1" applyBorder="1" applyAlignment="1">
      <alignment wrapText="1"/>
    </xf>
    <xf numFmtId="0" fontId="13" fillId="7" borderId="0" xfId="0" applyFont="1" applyFill="1" applyAlignment="1">
      <alignment wrapText="1"/>
    </xf>
    <xf numFmtId="3" fontId="12" fillId="7" borderId="0" xfId="0" applyNumberFormat="1" applyFont="1" applyFill="1" applyAlignment="1">
      <alignment wrapText="1"/>
    </xf>
    <xf numFmtId="0" fontId="12" fillId="7" borderId="0" xfId="0" applyFont="1" applyFill="1" applyAlignment="1">
      <alignment wrapText="1"/>
    </xf>
    <xf numFmtId="0" fontId="12" fillId="7" borderId="6" xfId="0" applyFont="1" applyFill="1" applyBorder="1" applyAlignment="1">
      <alignment wrapText="1"/>
    </xf>
    <xf numFmtId="0" fontId="13" fillId="7" borderId="6" xfId="0" applyFont="1" applyFill="1" applyBorder="1" applyAlignment="1">
      <alignment wrapText="1"/>
    </xf>
    <xf numFmtId="3" fontId="12" fillId="5" borderId="9" xfId="0" applyNumberFormat="1" applyFont="1" applyFill="1" applyBorder="1" applyAlignment="1">
      <alignment wrapText="1"/>
    </xf>
    <xf numFmtId="0" fontId="13" fillId="7" borderId="0" xfId="0" applyFont="1" applyFill="1" applyAlignment="1">
      <alignment horizontal="right" wrapText="1"/>
    </xf>
    <xf numFmtId="0" fontId="5" fillId="6" borderId="4" xfId="0" applyFont="1" applyFill="1" applyBorder="1" applyAlignment="1">
      <alignment vertical="center"/>
    </xf>
    <xf numFmtId="0" fontId="5" fillId="6" borderId="4" xfId="0" applyFont="1" applyFill="1" applyBorder="1"/>
    <xf numFmtId="0" fontId="5" fillId="5" borderId="0" xfId="0" applyFont="1" applyFill="1" applyAlignment="1">
      <alignment vertical="center"/>
    </xf>
    <xf numFmtId="0" fontId="5" fillId="5" borderId="0" xfId="0" applyFont="1" applyFill="1"/>
    <xf numFmtId="3" fontId="15" fillId="6" borderId="0" xfId="0" applyNumberFormat="1" applyFont="1" applyFill="1" applyAlignment="1">
      <alignment horizontal="right"/>
    </xf>
    <xf numFmtId="3" fontId="15" fillId="5" borderId="0" xfId="0" applyNumberFormat="1" applyFont="1" applyFill="1"/>
    <xf numFmtId="0" fontId="15" fillId="5" borderId="0" xfId="0" applyFont="1" applyFill="1"/>
    <xf numFmtId="3" fontId="15" fillId="6" borderId="0" xfId="0" applyNumberFormat="1" applyFont="1" applyFill="1"/>
    <xf numFmtId="3" fontId="15" fillId="6" borderId="6" xfId="0" applyNumberFormat="1" applyFont="1" applyFill="1" applyBorder="1"/>
    <xf numFmtId="3" fontId="15" fillId="5" borderId="4" xfId="0" applyNumberFormat="1" applyFont="1" applyFill="1" applyBorder="1"/>
    <xf numFmtId="0" fontId="5" fillId="6" borderId="0" xfId="0" applyFont="1" applyFill="1" applyAlignment="1">
      <alignment vertical="center"/>
    </xf>
    <xf numFmtId="0" fontId="5" fillId="6" borderId="0" xfId="0" applyFont="1" applyFill="1"/>
    <xf numFmtId="0" fontId="15" fillId="6" borderId="0" xfId="0" applyFont="1" applyFill="1"/>
    <xf numFmtId="3" fontId="15" fillId="5" borderId="6" xfId="0" applyNumberFormat="1" applyFont="1" applyFill="1" applyBorder="1"/>
    <xf numFmtId="3" fontId="15" fillId="6" borderId="4" xfId="0" applyNumberFormat="1" applyFont="1" applyFill="1" applyBorder="1" applyAlignment="1">
      <alignment horizontal="right"/>
    </xf>
    <xf numFmtId="0" fontId="5" fillId="5" borderId="5" xfId="0" applyFont="1" applyFill="1" applyBorder="1" applyAlignment="1">
      <alignment vertical="center"/>
    </xf>
    <xf numFmtId="0" fontId="5" fillId="5" borderId="5" xfId="0" applyFont="1" applyFill="1" applyBorder="1"/>
    <xf numFmtId="3" fontId="15" fillId="5" borderId="0" xfId="0" applyNumberFormat="1" applyFont="1" applyFill="1" applyAlignment="1">
      <alignment horizontal="right"/>
    </xf>
    <xf numFmtId="3" fontId="15" fillId="6" borderId="8" xfId="0" applyNumberFormat="1" applyFont="1" applyFill="1" applyBorder="1"/>
    <xf numFmtId="0" fontId="5" fillId="5" borderId="4" xfId="0" applyFont="1" applyFill="1" applyBorder="1" applyAlignment="1">
      <alignment vertical="center"/>
    </xf>
    <xf numFmtId="0" fontId="5" fillId="5" borderId="4" xfId="0" applyFont="1" applyFill="1" applyBorder="1"/>
    <xf numFmtId="3" fontId="14" fillId="6" borderId="0" xfId="0" applyNumberFormat="1" applyFont="1" applyFill="1"/>
    <xf numFmtId="0" fontId="0" fillId="7" borderId="0" xfId="0" applyFill="1"/>
    <xf numFmtId="3" fontId="15" fillId="6" borderId="4" xfId="0" applyNumberFormat="1" applyFont="1" applyFill="1" applyBorder="1"/>
    <xf numFmtId="0" fontId="15" fillId="5" borderId="6" xfId="0" applyFont="1" applyFill="1" applyBorder="1"/>
    <xf numFmtId="3" fontId="15" fillId="5" borderId="10" xfId="0" applyNumberFormat="1" applyFont="1" applyFill="1" applyBorder="1" applyAlignment="1">
      <alignment horizontal="right"/>
    </xf>
    <xf numFmtId="0" fontId="2" fillId="0" borderId="11" xfId="0" applyFont="1" applyBorder="1"/>
    <xf numFmtId="0" fontId="0" fillId="0" borderId="11" xfId="0" applyBorder="1"/>
    <xf numFmtId="166" fontId="0" fillId="0" borderId="11" xfId="1" applyNumberFormat="1" applyFont="1" applyBorder="1"/>
    <xf numFmtId="0" fontId="12" fillId="8" borderId="0" xfId="0" applyFont="1" applyFill="1" applyAlignment="1">
      <alignment wrapText="1"/>
    </xf>
    <xf numFmtId="3" fontId="12" fillId="8" borderId="0" xfId="0" applyNumberFormat="1" applyFont="1" applyFill="1" applyAlignment="1">
      <alignment wrapText="1"/>
    </xf>
    <xf numFmtId="166" fontId="0" fillId="0" borderId="7" xfId="1" applyNumberFormat="1" applyFont="1" applyBorder="1"/>
    <xf numFmtId="166" fontId="0" fillId="4" borderId="7" xfId="1" applyNumberFormat="1" applyFont="1" applyFill="1" applyBorder="1"/>
    <xf numFmtId="0" fontId="2" fillId="0" borderId="7" xfId="0" applyFont="1" applyBorder="1"/>
    <xf numFmtId="166" fontId="0" fillId="4" borderId="11" xfId="1" applyNumberFormat="1" applyFont="1" applyFill="1" applyBorder="1"/>
    <xf numFmtId="166" fontId="0" fillId="0" borderId="0" xfId="0" applyNumberFormat="1"/>
    <xf numFmtId="0" fontId="0" fillId="4" borderId="3" xfId="0" applyFill="1" applyBorder="1"/>
    <xf numFmtId="3" fontId="0" fillId="0" borderId="3" xfId="0" applyNumberFormat="1" applyBorder="1"/>
    <xf numFmtId="166" fontId="0" fillId="0" borderId="3" xfId="0" applyNumberFormat="1" applyBorder="1"/>
    <xf numFmtId="10" fontId="0" fillId="0" borderId="0" xfId="2" applyNumberFormat="1" applyFont="1"/>
    <xf numFmtId="10" fontId="0" fillId="0" borderId="0" xfId="0" applyNumberFormat="1"/>
    <xf numFmtId="2" fontId="0" fillId="0" borderId="3" xfId="0" applyNumberFormat="1" applyBorder="1"/>
    <xf numFmtId="43" fontId="0" fillId="0" borderId="0" xfId="0" applyNumberFormat="1"/>
    <xf numFmtId="10" fontId="0" fillId="0" borderId="0" xfId="2" applyNumberFormat="1" applyFont="1" applyBorder="1"/>
    <xf numFmtId="0" fontId="0" fillId="4" borderId="2" xfId="0" applyFill="1" applyBorder="1"/>
    <xf numFmtId="10" fontId="0" fillId="4" borderId="0" xfId="2" applyNumberFormat="1" applyFont="1" applyFill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5" borderId="0" xfId="0" applyFont="1" applyFill="1" applyAlignment="1">
      <alignment horizontal="left" wrapText="1" indent="4"/>
    </xf>
    <xf numFmtId="0" fontId="7" fillId="6" borderId="0" xfId="0" applyFont="1" applyFill="1" applyAlignment="1">
      <alignment horizontal="left" wrapText="1" indent="4"/>
    </xf>
    <xf numFmtId="0" fontId="7" fillId="5" borderId="0" xfId="0" applyFont="1" applyFill="1" applyAlignment="1">
      <alignment horizontal="left" wrapText="1" indent="2"/>
    </xf>
    <xf numFmtId="0" fontId="7" fillId="6" borderId="0" xfId="0" applyFont="1" applyFill="1" applyAlignment="1">
      <alignment horizontal="left" wrapText="1" indent="2"/>
    </xf>
    <xf numFmtId="0" fontId="6" fillId="6" borderId="0" xfId="0" applyFont="1" applyFill="1" applyAlignment="1">
      <alignment horizontal="left" vertical="center" wrapText="1" indent="1"/>
    </xf>
    <xf numFmtId="0" fontId="7" fillId="6" borderId="0" xfId="0" applyFont="1" applyFill="1" applyAlignment="1">
      <alignment horizontal="left" vertical="center" wrapText="1" indent="3"/>
    </xf>
    <xf numFmtId="0" fontId="6" fillId="5" borderId="0" xfId="0" applyFont="1" applyFill="1" applyAlignment="1">
      <alignment horizontal="left" wrapText="1"/>
    </xf>
    <xf numFmtId="0" fontId="6" fillId="6" borderId="0" xfId="0" applyFont="1" applyFill="1" applyAlignment="1">
      <alignment horizontal="left" wrapText="1"/>
    </xf>
    <xf numFmtId="0" fontId="7" fillId="5" borderId="0" xfId="0" applyFont="1" applyFill="1" applyAlignment="1">
      <alignment horizontal="left" wrapText="1" indent="3"/>
    </xf>
    <xf numFmtId="0" fontId="12" fillId="6" borderId="0" xfId="0" applyFont="1" applyFill="1" applyAlignment="1">
      <alignment horizontal="left" wrapText="1" indent="2"/>
    </xf>
    <xf numFmtId="0" fontId="10" fillId="5" borderId="0" xfId="0" applyFont="1" applyFill="1" applyAlignment="1">
      <alignment horizontal="left" wrapText="1"/>
    </xf>
    <xf numFmtId="0" fontId="12" fillId="6" borderId="0" xfId="0" applyFont="1" applyFill="1" applyAlignment="1">
      <alignment horizontal="left" wrapText="1" indent="1"/>
    </xf>
    <xf numFmtId="0" fontId="10" fillId="6" borderId="0" xfId="0" applyFont="1" applyFill="1" applyAlignment="1">
      <alignment horizontal="left" wrapText="1"/>
    </xf>
    <xf numFmtId="0" fontId="12" fillId="5" borderId="0" xfId="0" applyFont="1" applyFill="1" applyAlignment="1">
      <alignment horizontal="left" vertical="center" wrapText="1" indent="3"/>
    </xf>
    <xf numFmtId="0" fontId="12" fillId="5" borderId="0" xfId="0" applyFont="1" applyFill="1" applyAlignment="1">
      <alignment horizontal="left" wrapText="1" indent="1"/>
    </xf>
    <xf numFmtId="0" fontId="12" fillId="7" borderId="0" xfId="0" applyFont="1" applyFill="1" applyAlignment="1">
      <alignment horizontal="left" wrapText="1" indent="1"/>
    </xf>
    <xf numFmtId="0" fontId="12" fillId="5" borderId="0" xfId="0" applyFont="1" applyFill="1" applyAlignment="1">
      <alignment horizontal="left" wrapText="1" indent="2"/>
    </xf>
    <xf numFmtId="0" fontId="10" fillId="6" borderId="0" xfId="0" applyFont="1" applyFill="1" applyAlignment="1">
      <alignment horizontal="left" vertical="center" wrapText="1" indent="1"/>
    </xf>
    <xf numFmtId="0" fontId="12" fillId="6" borderId="0" xfId="0" applyFont="1" applyFill="1" applyAlignment="1">
      <alignment horizontal="left" vertical="center" wrapText="1" indent="2"/>
    </xf>
    <xf numFmtId="0" fontId="11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 indent="2"/>
    </xf>
    <xf numFmtId="0" fontId="6" fillId="6" borderId="11" xfId="0" applyFont="1" applyFill="1" applyBorder="1" applyAlignment="1">
      <alignment horizontal="left"/>
    </xf>
    <xf numFmtId="0" fontId="6" fillId="5" borderId="11" xfId="0" applyFont="1" applyFill="1" applyBorder="1" applyAlignment="1">
      <alignment horizontal="left"/>
    </xf>
    <xf numFmtId="0" fontId="7" fillId="6" borderId="11" xfId="0" applyFont="1" applyFill="1" applyBorder="1" applyAlignment="1">
      <alignment horizontal="left" vertical="center"/>
    </xf>
    <xf numFmtId="0" fontId="7" fillId="5" borderId="11" xfId="0" applyFont="1" applyFill="1" applyBorder="1" applyAlignment="1">
      <alignment horizontal="left"/>
    </xf>
    <xf numFmtId="0" fontId="7" fillId="6" borderId="11" xfId="0" applyFont="1" applyFill="1" applyBorder="1" applyAlignment="1">
      <alignment horizontal="left"/>
    </xf>
    <xf numFmtId="0" fontId="7" fillId="5" borderId="11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7" fillId="6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10" fontId="0" fillId="0" borderId="3" xfId="2" applyNumberFormat="1" applyFont="1" applyBorder="1"/>
    <xf numFmtId="14" fontId="0" fillId="0" borderId="0" xfId="0" applyNumberFormat="1"/>
    <xf numFmtId="10" fontId="0" fillId="4" borderId="0" xfId="0" applyNumberFormat="1" applyFill="1"/>
    <xf numFmtId="10" fontId="0" fillId="4" borderId="3" xfId="2" applyNumberFormat="1" applyFont="1" applyFill="1" applyBorder="1"/>
    <xf numFmtId="2" fontId="0" fillId="4" borderId="0" xfId="0" applyNumberFormat="1" applyFill="1"/>
    <xf numFmtId="2" fontId="16" fillId="4" borderId="0" xfId="0" applyNumberFormat="1" applyFont="1" applyFill="1"/>
    <xf numFmtId="43" fontId="0" fillId="4" borderId="3" xfId="0" applyNumberFormat="1" applyFill="1" applyBorder="1"/>
    <xf numFmtId="43" fontId="0" fillId="4" borderId="0" xfId="0" applyNumberFormat="1" applyFill="1"/>
    <xf numFmtId="43" fontId="0" fillId="4" borderId="7" xfId="0" applyNumberFormat="1" applyFill="1" applyBorder="1"/>
    <xf numFmtId="3" fontId="9" fillId="0" borderId="0" xfId="0" applyNumberFormat="1" applyFont="1"/>
    <xf numFmtId="0" fontId="9" fillId="0" borderId="0" xfId="0" applyFont="1"/>
    <xf numFmtId="10" fontId="9" fillId="0" borderId="0" xfId="0" applyNumberFormat="1" applyFont="1"/>
    <xf numFmtId="0" fontId="9" fillId="0" borderId="3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B0D5754A-1577-41A6-B110-E1F8164B0C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trlProps/ctrlProp1.xml><?xml version="1.0" encoding="utf-8"?>
<formControlPr xmlns="http://schemas.microsoft.com/office/spreadsheetml/2009/9/main" objectType="Drop" dropLines="3" dropStyle="combo" dx="31" fmlaLink="$D$10" fmlaRange="$B$14:$B$16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</xdr:colOff>
          <xdr:row>8</xdr:row>
          <xdr:rowOff>177800</xdr:rowOff>
        </xdr:from>
        <xdr:to>
          <xdr:col>4</xdr:col>
          <xdr:colOff>298450</xdr:colOff>
          <xdr:row>10</xdr:row>
          <xdr:rowOff>12700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shav Aggarwal" id="{43DD08BC-4567-44A5-ADCC-A9C6F634F65D}" userId="fb7d91c61a0f33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0" dT="2025-07-13T19:39:44.27" personId="{43DD08BC-4567-44A5-ADCC-A9C6F634F65D}" id="{87379581-145D-4850-A472-6CEEC181F31A}">
    <text xml:space="preserve">Cash and Cash Equivalent from PY B.S.
Others are being calculated, but should match the CCE of the B.S.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32"/>
  <sheetViews>
    <sheetView tabSelected="1" topLeftCell="A193" workbookViewId="0">
      <selection activeCell="C216" sqref="C216"/>
    </sheetView>
  </sheetViews>
  <sheetFormatPr defaultRowHeight="14.5" outlineLevelRow="1"/>
  <cols>
    <col min="1" max="1" width="4.453125" customWidth="1"/>
    <col min="2" max="2" width="4.7265625" customWidth="1"/>
    <col min="3" max="3" width="30.54296875" customWidth="1"/>
    <col min="5" max="15" width="13.1796875" customWidth="1"/>
  </cols>
  <sheetData>
    <row r="2" spans="1:15" ht="21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</row>
    <row r="3" spans="1:15">
      <c r="A3" s="115" t="s">
        <v>2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</row>
    <row r="5" spans="1:15">
      <c r="E5" s="158">
        <v>43709</v>
      </c>
      <c r="F5" s="158">
        <v>44073</v>
      </c>
      <c r="G5" s="158">
        <v>44437</v>
      </c>
      <c r="H5" s="158">
        <v>44801</v>
      </c>
      <c r="I5" s="158">
        <v>45172</v>
      </c>
      <c r="J5" s="158">
        <v>45536</v>
      </c>
      <c r="K5" s="158">
        <v>45900</v>
      </c>
      <c r="L5" s="158">
        <v>46264</v>
      </c>
      <c r="M5" s="158">
        <v>46628</v>
      </c>
      <c r="N5" s="158">
        <v>46999</v>
      </c>
      <c r="O5" s="158">
        <v>47363</v>
      </c>
    </row>
    <row r="6" spans="1:15">
      <c r="F6">
        <f>F5-E5</f>
        <v>364</v>
      </c>
      <c r="G6">
        <f>G5-F5</f>
        <v>364</v>
      </c>
      <c r="H6">
        <f>H5-G5</f>
        <v>364</v>
      </c>
      <c r="I6">
        <f>I5-H5</f>
        <v>371</v>
      </c>
      <c r="J6">
        <f>J5-I5</f>
        <v>364</v>
      </c>
      <c r="K6">
        <f>K5-J5</f>
        <v>364</v>
      </c>
      <c r="L6">
        <f>L5-K5</f>
        <v>364</v>
      </c>
      <c r="M6">
        <f>M5-L5</f>
        <v>364</v>
      </c>
      <c r="N6">
        <f>N5-M5</f>
        <v>371</v>
      </c>
      <c r="O6">
        <f>O5-N5</f>
        <v>364</v>
      </c>
    </row>
    <row r="8" spans="1:15">
      <c r="B8" t="s">
        <v>3</v>
      </c>
      <c r="D8">
        <v>2025</v>
      </c>
      <c r="K8" s="9">
        <f>$D$8</f>
        <v>2025</v>
      </c>
      <c r="L8" s="9">
        <f>K8+1</f>
        <v>2026</v>
      </c>
      <c r="M8" s="9">
        <f>L8+1</f>
        <v>2027</v>
      </c>
      <c r="N8" s="9">
        <f>M8+1</f>
        <v>2028</v>
      </c>
      <c r="O8" s="9">
        <f>N8+1</f>
        <v>2029</v>
      </c>
    </row>
    <row r="9" spans="1:15">
      <c r="K9" s="8"/>
      <c r="L9" s="8"/>
      <c r="M9" s="8"/>
      <c r="N9" s="8"/>
      <c r="O9" s="8"/>
    </row>
    <row r="10" spans="1:15">
      <c r="B10" t="s">
        <v>4</v>
      </c>
      <c r="D10">
        <v>3</v>
      </c>
      <c r="K10" s="8"/>
      <c r="L10" s="8"/>
      <c r="M10" s="8"/>
      <c r="N10" s="8"/>
      <c r="O10" s="8"/>
    </row>
    <row r="11" spans="1:15">
      <c r="K11" s="8"/>
      <c r="L11" s="10"/>
      <c r="M11" s="8"/>
      <c r="N11" s="8"/>
      <c r="O11" s="8"/>
    </row>
    <row r="12" spans="1:15" outlineLevel="1">
      <c r="B12" t="s">
        <v>237</v>
      </c>
      <c r="K12" s="8">
        <f>CHOOSE($D$10,K14,K15,K16)</f>
        <v>22</v>
      </c>
      <c r="L12" s="8">
        <f>CHOOSE($D$10,L14,L15,L16)</f>
        <v>22</v>
      </c>
      <c r="M12" s="8">
        <f>CHOOSE($D$10,M14,M15,M16)</f>
        <v>22</v>
      </c>
      <c r="N12" s="8">
        <f>CHOOSE($D$10,N14,N15,N16)</f>
        <v>22</v>
      </c>
      <c r="O12" s="8">
        <f>CHOOSE($D$10,O14,O15,O16)</f>
        <v>22</v>
      </c>
    </row>
    <row r="13" spans="1:15" outlineLevel="1">
      <c r="K13" s="8"/>
      <c r="L13" s="8"/>
      <c r="M13" s="8"/>
      <c r="N13" s="8"/>
      <c r="O13" s="8"/>
    </row>
    <row r="14" spans="1:15" outlineLevel="1">
      <c r="B14" t="s">
        <v>5</v>
      </c>
      <c r="K14" s="8">
        <v>27</v>
      </c>
      <c r="L14" s="8">
        <v>27</v>
      </c>
      <c r="M14" s="8">
        <v>27</v>
      </c>
      <c r="N14" s="8">
        <v>27</v>
      </c>
      <c r="O14" s="8">
        <v>27</v>
      </c>
    </row>
    <row r="15" spans="1:15" outlineLevel="1">
      <c r="B15" t="s">
        <v>6</v>
      </c>
      <c r="K15" s="8">
        <v>30</v>
      </c>
      <c r="L15" s="8">
        <v>30</v>
      </c>
      <c r="M15" s="8">
        <v>30</v>
      </c>
      <c r="N15" s="8">
        <v>30</v>
      </c>
      <c r="O15" s="8">
        <v>30</v>
      </c>
    </row>
    <row r="16" spans="1:15" outlineLevel="1">
      <c r="B16" t="s">
        <v>7</v>
      </c>
      <c r="K16" s="8">
        <v>22</v>
      </c>
      <c r="L16" s="8">
        <v>22</v>
      </c>
      <c r="M16" s="8">
        <v>22</v>
      </c>
      <c r="N16" s="8">
        <v>22</v>
      </c>
      <c r="O16" s="8">
        <v>22</v>
      </c>
    </row>
    <row r="17" spans="2:15" outlineLevel="1">
      <c r="K17" s="8"/>
      <c r="L17" s="8"/>
      <c r="M17" s="8"/>
      <c r="N17" s="8"/>
      <c r="O17" s="8"/>
    </row>
    <row r="18" spans="2:15" outlineLevel="1">
      <c r="B18" t="s">
        <v>8</v>
      </c>
      <c r="K18" s="8">
        <f>CHOOSE($D$10,K20,K21,K22)</f>
        <v>23</v>
      </c>
      <c r="L18" s="8">
        <f>CHOOSE($D$10,L20,L21,L22)</f>
        <v>26</v>
      </c>
      <c r="M18" s="8">
        <f>CHOOSE($D$10,M20,M21,M22)</f>
        <v>29</v>
      </c>
      <c r="N18" s="8">
        <f>CHOOSE($D$10,N20,N21,N22)</f>
        <v>32</v>
      </c>
      <c r="O18" s="8">
        <f>CHOOSE($D$10,O20,O21,O22)</f>
        <v>35</v>
      </c>
    </row>
    <row r="19" spans="2:15" outlineLevel="1">
      <c r="K19" s="8"/>
      <c r="L19" s="8"/>
      <c r="M19" s="8"/>
      <c r="N19" s="8"/>
      <c r="O19" s="8"/>
    </row>
    <row r="20" spans="2:15" outlineLevel="1">
      <c r="B20" t="s">
        <v>5</v>
      </c>
      <c r="K20" s="8">
        <v>21</v>
      </c>
      <c r="L20" s="8">
        <v>24</v>
      </c>
      <c r="M20" s="8">
        <v>27</v>
      </c>
      <c r="N20" s="8">
        <v>30</v>
      </c>
      <c r="O20" s="8">
        <v>33</v>
      </c>
    </row>
    <row r="21" spans="2:15" outlineLevel="1">
      <c r="B21" t="s">
        <v>6</v>
      </c>
      <c r="K21" s="8">
        <v>22</v>
      </c>
      <c r="L21" s="8">
        <v>25</v>
      </c>
      <c r="M21" s="8">
        <v>28</v>
      </c>
      <c r="N21" s="8">
        <v>31</v>
      </c>
      <c r="O21" s="8">
        <v>34</v>
      </c>
    </row>
    <row r="22" spans="2:15" outlineLevel="1">
      <c r="B22" t="s">
        <v>7</v>
      </c>
      <c r="K22" s="8">
        <v>23</v>
      </c>
      <c r="L22" s="8">
        <v>26</v>
      </c>
      <c r="M22" s="8">
        <v>29</v>
      </c>
      <c r="N22" s="8">
        <v>32</v>
      </c>
      <c r="O22" s="8">
        <v>35</v>
      </c>
    </row>
    <row r="23" spans="2:15" outlineLevel="1"/>
    <row r="24" spans="2:15" outlineLevel="1"/>
    <row r="25" spans="2:15" outlineLevel="1"/>
    <row r="26" spans="2:15" outlineLevel="1"/>
    <row r="27" spans="2:15" outlineLevel="1"/>
    <row r="28" spans="2:15" outlineLevel="1"/>
    <row r="29" spans="2:15" outlineLevel="1"/>
    <row r="30" spans="2:15" outlineLevel="1"/>
    <row r="31" spans="2:15" outlineLevel="1"/>
    <row r="32" spans="2:15" outlineLevel="1"/>
    <row r="33" outlineLevel="1"/>
    <row r="34" outlineLevel="1"/>
    <row r="35" outlineLevel="1"/>
    <row r="36" outlineLevel="1"/>
    <row r="37" outlineLevel="1"/>
    <row r="38" outlineLevel="1"/>
    <row r="39" outlineLevel="1"/>
    <row r="40" outlineLevel="1"/>
    <row r="41" outlineLevel="1"/>
    <row r="42" outlineLevel="1"/>
    <row r="43" outlineLevel="1"/>
    <row r="44" outlineLevel="1"/>
    <row r="45" outlineLevel="1"/>
    <row r="46" outlineLevel="1"/>
    <row r="47" outlineLevel="1"/>
    <row r="48" outlineLevel="1"/>
    <row r="49" spans="1:15" outlineLevel="1"/>
    <row r="50" spans="1:15" outlineLevel="1"/>
    <row r="51" spans="1:15" outlineLevel="1"/>
    <row r="52" spans="1:15" outlineLevel="1"/>
    <row r="53" spans="1:15" outlineLevel="1"/>
    <row r="55" spans="1:15">
      <c r="A55" s="115" t="s">
        <v>9</v>
      </c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</row>
    <row r="56" spans="1:15" outlineLevel="1"/>
    <row r="57" spans="1:15" outlineLevel="1">
      <c r="A57" s="1" t="s">
        <v>10</v>
      </c>
      <c r="B57" s="3"/>
      <c r="C57" s="3"/>
      <c r="D57" s="3"/>
      <c r="E57" s="3"/>
      <c r="F57" s="4">
        <f>G57-1</f>
        <v>2020</v>
      </c>
      <c r="G57" s="4">
        <f>H57-1</f>
        <v>2021</v>
      </c>
      <c r="H57" s="4">
        <f>I57-1</f>
        <v>2022</v>
      </c>
      <c r="I57" s="4">
        <f>J57-1</f>
        <v>2023</v>
      </c>
      <c r="J57" s="4">
        <f>K57-1</f>
        <v>2024</v>
      </c>
      <c r="K57" s="7">
        <f>K$8</f>
        <v>2025</v>
      </c>
      <c r="L57" s="7">
        <f>L$8</f>
        <v>2026</v>
      </c>
      <c r="M57" s="7">
        <f>M$8</f>
        <v>2027</v>
      </c>
      <c r="N57" s="7">
        <f>N$8</f>
        <v>2028</v>
      </c>
      <c r="O57" s="7">
        <f>O$8</f>
        <v>2029</v>
      </c>
    </row>
    <row r="58" spans="1:15" outlineLevel="1">
      <c r="B58" s="1" t="s">
        <v>11</v>
      </c>
      <c r="K58" s="8"/>
      <c r="L58" s="8"/>
      <c r="M58" s="8"/>
      <c r="N58" s="8"/>
      <c r="O58" s="8"/>
    </row>
    <row r="59" spans="1:15" outlineLevel="1">
      <c r="C59" t="s">
        <v>12</v>
      </c>
      <c r="F59" s="32">
        <v>163220</v>
      </c>
      <c r="G59" s="32">
        <v>192052</v>
      </c>
      <c r="H59" s="32">
        <v>222730</v>
      </c>
      <c r="I59" s="32">
        <v>237710</v>
      </c>
      <c r="J59" s="32">
        <v>249625</v>
      </c>
      <c r="K59" s="29"/>
      <c r="L59" s="29"/>
      <c r="M59" s="29"/>
      <c r="N59" s="29"/>
      <c r="O59" s="29"/>
    </row>
    <row r="60" spans="1:15" outlineLevel="1">
      <c r="C60" t="s">
        <v>13</v>
      </c>
      <c r="F60" s="32">
        <v>3541</v>
      </c>
      <c r="G60" s="32">
        <v>3877</v>
      </c>
      <c r="H60" s="32">
        <v>4224</v>
      </c>
      <c r="I60" s="32">
        <v>4580</v>
      </c>
      <c r="J60" s="32">
        <v>4828</v>
      </c>
      <c r="K60" s="29">
        <f>K231</f>
        <v>5322.9012221846569</v>
      </c>
      <c r="L60" s="29">
        <f t="shared" ref="L60:O60" si="0">L231</f>
        <v>6095.3981108706448</v>
      </c>
      <c r="M60" s="29">
        <f t="shared" si="0"/>
        <v>6844.1899227414651</v>
      </c>
      <c r="N60" s="29">
        <f t="shared" si="0"/>
        <v>7405.7012660047594</v>
      </c>
      <c r="O60" s="29">
        <f t="shared" si="0"/>
        <v>8010.8734911708143</v>
      </c>
    </row>
    <row r="61" spans="1:15" outlineLevel="1">
      <c r="B61" s="5" t="s">
        <v>14</v>
      </c>
      <c r="C61" s="5"/>
      <c r="D61" s="5"/>
      <c r="E61" s="5"/>
      <c r="F61" s="30">
        <f>SUM(F59:F60)</f>
        <v>166761</v>
      </c>
      <c r="G61" s="30">
        <f>SUM(G59:G60)</f>
        <v>195929</v>
      </c>
      <c r="H61" s="30">
        <f>SUM(H59:H60)</f>
        <v>226954</v>
      </c>
      <c r="I61" s="30">
        <f t="shared" ref="I61:O61" si="1">SUM(I59:I60)</f>
        <v>242290</v>
      </c>
      <c r="J61" s="30">
        <f t="shared" si="1"/>
        <v>254453</v>
      </c>
      <c r="K61" s="31">
        <f t="shared" si="1"/>
        <v>5322.9012221846569</v>
      </c>
      <c r="L61" s="31">
        <f t="shared" si="1"/>
        <v>6095.3981108706448</v>
      </c>
      <c r="M61" s="31">
        <f t="shared" si="1"/>
        <v>6844.1899227414651</v>
      </c>
      <c r="N61" s="31">
        <f t="shared" si="1"/>
        <v>7405.7012660047594</v>
      </c>
      <c r="O61" s="31">
        <f t="shared" si="1"/>
        <v>8010.8734911708143</v>
      </c>
    </row>
    <row r="62" spans="1:15" outlineLevel="1">
      <c r="F62" s="108"/>
      <c r="G62" s="108"/>
      <c r="H62" s="108"/>
      <c r="I62" s="108"/>
      <c r="J62" s="108"/>
      <c r="K62" s="29"/>
      <c r="L62" s="29"/>
      <c r="M62" s="29"/>
      <c r="N62" s="29"/>
      <c r="O62" s="29"/>
    </row>
    <row r="63" spans="1:15" outlineLevel="1">
      <c r="B63" s="1" t="s">
        <v>15</v>
      </c>
      <c r="F63" s="28"/>
      <c r="G63" s="28"/>
      <c r="H63" s="28"/>
      <c r="I63" s="28"/>
      <c r="J63" s="28"/>
      <c r="K63" s="29"/>
      <c r="L63" s="29"/>
      <c r="M63" s="29"/>
      <c r="N63" s="29"/>
      <c r="O63" s="29"/>
    </row>
    <row r="64" spans="1:15" outlineLevel="1">
      <c r="C64" t="s">
        <v>16</v>
      </c>
      <c r="F64" s="32">
        <v>-144939</v>
      </c>
      <c r="G64" s="32">
        <v>-170684</v>
      </c>
      <c r="H64" s="32">
        <v>-199382</v>
      </c>
      <c r="I64" s="32">
        <v>-212586</v>
      </c>
      <c r="J64" s="32">
        <v>-222358</v>
      </c>
      <c r="K64" s="29"/>
      <c r="L64" s="29"/>
      <c r="M64" s="29"/>
      <c r="N64" s="29"/>
      <c r="O64" s="29"/>
    </row>
    <row r="65" spans="2:15" outlineLevel="1">
      <c r="C65" t="s">
        <v>17</v>
      </c>
      <c r="F65" s="32">
        <v>-16387</v>
      </c>
      <c r="G65" s="32">
        <v>-18537</v>
      </c>
      <c r="H65" s="32">
        <v>-19779</v>
      </c>
      <c r="I65" s="32">
        <v>-21590</v>
      </c>
      <c r="J65" s="32">
        <v>-22810</v>
      </c>
      <c r="K65" s="29"/>
      <c r="L65" s="29"/>
      <c r="M65" s="29"/>
      <c r="N65" s="29"/>
      <c r="O65" s="29"/>
    </row>
    <row r="66" spans="2:15" outlineLevel="1">
      <c r="B66" s="5" t="s">
        <v>18</v>
      </c>
      <c r="C66" s="5"/>
      <c r="D66" s="5"/>
      <c r="E66" s="5"/>
      <c r="F66" s="30">
        <f>SUM(F61,F64,F65)</f>
        <v>5435</v>
      </c>
      <c r="G66" s="30">
        <f t="shared" ref="G66:O66" si="2">SUM(G61,G64,G65)</f>
        <v>6708</v>
      </c>
      <c r="H66" s="30">
        <f t="shared" si="2"/>
        <v>7793</v>
      </c>
      <c r="I66" s="30">
        <f t="shared" si="2"/>
        <v>8114</v>
      </c>
      <c r="J66" s="30">
        <f t="shared" si="2"/>
        <v>9285</v>
      </c>
      <c r="K66" s="31">
        <f t="shared" si="2"/>
        <v>5322.9012221846569</v>
      </c>
      <c r="L66" s="31">
        <f t="shared" si="2"/>
        <v>6095.3981108706448</v>
      </c>
      <c r="M66" s="31">
        <f t="shared" si="2"/>
        <v>6844.1899227414651</v>
      </c>
      <c r="N66" s="31">
        <f t="shared" si="2"/>
        <v>7405.7012660047594</v>
      </c>
      <c r="O66" s="31">
        <f t="shared" si="2"/>
        <v>8010.8734911708143</v>
      </c>
    </row>
    <row r="67" spans="2:15" outlineLevel="1">
      <c r="F67" s="28"/>
      <c r="G67" s="28"/>
      <c r="H67" s="28"/>
      <c r="I67" s="28"/>
      <c r="J67" s="28"/>
      <c r="K67" s="29"/>
      <c r="L67" s="29"/>
      <c r="M67" s="29"/>
      <c r="N67" s="29"/>
      <c r="O67" s="29"/>
    </row>
    <row r="68" spans="2:15" outlineLevel="1">
      <c r="B68" s="1" t="s">
        <v>19</v>
      </c>
      <c r="F68" s="28"/>
      <c r="G68" s="28"/>
      <c r="H68" s="28"/>
      <c r="I68" s="28"/>
      <c r="J68" s="28"/>
      <c r="K68" s="29"/>
      <c r="L68" s="29"/>
      <c r="M68" s="29"/>
      <c r="N68" s="29"/>
      <c r="O68" s="29"/>
    </row>
    <row r="69" spans="2:15" outlineLevel="1">
      <c r="C69" t="s">
        <v>20</v>
      </c>
      <c r="F69" s="32">
        <v>-160</v>
      </c>
      <c r="G69" s="32">
        <v>-171</v>
      </c>
      <c r="H69" s="32">
        <v>-158</v>
      </c>
      <c r="I69" s="32">
        <v>-160</v>
      </c>
      <c r="J69" s="32">
        <v>-169</v>
      </c>
      <c r="K69" s="29"/>
      <c r="L69" s="29"/>
      <c r="M69" s="29"/>
      <c r="N69" s="29"/>
      <c r="O69" s="29"/>
    </row>
    <row r="70" spans="2:15" outlineLevel="1">
      <c r="C70" t="s">
        <v>21</v>
      </c>
      <c r="F70" s="32">
        <v>92</v>
      </c>
      <c r="G70" s="32">
        <v>143</v>
      </c>
      <c r="H70" s="32">
        <v>205</v>
      </c>
      <c r="I70" s="32">
        <v>533</v>
      </c>
      <c r="J70" s="32">
        <v>624</v>
      </c>
      <c r="K70" s="29"/>
      <c r="L70" s="29"/>
      <c r="M70" s="29"/>
      <c r="N70" s="29"/>
      <c r="O70" s="29"/>
    </row>
    <row r="71" spans="2:15" outlineLevel="1">
      <c r="B71" s="6" t="s">
        <v>22</v>
      </c>
      <c r="C71" s="5"/>
      <c r="D71" s="5"/>
      <c r="E71" s="5"/>
      <c r="F71" s="30">
        <f>SUM(F66,F69,F70)</f>
        <v>5367</v>
      </c>
      <c r="G71" s="30">
        <f t="shared" ref="G71:O71" si="3">SUM(G66,G69,G70)</f>
        <v>6680</v>
      </c>
      <c r="H71" s="30">
        <f t="shared" si="3"/>
        <v>7840</v>
      </c>
      <c r="I71" s="30">
        <f t="shared" si="3"/>
        <v>8487</v>
      </c>
      <c r="J71" s="30">
        <f t="shared" si="3"/>
        <v>9740</v>
      </c>
      <c r="K71" s="31">
        <f t="shared" si="3"/>
        <v>5322.9012221846569</v>
      </c>
      <c r="L71" s="31">
        <f t="shared" si="3"/>
        <v>6095.3981108706448</v>
      </c>
      <c r="M71" s="31">
        <f t="shared" si="3"/>
        <v>6844.1899227414651</v>
      </c>
      <c r="N71" s="31">
        <f t="shared" si="3"/>
        <v>7405.7012660047594</v>
      </c>
      <c r="O71" s="31">
        <f t="shared" si="3"/>
        <v>8010.8734911708143</v>
      </c>
    </row>
    <row r="72" spans="2:15" outlineLevel="1">
      <c r="C72" t="s">
        <v>23</v>
      </c>
      <c r="F72" s="32">
        <v>-1308</v>
      </c>
      <c r="G72" s="32">
        <v>-1601</v>
      </c>
      <c r="H72" s="32">
        <v>-1925</v>
      </c>
      <c r="I72" s="32">
        <v>-2195</v>
      </c>
      <c r="J72" s="32">
        <v>-2373</v>
      </c>
      <c r="K72" s="29"/>
      <c r="L72" s="29"/>
      <c r="M72" s="29"/>
      <c r="N72" s="29"/>
      <c r="O72" s="29"/>
    </row>
    <row r="73" spans="2:15" outlineLevel="1">
      <c r="B73" s="5" t="s">
        <v>24</v>
      </c>
      <c r="C73" s="5"/>
      <c r="D73" s="5"/>
      <c r="E73" s="5"/>
      <c r="F73" s="30">
        <f>SUM(F72,F71)</f>
        <v>4059</v>
      </c>
      <c r="G73" s="30">
        <f t="shared" ref="G73:O73" si="4">SUM(G72,G71)</f>
        <v>5079</v>
      </c>
      <c r="H73" s="30">
        <f t="shared" si="4"/>
        <v>5915</v>
      </c>
      <c r="I73" s="30">
        <f t="shared" si="4"/>
        <v>6292</v>
      </c>
      <c r="J73" s="30">
        <f t="shared" si="4"/>
        <v>7367</v>
      </c>
      <c r="K73" s="31">
        <f t="shared" si="4"/>
        <v>5322.9012221846569</v>
      </c>
      <c r="L73" s="31">
        <f t="shared" si="4"/>
        <v>6095.3981108706448</v>
      </c>
      <c r="M73" s="31">
        <f t="shared" si="4"/>
        <v>6844.1899227414651</v>
      </c>
      <c r="N73" s="31">
        <f t="shared" si="4"/>
        <v>7405.7012660047594</v>
      </c>
      <c r="O73" s="31">
        <f t="shared" si="4"/>
        <v>8010.8734911708143</v>
      </c>
    </row>
    <row r="74" spans="2:15" outlineLevel="1">
      <c r="B74" t="s">
        <v>25</v>
      </c>
      <c r="F74" s="32">
        <v>-57</v>
      </c>
      <c r="G74" s="32">
        <v>-72</v>
      </c>
      <c r="H74" s="32">
        <v>-71</v>
      </c>
      <c r="I74" s="32">
        <v>0</v>
      </c>
      <c r="J74" s="32">
        <v>0</v>
      </c>
      <c r="K74" s="29"/>
      <c r="L74" s="29"/>
      <c r="M74" s="29"/>
      <c r="N74" s="29"/>
      <c r="O74" s="29"/>
    </row>
    <row r="75" spans="2:15" outlineLevel="1">
      <c r="B75" s="6" t="s">
        <v>26</v>
      </c>
      <c r="C75" s="5"/>
      <c r="D75" s="5"/>
      <c r="E75" s="5"/>
      <c r="F75" s="30">
        <f>SUM(F74,F73)</f>
        <v>4002</v>
      </c>
      <c r="G75" s="30">
        <f t="shared" ref="G75:O75" si="5">SUM(G74,G73)</f>
        <v>5007</v>
      </c>
      <c r="H75" s="30">
        <f t="shared" si="5"/>
        <v>5844</v>
      </c>
      <c r="I75" s="30">
        <f t="shared" si="5"/>
        <v>6292</v>
      </c>
      <c r="J75" s="30">
        <f t="shared" si="5"/>
        <v>7367</v>
      </c>
      <c r="K75" s="31">
        <f t="shared" si="5"/>
        <v>5322.9012221846569</v>
      </c>
      <c r="L75" s="31">
        <f t="shared" si="5"/>
        <v>6095.3981108706448</v>
      </c>
      <c r="M75" s="31">
        <f t="shared" si="5"/>
        <v>6844.1899227414651</v>
      </c>
      <c r="N75" s="31">
        <f t="shared" si="5"/>
        <v>7405.7012660047594</v>
      </c>
      <c r="O75" s="31">
        <f t="shared" si="5"/>
        <v>8010.8734911708143</v>
      </c>
    </row>
    <row r="76" spans="2:15" outlineLevel="1">
      <c r="F76" s="28"/>
      <c r="G76" s="28"/>
      <c r="H76" s="28"/>
      <c r="I76" s="28"/>
      <c r="J76" s="28"/>
      <c r="K76" s="29"/>
      <c r="L76" s="29"/>
      <c r="M76" s="29"/>
      <c r="N76" s="29"/>
      <c r="O76" s="29"/>
    </row>
    <row r="77" spans="2:15" outlineLevel="1">
      <c r="F77" s="28"/>
      <c r="G77" s="28"/>
      <c r="H77" s="28"/>
      <c r="I77" s="28"/>
      <c r="J77" s="28"/>
      <c r="K77" s="29"/>
      <c r="L77" s="29"/>
      <c r="M77" s="29"/>
      <c r="N77" s="29"/>
      <c r="O77" s="29"/>
    </row>
    <row r="78" spans="2:15" outlineLevel="1">
      <c r="B78" t="s">
        <v>27</v>
      </c>
      <c r="D78" t="s">
        <v>52</v>
      </c>
      <c r="F78" s="32">
        <v>442297</v>
      </c>
      <c r="G78" s="32">
        <v>443089</v>
      </c>
      <c r="H78" s="32">
        <v>443651</v>
      </c>
      <c r="I78" s="32">
        <v>443854</v>
      </c>
      <c r="J78" s="32">
        <v>443914</v>
      </c>
      <c r="K78" s="29"/>
      <c r="L78" s="29"/>
      <c r="M78" s="29"/>
      <c r="N78" s="29"/>
      <c r="O78" s="29"/>
    </row>
    <row r="79" spans="2:15" outlineLevel="1">
      <c r="B79" t="s">
        <v>31</v>
      </c>
      <c r="D79" t="s">
        <v>52</v>
      </c>
      <c r="F79" s="32">
        <v>443901</v>
      </c>
      <c r="G79" s="32">
        <v>444346</v>
      </c>
      <c r="H79" s="32">
        <v>444757</v>
      </c>
      <c r="I79" s="32">
        <v>444452</v>
      </c>
      <c r="J79" s="32">
        <v>444759</v>
      </c>
      <c r="K79" s="29"/>
      <c r="L79" s="29"/>
      <c r="M79" s="29"/>
      <c r="N79" s="29"/>
      <c r="O79" s="29"/>
    </row>
    <row r="80" spans="2:15" outlineLevel="1">
      <c r="B80" t="s">
        <v>28</v>
      </c>
      <c r="F80" s="28"/>
      <c r="G80" s="28"/>
      <c r="H80" s="28"/>
      <c r="I80" s="28"/>
      <c r="J80" s="28"/>
      <c r="K80" s="29"/>
      <c r="L80" s="29"/>
      <c r="M80" s="29"/>
      <c r="N80" s="29"/>
      <c r="O80" s="29"/>
    </row>
    <row r="81" spans="1:15" outlineLevel="1">
      <c r="C81" t="s">
        <v>29</v>
      </c>
      <c r="D81" t="s">
        <v>53</v>
      </c>
      <c r="F81" s="15">
        <f>(F75*1000)/F78</f>
        <v>9.0482187308527973</v>
      </c>
      <c r="G81" s="15">
        <f>(G75*1000)/G78</f>
        <v>11.300212824060177</v>
      </c>
      <c r="H81" s="15">
        <f>(H75*1000)/H78</f>
        <v>13.172516234607833</v>
      </c>
      <c r="I81" s="15">
        <f>(I75*1000)/I78</f>
        <v>14.175832593600598</v>
      </c>
      <c r="J81" s="15">
        <f>(J75*1000)/J78</f>
        <v>16.595556797037265</v>
      </c>
      <c r="K81" s="29"/>
      <c r="L81" s="29"/>
      <c r="M81" s="29"/>
      <c r="N81" s="29"/>
      <c r="O81" s="29"/>
    </row>
    <row r="82" spans="1:15" outlineLevel="1">
      <c r="C82" t="s">
        <v>30</v>
      </c>
      <c r="D82" t="s">
        <v>53</v>
      </c>
      <c r="F82" s="15">
        <f>(F75*1000)/F79</f>
        <v>9.0155237316428671</v>
      </c>
      <c r="G82" s="15">
        <f>(G75*1000)/G79</f>
        <v>11.268245916470498</v>
      </c>
      <c r="H82" s="15">
        <f>(H75*1000)/H79</f>
        <v>13.139759464156832</v>
      </c>
      <c r="I82" s="15">
        <f>(I75*1000)/I79</f>
        <v>14.156759335091303</v>
      </c>
      <c r="J82" s="15">
        <f>(J75*1000)/J79</f>
        <v>16.564026810025204</v>
      </c>
      <c r="K82" s="29"/>
      <c r="L82" s="29"/>
      <c r="M82" s="29"/>
      <c r="N82" s="29"/>
      <c r="O82" s="29"/>
    </row>
    <row r="83" spans="1:15" outlineLevel="1"/>
    <row r="84" spans="1:15" outlineLevel="1">
      <c r="H84" t="s">
        <v>0</v>
      </c>
    </row>
    <row r="85" spans="1:15" outlineLevel="1"/>
    <row r="86" spans="1:15" outlineLevel="1"/>
    <row r="87" spans="1:15" outlineLevel="1"/>
    <row r="88" spans="1:15" outlineLevel="1"/>
    <row r="90" spans="1:15">
      <c r="A90" s="115" t="s">
        <v>54</v>
      </c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</row>
    <row r="91" spans="1:15" outlineLevel="1"/>
    <row r="92" spans="1:15" outlineLevel="1">
      <c r="A92" s="2" t="s">
        <v>55</v>
      </c>
      <c r="B92" s="3"/>
      <c r="C92" s="3"/>
      <c r="D92" s="3"/>
      <c r="E92" s="3"/>
      <c r="F92" s="4">
        <f>G92-1</f>
        <v>2020</v>
      </c>
      <c r="G92" s="4">
        <f>H92-1</f>
        <v>2021</v>
      </c>
      <c r="H92" s="4">
        <f>I92-1</f>
        <v>2022</v>
      </c>
      <c r="I92" s="4">
        <f>J92-1</f>
        <v>2023</v>
      </c>
      <c r="J92" s="4">
        <f>K92-1</f>
        <v>2024</v>
      </c>
      <c r="K92" s="7">
        <f>K$8</f>
        <v>2025</v>
      </c>
      <c r="L92" s="7">
        <f>L$8</f>
        <v>2026</v>
      </c>
      <c r="M92" s="7">
        <f>M$8</f>
        <v>2027</v>
      </c>
      <c r="N92" s="7">
        <f>N$8</f>
        <v>2028</v>
      </c>
      <c r="O92" s="7">
        <f>O$8</f>
        <v>2029</v>
      </c>
    </row>
    <row r="93" spans="1:15" outlineLevel="1">
      <c r="B93" s="1" t="s">
        <v>66</v>
      </c>
      <c r="K93" s="8"/>
      <c r="L93" s="8"/>
      <c r="M93" s="8"/>
      <c r="N93" s="8"/>
      <c r="O93" s="8"/>
    </row>
    <row r="94" spans="1:15" outlineLevel="1">
      <c r="C94" t="s">
        <v>24</v>
      </c>
      <c r="F94" s="32">
        <v>4059</v>
      </c>
      <c r="G94" s="32">
        <v>5079</v>
      </c>
      <c r="H94" s="32">
        <v>5915</v>
      </c>
      <c r="I94" s="32">
        <v>6292</v>
      </c>
      <c r="J94" s="32">
        <v>7367</v>
      </c>
      <c r="K94" s="8"/>
      <c r="L94" s="8"/>
      <c r="M94" s="8"/>
      <c r="N94" s="8"/>
      <c r="O94" s="8"/>
    </row>
    <row r="95" spans="1:15" outlineLevel="1">
      <c r="C95" t="s">
        <v>56</v>
      </c>
      <c r="F95" s="32">
        <v>1645</v>
      </c>
      <c r="G95" s="32">
        <v>1781</v>
      </c>
      <c r="H95" s="32">
        <v>1900</v>
      </c>
      <c r="I95" s="32">
        <v>2077</v>
      </c>
      <c r="J95" s="32">
        <v>2237</v>
      </c>
      <c r="K95" s="8"/>
      <c r="L95" s="8"/>
      <c r="M95" s="8"/>
      <c r="N95" s="8"/>
      <c r="O95" s="8"/>
    </row>
    <row r="96" spans="1:15" outlineLevel="1">
      <c r="C96" t="s">
        <v>57</v>
      </c>
      <c r="F96" s="32">
        <v>194</v>
      </c>
      <c r="G96" s="32">
        <v>286</v>
      </c>
      <c r="H96" s="32">
        <v>377</v>
      </c>
      <c r="I96" s="32">
        <v>412</v>
      </c>
      <c r="J96" s="32">
        <v>315</v>
      </c>
      <c r="K96" s="8"/>
      <c r="L96" s="8"/>
      <c r="M96" s="8"/>
      <c r="N96" s="8"/>
      <c r="O96" s="8"/>
    </row>
    <row r="97" spans="2:15" outlineLevel="1">
      <c r="C97" t="s">
        <v>58</v>
      </c>
      <c r="F97" s="32">
        <v>619</v>
      </c>
      <c r="G97" s="32">
        <v>665</v>
      </c>
      <c r="H97" s="32">
        <v>724</v>
      </c>
      <c r="I97" s="32">
        <v>774</v>
      </c>
      <c r="J97" s="32">
        <v>818</v>
      </c>
      <c r="K97" s="8"/>
      <c r="L97" s="8"/>
      <c r="M97" s="8"/>
      <c r="N97" s="8"/>
      <c r="O97" s="8"/>
    </row>
    <row r="98" spans="2:15" outlineLevel="1">
      <c r="C98" t="s">
        <v>59</v>
      </c>
      <c r="F98" s="32">
        <v>146</v>
      </c>
      <c r="G98" s="32">
        <v>144</v>
      </c>
      <c r="H98" s="32">
        <v>39</v>
      </c>
      <c r="I98" s="32">
        <v>495</v>
      </c>
      <c r="J98" s="32">
        <v>-9</v>
      </c>
      <c r="K98" s="8"/>
      <c r="L98" s="8"/>
      <c r="M98" s="8"/>
      <c r="N98" s="8"/>
      <c r="O98" s="8"/>
    </row>
    <row r="99" spans="2:15" outlineLevel="1">
      <c r="C99" t="s">
        <v>60</v>
      </c>
      <c r="F99" s="28"/>
      <c r="G99" s="28"/>
      <c r="H99" s="28"/>
      <c r="I99" s="28"/>
      <c r="J99" s="28"/>
      <c r="K99" s="8"/>
      <c r="L99" s="8"/>
      <c r="M99" s="8"/>
      <c r="N99" s="8"/>
      <c r="O99" s="8"/>
    </row>
    <row r="100" spans="2:15" outlineLevel="1">
      <c r="C100" t="s">
        <v>61</v>
      </c>
      <c r="F100" s="32">
        <v>-791</v>
      </c>
      <c r="G100" s="32">
        <v>-1892</v>
      </c>
      <c r="H100" s="32">
        <v>-4003</v>
      </c>
      <c r="I100" s="32">
        <v>1228</v>
      </c>
      <c r="J100" s="32">
        <v>-2068</v>
      </c>
      <c r="K100" s="8"/>
      <c r="L100" s="8"/>
      <c r="M100" s="8"/>
      <c r="N100" s="8"/>
      <c r="O100" s="8"/>
    </row>
    <row r="101" spans="2:15" outlineLevel="1">
      <c r="C101" t="s">
        <v>62</v>
      </c>
      <c r="F101" s="32">
        <v>2261</v>
      </c>
      <c r="G101" s="32">
        <v>1838</v>
      </c>
      <c r="H101" s="32">
        <v>1891</v>
      </c>
      <c r="I101" s="32">
        <v>-382</v>
      </c>
      <c r="J101" s="32">
        <v>1938</v>
      </c>
      <c r="K101" s="8"/>
      <c r="L101" s="8"/>
      <c r="M101" s="8"/>
      <c r="N101" s="8"/>
      <c r="O101" s="8"/>
    </row>
    <row r="102" spans="2:15" outlineLevel="1">
      <c r="C102" t="s">
        <v>63</v>
      </c>
      <c r="F102" s="32">
        <v>728</v>
      </c>
      <c r="G102" s="32">
        <v>1057</v>
      </c>
      <c r="H102" s="32">
        <v>549</v>
      </c>
      <c r="I102" s="32">
        <v>172</v>
      </c>
      <c r="J102" s="32">
        <v>741</v>
      </c>
      <c r="K102" s="8"/>
      <c r="L102" s="8"/>
      <c r="M102" s="8"/>
      <c r="N102" s="8"/>
      <c r="O102" s="8"/>
    </row>
    <row r="103" spans="2:15" outlineLevel="1">
      <c r="B103" s="5" t="s">
        <v>64</v>
      </c>
      <c r="C103" s="5"/>
      <c r="D103" s="5"/>
      <c r="E103" s="5"/>
      <c r="F103" s="30">
        <f>SUM(F100:F102,F94:F98)</f>
        <v>8861</v>
      </c>
      <c r="G103" s="30">
        <f>SUM(G100:G102,G94:G98)</f>
        <v>8958</v>
      </c>
      <c r="H103" s="30">
        <f>SUM(H100:H102,H94:H98)</f>
        <v>7392</v>
      </c>
      <c r="I103" s="30">
        <f>SUM(I100:I102,I94:I98)</f>
        <v>11068</v>
      </c>
      <c r="J103" s="30">
        <f>SUM(J100:J102,J94:J98)</f>
        <v>11339</v>
      </c>
      <c r="K103" s="31">
        <f t="shared" ref="K103:O103" si="6">SUM(K100:K102,K94:K98)</f>
        <v>0</v>
      </c>
      <c r="L103" s="31">
        <f t="shared" si="6"/>
        <v>0</v>
      </c>
      <c r="M103" s="31">
        <f t="shared" si="6"/>
        <v>0</v>
      </c>
      <c r="N103" s="31">
        <f t="shared" si="6"/>
        <v>0</v>
      </c>
      <c r="O103" s="31">
        <f t="shared" si="6"/>
        <v>0</v>
      </c>
    </row>
    <row r="104" spans="2:15" outlineLevel="1">
      <c r="F104" s="28"/>
      <c r="G104" s="28"/>
      <c r="H104" s="28"/>
      <c r="I104" s="28"/>
      <c r="J104" s="28"/>
      <c r="K104" s="8"/>
      <c r="L104" s="8"/>
      <c r="M104" s="8"/>
      <c r="N104" s="8"/>
      <c r="O104" s="8"/>
    </row>
    <row r="105" spans="2:15" outlineLevel="1">
      <c r="B105" s="1" t="s">
        <v>65</v>
      </c>
      <c r="F105" s="28"/>
      <c r="G105" s="28"/>
      <c r="H105" s="28"/>
      <c r="I105" s="28"/>
      <c r="J105" s="28"/>
      <c r="K105" s="8"/>
      <c r="L105" s="8"/>
      <c r="M105" s="8"/>
      <c r="N105" s="8"/>
      <c r="O105" s="8"/>
    </row>
    <row r="106" spans="2:15" outlineLevel="1">
      <c r="C106" t="s">
        <v>67</v>
      </c>
      <c r="F106" s="32">
        <v>-2810</v>
      </c>
      <c r="G106" s="32">
        <v>-3588</v>
      </c>
      <c r="H106" s="32">
        <v>-3891</v>
      </c>
      <c r="I106" s="32">
        <v>-4323</v>
      </c>
      <c r="J106" s="32">
        <v>-4710</v>
      </c>
      <c r="K106" s="8"/>
      <c r="L106" s="8"/>
      <c r="M106" s="8"/>
      <c r="N106" s="8"/>
      <c r="O106" s="8"/>
    </row>
    <row r="107" spans="2:15" outlineLevel="1">
      <c r="C107" t="s">
        <v>68</v>
      </c>
      <c r="F107" s="32">
        <v>-1081</v>
      </c>
      <c r="G107" s="32">
        <v>53</v>
      </c>
      <c r="H107" s="32">
        <v>-24</v>
      </c>
      <c r="I107" s="32">
        <v>-649</v>
      </c>
      <c r="J107" s="32">
        <v>301</v>
      </c>
      <c r="K107" s="8"/>
      <c r="L107" s="8"/>
      <c r="M107" s="8"/>
      <c r="N107" s="8"/>
      <c r="O107" s="8"/>
    </row>
    <row r="108" spans="2:15" outlineLevel="1">
      <c r="B108" s="5" t="s">
        <v>69</v>
      </c>
      <c r="C108" s="5"/>
      <c r="D108" s="5"/>
      <c r="E108" s="5"/>
      <c r="F108" s="30">
        <f>SUM(F106:F107)</f>
        <v>-3891</v>
      </c>
      <c r="G108" s="30">
        <f>SUM(G106:G107)</f>
        <v>-3535</v>
      </c>
      <c r="H108" s="30">
        <f>SUM(H106:H107)</f>
        <v>-3915</v>
      </c>
      <c r="I108" s="30">
        <f>SUM(I106:I107)</f>
        <v>-4972</v>
      </c>
      <c r="J108" s="30">
        <f>SUM(J106:J107)</f>
        <v>-4409</v>
      </c>
      <c r="K108" s="31">
        <f t="shared" ref="K108:O108" si="7">SUM(K106:K107)</f>
        <v>0</v>
      </c>
      <c r="L108" s="31">
        <f t="shared" si="7"/>
        <v>0</v>
      </c>
      <c r="M108" s="31">
        <f t="shared" si="7"/>
        <v>0</v>
      </c>
      <c r="N108" s="31">
        <f t="shared" si="7"/>
        <v>0</v>
      </c>
      <c r="O108" s="31">
        <f t="shared" si="7"/>
        <v>0</v>
      </c>
    </row>
    <row r="109" spans="2:15" outlineLevel="1">
      <c r="F109" s="28"/>
      <c r="G109" s="28"/>
      <c r="H109" s="28"/>
      <c r="I109" s="28"/>
      <c r="J109" s="28"/>
      <c r="K109" s="8"/>
      <c r="L109" s="8"/>
      <c r="M109" s="8"/>
      <c r="N109" s="8"/>
      <c r="O109" s="8"/>
    </row>
    <row r="110" spans="2:15" outlineLevel="1">
      <c r="B110" s="1" t="s">
        <v>70</v>
      </c>
      <c r="F110" s="28"/>
      <c r="G110" s="28"/>
      <c r="H110" s="28"/>
      <c r="I110" s="28"/>
      <c r="J110" s="28"/>
      <c r="K110" s="8"/>
      <c r="L110" s="8"/>
      <c r="M110" s="8"/>
      <c r="N110" s="8"/>
      <c r="O110" s="8"/>
    </row>
    <row r="111" spans="2:15" outlineLevel="1">
      <c r="C111" t="s">
        <v>71</v>
      </c>
      <c r="F111" s="32">
        <v>929</v>
      </c>
      <c r="G111" s="32">
        <v>-53</v>
      </c>
      <c r="H111" s="32">
        <v>-753</v>
      </c>
      <c r="I111" s="32">
        <v>-93</v>
      </c>
      <c r="J111" s="32">
        <v>-571</v>
      </c>
      <c r="K111" s="8"/>
      <c r="L111" s="8"/>
      <c r="M111" s="8"/>
      <c r="N111" s="8"/>
      <c r="O111" s="8"/>
    </row>
    <row r="112" spans="2:15" outlineLevel="1">
      <c r="C112" t="s">
        <v>72</v>
      </c>
      <c r="F112" s="32">
        <v>-196</v>
      </c>
      <c r="G112" s="32">
        <v>-496</v>
      </c>
      <c r="H112" s="32">
        <v>-439</v>
      </c>
      <c r="I112" s="32">
        <v>-676</v>
      </c>
      <c r="J112" s="32">
        <v>-700</v>
      </c>
      <c r="K112" s="8"/>
      <c r="L112" s="8"/>
      <c r="M112" s="8"/>
      <c r="N112" s="8"/>
      <c r="O112" s="8"/>
    </row>
    <row r="113" spans="2:15" outlineLevel="1">
      <c r="C113" t="s">
        <v>73</v>
      </c>
      <c r="F113" s="32">
        <v>-1479</v>
      </c>
      <c r="G113" s="32">
        <v>-5748</v>
      </c>
      <c r="H113" s="32">
        <v>-1498</v>
      </c>
      <c r="I113" s="32">
        <v>-1251</v>
      </c>
      <c r="J113" s="32">
        <v>-9041</v>
      </c>
      <c r="K113" s="8"/>
      <c r="L113" s="8"/>
      <c r="M113" s="8"/>
      <c r="N113" s="8"/>
      <c r="O113" s="8"/>
    </row>
    <row r="114" spans="2:15" outlineLevel="1">
      <c r="C114" t="s">
        <v>74</v>
      </c>
      <c r="F114" s="28"/>
      <c r="G114" s="32">
        <v>-67</v>
      </c>
      <c r="H114" s="32">
        <v>-180</v>
      </c>
      <c r="I114" s="32">
        <v>-291</v>
      </c>
      <c r="J114" s="32">
        <v>-137</v>
      </c>
      <c r="K114" s="8"/>
      <c r="L114" s="8"/>
      <c r="M114" s="8"/>
      <c r="N114" s="8"/>
      <c r="O114" s="8"/>
    </row>
    <row r="115" spans="2:15" outlineLevel="1">
      <c r="C115" t="s">
        <v>75</v>
      </c>
      <c r="F115" s="32">
        <v>-401</v>
      </c>
      <c r="G115" s="32">
        <v>-124</v>
      </c>
      <c r="H115" s="32">
        <v>-1413</v>
      </c>
      <c r="I115" s="32">
        <v>-303</v>
      </c>
      <c r="J115" s="32">
        <v>-315</v>
      </c>
      <c r="K115" s="8"/>
      <c r="L115" s="8"/>
      <c r="M115" s="8"/>
      <c r="N115" s="8"/>
      <c r="O115" s="8"/>
    </row>
    <row r="116" spans="2:15" outlineLevel="1">
      <c r="B116" s="5" t="s">
        <v>76</v>
      </c>
      <c r="C116" s="5"/>
      <c r="D116" s="5"/>
      <c r="E116" s="5"/>
      <c r="F116" s="30">
        <f>SUM(F111:F115)</f>
        <v>-1147</v>
      </c>
      <c r="G116" s="30">
        <f>SUM(G111:G115)</f>
        <v>-6488</v>
      </c>
      <c r="H116" s="30">
        <f>SUM(H111:H115)</f>
        <v>-4283</v>
      </c>
      <c r="I116" s="30">
        <f>SUM(I111:I115)</f>
        <v>-2614</v>
      </c>
      <c r="J116" s="30">
        <f>SUM(J111:J115)</f>
        <v>-10764</v>
      </c>
      <c r="K116" s="31">
        <f t="shared" ref="K116:O116" si="8">SUM(K111:K115)</f>
        <v>0</v>
      </c>
      <c r="L116" s="31">
        <f t="shared" si="8"/>
        <v>0</v>
      </c>
      <c r="M116" s="31">
        <f t="shared" si="8"/>
        <v>0</v>
      </c>
      <c r="N116" s="31">
        <f t="shared" si="8"/>
        <v>0</v>
      </c>
      <c r="O116" s="31">
        <f t="shared" si="8"/>
        <v>0</v>
      </c>
    </row>
    <row r="117" spans="2:15" outlineLevel="1">
      <c r="F117" s="28"/>
      <c r="G117" s="28"/>
      <c r="H117" s="28"/>
      <c r="I117" s="28"/>
      <c r="J117" s="28"/>
      <c r="K117" s="8"/>
      <c r="L117" s="8"/>
      <c r="M117" s="8"/>
      <c r="N117" s="8"/>
      <c r="O117" s="8"/>
    </row>
    <row r="118" spans="2:15" outlineLevel="1">
      <c r="B118" t="s">
        <v>77</v>
      </c>
      <c r="F118" s="32">
        <v>70</v>
      </c>
      <c r="G118" s="32">
        <v>46</v>
      </c>
      <c r="H118" s="32">
        <v>-249</v>
      </c>
      <c r="I118" s="32">
        <v>15</v>
      </c>
      <c r="J118" s="32">
        <v>40</v>
      </c>
      <c r="K118" s="8"/>
      <c r="L118" s="8"/>
      <c r="M118" s="8"/>
      <c r="N118" s="8"/>
      <c r="O118" s="8"/>
    </row>
    <row r="119" spans="2:15" outlineLevel="1">
      <c r="B119" s="5" t="s">
        <v>78</v>
      </c>
      <c r="C119" s="5"/>
      <c r="D119" s="5"/>
      <c r="E119" s="5"/>
      <c r="F119" s="30">
        <f t="shared" ref="F119:K119" si="9">F103+F108+F116+F118</f>
        <v>3893</v>
      </c>
      <c r="G119" s="30">
        <f t="shared" si="9"/>
        <v>-1019</v>
      </c>
      <c r="H119" s="30">
        <f t="shared" si="9"/>
        <v>-1055</v>
      </c>
      <c r="I119" s="30">
        <f t="shared" si="9"/>
        <v>3497</v>
      </c>
      <c r="J119" s="30">
        <f t="shared" si="9"/>
        <v>-3794</v>
      </c>
      <c r="K119" s="31">
        <f t="shared" si="9"/>
        <v>0</v>
      </c>
      <c r="L119" s="31">
        <f t="shared" ref="L119:O119" si="10">L103+L108+L116+L118</f>
        <v>0</v>
      </c>
      <c r="M119" s="31">
        <f t="shared" si="10"/>
        <v>0</v>
      </c>
      <c r="N119" s="31">
        <f t="shared" si="10"/>
        <v>0</v>
      </c>
      <c r="O119" s="31">
        <f t="shared" si="10"/>
        <v>0</v>
      </c>
    </row>
    <row r="120" spans="2:15" outlineLevel="1">
      <c r="B120" t="s">
        <v>79</v>
      </c>
      <c r="F120" s="32">
        <v>8384</v>
      </c>
      <c r="G120" s="28">
        <f>F121</f>
        <v>12277</v>
      </c>
      <c r="H120" s="28">
        <f t="shared" ref="H120:O120" si="11">G121</f>
        <v>11258</v>
      </c>
      <c r="I120" s="28">
        <f t="shared" si="11"/>
        <v>10203</v>
      </c>
      <c r="J120" s="28">
        <f t="shared" si="11"/>
        <v>13700</v>
      </c>
      <c r="K120" s="29">
        <f t="shared" si="11"/>
        <v>9906</v>
      </c>
      <c r="L120" s="29">
        <f t="shared" si="11"/>
        <v>9906</v>
      </c>
      <c r="M120" s="29">
        <f t="shared" si="11"/>
        <v>9906</v>
      </c>
      <c r="N120" s="29">
        <f t="shared" si="11"/>
        <v>9906</v>
      </c>
      <c r="O120" s="29">
        <f t="shared" si="11"/>
        <v>9906</v>
      </c>
    </row>
    <row r="121" spans="2:15" ht="15" outlineLevel="1" thickBot="1">
      <c r="B121" s="33" t="s">
        <v>80</v>
      </c>
      <c r="C121" s="33"/>
      <c r="D121" s="33"/>
      <c r="E121" s="33"/>
      <c r="F121" s="100">
        <f t="shared" ref="F121:O121" si="12">F120+F119</f>
        <v>12277</v>
      </c>
      <c r="G121" s="100">
        <f t="shared" si="12"/>
        <v>11258</v>
      </c>
      <c r="H121" s="100">
        <f t="shared" si="12"/>
        <v>10203</v>
      </c>
      <c r="I121" s="100">
        <f t="shared" si="12"/>
        <v>13700</v>
      </c>
      <c r="J121" s="100">
        <f t="shared" si="12"/>
        <v>9906</v>
      </c>
      <c r="K121" s="101">
        <f t="shared" si="12"/>
        <v>9906</v>
      </c>
      <c r="L121" s="101">
        <f t="shared" si="12"/>
        <v>9906</v>
      </c>
      <c r="M121" s="101">
        <f t="shared" si="12"/>
        <v>9906</v>
      </c>
      <c r="N121" s="101">
        <f t="shared" si="12"/>
        <v>9906</v>
      </c>
      <c r="O121" s="101">
        <f t="shared" si="12"/>
        <v>9906</v>
      </c>
    </row>
    <row r="122" spans="2:15" ht="15" outlineLevel="1" thickTop="1">
      <c r="F122" s="28"/>
      <c r="G122" s="28"/>
      <c r="H122" s="28"/>
      <c r="I122" s="28"/>
      <c r="J122" s="28"/>
      <c r="K122" s="8"/>
      <c r="L122" s="8"/>
      <c r="M122" s="8"/>
      <c r="N122" s="8"/>
      <c r="O122" s="8"/>
    </row>
    <row r="123" spans="2:15" outlineLevel="1">
      <c r="B123" t="s">
        <v>81</v>
      </c>
      <c r="F123" s="28"/>
      <c r="G123" s="28"/>
      <c r="H123" s="28"/>
      <c r="I123" s="28"/>
      <c r="J123" s="28"/>
      <c r="K123" s="8"/>
      <c r="L123" s="8"/>
      <c r="M123" s="8"/>
      <c r="N123" s="8"/>
      <c r="O123" s="8"/>
    </row>
    <row r="124" spans="2:15" outlineLevel="1">
      <c r="B124" t="s">
        <v>82</v>
      </c>
      <c r="F124" s="28">
        <v>124</v>
      </c>
      <c r="G124" s="28">
        <v>149</v>
      </c>
      <c r="H124" s="28">
        <v>145</v>
      </c>
      <c r="I124" s="28">
        <v>125</v>
      </c>
      <c r="J124" s="28">
        <v>129</v>
      </c>
      <c r="K124" s="8"/>
      <c r="L124" s="8"/>
      <c r="M124" s="8"/>
      <c r="N124" s="8"/>
      <c r="O124" s="8"/>
    </row>
    <row r="125" spans="2:15" outlineLevel="1">
      <c r="B125" t="s">
        <v>83</v>
      </c>
      <c r="F125" s="28">
        <v>1052</v>
      </c>
      <c r="G125" s="28">
        <v>1527</v>
      </c>
      <c r="H125" s="28">
        <v>1940</v>
      </c>
      <c r="I125" s="28">
        <v>2234</v>
      </c>
      <c r="J125" s="28">
        <v>2319</v>
      </c>
      <c r="K125" s="8"/>
      <c r="L125" s="8"/>
      <c r="M125" s="8"/>
      <c r="N125" s="8"/>
      <c r="O125" s="8"/>
    </row>
    <row r="126" spans="2:15" outlineLevel="1"/>
    <row r="127" spans="2:15" outlineLevel="1"/>
    <row r="128" spans="2:15" outlineLevel="1"/>
    <row r="129" spans="1:15" outlineLevel="1"/>
    <row r="130" spans="1:15" outlineLevel="1"/>
    <row r="131" spans="1:15" outlineLevel="1"/>
    <row r="133" spans="1:15">
      <c r="A133" s="115" t="s">
        <v>173</v>
      </c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</row>
    <row r="134" spans="1:15" outlineLevel="1"/>
    <row r="135" spans="1:15" outlineLevel="1"/>
    <row r="136" spans="1:15" outlineLevel="1">
      <c r="A136" s="2" t="s">
        <v>174</v>
      </c>
      <c r="B136" s="3"/>
      <c r="C136" s="3"/>
      <c r="D136" s="3"/>
      <c r="E136" s="3"/>
      <c r="F136" s="4">
        <f>G136-1</f>
        <v>2020</v>
      </c>
      <c r="G136" s="4">
        <f>H136-1</f>
        <v>2021</v>
      </c>
      <c r="H136" s="4">
        <f>I136-1</f>
        <v>2022</v>
      </c>
      <c r="I136" s="4">
        <f>J136-1</f>
        <v>2023</v>
      </c>
      <c r="J136" s="4">
        <f>K136-1</f>
        <v>2024</v>
      </c>
      <c r="K136" s="7">
        <f>K$8</f>
        <v>2025</v>
      </c>
      <c r="L136" s="7">
        <f>L$8</f>
        <v>2026</v>
      </c>
      <c r="M136" s="7">
        <f>M$8</f>
        <v>2027</v>
      </c>
      <c r="N136" s="7">
        <f>N$8</f>
        <v>2028</v>
      </c>
      <c r="O136" s="7">
        <f>O$8</f>
        <v>2029</v>
      </c>
    </row>
    <row r="137" spans="1:15" outlineLevel="1">
      <c r="B137" s="1" t="s">
        <v>175</v>
      </c>
      <c r="F137" s="28"/>
      <c r="G137" s="28"/>
      <c r="H137" s="28"/>
      <c r="I137" s="28"/>
      <c r="J137" s="28"/>
      <c r="K137" s="29"/>
      <c r="L137" s="29"/>
      <c r="M137" s="29"/>
      <c r="N137" s="29"/>
      <c r="O137" s="29"/>
    </row>
    <row r="138" spans="1:15" outlineLevel="1">
      <c r="C138" t="s">
        <v>176</v>
      </c>
      <c r="F138" s="32">
        <v>12277</v>
      </c>
      <c r="G138" s="32">
        <v>11258</v>
      </c>
      <c r="H138" s="32">
        <v>10203</v>
      </c>
      <c r="I138" s="32">
        <v>13700</v>
      </c>
      <c r="J138" s="32">
        <v>9906</v>
      </c>
      <c r="K138" s="29"/>
      <c r="L138" s="29"/>
      <c r="M138" s="29"/>
      <c r="N138" s="29"/>
      <c r="O138" s="29"/>
    </row>
    <row r="139" spans="1:15" outlineLevel="1">
      <c r="C139" t="s">
        <v>177</v>
      </c>
      <c r="F139" s="32">
        <v>1028</v>
      </c>
      <c r="G139" s="32">
        <v>917</v>
      </c>
      <c r="H139" s="32">
        <v>846</v>
      </c>
      <c r="I139" s="32">
        <v>1534</v>
      </c>
      <c r="J139" s="32">
        <v>1238</v>
      </c>
      <c r="K139" s="29"/>
      <c r="L139" s="29"/>
      <c r="M139" s="29"/>
      <c r="N139" s="29"/>
      <c r="O139" s="29"/>
    </row>
    <row r="140" spans="1:15" outlineLevel="1">
      <c r="C140" t="s">
        <v>129</v>
      </c>
      <c r="F140" s="32">
        <v>1550</v>
      </c>
      <c r="G140" s="32">
        <v>1803</v>
      </c>
      <c r="H140" s="32">
        <v>2241</v>
      </c>
      <c r="I140" s="32">
        <v>2285</v>
      </c>
      <c r="J140" s="32">
        <v>2721</v>
      </c>
      <c r="K140" s="29"/>
      <c r="L140" s="29"/>
      <c r="M140" s="29"/>
      <c r="N140" s="29"/>
      <c r="O140" s="29"/>
    </row>
    <row r="141" spans="1:15" outlineLevel="1">
      <c r="C141" t="s">
        <v>178</v>
      </c>
      <c r="F141" s="32">
        <v>12242</v>
      </c>
      <c r="G141" s="32">
        <v>14215</v>
      </c>
      <c r="H141" s="32">
        <v>17907</v>
      </c>
      <c r="I141" s="32">
        <v>16651</v>
      </c>
      <c r="J141" s="32">
        <v>18647</v>
      </c>
      <c r="K141" s="29"/>
      <c r="L141" s="29"/>
      <c r="M141" s="29"/>
      <c r="N141" s="29"/>
      <c r="O141" s="29"/>
    </row>
    <row r="142" spans="1:15" outlineLevel="1">
      <c r="B142" s="5" t="s">
        <v>179</v>
      </c>
      <c r="C142" s="5"/>
      <c r="D142" s="5"/>
      <c r="E142" s="5"/>
      <c r="F142" s="30">
        <f>SUM(F138:F141)</f>
        <v>27097</v>
      </c>
      <c r="G142" s="30">
        <f t="shared" ref="G142:O142" si="13">SUM(G138:G141)</f>
        <v>28193</v>
      </c>
      <c r="H142" s="30">
        <f t="shared" si="13"/>
        <v>31197</v>
      </c>
      <c r="I142" s="30">
        <f t="shared" si="13"/>
        <v>34170</v>
      </c>
      <c r="J142" s="30">
        <f t="shared" si="13"/>
        <v>32512</v>
      </c>
      <c r="K142" s="31">
        <f t="shared" si="13"/>
        <v>0</v>
      </c>
      <c r="L142" s="31">
        <f t="shared" si="13"/>
        <v>0</v>
      </c>
      <c r="M142" s="31">
        <f t="shared" si="13"/>
        <v>0</v>
      </c>
      <c r="N142" s="31">
        <f t="shared" si="13"/>
        <v>0</v>
      </c>
      <c r="O142" s="31">
        <f t="shared" si="13"/>
        <v>0</v>
      </c>
    </row>
    <row r="143" spans="1:15" outlineLevel="1">
      <c r="F143" s="28"/>
      <c r="G143" s="28"/>
      <c r="H143" s="28"/>
      <c r="I143" s="28"/>
      <c r="J143" s="28"/>
      <c r="K143" s="29"/>
      <c r="L143" s="29"/>
      <c r="M143" s="29"/>
      <c r="N143" s="29"/>
      <c r="O143" s="29"/>
    </row>
    <row r="144" spans="1:15" outlineLevel="1">
      <c r="B144" s="1" t="s">
        <v>180</v>
      </c>
      <c r="F144" s="28"/>
      <c r="G144" s="28"/>
      <c r="H144" s="28"/>
      <c r="I144" s="28"/>
      <c r="J144" s="28"/>
      <c r="K144" s="29"/>
      <c r="L144" s="29"/>
      <c r="M144" s="29"/>
      <c r="N144" s="29"/>
      <c r="O144" s="29"/>
    </row>
    <row r="145" spans="2:15" outlineLevel="1">
      <c r="C145" t="s">
        <v>181</v>
      </c>
      <c r="F145" s="32">
        <v>21807</v>
      </c>
      <c r="G145" s="32">
        <v>23492</v>
      </c>
      <c r="H145" s="32">
        <v>24646</v>
      </c>
      <c r="I145" s="32">
        <v>26684</v>
      </c>
      <c r="J145" s="32">
        <v>29032</v>
      </c>
      <c r="K145" s="29"/>
      <c r="L145" s="29"/>
      <c r="M145" s="29"/>
      <c r="N145" s="29"/>
      <c r="O145" s="29"/>
    </row>
    <row r="146" spans="2:15" outlineLevel="1">
      <c r="C146" t="s">
        <v>182</v>
      </c>
      <c r="F146" s="32">
        <v>2788</v>
      </c>
      <c r="G146" s="32">
        <v>2890</v>
      </c>
      <c r="H146" s="32">
        <v>2774</v>
      </c>
      <c r="I146" s="32">
        <v>2713</v>
      </c>
      <c r="J146" s="32">
        <v>2617</v>
      </c>
      <c r="K146" s="29"/>
      <c r="L146" s="29"/>
      <c r="M146" s="29"/>
      <c r="N146" s="29"/>
      <c r="O146" s="29"/>
    </row>
    <row r="147" spans="2:15" outlineLevel="1">
      <c r="C147" t="s">
        <v>135</v>
      </c>
      <c r="F147" s="32">
        <v>3864</v>
      </c>
      <c r="G147" s="32">
        <v>4693</v>
      </c>
      <c r="H147" s="32">
        <v>5549</v>
      </c>
      <c r="I147" s="32">
        <v>5427</v>
      </c>
      <c r="J147" s="32">
        <v>5670</v>
      </c>
      <c r="K147" s="29"/>
      <c r="L147" s="29"/>
      <c r="M147" s="29"/>
      <c r="N147" s="29"/>
      <c r="O147" s="29"/>
    </row>
    <row r="148" spans="2:15" ht="15" outlineLevel="1" thickBot="1">
      <c r="B148" s="102" t="s">
        <v>183</v>
      </c>
      <c r="C148" s="33"/>
      <c r="D148" s="33"/>
      <c r="E148" s="33"/>
      <c r="F148" s="100">
        <f>SUM(F145:F147,F142)</f>
        <v>55556</v>
      </c>
      <c r="G148" s="100">
        <f t="shared" ref="G148:O148" si="14">SUM(G145:G147,G142)</f>
        <v>59268</v>
      </c>
      <c r="H148" s="100">
        <f t="shared" si="14"/>
        <v>64166</v>
      </c>
      <c r="I148" s="100">
        <f t="shared" si="14"/>
        <v>68994</v>
      </c>
      <c r="J148" s="100">
        <f t="shared" si="14"/>
        <v>69831</v>
      </c>
      <c r="K148" s="101">
        <f t="shared" si="14"/>
        <v>0</v>
      </c>
      <c r="L148" s="101">
        <f t="shared" si="14"/>
        <v>0</v>
      </c>
      <c r="M148" s="101">
        <f t="shared" si="14"/>
        <v>0</v>
      </c>
      <c r="N148" s="101">
        <f t="shared" si="14"/>
        <v>0</v>
      </c>
      <c r="O148" s="101">
        <f t="shared" si="14"/>
        <v>0</v>
      </c>
    </row>
    <row r="149" spans="2:15" ht="15" outlineLevel="1" thickTop="1">
      <c r="F149" s="28"/>
      <c r="G149" s="28"/>
      <c r="H149" s="28"/>
      <c r="I149" s="28"/>
      <c r="J149" s="28"/>
      <c r="K149" s="29"/>
      <c r="L149" s="29"/>
      <c r="M149" s="29"/>
      <c r="N149" s="29"/>
      <c r="O149" s="29"/>
    </row>
    <row r="150" spans="2:15" outlineLevel="1">
      <c r="B150" s="1" t="s">
        <v>184</v>
      </c>
      <c r="F150" s="28"/>
      <c r="G150" s="28"/>
      <c r="H150" s="28"/>
      <c r="I150" s="28"/>
      <c r="J150" s="28"/>
      <c r="K150" s="29"/>
      <c r="L150" s="29"/>
      <c r="M150" s="29"/>
      <c r="N150" s="29"/>
      <c r="O150" s="29"/>
    </row>
    <row r="151" spans="2:15" outlineLevel="1">
      <c r="C151" t="s">
        <v>62</v>
      </c>
      <c r="F151" s="32">
        <v>14172</v>
      </c>
      <c r="G151" s="32">
        <v>16278</v>
      </c>
      <c r="H151" s="32">
        <v>17848</v>
      </c>
      <c r="I151" s="32">
        <v>17483</v>
      </c>
      <c r="J151" s="32">
        <v>19421</v>
      </c>
      <c r="K151" s="29"/>
      <c r="L151" s="29"/>
      <c r="M151" s="29"/>
      <c r="N151" s="29"/>
      <c r="O151" s="29"/>
    </row>
    <row r="152" spans="2:15" outlineLevel="1">
      <c r="C152" t="s">
        <v>185</v>
      </c>
      <c r="F152" s="32">
        <v>3605</v>
      </c>
      <c r="G152" s="32">
        <v>4090</v>
      </c>
      <c r="H152" s="32">
        <v>4381</v>
      </c>
      <c r="I152" s="32">
        <v>4278</v>
      </c>
      <c r="J152" s="32">
        <v>4794</v>
      </c>
      <c r="K152" s="29"/>
      <c r="L152" s="29"/>
      <c r="M152" s="29"/>
      <c r="N152" s="29"/>
      <c r="O152" s="29"/>
    </row>
    <row r="153" spans="2:15" outlineLevel="1">
      <c r="C153" t="s">
        <v>186</v>
      </c>
      <c r="F153" s="32">
        <v>1393</v>
      </c>
      <c r="G153" s="32">
        <v>1671</v>
      </c>
      <c r="H153" s="32">
        <v>1911</v>
      </c>
      <c r="I153" s="32">
        <v>2150</v>
      </c>
      <c r="J153" s="32">
        <v>2435</v>
      </c>
      <c r="K153" s="29"/>
      <c r="L153" s="29"/>
      <c r="M153" s="29"/>
      <c r="N153" s="29"/>
      <c r="O153" s="29"/>
    </row>
    <row r="154" spans="2:15" outlineLevel="1">
      <c r="C154" t="s">
        <v>187</v>
      </c>
      <c r="F154" s="32">
        <v>1851</v>
      </c>
      <c r="G154" s="32">
        <v>2042</v>
      </c>
      <c r="H154" s="32">
        <v>2174</v>
      </c>
      <c r="I154" s="32">
        <v>2337</v>
      </c>
      <c r="J154" s="32">
        <v>2501</v>
      </c>
      <c r="K154" s="29">
        <f>K229</f>
        <v>2788.4447979507654</v>
      </c>
      <c r="L154" s="29">
        <f t="shared" ref="L154:O154" si="15">L229</f>
        <v>3267.7461173990287</v>
      </c>
      <c r="M154" s="29">
        <f t="shared" si="15"/>
        <v>3534.0415340440904</v>
      </c>
      <c r="N154" s="29">
        <f t="shared" si="15"/>
        <v>3825.7573844711742</v>
      </c>
      <c r="O154" s="29">
        <f t="shared" si="15"/>
        <v>4135.4974245030198</v>
      </c>
    </row>
    <row r="155" spans="2:15" outlineLevel="1">
      <c r="C155" t="s">
        <v>188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29"/>
      <c r="L155" s="29"/>
      <c r="M155" s="29"/>
      <c r="N155" s="29"/>
      <c r="O155" s="29"/>
    </row>
    <row r="156" spans="2:15" outlineLevel="1">
      <c r="B156" s="5" t="s">
        <v>189</v>
      </c>
      <c r="C156" s="5"/>
      <c r="D156" s="5"/>
      <c r="E156" s="5"/>
      <c r="F156" s="30">
        <f>SUM(F151:F155)</f>
        <v>21021</v>
      </c>
      <c r="G156" s="30">
        <f t="shared" ref="G156:O156" si="16">SUM(G151:G155)</f>
        <v>24081</v>
      </c>
      <c r="H156" s="30">
        <f t="shared" si="16"/>
        <v>26314</v>
      </c>
      <c r="I156" s="30">
        <f t="shared" si="16"/>
        <v>26248</v>
      </c>
      <c r="J156" s="30">
        <f t="shared" si="16"/>
        <v>29151</v>
      </c>
      <c r="K156" s="31">
        <f t="shared" si="16"/>
        <v>2788.4447979507654</v>
      </c>
      <c r="L156" s="31">
        <f t="shared" si="16"/>
        <v>3267.7461173990287</v>
      </c>
      <c r="M156" s="31">
        <f t="shared" si="16"/>
        <v>3534.0415340440904</v>
      </c>
      <c r="N156" s="31">
        <f t="shared" si="16"/>
        <v>3825.7573844711742</v>
      </c>
      <c r="O156" s="31">
        <f t="shared" si="16"/>
        <v>4135.4974245030198</v>
      </c>
    </row>
    <row r="157" spans="2:15" outlineLevel="1">
      <c r="F157" s="28"/>
      <c r="G157" s="28"/>
      <c r="H157" s="28"/>
      <c r="I157" s="28"/>
      <c r="J157" s="28"/>
      <c r="K157" s="29"/>
      <c r="L157" s="29"/>
      <c r="M157" s="29"/>
      <c r="N157" s="29"/>
      <c r="O157" s="29"/>
    </row>
    <row r="158" spans="2:15" outlineLevel="1">
      <c r="B158" s="1" t="s">
        <v>190</v>
      </c>
      <c r="F158" s="28"/>
      <c r="G158" s="28"/>
      <c r="H158" s="28"/>
      <c r="I158" s="28"/>
      <c r="J158" s="28"/>
      <c r="K158" s="29"/>
      <c r="L158" s="29"/>
      <c r="M158" s="29"/>
      <c r="N158" s="29"/>
      <c r="O158" s="29"/>
    </row>
    <row r="159" spans="2:15" outlineLevel="1">
      <c r="C159" t="s">
        <v>191</v>
      </c>
      <c r="F159" s="32">
        <v>7609</v>
      </c>
      <c r="G159" s="32">
        <v>7491</v>
      </c>
      <c r="H159" s="32">
        <v>6557</v>
      </c>
      <c r="I159" s="32">
        <v>6458</v>
      </c>
      <c r="J159" s="32">
        <v>5897</v>
      </c>
      <c r="K159" s="29"/>
      <c r="L159" s="29"/>
      <c r="M159" s="29"/>
      <c r="N159" s="29"/>
      <c r="O159" s="29"/>
    </row>
    <row r="160" spans="2:15" outlineLevel="1">
      <c r="C160" t="s">
        <v>192</v>
      </c>
      <c r="F160" s="32">
        <v>2558</v>
      </c>
      <c r="G160" s="32">
        <v>2642</v>
      </c>
      <c r="H160" s="32">
        <v>2482</v>
      </c>
      <c r="I160" s="32">
        <v>2426</v>
      </c>
      <c r="J160" s="32">
        <v>2375</v>
      </c>
      <c r="K160" s="29"/>
      <c r="L160" s="29"/>
      <c r="M160" s="29"/>
      <c r="N160" s="29"/>
      <c r="O160" s="29"/>
    </row>
    <row r="161" spans="2:15" outlineLevel="1">
      <c r="C161" t="s">
        <v>148</v>
      </c>
      <c r="F161" s="32">
        <v>5663</v>
      </c>
      <c r="G161" s="32">
        <v>6976</v>
      </c>
      <c r="H161" s="32">
        <v>8166</v>
      </c>
      <c r="I161" s="32">
        <v>8804</v>
      </c>
      <c r="J161" s="32">
        <v>8786</v>
      </c>
      <c r="K161" s="29"/>
      <c r="L161" s="29"/>
      <c r="M161" s="29"/>
      <c r="N161" s="29"/>
      <c r="O161" s="29"/>
    </row>
    <row r="162" spans="2:15" outlineLevel="1">
      <c r="B162" s="5" t="s">
        <v>193</v>
      </c>
      <c r="C162" s="5"/>
      <c r="D162" s="5"/>
      <c r="E162" s="5"/>
      <c r="F162" s="30">
        <f>SUM(F159:F161,F156)</f>
        <v>36851</v>
      </c>
      <c r="G162" s="30">
        <f t="shared" ref="G162:O162" si="17">SUM(G159:G161,G156)</f>
        <v>41190</v>
      </c>
      <c r="H162" s="30">
        <f t="shared" si="17"/>
        <v>43519</v>
      </c>
      <c r="I162" s="30">
        <f t="shared" si="17"/>
        <v>43936</v>
      </c>
      <c r="J162" s="30">
        <f t="shared" si="17"/>
        <v>46209</v>
      </c>
      <c r="K162" s="31">
        <f t="shared" si="17"/>
        <v>2788.4447979507654</v>
      </c>
      <c r="L162" s="31">
        <f t="shared" si="17"/>
        <v>3267.7461173990287</v>
      </c>
      <c r="M162" s="31">
        <f t="shared" si="17"/>
        <v>3534.0415340440904</v>
      </c>
      <c r="N162" s="31">
        <f t="shared" si="17"/>
        <v>3825.7573844711742</v>
      </c>
      <c r="O162" s="31">
        <f t="shared" si="17"/>
        <v>4135.4974245030198</v>
      </c>
    </row>
    <row r="163" spans="2:15" outlineLevel="1">
      <c r="F163" s="28"/>
      <c r="G163" s="28"/>
      <c r="H163" s="28"/>
      <c r="I163" s="28"/>
      <c r="J163" s="28"/>
      <c r="K163" s="29"/>
      <c r="L163" s="29"/>
      <c r="M163" s="29"/>
      <c r="N163" s="29"/>
      <c r="O163" s="29"/>
    </row>
    <row r="164" spans="2:15" outlineLevel="1">
      <c r="B164" s="1" t="s">
        <v>194</v>
      </c>
      <c r="F164" s="28"/>
      <c r="G164" s="28"/>
      <c r="H164" s="28"/>
      <c r="I164" s="28"/>
      <c r="J164" s="28"/>
      <c r="K164" s="29"/>
      <c r="L164" s="29"/>
      <c r="M164" s="29"/>
      <c r="N164" s="29"/>
      <c r="O164" s="29"/>
    </row>
    <row r="165" spans="2:15" outlineLevel="1">
      <c r="B165" s="1"/>
      <c r="C165" t="s">
        <v>195</v>
      </c>
      <c r="F165" s="32">
        <v>6702</v>
      </c>
      <c r="G165" s="32">
        <v>7035</v>
      </c>
      <c r="H165" s="32">
        <v>6886</v>
      </c>
      <c r="I165" s="32">
        <v>7342</v>
      </c>
      <c r="J165" s="32">
        <v>7831</v>
      </c>
      <c r="K165" s="29"/>
      <c r="L165" s="29"/>
      <c r="M165" s="29"/>
      <c r="N165" s="29"/>
      <c r="O165" s="29"/>
    </row>
    <row r="166" spans="2:15" outlineLevel="1">
      <c r="C166" t="s">
        <v>196</v>
      </c>
      <c r="F166" s="32">
        <v>-1297</v>
      </c>
      <c r="G166" s="32">
        <v>-1137</v>
      </c>
      <c r="H166" s="32">
        <v>-1829</v>
      </c>
      <c r="I166" s="32">
        <v>-1805</v>
      </c>
      <c r="J166" s="32">
        <v>-1828</v>
      </c>
      <c r="K166" s="29"/>
      <c r="L166" s="29"/>
      <c r="M166" s="29"/>
      <c r="N166" s="29"/>
      <c r="O166" s="29"/>
    </row>
    <row r="167" spans="2:15" outlineLevel="1">
      <c r="C167" t="s">
        <v>197</v>
      </c>
      <c r="F167" s="32">
        <v>12879</v>
      </c>
      <c r="G167" s="32">
        <v>11666</v>
      </c>
      <c r="H167" s="32">
        <v>15585</v>
      </c>
      <c r="I167" s="32">
        <v>19521</v>
      </c>
      <c r="J167" s="32">
        <v>17619</v>
      </c>
      <c r="K167" s="29"/>
      <c r="L167" s="29"/>
      <c r="M167" s="29"/>
      <c r="N167" s="29"/>
      <c r="O167" s="29"/>
    </row>
    <row r="168" spans="2:15" outlineLevel="1">
      <c r="B168" s="5" t="s">
        <v>198</v>
      </c>
      <c r="C168" s="5"/>
      <c r="D168" s="5"/>
      <c r="E168" s="5"/>
      <c r="F168" s="30">
        <f>SUM(F165:F167)</f>
        <v>18284</v>
      </c>
      <c r="G168" s="30">
        <f>SUM(G165:G167)</f>
        <v>17564</v>
      </c>
      <c r="H168" s="30">
        <f>SUM(H165:H167)</f>
        <v>20642</v>
      </c>
      <c r="I168" s="30">
        <f t="shared" ref="I168:O168" si="18">SUM(I165:I167)</f>
        <v>25058</v>
      </c>
      <c r="J168" s="30">
        <f t="shared" si="18"/>
        <v>23622</v>
      </c>
      <c r="K168" s="31">
        <f t="shared" si="18"/>
        <v>0</v>
      </c>
      <c r="L168" s="31">
        <f t="shared" si="18"/>
        <v>0</v>
      </c>
      <c r="M168" s="31">
        <f t="shared" si="18"/>
        <v>0</v>
      </c>
      <c r="N168" s="31">
        <f t="shared" si="18"/>
        <v>0</v>
      </c>
      <c r="O168" s="31">
        <f t="shared" si="18"/>
        <v>0</v>
      </c>
    </row>
    <row r="169" spans="2:15" outlineLevel="1">
      <c r="C169" t="s">
        <v>199</v>
      </c>
      <c r="F169" s="32">
        <v>421</v>
      </c>
      <c r="G169" s="32">
        <v>514</v>
      </c>
      <c r="H169" s="32">
        <v>5</v>
      </c>
      <c r="I169" s="32">
        <v>0</v>
      </c>
      <c r="J169" s="32">
        <v>0</v>
      </c>
      <c r="K169" s="29"/>
      <c r="L169" s="29"/>
      <c r="M169" s="29"/>
      <c r="N169" s="29"/>
      <c r="O169" s="29"/>
    </row>
    <row r="170" spans="2:15" outlineLevel="1">
      <c r="B170" s="5" t="s">
        <v>200</v>
      </c>
      <c r="C170" s="5"/>
      <c r="D170" s="5"/>
      <c r="E170" s="5"/>
      <c r="F170" s="30">
        <f>SUM(F168:F169)</f>
        <v>18705</v>
      </c>
      <c r="G170" s="30">
        <f t="shared" ref="G170:O170" si="19">SUM(G168:G169)</f>
        <v>18078</v>
      </c>
      <c r="H170" s="30">
        <f t="shared" si="19"/>
        <v>20647</v>
      </c>
      <c r="I170" s="30">
        <f t="shared" si="19"/>
        <v>25058</v>
      </c>
      <c r="J170" s="30">
        <f t="shared" si="19"/>
        <v>23622</v>
      </c>
      <c r="K170" s="31">
        <f t="shared" si="19"/>
        <v>0</v>
      </c>
      <c r="L170" s="31">
        <f t="shared" si="19"/>
        <v>0</v>
      </c>
      <c r="M170" s="31">
        <f t="shared" si="19"/>
        <v>0</v>
      </c>
      <c r="N170" s="31">
        <f t="shared" si="19"/>
        <v>0</v>
      </c>
      <c r="O170" s="31">
        <f t="shared" si="19"/>
        <v>0</v>
      </c>
    </row>
    <row r="171" spans="2:15" ht="15" outlineLevel="1" thickBot="1">
      <c r="B171" s="102" t="s">
        <v>201</v>
      </c>
      <c r="C171" s="33"/>
      <c r="D171" s="33"/>
      <c r="E171" s="33"/>
      <c r="F171" s="100">
        <f>SUM(F170,F162)</f>
        <v>55556</v>
      </c>
      <c r="G171" s="100">
        <f t="shared" ref="G171:O171" si="20">SUM(G170,G162)</f>
        <v>59268</v>
      </c>
      <c r="H171" s="100">
        <f t="shared" si="20"/>
        <v>64166</v>
      </c>
      <c r="I171" s="100">
        <f t="shared" si="20"/>
        <v>68994</v>
      </c>
      <c r="J171" s="100">
        <f t="shared" si="20"/>
        <v>69831</v>
      </c>
      <c r="K171" s="101">
        <f t="shared" si="20"/>
        <v>2788.4447979507654</v>
      </c>
      <c r="L171" s="101">
        <f t="shared" si="20"/>
        <v>3267.7461173990287</v>
      </c>
      <c r="M171" s="101">
        <f t="shared" si="20"/>
        <v>3534.0415340440904</v>
      </c>
      <c r="N171" s="101">
        <f t="shared" si="20"/>
        <v>3825.7573844711742</v>
      </c>
      <c r="O171" s="101">
        <f t="shared" si="20"/>
        <v>4135.4974245030198</v>
      </c>
    </row>
    <row r="172" spans="2:15" ht="15" outlineLevel="1" thickTop="1"/>
    <row r="173" spans="2:15" outlineLevel="1"/>
    <row r="174" spans="2:15" outlineLevel="1"/>
    <row r="175" spans="2:15" outlineLevel="1"/>
    <row r="176" spans="2:15" outlineLevel="1"/>
    <row r="177" spans="1:15" outlineLevel="1"/>
    <row r="178" spans="1:15" outlineLevel="1"/>
    <row r="179" spans="1:15" outlineLevel="1"/>
    <row r="180" spans="1:15" outlineLevel="1"/>
    <row r="181" spans="1:15" outlineLevel="1"/>
    <row r="183" spans="1:15">
      <c r="A183" s="115" t="s">
        <v>202</v>
      </c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</row>
    <row r="185" spans="1:15">
      <c r="B185" s="1" t="s">
        <v>203</v>
      </c>
    </row>
    <row r="186" spans="1:15">
      <c r="A186" s="2"/>
      <c r="B186" s="2" t="s">
        <v>204</v>
      </c>
      <c r="C186" s="3"/>
      <c r="D186" s="3"/>
      <c r="E186" s="4">
        <f t="shared" ref="E186:J186" si="21">F186-1</f>
        <v>2019</v>
      </c>
      <c r="F186" s="4">
        <f t="shared" si="21"/>
        <v>2020</v>
      </c>
      <c r="G186" s="4">
        <f t="shared" si="21"/>
        <v>2021</v>
      </c>
      <c r="H186" s="4">
        <f t="shared" si="21"/>
        <v>2022</v>
      </c>
      <c r="I186" s="4">
        <f t="shared" si="21"/>
        <v>2023</v>
      </c>
      <c r="J186" s="4">
        <f t="shared" si="21"/>
        <v>2024</v>
      </c>
      <c r="K186" s="7">
        <f>K$8</f>
        <v>2025</v>
      </c>
      <c r="L186" s="7">
        <f>L$8</f>
        <v>2026</v>
      </c>
      <c r="M186" s="7">
        <f>M$8</f>
        <v>2027</v>
      </c>
      <c r="N186" s="7">
        <f>N$8</f>
        <v>2028</v>
      </c>
      <c r="O186" s="7">
        <f>O$8</f>
        <v>2029</v>
      </c>
    </row>
    <row r="187" spans="1:15">
      <c r="B187" t="s">
        <v>205</v>
      </c>
      <c r="D187" t="s">
        <v>52</v>
      </c>
      <c r="E187" s="166">
        <v>53900</v>
      </c>
      <c r="F187" s="166">
        <v>58100</v>
      </c>
      <c r="G187" s="166">
        <v>61700</v>
      </c>
      <c r="H187" s="166">
        <v>65800</v>
      </c>
      <c r="I187" s="167">
        <v>71000</v>
      </c>
      <c r="J187" s="166">
        <v>76200</v>
      </c>
      <c r="K187" s="8"/>
      <c r="L187" s="8"/>
      <c r="M187" s="8"/>
      <c r="N187" s="8"/>
      <c r="O187" s="8"/>
    </row>
    <row r="188" spans="1:15">
      <c r="B188" t="s">
        <v>206</v>
      </c>
      <c r="D188" t="s">
        <v>52</v>
      </c>
      <c r="E188" s="167">
        <v>20800</v>
      </c>
      <c r="F188" s="167">
        <v>22600</v>
      </c>
      <c r="G188" s="167">
        <v>25600</v>
      </c>
      <c r="H188" s="166">
        <v>29100</v>
      </c>
      <c r="I188" s="166">
        <v>32300</v>
      </c>
      <c r="J188" s="166">
        <v>35400</v>
      </c>
      <c r="K188" s="8"/>
      <c r="L188" s="8"/>
      <c r="M188" s="8"/>
      <c r="N188" s="8"/>
      <c r="O188" s="8"/>
    </row>
    <row r="189" spans="1:15">
      <c r="B189" s="5" t="s">
        <v>207</v>
      </c>
      <c r="C189" s="5"/>
      <c r="D189" s="5" t="s">
        <v>52</v>
      </c>
      <c r="E189" s="106">
        <f t="shared" ref="E189:J189" si="22">SUM(E187:E188)</f>
        <v>74700</v>
      </c>
      <c r="F189" s="106">
        <f t="shared" si="22"/>
        <v>80700</v>
      </c>
      <c r="G189" s="106">
        <f t="shared" si="22"/>
        <v>87300</v>
      </c>
      <c r="H189" s="106">
        <f t="shared" si="22"/>
        <v>94900</v>
      </c>
      <c r="I189" s="106">
        <f t="shared" si="22"/>
        <v>103300</v>
      </c>
      <c r="J189" s="106">
        <f t="shared" si="22"/>
        <v>111600</v>
      </c>
      <c r="K189" s="105"/>
      <c r="L189" s="105"/>
      <c r="M189" s="105"/>
      <c r="N189" s="105"/>
      <c r="O189" s="105"/>
    </row>
    <row r="190" spans="1:15">
      <c r="E190" s="112"/>
      <c r="F190" s="112"/>
      <c r="G190" s="112"/>
      <c r="H190" s="112"/>
      <c r="I190" s="112"/>
      <c r="J190" s="112"/>
      <c r="K190" s="8"/>
      <c r="L190" s="8"/>
      <c r="M190" s="8"/>
      <c r="N190" s="8"/>
      <c r="O190" s="8"/>
    </row>
    <row r="191" spans="1:15">
      <c r="F191" s="111"/>
      <c r="G191" s="111"/>
      <c r="H191" s="111"/>
      <c r="I191" s="111"/>
      <c r="J191" s="111"/>
      <c r="K191" s="8"/>
      <c r="L191" s="8"/>
      <c r="M191" s="8"/>
      <c r="N191" s="8"/>
      <c r="O191" s="8"/>
    </row>
    <row r="192" spans="1:15">
      <c r="B192" t="s">
        <v>208</v>
      </c>
      <c r="D192" t="s">
        <v>209</v>
      </c>
      <c r="E192" s="167">
        <v>3352</v>
      </c>
      <c r="F192" s="104">
        <f>F60</f>
        <v>3541</v>
      </c>
      <c r="G192" s="104">
        <f>G60</f>
        <v>3877</v>
      </c>
      <c r="H192" s="104">
        <f>H60</f>
        <v>4224</v>
      </c>
      <c r="I192" s="104">
        <f>I60</f>
        <v>4580</v>
      </c>
      <c r="J192" s="104">
        <f>J60</f>
        <v>4828</v>
      </c>
      <c r="K192" s="8"/>
      <c r="L192" s="8"/>
      <c r="M192" s="8"/>
      <c r="N192" s="8"/>
      <c r="O192" s="8"/>
    </row>
    <row r="193" spans="2:15">
      <c r="B193" t="s">
        <v>210</v>
      </c>
      <c r="D193" t="s">
        <v>209</v>
      </c>
      <c r="E193" s="167">
        <v>1711</v>
      </c>
      <c r="F193" s="104">
        <f>F154</f>
        <v>1851</v>
      </c>
      <c r="G193" s="104">
        <f t="shared" ref="G193:J193" si="23">G154</f>
        <v>2042</v>
      </c>
      <c r="H193" s="104">
        <f t="shared" si="23"/>
        <v>2174</v>
      </c>
      <c r="I193" s="104">
        <f t="shared" si="23"/>
        <v>2337</v>
      </c>
      <c r="J193" s="104">
        <f t="shared" si="23"/>
        <v>2501</v>
      </c>
      <c r="K193" s="8"/>
      <c r="L193" s="8"/>
      <c r="M193" s="8"/>
      <c r="N193" s="8"/>
      <c r="O193" s="8"/>
    </row>
    <row r="194" spans="2:15">
      <c r="B194" t="s">
        <v>211</v>
      </c>
      <c r="D194" t="s">
        <v>209</v>
      </c>
      <c r="E194" s="104"/>
      <c r="F194" s="104">
        <f>F193-E193</f>
        <v>140</v>
      </c>
      <c r="G194" s="104">
        <f t="shared" ref="G194:J194" si="24">G193-F193</f>
        <v>191</v>
      </c>
      <c r="H194" s="104">
        <f t="shared" si="24"/>
        <v>132</v>
      </c>
      <c r="I194" s="104">
        <f t="shared" si="24"/>
        <v>163</v>
      </c>
      <c r="J194" s="104">
        <f t="shared" si="24"/>
        <v>164</v>
      </c>
      <c r="K194" s="8"/>
      <c r="L194" s="8"/>
      <c r="M194" s="8"/>
      <c r="N194" s="8"/>
      <c r="O194" s="8"/>
    </row>
    <row r="195" spans="2:15">
      <c r="K195" s="8"/>
      <c r="L195" s="8"/>
      <c r="M195" s="8"/>
      <c r="N195" s="8"/>
      <c r="O195" s="8"/>
    </row>
    <row r="196" spans="2:15">
      <c r="B196" t="s">
        <v>228</v>
      </c>
      <c r="D196" t="s">
        <v>209</v>
      </c>
      <c r="F196" s="167">
        <v>0</v>
      </c>
      <c r="G196" s="167">
        <v>0</v>
      </c>
      <c r="H196" s="167">
        <v>42</v>
      </c>
      <c r="I196" s="167">
        <v>76</v>
      </c>
      <c r="J196" s="167">
        <v>0</v>
      </c>
      <c r="K196" s="8"/>
      <c r="L196" s="8"/>
      <c r="M196" s="8"/>
      <c r="N196" s="8"/>
      <c r="O196" s="8"/>
    </row>
    <row r="197" spans="2:15">
      <c r="B197" s="5" t="s">
        <v>212</v>
      </c>
      <c r="C197" s="5"/>
      <c r="D197" s="5" t="s">
        <v>209</v>
      </c>
      <c r="E197" s="107"/>
      <c r="F197" s="107">
        <f>SUM(F196,F194,F192)</f>
        <v>3681</v>
      </c>
      <c r="G197" s="107">
        <f t="shared" ref="G197:J197" si="25">SUM(G196,G194,G192)</f>
        <v>4068</v>
      </c>
      <c r="H197" s="107">
        <f t="shared" si="25"/>
        <v>4398</v>
      </c>
      <c r="I197" s="107">
        <f t="shared" si="25"/>
        <v>4819</v>
      </c>
      <c r="J197" s="107">
        <f t="shared" si="25"/>
        <v>4992</v>
      </c>
      <c r="K197" s="105"/>
      <c r="L197" s="105"/>
      <c r="M197" s="105"/>
      <c r="N197" s="105"/>
      <c r="O197" s="105"/>
    </row>
    <row r="198" spans="2:15">
      <c r="K198" s="8"/>
      <c r="L198" s="8"/>
      <c r="M198" s="8"/>
      <c r="N198" s="8"/>
      <c r="O198" s="8"/>
    </row>
    <row r="199" spans="2:15">
      <c r="B199" t="s">
        <v>213</v>
      </c>
      <c r="D199" t="s">
        <v>217</v>
      </c>
      <c r="F199" s="108">
        <f>F193/F197</f>
        <v>0.50285248573757135</v>
      </c>
      <c r="G199" s="108">
        <f>G193/G197</f>
        <v>0.50196656833824971</v>
      </c>
      <c r="H199" s="108">
        <f>H193/H197</f>
        <v>0.49431559799909047</v>
      </c>
      <c r="I199" s="108">
        <f>I193/I197</f>
        <v>0.48495538493463375</v>
      </c>
      <c r="J199" s="108">
        <f>J193/J197</f>
        <v>0.50100160256410253</v>
      </c>
      <c r="K199" s="8"/>
      <c r="L199" s="8"/>
      <c r="M199" s="8"/>
      <c r="N199" s="8"/>
      <c r="O199" s="8"/>
    </row>
    <row r="200" spans="2:15">
      <c r="B200" t="s">
        <v>214</v>
      </c>
      <c r="D200" t="s">
        <v>217</v>
      </c>
      <c r="J200" s="109">
        <f>AVERAGE(F199:J199)</f>
        <v>0.49701832791472961</v>
      </c>
      <c r="K200" s="8"/>
      <c r="L200" s="8"/>
      <c r="M200" s="8"/>
      <c r="N200" s="8"/>
      <c r="O200" s="8"/>
    </row>
    <row r="201" spans="2:15">
      <c r="F201" s="108"/>
      <c r="G201" s="108"/>
      <c r="H201" s="108"/>
      <c r="I201" s="108"/>
      <c r="J201" s="108"/>
      <c r="K201" s="8"/>
      <c r="L201" s="8"/>
      <c r="M201" s="8"/>
      <c r="N201" s="8"/>
      <c r="O201" s="8"/>
    </row>
    <row r="202" spans="2:15">
      <c r="B202" t="s">
        <v>215</v>
      </c>
      <c r="D202" t="s">
        <v>52</v>
      </c>
      <c r="E202" s="32">
        <v>72800</v>
      </c>
      <c r="F202" s="28">
        <f>(F189+E189)/2</f>
        <v>77700</v>
      </c>
      <c r="G202" s="28">
        <f t="shared" ref="G202:J202" si="26">(G189+F189)/2</f>
        <v>84000</v>
      </c>
      <c r="H202" s="28">
        <f t="shared" si="26"/>
        <v>91100</v>
      </c>
      <c r="I202" s="28">
        <f t="shared" si="26"/>
        <v>99100</v>
      </c>
      <c r="J202" s="28">
        <f t="shared" si="26"/>
        <v>107450</v>
      </c>
      <c r="K202" s="8"/>
      <c r="L202" s="8"/>
      <c r="M202" s="8"/>
      <c r="N202" s="8"/>
      <c r="O202" s="8"/>
    </row>
    <row r="203" spans="2:15">
      <c r="B203" s="5" t="s">
        <v>216</v>
      </c>
      <c r="C203" s="5"/>
      <c r="D203" s="5" t="s">
        <v>53</v>
      </c>
      <c r="E203" s="110"/>
      <c r="F203" s="110">
        <f>(F197*1000)/F202</f>
        <v>47.374517374517374</v>
      </c>
      <c r="G203" s="110">
        <f>(G197*1000)/G202</f>
        <v>48.428571428571431</v>
      </c>
      <c r="H203" s="110">
        <f>(H197*1000)/H202</f>
        <v>48.276619099890233</v>
      </c>
      <c r="I203" s="110">
        <f>(I197*1000)/I202</f>
        <v>48.627648839556002</v>
      </c>
      <c r="J203" s="110">
        <f>(J197*1000)/J202</f>
        <v>46.458818054909258</v>
      </c>
      <c r="K203" s="105"/>
      <c r="L203" s="105"/>
      <c r="M203" s="105"/>
      <c r="N203" s="105"/>
      <c r="O203" s="105"/>
    </row>
    <row r="204" spans="2:15">
      <c r="B204" t="s">
        <v>218</v>
      </c>
      <c r="D204" t="s">
        <v>217</v>
      </c>
      <c r="E204" s="108"/>
      <c r="F204" s="108"/>
      <c r="G204" s="108">
        <f>(G203/F203)-1</f>
        <v>2.2249388753056376E-2</v>
      </c>
      <c r="H204" s="108">
        <f>(H203/G203)-1</f>
        <v>-3.1376587043314697E-3</v>
      </c>
      <c r="I204" s="108">
        <f>(I203/H203)-1</f>
        <v>7.2712162991248608E-3</v>
      </c>
      <c r="J204" s="108">
        <f>(J203/I203)-1</f>
        <v>-4.4600774176902336E-2</v>
      </c>
      <c r="K204" s="8"/>
      <c r="L204" s="8"/>
      <c r="M204" s="8"/>
      <c r="N204" s="8"/>
      <c r="O204" s="8"/>
    </row>
    <row r="205" spans="2:15">
      <c r="K205" s="8"/>
      <c r="L205" s="8"/>
      <c r="M205" s="8"/>
      <c r="N205" s="8"/>
      <c r="O205" s="8"/>
    </row>
    <row r="206" spans="2:15">
      <c r="B206" t="s">
        <v>229</v>
      </c>
      <c r="D206" t="s">
        <v>217</v>
      </c>
      <c r="I206" s="108"/>
      <c r="J206" s="108">
        <f>(I203/F203)^0.03333 -1</f>
        <v>8.7055166095661995E-4</v>
      </c>
      <c r="K206" s="8"/>
      <c r="L206" s="8"/>
      <c r="M206" s="8"/>
      <c r="N206" s="8"/>
      <c r="O206" s="8"/>
    </row>
    <row r="207" spans="2:15">
      <c r="B207" t="s">
        <v>230</v>
      </c>
      <c r="D207" t="s">
        <v>217</v>
      </c>
      <c r="J207" s="168">
        <v>8.3299999999999999E-2</v>
      </c>
      <c r="K207" s="8"/>
      <c r="L207" s="8"/>
      <c r="M207" s="8"/>
      <c r="N207" s="8"/>
      <c r="O207" s="8"/>
    </row>
    <row r="208" spans="2:15">
      <c r="B208" t="s">
        <v>231</v>
      </c>
      <c r="D208" t="s">
        <v>53</v>
      </c>
      <c r="I208" s="109"/>
      <c r="K208" s="162">
        <f>J203*(1+$J$206)</f>
        <v>46.499262856133043</v>
      </c>
      <c r="L208" s="161">
        <f>K208*(1+$J$206)*(1+J207)</f>
        <v>50.416503447437293</v>
      </c>
      <c r="M208" s="161">
        <f>L208*(1+$J$206)</f>
        <v>50.460393618253086</v>
      </c>
      <c r="N208" s="161">
        <f>M208*(1+$J$206)</f>
        <v>50.504321997729981</v>
      </c>
      <c r="O208" s="161">
        <f>N208*(1+$J$206)</f>
        <v>50.548288619130595</v>
      </c>
    </row>
    <row r="209" spans="2:15">
      <c r="K209" s="8"/>
      <c r="L209" s="8"/>
      <c r="M209" s="8"/>
      <c r="N209" s="8"/>
      <c r="O209" s="8"/>
    </row>
    <row r="210" spans="2:15">
      <c r="B210" s="2" t="s">
        <v>232</v>
      </c>
      <c r="C210" s="3"/>
      <c r="D210" s="3"/>
      <c r="E210" s="3"/>
      <c r="F210" s="3"/>
      <c r="G210" s="3"/>
      <c r="H210" s="3"/>
      <c r="I210" s="3"/>
      <c r="J210" s="3"/>
      <c r="K210" s="113"/>
      <c r="L210" s="113"/>
      <c r="M210" s="113"/>
      <c r="N210" s="113"/>
      <c r="O210" s="113"/>
    </row>
    <row r="211" spans="2:15">
      <c r="B211" t="s">
        <v>235</v>
      </c>
      <c r="D211" t="s">
        <v>233</v>
      </c>
      <c r="F211">
        <f>E213</f>
        <v>782</v>
      </c>
      <c r="G211">
        <f t="shared" ref="G211:O211" si="27">F213</f>
        <v>795</v>
      </c>
      <c r="H211">
        <f t="shared" si="27"/>
        <v>815</v>
      </c>
      <c r="I211">
        <f t="shared" si="27"/>
        <v>838</v>
      </c>
      <c r="J211">
        <f t="shared" si="27"/>
        <v>861</v>
      </c>
      <c r="K211" s="8">
        <f t="shared" si="27"/>
        <v>890</v>
      </c>
      <c r="L211" s="8">
        <f t="shared" si="27"/>
        <v>912</v>
      </c>
      <c r="M211" s="8">
        <f t="shared" si="27"/>
        <v>934</v>
      </c>
      <c r="N211" s="8">
        <f t="shared" si="27"/>
        <v>956</v>
      </c>
      <c r="O211" s="8">
        <f t="shared" si="27"/>
        <v>978</v>
      </c>
    </row>
    <row r="212" spans="2:15">
      <c r="B212" t="s">
        <v>236</v>
      </c>
      <c r="D212" t="s">
        <v>233</v>
      </c>
      <c r="F212" s="167">
        <v>13</v>
      </c>
      <c r="G212" s="167">
        <v>20</v>
      </c>
      <c r="H212" s="167">
        <v>23</v>
      </c>
      <c r="I212" s="167">
        <v>23</v>
      </c>
      <c r="J212" s="167">
        <v>29</v>
      </c>
      <c r="K212" s="8">
        <f>K12</f>
        <v>22</v>
      </c>
      <c r="L212" s="8">
        <f>L12</f>
        <v>22</v>
      </c>
      <c r="M212" s="8">
        <f>M12</f>
        <v>22</v>
      </c>
      <c r="N212" s="8">
        <f>N12</f>
        <v>22</v>
      </c>
      <c r="O212" s="8">
        <f>O12</f>
        <v>22</v>
      </c>
    </row>
    <row r="213" spans="2:15">
      <c r="B213" s="5" t="s">
        <v>234</v>
      </c>
      <c r="C213" s="5"/>
      <c r="D213" s="5" t="s">
        <v>233</v>
      </c>
      <c r="E213" s="169">
        <v>782</v>
      </c>
      <c r="F213" s="5">
        <f>F212+F211</f>
        <v>795</v>
      </c>
      <c r="G213" s="5">
        <f t="shared" ref="G213:O213" si="28">G212+G211</f>
        <v>815</v>
      </c>
      <c r="H213" s="5">
        <f t="shared" si="28"/>
        <v>838</v>
      </c>
      <c r="I213" s="5">
        <f t="shared" si="28"/>
        <v>861</v>
      </c>
      <c r="J213" s="5">
        <f t="shared" si="28"/>
        <v>890</v>
      </c>
      <c r="K213" s="105">
        <f t="shared" si="28"/>
        <v>912</v>
      </c>
      <c r="L213" s="105">
        <f t="shared" si="28"/>
        <v>934</v>
      </c>
      <c r="M213" s="105">
        <f t="shared" si="28"/>
        <v>956</v>
      </c>
      <c r="N213" s="105">
        <f t="shared" si="28"/>
        <v>978</v>
      </c>
      <c r="O213" s="105">
        <f t="shared" si="28"/>
        <v>1000</v>
      </c>
    </row>
    <row r="214" spans="2:15">
      <c r="K214" s="8"/>
      <c r="L214" s="8"/>
      <c r="M214" s="8"/>
      <c r="N214" s="8"/>
      <c r="O214" s="8"/>
    </row>
    <row r="215" spans="2:15">
      <c r="B215" t="s">
        <v>238</v>
      </c>
      <c r="D215" t="s">
        <v>217</v>
      </c>
      <c r="F215" s="108">
        <f>F212/F211/2</f>
        <v>8.3120204603580571E-3</v>
      </c>
      <c r="G215" s="108">
        <f t="shared" ref="G215:O215" si="29">G212/G211/2</f>
        <v>1.2578616352201259E-2</v>
      </c>
      <c r="H215" s="108">
        <f t="shared" si="29"/>
        <v>1.4110429447852761E-2</v>
      </c>
      <c r="I215" s="108">
        <f t="shared" si="29"/>
        <v>1.3723150357995227E-2</v>
      </c>
      <c r="J215" s="108">
        <f t="shared" si="29"/>
        <v>1.6840882694541232E-2</v>
      </c>
      <c r="K215" s="114">
        <f t="shared" si="29"/>
        <v>1.2359550561797753E-2</v>
      </c>
      <c r="L215" s="114">
        <f t="shared" si="29"/>
        <v>1.2061403508771929E-2</v>
      </c>
      <c r="M215" s="114">
        <f t="shared" si="29"/>
        <v>1.1777301927194861E-2</v>
      </c>
      <c r="N215" s="114">
        <f t="shared" si="29"/>
        <v>1.1506276150627616E-2</v>
      </c>
      <c r="O215" s="114">
        <f t="shared" si="29"/>
        <v>1.1247443762781187E-2</v>
      </c>
    </row>
    <row r="216" spans="2:15">
      <c r="K216" s="8"/>
      <c r="L216" s="8"/>
      <c r="M216" s="8"/>
      <c r="N216" s="8"/>
      <c r="O216" s="8"/>
    </row>
    <row r="217" spans="2:15">
      <c r="B217" t="s">
        <v>239</v>
      </c>
      <c r="D217" t="s">
        <v>217</v>
      </c>
      <c r="F217" s="108">
        <f>F202/E202-1</f>
        <v>6.7307692307692291E-2</v>
      </c>
      <c r="G217" s="108">
        <f t="shared" ref="G217:J217" si="30">G202/F202-1</f>
        <v>8.1081081081081141E-2</v>
      </c>
      <c r="H217" s="108">
        <f t="shared" si="30"/>
        <v>8.4523809523809446E-2</v>
      </c>
      <c r="I217" s="108">
        <f t="shared" si="30"/>
        <v>8.7815587266739881E-2</v>
      </c>
      <c r="J217" s="108">
        <f t="shared" si="30"/>
        <v>8.425832492431895E-2</v>
      </c>
      <c r="K217" s="8"/>
      <c r="L217" s="8"/>
      <c r="M217" s="8"/>
      <c r="N217" s="8"/>
      <c r="O217" s="8"/>
    </row>
    <row r="218" spans="2:15">
      <c r="B218" s="5" t="s">
        <v>240</v>
      </c>
      <c r="C218" s="5"/>
      <c r="D218" s="5" t="s">
        <v>217</v>
      </c>
      <c r="E218" s="5"/>
      <c r="F218" s="157">
        <f>(1+F217)/(1+F215) -1</f>
        <v>5.8509341007755733E-2</v>
      </c>
      <c r="G218" s="157">
        <f t="shared" ref="G218:J218" si="31">(1+G217)/(1+G215) -1</f>
        <v>6.765150243411111E-2</v>
      </c>
      <c r="H218" s="157">
        <f t="shared" si="31"/>
        <v>6.9433641575202376E-2</v>
      </c>
      <c r="I218" s="157">
        <f t="shared" si="31"/>
        <v>7.3089419811098288E-2</v>
      </c>
      <c r="J218" s="157">
        <f t="shared" si="31"/>
        <v>6.6300876938707676E-2</v>
      </c>
      <c r="K218" s="105"/>
      <c r="L218" s="105"/>
      <c r="M218" s="105"/>
      <c r="N218" s="105"/>
      <c r="O218" s="105"/>
    </row>
    <row r="219" spans="2:15">
      <c r="K219" s="8"/>
      <c r="L219" s="8"/>
      <c r="M219" s="8"/>
      <c r="N219" s="8"/>
      <c r="O219" s="8"/>
    </row>
    <row r="220" spans="2:15">
      <c r="B220" t="s">
        <v>241</v>
      </c>
      <c r="D220" t="s">
        <v>245</v>
      </c>
      <c r="F220">
        <f>F6</f>
        <v>364</v>
      </c>
      <c r="G220">
        <f t="shared" ref="G220:O220" si="32">G6</f>
        <v>364</v>
      </c>
      <c r="H220">
        <f t="shared" si="32"/>
        <v>364</v>
      </c>
      <c r="I220">
        <f t="shared" si="32"/>
        <v>371</v>
      </c>
      <c r="J220">
        <f t="shared" si="32"/>
        <v>364</v>
      </c>
      <c r="K220" s="8">
        <f t="shared" si="32"/>
        <v>364</v>
      </c>
      <c r="L220" s="8">
        <f t="shared" si="32"/>
        <v>364</v>
      </c>
      <c r="M220" s="8">
        <f t="shared" si="32"/>
        <v>364</v>
      </c>
      <c r="N220" s="8">
        <f t="shared" si="32"/>
        <v>371</v>
      </c>
      <c r="O220" s="8">
        <f t="shared" si="32"/>
        <v>364</v>
      </c>
    </row>
    <row r="221" spans="2:15">
      <c r="B221" t="s">
        <v>242</v>
      </c>
      <c r="D221" t="s">
        <v>217</v>
      </c>
      <c r="F221" s="108">
        <f>IF(F220=364,F218,(F218/371)*364)</f>
        <v>5.8509341007755733E-2</v>
      </c>
      <c r="G221" s="108">
        <f t="shared" ref="G221:O221" si="33">IF(G220=364,G218,(G218/371)*364)</f>
        <v>6.765150243411111E-2</v>
      </c>
      <c r="H221" s="108">
        <f t="shared" si="33"/>
        <v>6.9433641575202376E-2</v>
      </c>
      <c r="I221" s="108">
        <f t="shared" si="33"/>
        <v>7.1710374154285106E-2</v>
      </c>
      <c r="J221" s="108">
        <f t="shared" si="33"/>
        <v>6.6300876938707676E-2</v>
      </c>
      <c r="K221" s="114">
        <f t="shared" si="33"/>
        <v>0</v>
      </c>
      <c r="L221" s="114">
        <f t="shared" si="33"/>
        <v>0</v>
      </c>
      <c r="M221" s="114">
        <f t="shared" si="33"/>
        <v>0</v>
      </c>
      <c r="N221" s="114">
        <f t="shared" si="33"/>
        <v>0</v>
      </c>
      <c r="O221" s="114">
        <f t="shared" si="33"/>
        <v>0</v>
      </c>
    </row>
    <row r="222" spans="2:15">
      <c r="B222" t="s">
        <v>243</v>
      </c>
      <c r="D222" t="s">
        <v>217</v>
      </c>
      <c r="J222" s="109">
        <f>AVERAGE(G221:J221)</f>
        <v>6.8774098775576567E-2</v>
      </c>
      <c r="K222" s="159">
        <f>IF(K220=364,$J$222,($J$222*371)/364)</f>
        <v>6.8774098775576567E-2</v>
      </c>
      <c r="L222" s="159">
        <f t="shared" ref="L222:O222" si="34">IF(L220=364,$J$222,($J$222*371)/364)</f>
        <v>6.8774098775576567E-2</v>
      </c>
      <c r="M222" s="159">
        <f t="shared" si="34"/>
        <v>6.8774098775576567E-2</v>
      </c>
      <c r="N222" s="159">
        <f t="shared" si="34"/>
        <v>7.0096677598183804E-2</v>
      </c>
      <c r="O222" s="159">
        <f t="shared" si="34"/>
        <v>6.8774098775576567E-2</v>
      </c>
    </row>
    <row r="223" spans="2:15">
      <c r="B223" s="5" t="s">
        <v>244</v>
      </c>
      <c r="C223" s="5"/>
      <c r="D223" s="5" t="s">
        <v>217</v>
      </c>
      <c r="E223" s="5"/>
      <c r="F223" s="5"/>
      <c r="G223" s="5"/>
      <c r="H223" s="5"/>
      <c r="I223" s="5"/>
      <c r="J223" s="5"/>
      <c r="K223" s="160">
        <f>K215+K222</f>
        <v>8.1133649337374325E-2</v>
      </c>
      <c r="L223" s="160">
        <f t="shared" ref="L223:O223" si="35">L215+L222</f>
        <v>8.0835502284348493E-2</v>
      </c>
      <c r="M223" s="160">
        <f t="shared" si="35"/>
        <v>8.0551400702771433E-2</v>
      </c>
      <c r="N223" s="160">
        <f t="shared" si="35"/>
        <v>8.1602953748811421E-2</v>
      </c>
      <c r="O223" s="160">
        <f t="shared" si="35"/>
        <v>8.0021542538357748E-2</v>
      </c>
    </row>
    <row r="224" spans="2:15">
      <c r="K224" s="8"/>
      <c r="L224" s="8"/>
      <c r="M224" s="8"/>
      <c r="N224" s="8"/>
      <c r="O224" s="8"/>
    </row>
    <row r="225" spans="1:15">
      <c r="A225" t="s">
        <v>247</v>
      </c>
      <c r="B225" t="s">
        <v>246</v>
      </c>
      <c r="D225" t="s">
        <v>52</v>
      </c>
      <c r="J225" s="12">
        <f>J189</f>
        <v>111600</v>
      </c>
      <c r="K225" s="29">
        <f>J225*(1+K223)</f>
        <v>120654.51526605099</v>
      </c>
      <c r="L225" s="29">
        <f t="shared" ref="L225:O225" si="36">K225*(1+L223)</f>
        <v>130407.68361045682</v>
      </c>
      <c r="M225" s="29">
        <f t="shared" si="36"/>
        <v>140912.20518768296</v>
      </c>
      <c r="N225" s="29">
        <f t="shared" si="36"/>
        <v>152411.05735025648</v>
      </c>
      <c r="O225" s="29">
        <f t="shared" si="36"/>
        <v>164607.22525932611</v>
      </c>
    </row>
    <row r="226" spans="1:15">
      <c r="A226" t="s">
        <v>248</v>
      </c>
      <c r="D226" t="s">
        <v>53</v>
      </c>
      <c r="K226" s="161">
        <f>K208</f>
        <v>46.499262856133043</v>
      </c>
      <c r="L226" s="161">
        <f t="shared" ref="L226:O226" si="37">L208</f>
        <v>50.416503447437293</v>
      </c>
      <c r="M226" s="161">
        <f t="shared" si="37"/>
        <v>50.460393618253086</v>
      </c>
      <c r="N226" s="161">
        <f t="shared" si="37"/>
        <v>50.504321997729981</v>
      </c>
      <c r="O226" s="161">
        <f t="shared" si="37"/>
        <v>50.548288619130595</v>
      </c>
    </row>
    <row r="227" spans="1:15">
      <c r="B227" s="5" t="s">
        <v>249</v>
      </c>
      <c r="C227" s="5"/>
      <c r="D227" s="5" t="s">
        <v>209</v>
      </c>
      <c r="E227" s="5"/>
      <c r="F227" s="5"/>
      <c r="G227" s="5"/>
      <c r="H227" s="5"/>
      <c r="I227" s="5"/>
      <c r="J227" s="5"/>
      <c r="K227" s="163">
        <f>(K225/1000)*K226</f>
        <v>5610.3460201354219</v>
      </c>
      <c r="L227" s="163">
        <f t="shared" ref="L227:O227" si="38">(L225/1000)*L226</f>
        <v>6574.6994303189076</v>
      </c>
      <c r="M227" s="163">
        <f t="shared" si="38"/>
        <v>7110.4853393865269</v>
      </c>
      <c r="N227" s="163">
        <f t="shared" si="38"/>
        <v>7697.4171164318432</v>
      </c>
      <c r="O227" s="163">
        <f t="shared" si="38"/>
        <v>8320.6135312026599</v>
      </c>
    </row>
    <row r="228" spans="1:15">
      <c r="K228" s="8"/>
      <c r="L228" s="8"/>
      <c r="M228" s="8"/>
      <c r="N228" s="8"/>
      <c r="O228" s="8"/>
    </row>
    <row r="229" spans="1:15">
      <c r="B229" t="s">
        <v>250</v>
      </c>
      <c r="D229" t="s">
        <v>209</v>
      </c>
      <c r="J229" s="104">
        <f>J193</f>
        <v>2501</v>
      </c>
      <c r="K229" s="164">
        <f>K227*$J$200</f>
        <v>2788.4447979507654</v>
      </c>
      <c r="L229" s="164">
        <f t="shared" ref="L229:O229" si="39">L227*$J$200</f>
        <v>3267.7461173990287</v>
      </c>
      <c r="M229" s="164">
        <f t="shared" si="39"/>
        <v>3534.0415340440904</v>
      </c>
      <c r="N229" s="164">
        <f t="shared" si="39"/>
        <v>3825.7573844711742</v>
      </c>
      <c r="O229" s="164">
        <f t="shared" si="39"/>
        <v>4135.4974245030198</v>
      </c>
    </row>
    <row r="230" spans="1:15">
      <c r="B230" t="s">
        <v>251</v>
      </c>
      <c r="D230" t="s">
        <v>209</v>
      </c>
      <c r="K230" s="164">
        <f>K229-J229</f>
        <v>287.44479795076541</v>
      </c>
      <c r="L230" s="164">
        <f t="shared" ref="L230:O230" si="40">L229-K229</f>
        <v>479.30131944826326</v>
      </c>
      <c r="M230" s="164">
        <f t="shared" si="40"/>
        <v>266.29541664506178</v>
      </c>
      <c r="N230" s="164">
        <f t="shared" si="40"/>
        <v>291.71585042708375</v>
      </c>
      <c r="O230" s="164">
        <f t="shared" si="40"/>
        <v>309.74004003184564</v>
      </c>
    </row>
    <row r="231" spans="1:15" ht="15" thickBot="1">
      <c r="B231" s="33" t="s">
        <v>252</v>
      </c>
      <c r="C231" s="33"/>
      <c r="D231" s="33" t="s">
        <v>209</v>
      </c>
      <c r="E231" s="33"/>
      <c r="F231" s="33"/>
      <c r="G231" s="33"/>
      <c r="H231" s="33"/>
      <c r="I231" s="33"/>
      <c r="J231" s="33"/>
      <c r="K231" s="165">
        <f>K227-K230</f>
        <v>5322.9012221846569</v>
      </c>
      <c r="L231" s="165">
        <f t="shared" ref="L231:O231" si="41">L227-L230</f>
        <v>6095.3981108706448</v>
      </c>
      <c r="M231" s="165">
        <f t="shared" si="41"/>
        <v>6844.1899227414651</v>
      </c>
      <c r="N231" s="165">
        <f t="shared" si="41"/>
        <v>7405.7012660047594</v>
      </c>
      <c r="O231" s="165">
        <f t="shared" si="41"/>
        <v>8010.8734911708143</v>
      </c>
    </row>
    <row r="232" spans="1:15" ht="15" thickTop="1">
      <c r="K232" s="8"/>
      <c r="L232" s="8"/>
      <c r="M232" s="8"/>
      <c r="N232" s="8"/>
      <c r="O232" s="8"/>
    </row>
  </sheetData>
  <mergeCells count="6">
    <mergeCell ref="A183:O183"/>
    <mergeCell ref="A2:O2"/>
    <mergeCell ref="A3:O3"/>
    <mergeCell ref="A55:O55"/>
    <mergeCell ref="A90:O90"/>
    <mergeCell ref="A133:O13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3</xdr:col>
                    <xdr:colOff>6350</xdr:colOff>
                    <xdr:row>8</xdr:row>
                    <xdr:rowOff>177800</xdr:rowOff>
                  </from>
                  <to>
                    <xdr:col>4</xdr:col>
                    <xdr:colOff>298450</xdr:colOff>
                    <xdr:row>10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E1E4-963E-4FB9-BA5C-73609344D4AF}">
  <dimension ref="G5:G13"/>
  <sheetViews>
    <sheetView workbookViewId="0">
      <selection activeCell="G5" sqref="G5"/>
    </sheetView>
  </sheetViews>
  <sheetFormatPr defaultRowHeight="14.5"/>
  <sheetData>
    <row r="5" spans="7:7">
      <c r="G5" t="s">
        <v>219</v>
      </c>
    </row>
    <row r="6" spans="7:7">
      <c r="G6" t="s">
        <v>220</v>
      </c>
    </row>
    <row r="7" spans="7:7">
      <c r="G7" t="s">
        <v>221</v>
      </c>
    </row>
    <row r="8" spans="7:7">
      <c r="G8" t="s">
        <v>222</v>
      </c>
    </row>
    <row r="9" spans="7:7">
      <c r="G9" t="s">
        <v>223</v>
      </c>
    </row>
    <row r="10" spans="7:7">
      <c r="G10" t="s">
        <v>224</v>
      </c>
    </row>
    <row r="11" spans="7:7">
      <c r="G11" t="s">
        <v>225</v>
      </c>
    </row>
    <row r="12" spans="7:7">
      <c r="G12" t="s">
        <v>227</v>
      </c>
    </row>
    <row r="13" spans="7:7">
      <c r="G13" t="s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F23A-4F0A-4D19-A66C-67D3B2635F28}">
  <dimension ref="A2:U24"/>
  <sheetViews>
    <sheetView workbookViewId="0">
      <selection activeCell="E24" sqref="E24"/>
    </sheetView>
  </sheetViews>
  <sheetFormatPr defaultRowHeight="14.5"/>
  <sheetData>
    <row r="2" spans="1:21" ht="15" thickBot="1">
      <c r="D2">
        <v>2022</v>
      </c>
      <c r="E2">
        <v>2021</v>
      </c>
      <c r="F2">
        <v>2020</v>
      </c>
      <c r="G2" t="s">
        <v>50</v>
      </c>
      <c r="K2">
        <v>2024</v>
      </c>
      <c r="L2">
        <v>2023</v>
      </c>
      <c r="M2">
        <v>2022</v>
      </c>
      <c r="Q2">
        <v>2020</v>
      </c>
      <c r="R2">
        <v>2021</v>
      </c>
      <c r="S2">
        <v>2022</v>
      </c>
      <c r="T2">
        <v>2023</v>
      </c>
      <c r="U2">
        <v>2024</v>
      </c>
    </row>
    <row r="3" spans="1:21" ht="18.5">
      <c r="A3" s="124" t="s">
        <v>32</v>
      </c>
      <c r="B3" s="124"/>
      <c r="C3" s="124"/>
      <c r="D3" s="17"/>
      <c r="E3" s="17"/>
      <c r="F3" s="17"/>
      <c r="H3" s="124" t="s">
        <v>32</v>
      </c>
      <c r="I3" s="124"/>
      <c r="J3" s="124"/>
      <c r="K3" s="17"/>
      <c r="L3" s="17"/>
      <c r="M3" s="17"/>
    </row>
    <row r="4" spans="1:21">
      <c r="A4" s="119" t="s">
        <v>33</v>
      </c>
      <c r="B4" s="119"/>
      <c r="C4" s="119"/>
      <c r="D4" s="23">
        <v>222730</v>
      </c>
      <c r="E4" s="23">
        <v>192052</v>
      </c>
      <c r="F4" s="23">
        <v>163220</v>
      </c>
      <c r="G4" s="15">
        <f>D4-M4</f>
        <v>0</v>
      </c>
      <c r="H4" s="119" t="s">
        <v>33</v>
      </c>
      <c r="I4" s="119"/>
      <c r="J4" s="119"/>
      <c r="K4" s="23">
        <v>249625</v>
      </c>
      <c r="L4" s="23">
        <v>237710</v>
      </c>
      <c r="M4" s="23">
        <v>222730</v>
      </c>
      <c r="Q4">
        <v>163220</v>
      </c>
      <c r="R4">
        <v>192052</v>
      </c>
      <c r="S4">
        <v>222730</v>
      </c>
      <c r="T4">
        <v>237710</v>
      </c>
      <c r="U4">
        <v>249625</v>
      </c>
    </row>
    <row r="5" spans="1:21" ht="15" thickBot="1">
      <c r="A5" s="120" t="s">
        <v>13</v>
      </c>
      <c r="B5" s="120"/>
      <c r="C5" s="120"/>
      <c r="D5" s="24">
        <v>4224</v>
      </c>
      <c r="E5" s="24">
        <v>3877</v>
      </c>
      <c r="F5" s="24">
        <v>3541</v>
      </c>
      <c r="G5" s="15">
        <f t="shared" ref="G5:G24" si="0">D5-M5</f>
        <v>0</v>
      </c>
      <c r="H5" s="120" t="s">
        <v>13</v>
      </c>
      <c r="I5" s="120"/>
      <c r="J5" s="120"/>
      <c r="K5" s="24">
        <v>4828</v>
      </c>
      <c r="L5" s="24">
        <v>4580</v>
      </c>
      <c r="M5" s="24">
        <v>4224</v>
      </c>
      <c r="Q5">
        <v>3541</v>
      </c>
      <c r="R5">
        <v>3877</v>
      </c>
      <c r="S5">
        <v>4224</v>
      </c>
      <c r="T5">
        <v>4580</v>
      </c>
      <c r="U5">
        <v>4828</v>
      </c>
    </row>
    <row r="6" spans="1:21">
      <c r="A6" s="117" t="s">
        <v>34</v>
      </c>
      <c r="B6" s="117"/>
      <c r="C6" s="117"/>
      <c r="D6" s="25">
        <v>226954</v>
      </c>
      <c r="E6" s="25">
        <v>195929</v>
      </c>
      <c r="F6" s="25">
        <v>166761</v>
      </c>
      <c r="G6" s="15">
        <f t="shared" si="0"/>
        <v>0</v>
      </c>
      <c r="H6" s="117" t="s">
        <v>34</v>
      </c>
      <c r="I6" s="117"/>
      <c r="J6" s="117"/>
      <c r="K6" s="25">
        <v>254453</v>
      </c>
      <c r="L6" s="25">
        <v>242290</v>
      </c>
      <c r="M6" s="25">
        <v>226954</v>
      </c>
      <c r="Q6">
        <v>166761</v>
      </c>
      <c r="R6">
        <v>195929</v>
      </c>
      <c r="S6">
        <v>226954</v>
      </c>
      <c r="T6">
        <v>242290</v>
      </c>
      <c r="U6">
        <v>254453</v>
      </c>
    </row>
    <row r="7" spans="1:21" ht="18.5">
      <c r="A7" s="124" t="s">
        <v>35</v>
      </c>
      <c r="B7" s="124"/>
      <c r="C7" s="124"/>
      <c r="D7" s="16"/>
      <c r="E7" s="16"/>
      <c r="F7" s="16"/>
      <c r="G7" s="15">
        <f t="shared" si="0"/>
        <v>0</v>
      </c>
      <c r="H7" s="124" t="s">
        <v>35</v>
      </c>
      <c r="I7" s="124"/>
      <c r="J7" s="124"/>
      <c r="K7" s="16"/>
      <c r="L7" s="16"/>
      <c r="M7" s="16"/>
    </row>
    <row r="8" spans="1:21">
      <c r="A8" s="119" t="s">
        <v>36</v>
      </c>
      <c r="B8" s="119"/>
      <c r="C8" s="119"/>
      <c r="D8" s="26">
        <v>199382</v>
      </c>
      <c r="E8" s="26">
        <v>170684</v>
      </c>
      <c r="F8" s="26">
        <v>144939</v>
      </c>
      <c r="G8" s="15">
        <f t="shared" si="0"/>
        <v>0</v>
      </c>
      <c r="H8" s="119" t="s">
        <v>36</v>
      </c>
      <c r="I8" s="119"/>
      <c r="J8" s="119"/>
      <c r="K8" s="26">
        <v>222358</v>
      </c>
      <c r="L8" s="26">
        <v>212586</v>
      </c>
      <c r="M8" s="26">
        <v>199382</v>
      </c>
      <c r="Q8">
        <v>144939</v>
      </c>
      <c r="R8">
        <v>170684</v>
      </c>
      <c r="S8">
        <v>199382</v>
      </c>
      <c r="T8">
        <v>212586</v>
      </c>
      <c r="U8">
        <v>222358</v>
      </c>
    </row>
    <row r="9" spans="1:21" ht="15" thickBot="1">
      <c r="A9" s="120" t="s">
        <v>37</v>
      </c>
      <c r="B9" s="120"/>
      <c r="C9" s="120"/>
      <c r="D9" s="24">
        <v>19779</v>
      </c>
      <c r="E9" s="24">
        <v>18537</v>
      </c>
      <c r="F9" s="24">
        <v>16387</v>
      </c>
      <c r="G9" s="15">
        <f t="shared" si="0"/>
        <v>0</v>
      </c>
      <c r="H9" s="120" t="s">
        <v>37</v>
      </c>
      <c r="I9" s="120"/>
      <c r="J9" s="120"/>
      <c r="K9" s="24">
        <v>22810</v>
      </c>
      <c r="L9" s="24">
        <v>21590</v>
      </c>
      <c r="M9" s="24">
        <v>19779</v>
      </c>
      <c r="Q9">
        <v>16387</v>
      </c>
      <c r="R9">
        <v>18537</v>
      </c>
      <c r="S9">
        <v>19779</v>
      </c>
      <c r="T9">
        <v>21590</v>
      </c>
      <c r="U9">
        <v>22810</v>
      </c>
    </row>
    <row r="10" spans="1:21">
      <c r="A10" s="117" t="s">
        <v>38</v>
      </c>
      <c r="B10" s="117"/>
      <c r="C10" s="117"/>
      <c r="D10" s="25">
        <v>7793</v>
      </c>
      <c r="E10" s="25">
        <v>6708</v>
      </c>
      <c r="F10" s="25">
        <v>5435</v>
      </c>
      <c r="G10" s="15">
        <f t="shared" si="0"/>
        <v>0</v>
      </c>
      <c r="H10" s="117" t="s">
        <v>38</v>
      </c>
      <c r="I10" s="117"/>
      <c r="J10" s="117"/>
      <c r="K10" s="25">
        <v>9285</v>
      </c>
      <c r="L10" s="25">
        <v>8114</v>
      </c>
      <c r="M10" s="25">
        <v>7793</v>
      </c>
      <c r="Q10">
        <v>5435</v>
      </c>
      <c r="R10">
        <v>6708</v>
      </c>
      <c r="S10">
        <v>7793</v>
      </c>
      <c r="T10">
        <v>8114</v>
      </c>
      <c r="U10">
        <v>9285</v>
      </c>
    </row>
    <row r="11" spans="1:21" ht="18.5">
      <c r="A11" s="124" t="s">
        <v>39</v>
      </c>
      <c r="B11" s="124"/>
      <c r="C11" s="124"/>
      <c r="D11" s="16"/>
      <c r="E11" s="16"/>
      <c r="F11" s="16"/>
      <c r="G11" s="15">
        <f t="shared" si="0"/>
        <v>0</v>
      </c>
      <c r="H11" s="124" t="s">
        <v>39</v>
      </c>
      <c r="I11" s="124"/>
      <c r="J11" s="124"/>
      <c r="K11" s="16"/>
      <c r="L11" s="16"/>
      <c r="M11" s="16"/>
    </row>
    <row r="12" spans="1:21">
      <c r="A12" s="119" t="s">
        <v>40</v>
      </c>
      <c r="B12" s="119"/>
      <c r="C12" s="119"/>
      <c r="D12" s="22">
        <v>-158</v>
      </c>
      <c r="E12" s="22">
        <v>-171</v>
      </c>
      <c r="F12" s="22">
        <v>-160</v>
      </c>
      <c r="G12" s="15">
        <f t="shared" si="0"/>
        <v>0</v>
      </c>
      <c r="H12" s="119" t="s">
        <v>40</v>
      </c>
      <c r="I12" s="119"/>
      <c r="J12" s="119"/>
      <c r="K12" s="22">
        <v>-169</v>
      </c>
      <c r="L12" s="22">
        <v>-160</v>
      </c>
      <c r="M12" s="22">
        <v>-158</v>
      </c>
      <c r="Q12">
        <v>-160</v>
      </c>
      <c r="R12">
        <v>-171</v>
      </c>
      <c r="S12">
        <v>-158</v>
      </c>
      <c r="T12">
        <v>-160</v>
      </c>
      <c r="U12">
        <v>-169</v>
      </c>
    </row>
    <row r="13" spans="1:21" ht="15" thickBot="1">
      <c r="A13" s="120" t="s">
        <v>41</v>
      </c>
      <c r="B13" s="120"/>
      <c r="C13" s="120"/>
      <c r="D13" s="13">
        <v>205</v>
      </c>
      <c r="E13" s="13">
        <v>143</v>
      </c>
      <c r="F13" s="13">
        <v>92</v>
      </c>
      <c r="G13" s="15">
        <f t="shared" si="0"/>
        <v>0</v>
      </c>
      <c r="H13" s="120" t="s">
        <v>41</v>
      </c>
      <c r="I13" s="120"/>
      <c r="J13" s="120"/>
      <c r="K13" s="13">
        <v>624</v>
      </c>
      <c r="L13" s="13">
        <v>533</v>
      </c>
      <c r="M13" s="13">
        <v>205</v>
      </c>
      <c r="Q13">
        <v>92</v>
      </c>
      <c r="R13">
        <v>143</v>
      </c>
      <c r="S13">
        <v>205</v>
      </c>
      <c r="T13">
        <v>533</v>
      </c>
      <c r="U13">
        <v>624</v>
      </c>
    </row>
    <row r="14" spans="1:21">
      <c r="A14" s="123" t="s">
        <v>42</v>
      </c>
      <c r="B14" s="123"/>
      <c r="C14" s="123"/>
      <c r="D14" s="25">
        <v>7840</v>
      </c>
      <c r="E14" s="25">
        <v>6680</v>
      </c>
      <c r="F14" s="25">
        <v>5367</v>
      </c>
      <c r="G14" s="15">
        <f t="shared" si="0"/>
        <v>0</v>
      </c>
      <c r="H14" s="123" t="s">
        <v>42</v>
      </c>
      <c r="I14" s="123"/>
      <c r="J14" s="123"/>
      <c r="K14" s="25">
        <v>9740</v>
      </c>
      <c r="L14" s="25">
        <v>8487</v>
      </c>
      <c r="M14" s="25">
        <v>7840</v>
      </c>
      <c r="N14" s="12"/>
      <c r="Q14">
        <v>5367</v>
      </c>
      <c r="R14">
        <v>6680</v>
      </c>
      <c r="S14">
        <v>7840</v>
      </c>
      <c r="T14">
        <v>8487</v>
      </c>
      <c r="U14">
        <v>9740</v>
      </c>
    </row>
    <row r="15" spans="1:21" ht="15" thickBot="1">
      <c r="A15" s="120" t="s">
        <v>43</v>
      </c>
      <c r="B15" s="120"/>
      <c r="C15" s="120"/>
      <c r="D15" s="24">
        <v>1925</v>
      </c>
      <c r="E15" s="24">
        <v>1601</v>
      </c>
      <c r="F15" s="24">
        <v>1308</v>
      </c>
      <c r="G15" s="15">
        <f t="shared" si="0"/>
        <v>0</v>
      </c>
      <c r="H15" s="120" t="s">
        <v>43</v>
      </c>
      <c r="I15" s="120"/>
      <c r="J15" s="120"/>
      <c r="K15" s="24">
        <v>2373</v>
      </c>
      <c r="L15" s="24">
        <v>2195</v>
      </c>
      <c r="M15" s="24">
        <v>1925</v>
      </c>
      <c r="Q15">
        <v>1308</v>
      </c>
      <c r="R15">
        <v>1601</v>
      </c>
      <c r="S15">
        <v>1925</v>
      </c>
      <c r="T15">
        <v>2195</v>
      </c>
      <c r="U15">
        <v>2373</v>
      </c>
    </row>
    <row r="16" spans="1:21">
      <c r="A16" s="119" t="s">
        <v>44</v>
      </c>
      <c r="B16" s="119"/>
      <c r="C16" s="119"/>
      <c r="D16" s="25">
        <v>5915</v>
      </c>
      <c r="E16" s="25">
        <v>5079</v>
      </c>
      <c r="F16" s="25">
        <v>4059</v>
      </c>
      <c r="G16" s="15">
        <f t="shared" si="0"/>
        <v>0</v>
      </c>
      <c r="H16" s="125" t="s">
        <v>44</v>
      </c>
      <c r="I16" s="125"/>
      <c r="J16" s="125"/>
      <c r="K16" s="25">
        <v>7367</v>
      </c>
      <c r="L16" s="25">
        <v>6292</v>
      </c>
      <c r="M16" s="25">
        <v>5915</v>
      </c>
      <c r="Q16">
        <v>4059</v>
      </c>
      <c r="R16">
        <v>5079</v>
      </c>
      <c r="S16">
        <v>5915</v>
      </c>
      <c r="T16">
        <v>6292</v>
      </c>
      <c r="U16">
        <v>7367</v>
      </c>
    </row>
    <row r="17" spans="1:21" ht="15" thickBot="1">
      <c r="A17" s="122" t="s">
        <v>45</v>
      </c>
      <c r="B17" s="122"/>
      <c r="C17" s="122"/>
      <c r="D17" s="21">
        <v>-71</v>
      </c>
      <c r="E17" s="21">
        <v>-72</v>
      </c>
      <c r="F17" s="21">
        <v>-57</v>
      </c>
      <c r="G17" s="15">
        <f t="shared" si="0"/>
        <v>0</v>
      </c>
      <c r="H17" s="122" t="s">
        <v>45</v>
      </c>
      <c r="I17" s="122"/>
      <c r="J17" s="122"/>
      <c r="K17" s="13" t="s">
        <v>49</v>
      </c>
      <c r="L17" s="13" t="s">
        <v>49</v>
      </c>
      <c r="M17" s="21">
        <v>-71</v>
      </c>
      <c r="Q17">
        <v>-57</v>
      </c>
      <c r="R17">
        <v>-72</v>
      </c>
      <c r="S17">
        <v>-71</v>
      </c>
      <c r="T17" t="s">
        <v>51</v>
      </c>
      <c r="U17" t="s">
        <v>51</v>
      </c>
    </row>
    <row r="18" spans="1:21" ht="15" thickBot="1">
      <c r="A18" s="123" t="s">
        <v>46</v>
      </c>
      <c r="B18" s="123"/>
      <c r="C18" s="123"/>
      <c r="D18" s="27">
        <v>5844</v>
      </c>
      <c r="E18" s="27">
        <v>5007</v>
      </c>
      <c r="F18" s="27">
        <v>4002</v>
      </c>
      <c r="G18" s="15">
        <f t="shared" si="0"/>
        <v>0</v>
      </c>
      <c r="H18" s="123" t="s">
        <v>46</v>
      </c>
      <c r="I18" s="123"/>
      <c r="J18" s="123"/>
      <c r="K18" s="27">
        <v>7367</v>
      </c>
      <c r="L18" s="27">
        <v>6292</v>
      </c>
      <c r="M18" s="27">
        <v>5844</v>
      </c>
      <c r="Q18">
        <v>4002</v>
      </c>
      <c r="R18">
        <v>5007</v>
      </c>
      <c r="S18">
        <v>5844</v>
      </c>
      <c r="T18">
        <v>6292</v>
      </c>
      <c r="U18">
        <v>7367</v>
      </c>
    </row>
    <row r="19" spans="1:21" ht="18" thickTop="1">
      <c r="A19" s="121" t="s">
        <v>47</v>
      </c>
      <c r="B19" s="121"/>
      <c r="C19" s="121"/>
      <c r="D19" s="18"/>
      <c r="E19" s="18"/>
      <c r="F19" s="18"/>
      <c r="G19" s="15">
        <f t="shared" si="0"/>
        <v>0</v>
      </c>
      <c r="H19" s="121" t="s">
        <v>47</v>
      </c>
      <c r="I19" s="121"/>
      <c r="J19" s="121"/>
      <c r="K19" s="18"/>
      <c r="L19" s="18"/>
      <c r="M19" s="18"/>
    </row>
    <row r="20" spans="1:21" ht="24" customHeight="1" thickBot="1">
      <c r="A20" s="119" t="s">
        <v>29</v>
      </c>
      <c r="B20" s="119"/>
      <c r="C20" s="119"/>
      <c r="D20" s="11">
        <v>13.17</v>
      </c>
      <c r="E20" s="11">
        <v>11.3</v>
      </c>
      <c r="F20" s="11">
        <v>9.0500000000000007</v>
      </c>
      <c r="G20" s="15">
        <f t="shared" si="0"/>
        <v>0</v>
      </c>
      <c r="H20" s="119" t="s">
        <v>29</v>
      </c>
      <c r="I20" s="119"/>
      <c r="J20" s="119"/>
      <c r="K20" s="11">
        <v>16.59</v>
      </c>
      <c r="L20" s="11">
        <v>14.18</v>
      </c>
      <c r="M20" s="11">
        <v>13.17</v>
      </c>
      <c r="Q20">
        <v>9.0500000000000007</v>
      </c>
      <c r="R20">
        <v>11.3</v>
      </c>
      <c r="S20">
        <v>13.17</v>
      </c>
      <c r="T20">
        <v>14.18</v>
      </c>
      <c r="U20">
        <v>16.59</v>
      </c>
    </row>
    <row r="21" spans="1:21" ht="15.5" thickTop="1" thickBot="1">
      <c r="A21" s="120" t="s">
        <v>30</v>
      </c>
      <c r="B21" s="120"/>
      <c r="C21" s="120"/>
      <c r="D21" s="19">
        <v>13.14</v>
      </c>
      <c r="E21" s="19">
        <v>11.27</v>
      </c>
      <c r="F21" s="19">
        <v>9.02</v>
      </c>
      <c r="G21" s="15">
        <f t="shared" si="0"/>
        <v>0</v>
      </c>
      <c r="H21" s="120" t="s">
        <v>30</v>
      </c>
      <c r="I21" s="120"/>
      <c r="J21" s="120"/>
      <c r="K21" s="19">
        <v>16.559999999999999</v>
      </c>
      <c r="L21" s="19">
        <v>14.16</v>
      </c>
      <c r="M21" s="19">
        <v>13.14</v>
      </c>
      <c r="Q21">
        <v>9.02</v>
      </c>
      <c r="R21">
        <v>11.27</v>
      </c>
      <c r="S21">
        <v>13.14</v>
      </c>
      <c r="T21">
        <v>14.16</v>
      </c>
      <c r="U21">
        <v>16.559999999999999</v>
      </c>
    </row>
    <row r="22" spans="1:21" ht="19" thickTop="1">
      <c r="A22" s="119" t="s">
        <v>48</v>
      </c>
      <c r="B22" s="119"/>
      <c r="C22" s="119"/>
      <c r="D22" s="20"/>
      <c r="E22" s="20"/>
      <c r="F22" s="20"/>
      <c r="G22" s="15">
        <f t="shared" si="0"/>
        <v>0</v>
      </c>
      <c r="H22" s="119" t="s">
        <v>48</v>
      </c>
      <c r="I22" s="119"/>
      <c r="J22" s="119"/>
      <c r="K22" s="20"/>
      <c r="L22" s="20"/>
      <c r="M22" s="20"/>
    </row>
    <row r="23" spans="1:21" ht="26.5" customHeight="1">
      <c r="A23" s="118" t="s">
        <v>29</v>
      </c>
      <c r="B23" s="118"/>
      <c r="C23" s="118"/>
      <c r="D23" s="14">
        <v>443651</v>
      </c>
      <c r="E23" s="14">
        <v>443089</v>
      </c>
      <c r="F23" s="14">
        <v>442297</v>
      </c>
      <c r="G23" s="15">
        <f t="shared" si="0"/>
        <v>0</v>
      </c>
      <c r="H23" s="118" t="s">
        <v>29</v>
      </c>
      <c r="I23" s="118"/>
      <c r="J23" s="118"/>
      <c r="K23" s="14">
        <v>443914</v>
      </c>
      <c r="L23" s="14">
        <v>443854</v>
      </c>
      <c r="M23" s="14">
        <v>443651</v>
      </c>
      <c r="Q23">
        <v>442297</v>
      </c>
      <c r="R23">
        <v>443089</v>
      </c>
      <c r="S23">
        <v>443651</v>
      </c>
      <c r="T23">
        <v>443854</v>
      </c>
      <c r="U23">
        <v>443914</v>
      </c>
    </row>
    <row r="24" spans="1:21">
      <c r="A24" s="117" t="s">
        <v>30</v>
      </c>
      <c r="B24" s="117"/>
      <c r="C24" s="117"/>
      <c r="D24" s="26">
        <v>444757</v>
      </c>
      <c r="E24" s="26">
        <v>444346</v>
      </c>
      <c r="F24" s="26">
        <v>443901</v>
      </c>
      <c r="G24" s="15">
        <f t="shared" si="0"/>
        <v>0</v>
      </c>
      <c r="H24" s="117" t="s">
        <v>30</v>
      </c>
      <c r="I24" s="117"/>
      <c r="J24" s="117"/>
      <c r="K24" s="26">
        <v>444759</v>
      </c>
      <c r="L24" s="26">
        <v>444452</v>
      </c>
      <c r="M24" s="26">
        <v>444757</v>
      </c>
      <c r="Q24">
        <v>443901</v>
      </c>
      <c r="R24">
        <v>444346</v>
      </c>
      <c r="S24">
        <v>444757</v>
      </c>
      <c r="T24">
        <v>444452</v>
      </c>
      <c r="U24">
        <v>444759</v>
      </c>
    </row>
  </sheetData>
  <mergeCells count="44">
    <mergeCell ref="H8:J8"/>
    <mergeCell ref="H7:J7"/>
    <mergeCell ref="H17:J17"/>
    <mergeCell ref="H18:J18"/>
    <mergeCell ref="H16:J16"/>
    <mergeCell ref="H15:J15"/>
    <mergeCell ref="H14:J14"/>
    <mergeCell ref="H24:J24"/>
    <mergeCell ref="H12:J12"/>
    <mergeCell ref="H11:J11"/>
    <mergeCell ref="H10:J10"/>
    <mergeCell ref="H9:J9"/>
    <mergeCell ref="H13:J13"/>
    <mergeCell ref="A6:C6"/>
    <mergeCell ref="A4:C4"/>
    <mergeCell ref="A5:C5"/>
    <mergeCell ref="A3:C3"/>
    <mergeCell ref="A12:C12"/>
    <mergeCell ref="A11:C11"/>
    <mergeCell ref="A10:C10"/>
    <mergeCell ref="A9:C9"/>
    <mergeCell ref="A8:C8"/>
    <mergeCell ref="A7:C7"/>
    <mergeCell ref="A13:C13"/>
    <mergeCell ref="H6:J6"/>
    <mergeCell ref="H5:J5"/>
    <mergeCell ref="H3:J3"/>
    <mergeCell ref="H4:J4"/>
    <mergeCell ref="H23:J23"/>
    <mergeCell ref="H22:J22"/>
    <mergeCell ref="H21:J21"/>
    <mergeCell ref="H19:J19"/>
    <mergeCell ref="H20:J20"/>
    <mergeCell ref="A19:C19"/>
    <mergeCell ref="A17:C17"/>
    <mergeCell ref="A16:C16"/>
    <mergeCell ref="A15:C15"/>
    <mergeCell ref="A14:C14"/>
    <mergeCell ref="A18:C18"/>
    <mergeCell ref="A24:C24"/>
    <mergeCell ref="A23:C23"/>
    <mergeCell ref="A22:C22"/>
    <mergeCell ref="A20:C20"/>
    <mergeCell ref="A21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CF4B-B187-4C0F-945A-8459866150AB}">
  <dimension ref="B1:U46"/>
  <sheetViews>
    <sheetView topLeftCell="C23" workbookViewId="0">
      <selection activeCell="Q28" sqref="Q28:U29"/>
    </sheetView>
  </sheetViews>
  <sheetFormatPr defaultRowHeight="14.5"/>
  <cols>
    <col min="2" max="2" width="21.1796875" customWidth="1"/>
    <col min="3" max="3" width="20.453125" customWidth="1"/>
    <col min="4" max="4" width="19.81640625" customWidth="1"/>
    <col min="9" max="9" width="32.1796875" customWidth="1"/>
    <col min="10" max="10" width="13.81640625" customWidth="1"/>
  </cols>
  <sheetData>
    <row r="1" spans="2:21">
      <c r="H1" t="s">
        <v>124</v>
      </c>
    </row>
    <row r="2" spans="2:21" ht="18" thickBot="1">
      <c r="B2" s="136"/>
      <c r="C2" s="136"/>
      <c r="D2" s="136"/>
      <c r="E2" s="54">
        <v>2024</v>
      </c>
      <c r="F2" s="54">
        <v>2023</v>
      </c>
      <c r="G2" s="54">
        <v>2022</v>
      </c>
      <c r="I2" s="136"/>
      <c r="J2" s="136"/>
      <c r="K2" s="136"/>
      <c r="L2" s="54">
        <v>2022</v>
      </c>
      <c r="M2" s="54">
        <v>2021</v>
      </c>
      <c r="N2" s="54">
        <v>2020</v>
      </c>
    </row>
    <row r="3" spans="2:21" ht="18.5">
      <c r="B3" s="129" t="s">
        <v>84</v>
      </c>
      <c r="C3" s="129"/>
      <c r="D3" s="129"/>
      <c r="E3" s="17"/>
      <c r="F3" s="17"/>
      <c r="G3" s="17"/>
      <c r="I3" s="129" t="s">
        <v>84</v>
      </c>
      <c r="J3" s="129"/>
      <c r="K3" s="129"/>
      <c r="L3" s="17"/>
      <c r="M3" s="17"/>
      <c r="N3" s="17"/>
      <c r="P3" t="s">
        <v>84</v>
      </c>
    </row>
    <row r="4" spans="2:21">
      <c r="B4" s="131" t="s">
        <v>44</v>
      </c>
      <c r="C4" s="131"/>
      <c r="D4" s="131"/>
      <c r="E4" s="47">
        <v>7367</v>
      </c>
      <c r="F4" s="47">
        <v>6292</v>
      </c>
      <c r="G4" s="47">
        <v>5915</v>
      </c>
      <c r="H4" s="12">
        <f>G4-L4</f>
        <v>0</v>
      </c>
      <c r="I4" s="131" t="s">
        <v>44</v>
      </c>
      <c r="J4" s="131"/>
      <c r="K4" s="131"/>
      <c r="L4" s="47">
        <v>5915</v>
      </c>
      <c r="M4" s="47">
        <v>5079</v>
      </c>
      <c r="N4" s="47">
        <v>4059</v>
      </c>
      <c r="P4" t="s">
        <v>44</v>
      </c>
      <c r="Q4">
        <v>4059</v>
      </c>
      <c r="R4">
        <v>5079</v>
      </c>
      <c r="S4">
        <v>5915</v>
      </c>
      <c r="T4">
        <v>6292</v>
      </c>
      <c r="U4">
        <v>7367</v>
      </c>
    </row>
    <row r="5" spans="2:21" ht="17.5">
      <c r="B5" s="135" t="s">
        <v>85</v>
      </c>
      <c r="C5" s="135"/>
      <c r="D5" s="135"/>
      <c r="E5" s="16"/>
      <c r="F5" s="16"/>
      <c r="G5" s="16"/>
      <c r="H5" s="12">
        <f t="shared" ref="H5:H8" si="0">G5-L5</f>
        <v>0</v>
      </c>
      <c r="I5" s="135" t="s">
        <v>85</v>
      </c>
      <c r="J5" s="135"/>
      <c r="K5" s="135"/>
      <c r="L5" s="16"/>
      <c r="M5" s="16"/>
      <c r="N5" s="16"/>
      <c r="P5" t="s">
        <v>86</v>
      </c>
      <c r="Q5">
        <v>1645</v>
      </c>
      <c r="R5">
        <v>1781</v>
      </c>
      <c r="S5">
        <v>1900</v>
      </c>
      <c r="T5">
        <v>2077</v>
      </c>
      <c r="U5">
        <v>2237</v>
      </c>
    </row>
    <row r="6" spans="2:21">
      <c r="B6" s="137" t="s">
        <v>86</v>
      </c>
      <c r="C6" s="137"/>
      <c r="D6" s="137"/>
      <c r="E6" s="48">
        <v>2237</v>
      </c>
      <c r="F6" s="48">
        <v>2077</v>
      </c>
      <c r="G6" s="48">
        <v>1900</v>
      </c>
      <c r="H6" s="12">
        <f t="shared" si="0"/>
        <v>0</v>
      </c>
      <c r="I6" s="137" t="s">
        <v>86</v>
      </c>
      <c r="J6" s="137"/>
      <c r="K6" s="137"/>
      <c r="L6" s="48">
        <v>1900</v>
      </c>
      <c r="M6" s="48">
        <v>1781</v>
      </c>
      <c r="N6" s="48">
        <v>1645</v>
      </c>
      <c r="P6" t="s">
        <v>57</v>
      </c>
      <c r="Q6">
        <v>194</v>
      </c>
      <c r="R6">
        <v>286</v>
      </c>
      <c r="S6">
        <v>377</v>
      </c>
      <c r="T6">
        <v>412</v>
      </c>
      <c r="U6">
        <v>315</v>
      </c>
    </row>
    <row r="7" spans="2:21">
      <c r="B7" s="138" t="s">
        <v>57</v>
      </c>
      <c r="C7" s="138"/>
      <c r="D7" s="138"/>
      <c r="E7" s="45">
        <v>315</v>
      </c>
      <c r="F7" s="45">
        <v>412</v>
      </c>
      <c r="G7" s="45">
        <v>377</v>
      </c>
      <c r="H7" s="12">
        <f t="shared" si="0"/>
        <v>0</v>
      </c>
      <c r="I7" s="138" t="s">
        <v>57</v>
      </c>
      <c r="J7" s="138"/>
      <c r="K7" s="138"/>
      <c r="L7" s="45">
        <v>377</v>
      </c>
      <c r="M7" s="45">
        <v>286</v>
      </c>
      <c r="N7" s="45">
        <v>194</v>
      </c>
      <c r="P7" t="s">
        <v>58</v>
      </c>
      <c r="Q7">
        <v>619</v>
      </c>
      <c r="R7">
        <v>665</v>
      </c>
      <c r="S7">
        <v>724</v>
      </c>
      <c r="T7">
        <v>774</v>
      </c>
      <c r="U7">
        <v>818</v>
      </c>
    </row>
    <row r="8" spans="2:21">
      <c r="B8" s="137" t="s">
        <v>58</v>
      </c>
      <c r="C8" s="137"/>
      <c r="D8" s="137"/>
      <c r="E8" s="40">
        <v>818</v>
      </c>
      <c r="F8" s="40">
        <v>774</v>
      </c>
      <c r="G8" s="40">
        <v>724</v>
      </c>
      <c r="H8" s="12">
        <f t="shared" si="0"/>
        <v>0</v>
      </c>
      <c r="I8" s="137" t="s">
        <v>58</v>
      </c>
      <c r="J8" s="137"/>
      <c r="K8" s="137"/>
      <c r="L8" s="40">
        <v>724</v>
      </c>
      <c r="M8" s="40">
        <v>665</v>
      </c>
      <c r="N8" s="40">
        <v>619</v>
      </c>
      <c r="P8" t="s">
        <v>87</v>
      </c>
      <c r="Q8">
        <f>SUM(N9:N10)</f>
        <v>146</v>
      </c>
      <c r="R8">
        <v>85</v>
      </c>
      <c r="S8">
        <f>SUM(L9:L10)</f>
        <v>39</v>
      </c>
      <c r="T8">
        <v>495</v>
      </c>
      <c r="U8">
        <v>-9</v>
      </c>
    </row>
    <row r="9" spans="2:21">
      <c r="B9" s="132" t="s">
        <v>87</v>
      </c>
      <c r="C9" s="132"/>
      <c r="D9" s="132"/>
      <c r="E9" s="44">
        <v>-9</v>
      </c>
      <c r="F9" s="45">
        <v>495</v>
      </c>
      <c r="G9" s="45">
        <v>39</v>
      </c>
      <c r="H9" s="12"/>
      <c r="I9" s="139" t="s">
        <v>120</v>
      </c>
      <c r="J9" s="139"/>
      <c r="K9" s="139"/>
      <c r="L9" s="45">
        <v>76</v>
      </c>
      <c r="M9" s="45">
        <v>85</v>
      </c>
      <c r="N9" s="45">
        <v>42</v>
      </c>
      <c r="P9" t="s">
        <v>88</v>
      </c>
    </row>
    <row r="10" spans="2:21">
      <c r="H10" s="12"/>
      <c r="I10" s="139" t="s">
        <v>121</v>
      </c>
      <c r="J10" s="139"/>
      <c r="K10" s="139"/>
      <c r="L10" s="43">
        <v>-37</v>
      </c>
      <c r="M10" s="40">
        <v>59</v>
      </c>
      <c r="N10" s="40">
        <v>104</v>
      </c>
      <c r="P10" t="s">
        <v>89</v>
      </c>
      <c r="Q10">
        <v>-791</v>
      </c>
      <c r="R10">
        <v>-1892</v>
      </c>
      <c r="S10">
        <v>-4003</v>
      </c>
      <c r="T10">
        <v>1228</v>
      </c>
      <c r="U10">
        <v>-2068</v>
      </c>
    </row>
    <row r="11" spans="2:21" ht="17.5">
      <c r="B11" s="140" t="s">
        <v>88</v>
      </c>
      <c r="C11" s="140"/>
      <c r="D11" s="140"/>
      <c r="E11" s="34"/>
      <c r="F11" s="34"/>
      <c r="G11" s="34"/>
      <c r="H11" s="12"/>
      <c r="I11" s="135" t="s">
        <v>88</v>
      </c>
      <c r="J11" s="135"/>
      <c r="K11" s="135"/>
      <c r="L11" s="16"/>
      <c r="M11" s="16"/>
      <c r="N11" s="16"/>
      <c r="P11" t="s">
        <v>90</v>
      </c>
      <c r="Q11">
        <v>2261</v>
      </c>
      <c r="R11">
        <v>1838</v>
      </c>
      <c r="S11">
        <v>1891</v>
      </c>
      <c r="T11">
        <v>-382</v>
      </c>
      <c r="U11">
        <v>1938</v>
      </c>
    </row>
    <row r="12" spans="2:21">
      <c r="B12" s="126" t="s">
        <v>89</v>
      </c>
      <c r="C12" s="126"/>
      <c r="D12" s="126"/>
      <c r="E12" s="46">
        <v>-2068</v>
      </c>
      <c r="F12" s="50">
        <v>1228</v>
      </c>
      <c r="G12" s="46">
        <v>-4003</v>
      </c>
      <c r="H12" s="12">
        <f>G12-L12</f>
        <v>0</v>
      </c>
      <c r="I12" s="133" t="s">
        <v>89</v>
      </c>
      <c r="J12" s="133"/>
      <c r="K12" s="133"/>
      <c r="L12" s="39">
        <v>-4003</v>
      </c>
      <c r="M12" s="39">
        <v>-1892</v>
      </c>
      <c r="N12" s="43">
        <v>-791</v>
      </c>
      <c r="P12" t="s">
        <v>63</v>
      </c>
      <c r="Q12">
        <v>728</v>
      </c>
      <c r="R12">
        <v>1057</v>
      </c>
      <c r="S12">
        <v>549</v>
      </c>
      <c r="T12">
        <v>172</v>
      </c>
      <c r="U12">
        <v>741</v>
      </c>
    </row>
    <row r="13" spans="2:21">
      <c r="B13" s="133" t="s">
        <v>90</v>
      </c>
      <c r="C13" s="133"/>
      <c r="D13" s="133"/>
      <c r="E13" s="48">
        <v>1938</v>
      </c>
      <c r="F13" s="43">
        <v>-382</v>
      </c>
      <c r="G13" s="48">
        <v>1891</v>
      </c>
      <c r="H13" s="12">
        <f>G13-L13</f>
        <v>0</v>
      </c>
      <c r="I13" s="126" t="s">
        <v>90</v>
      </c>
      <c r="J13" s="126"/>
      <c r="K13" s="126"/>
      <c r="L13" s="50">
        <v>1891</v>
      </c>
      <c r="M13" s="50">
        <v>1838</v>
      </c>
      <c r="N13" s="50">
        <v>2261</v>
      </c>
    </row>
    <row r="14" spans="2:21" ht="15" thickBot="1">
      <c r="B14" s="126" t="s">
        <v>63</v>
      </c>
      <c r="C14" s="126"/>
      <c r="D14" s="126"/>
      <c r="E14" s="38">
        <v>741</v>
      </c>
      <c r="F14" s="38">
        <v>172</v>
      </c>
      <c r="G14" s="38">
        <v>549</v>
      </c>
      <c r="H14" s="12">
        <f>G14-L14</f>
        <v>0</v>
      </c>
      <c r="I14" s="133" t="s">
        <v>63</v>
      </c>
      <c r="J14" s="133"/>
      <c r="K14" s="133"/>
      <c r="L14" s="58">
        <v>549</v>
      </c>
      <c r="M14" s="60">
        <v>1057</v>
      </c>
      <c r="N14" s="58">
        <v>728</v>
      </c>
    </row>
    <row r="15" spans="2:21" ht="15" thickBot="1">
      <c r="B15" s="133" t="s">
        <v>91</v>
      </c>
      <c r="C15" s="133"/>
      <c r="D15" s="133"/>
      <c r="E15" s="49">
        <v>11339</v>
      </c>
      <c r="F15" s="49">
        <v>11068</v>
      </c>
      <c r="G15" s="49">
        <v>7392</v>
      </c>
      <c r="H15" s="12">
        <f>G15-L15</f>
        <v>0</v>
      </c>
      <c r="I15" s="126" t="s">
        <v>91</v>
      </c>
      <c r="J15" s="126"/>
      <c r="K15" s="126"/>
      <c r="L15" s="59">
        <v>7392</v>
      </c>
      <c r="M15" s="59">
        <v>8958</v>
      </c>
      <c r="N15" s="59">
        <v>8861</v>
      </c>
      <c r="P15" t="s">
        <v>67</v>
      </c>
      <c r="Q15">
        <v>-2810</v>
      </c>
      <c r="R15">
        <v>-3588</v>
      </c>
      <c r="S15">
        <v>-3891</v>
      </c>
      <c r="T15">
        <v>-4323</v>
      </c>
      <c r="U15">
        <v>-4710</v>
      </c>
    </row>
    <row r="16" spans="2:21" ht="18.5">
      <c r="B16" s="129" t="s">
        <v>92</v>
      </c>
      <c r="C16" s="129"/>
      <c r="D16" s="129"/>
      <c r="E16" s="17"/>
      <c r="F16" s="17"/>
      <c r="G16" s="17"/>
      <c r="H16" s="12"/>
      <c r="I16" s="127" t="s">
        <v>92</v>
      </c>
      <c r="J16" s="127"/>
      <c r="K16" s="127"/>
      <c r="L16" s="35"/>
      <c r="M16" s="35"/>
      <c r="N16" s="35"/>
      <c r="P16" t="s">
        <v>167</v>
      </c>
      <c r="Q16">
        <v>-1081</v>
      </c>
      <c r="R16">
        <v>53</v>
      </c>
      <c r="S16">
        <v>-24</v>
      </c>
      <c r="T16">
        <v>-649</v>
      </c>
      <c r="U16">
        <v>301</v>
      </c>
    </row>
    <row r="17" spans="2:21">
      <c r="B17" s="131" t="s">
        <v>93</v>
      </c>
      <c r="C17" s="131"/>
      <c r="D17" s="131"/>
      <c r="E17" s="39">
        <v>-1470</v>
      </c>
      <c r="F17" s="39">
        <v>-1622</v>
      </c>
      <c r="G17" s="39">
        <v>-1121</v>
      </c>
      <c r="H17" s="12"/>
      <c r="I17" s="128" t="s">
        <v>93</v>
      </c>
      <c r="J17" s="128"/>
      <c r="K17" s="128"/>
      <c r="L17" s="46">
        <v>-1121</v>
      </c>
      <c r="M17" s="46">
        <v>-1331</v>
      </c>
      <c r="N17" s="46">
        <v>-1626</v>
      </c>
      <c r="O17" s="12"/>
      <c r="P17" s="12"/>
      <c r="Q17" s="12"/>
    </row>
    <row r="18" spans="2:21">
      <c r="B18" s="128" t="s">
        <v>94</v>
      </c>
      <c r="C18" s="128"/>
      <c r="D18" s="128"/>
      <c r="E18" s="50">
        <v>1790</v>
      </c>
      <c r="F18" s="45">
        <v>937</v>
      </c>
      <c r="G18" s="50">
        <v>1145</v>
      </c>
      <c r="H18" s="12"/>
      <c r="I18" s="131" t="s">
        <v>94</v>
      </c>
      <c r="J18" s="131"/>
      <c r="K18" s="131"/>
      <c r="L18" s="48">
        <v>1145</v>
      </c>
      <c r="M18" s="48">
        <v>1446</v>
      </c>
      <c r="N18" s="48">
        <v>1678</v>
      </c>
      <c r="O18" s="12"/>
      <c r="P18" s="12"/>
    </row>
    <row r="19" spans="2:21">
      <c r="B19" s="131" t="s">
        <v>95</v>
      </c>
      <c r="C19" s="131"/>
      <c r="D19" s="131"/>
      <c r="E19" s="39">
        <v>-4710</v>
      </c>
      <c r="F19" s="39">
        <v>-4323</v>
      </c>
      <c r="G19" s="39">
        <v>-3891</v>
      </c>
      <c r="H19" s="12"/>
      <c r="I19" s="128" t="s">
        <v>95</v>
      </c>
      <c r="J19" s="128"/>
      <c r="K19" s="128"/>
      <c r="L19" s="46">
        <v>-3891</v>
      </c>
      <c r="M19" s="46">
        <v>-3588</v>
      </c>
      <c r="N19" s="46">
        <v>-2810</v>
      </c>
      <c r="P19" t="s">
        <v>71</v>
      </c>
      <c r="Q19">
        <v>929</v>
      </c>
      <c r="R19">
        <v>-53</v>
      </c>
      <c r="S19">
        <v>-753</v>
      </c>
      <c r="T19">
        <v>-93</v>
      </c>
      <c r="U19">
        <v>-571</v>
      </c>
    </row>
    <row r="20" spans="2:21">
      <c r="H20" s="12"/>
      <c r="I20" s="132" t="s">
        <v>122</v>
      </c>
      <c r="J20" s="132"/>
      <c r="K20" s="132"/>
      <c r="L20" s="62" t="s">
        <v>103</v>
      </c>
      <c r="M20" s="62" t="s">
        <v>103</v>
      </c>
      <c r="N20" s="63">
        <v>-1163</v>
      </c>
      <c r="P20" t="s">
        <v>168</v>
      </c>
      <c r="Q20">
        <v>-196</v>
      </c>
      <c r="R20">
        <v>-496</v>
      </c>
      <c r="S20">
        <v>-439</v>
      </c>
      <c r="T20">
        <v>-676</v>
      </c>
      <c r="U20">
        <v>-700</v>
      </c>
    </row>
    <row r="21" spans="2:21" ht="15" thickBot="1">
      <c r="B21" s="128" t="s">
        <v>96</v>
      </c>
      <c r="C21" s="128"/>
      <c r="D21" s="128"/>
      <c r="E21" s="42">
        <v>-19</v>
      </c>
      <c r="F21" s="38">
        <v>36</v>
      </c>
      <c r="G21" s="42">
        <v>-48</v>
      </c>
      <c r="H21" s="12"/>
      <c r="I21" s="128" t="s">
        <v>96</v>
      </c>
      <c r="J21" s="128"/>
      <c r="K21" s="128"/>
      <c r="L21" s="42">
        <v>-48</v>
      </c>
      <c r="M21" s="42">
        <v>-62</v>
      </c>
      <c r="N21" s="38">
        <v>30</v>
      </c>
      <c r="P21" t="s">
        <v>169</v>
      </c>
      <c r="Q21" s="12">
        <v>-1479</v>
      </c>
      <c r="R21" s="12">
        <v>-5748</v>
      </c>
      <c r="S21" s="12">
        <v>-1498</v>
      </c>
      <c r="T21" s="12">
        <v>-1251</v>
      </c>
      <c r="U21" s="12">
        <v>-9041</v>
      </c>
    </row>
    <row r="22" spans="2:21" ht="15" thickBot="1">
      <c r="B22" s="133" t="s">
        <v>97</v>
      </c>
      <c r="C22" s="133"/>
      <c r="D22" s="133"/>
      <c r="E22" s="41">
        <v>-4409</v>
      </c>
      <c r="F22" s="41">
        <v>-4972</v>
      </c>
      <c r="G22" s="41">
        <v>-3915</v>
      </c>
      <c r="H22" s="12"/>
      <c r="I22" s="133" t="s">
        <v>97</v>
      </c>
      <c r="J22" s="133"/>
      <c r="K22" s="133"/>
      <c r="L22" s="41">
        <v>-3915</v>
      </c>
      <c r="M22" s="41">
        <v>-3535</v>
      </c>
      <c r="N22" s="41">
        <v>-3891</v>
      </c>
      <c r="P22" t="s">
        <v>74</v>
      </c>
      <c r="R22">
        <v>-67</v>
      </c>
      <c r="S22">
        <v>-180</v>
      </c>
      <c r="T22">
        <v>-291</v>
      </c>
      <c r="U22">
        <v>-137</v>
      </c>
    </row>
    <row r="23" spans="2:21" ht="18.5">
      <c r="B23" s="129" t="s">
        <v>98</v>
      </c>
      <c r="C23" s="129"/>
      <c r="D23" s="129"/>
      <c r="E23" s="17"/>
      <c r="F23" s="17"/>
      <c r="G23" s="17"/>
      <c r="H23" s="12"/>
      <c r="I23" s="129" t="s">
        <v>98</v>
      </c>
      <c r="J23" s="129"/>
      <c r="K23" s="129"/>
      <c r="L23" s="17"/>
      <c r="M23" s="17"/>
      <c r="N23" s="17"/>
      <c r="P23" t="s">
        <v>170</v>
      </c>
      <c r="Q23">
        <v>-401</v>
      </c>
      <c r="R23">
        <v>-124</v>
      </c>
      <c r="S23">
        <v>-1413</v>
      </c>
      <c r="T23">
        <v>-303</v>
      </c>
      <c r="U23">
        <v>-315</v>
      </c>
    </row>
    <row r="24" spans="2:21">
      <c r="B24" s="132" t="s">
        <v>99</v>
      </c>
      <c r="C24" s="132"/>
      <c r="D24" s="132"/>
      <c r="E24" s="64">
        <v>-920</v>
      </c>
      <c r="F24" s="64">
        <v>-935</v>
      </c>
      <c r="G24" s="64">
        <v>-6</v>
      </c>
      <c r="H24" s="12"/>
    </row>
    <row r="25" spans="2:21">
      <c r="B25" s="132" t="s">
        <v>100</v>
      </c>
      <c r="C25" s="132"/>
      <c r="D25" s="132"/>
      <c r="E25" s="62">
        <v>928</v>
      </c>
      <c r="F25" s="62">
        <v>917</v>
      </c>
      <c r="G25" s="62">
        <v>53</v>
      </c>
      <c r="H25" s="12"/>
    </row>
    <row r="26" spans="2:21">
      <c r="B26" s="131" t="s">
        <v>101</v>
      </c>
      <c r="C26" s="131"/>
      <c r="D26" s="131"/>
      <c r="E26" s="39">
        <v>-1077</v>
      </c>
      <c r="F26" s="43">
        <v>-75</v>
      </c>
      <c r="G26" s="98">
        <v>-800</v>
      </c>
      <c r="H26" s="12"/>
      <c r="I26" s="128" t="s">
        <v>101</v>
      </c>
      <c r="J26" s="128"/>
      <c r="K26" s="128"/>
      <c r="L26" s="98">
        <v>-800</v>
      </c>
      <c r="M26" s="44">
        <v>-94</v>
      </c>
      <c r="N26" s="46">
        <v>-3200</v>
      </c>
      <c r="P26" t="s">
        <v>77</v>
      </c>
      <c r="Q26">
        <v>70</v>
      </c>
      <c r="R26">
        <v>46</v>
      </c>
      <c r="S26">
        <v>-249</v>
      </c>
      <c r="T26">
        <v>15</v>
      </c>
      <c r="U26">
        <v>40</v>
      </c>
    </row>
    <row r="27" spans="2:21">
      <c r="B27" s="128" t="s">
        <v>102</v>
      </c>
      <c r="C27" s="128"/>
      <c r="D27" s="128"/>
      <c r="E27" s="45">
        <v>498</v>
      </c>
      <c r="F27" s="45" t="s">
        <v>103</v>
      </c>
      <c r="G27" s="45" t="s">
        <v>103</v>
      </c>
      <c r="H27" s="12"/>
      <c r="I27" s="131" t="s">
        <v>102</v>
      </c>
      <c r="J27" s="131"/>
      <c r="K27" s="131"/>
      <c r="L27" s="40" t="s">
        <v>103</v>
      </c>
      <c r="M27" s="40" t="s">
        <v>103</v>
      </c>
      <c r="N27" s="48">
        <v>3992</v>
      </c>
    </row>
    <row r="28" spans="2:21">
      <c r="B28" s="131" t="s">
        <v>104</v>
      </c>
      <c r="C28" s="131"/>
      <c r="D28" s="131"/>
      <c r="E28" s="43">
        <v>-315</v>
      </c>
      <c r="F28" s="43">
        <v>-303</v>
      </c>
      <c r="G28" s="98">
        <v>-363</v>
      </c>
      <c r="H28" s="12"/>
      <c r="I28" s="131" t="s">
        <v>104</v>
      </c>
      <c r="J28" s="131"/>
      <c r="K28" s="131"/>
      <c r="L28" s="98">
        <v>-363</v>
      </c>
      <c r="M28" s="43">
        <v>-312</v>
      </c>
      <c r="N28" s="43">
        <v>-330</v>
      </c>
      <c r="P28" t="s">
        <v>171</v>
      </c>
      <c r="Q28">
        <v>124</v>
      </c>
      <c r="R28">
        <v>149</v>
      </c>
      <c r="S28">
        <v>145</v>
      </c>
      <c r="T28">
        <v>125</v>
      </c>
      <c r="U28">
        <v>129</v>
      </c>
    </row>
    <row r="29" spans="2:21">
      <c r="B29" s="128" t="s">
        <v>105</v>
      </c>
      <c r="C29" s="128"/>
      <c r="D29" s="128"/>
      <c r="E29" s="44">
        <v>-700</v>
      </c>
      <c r="F29" s="44">
        <v>-676</v>
      </c>
      <c r="G29" s="98">
        <v>-439</v>
      </c>
      <c r="H29" s="12"/>
      <c r="I29" s="128" t="s">
        <v>105</v>
      </c>
      <c r="J29" s="128"/>
      <c r="K29" s="128"/>
      <c r="L29" s="98">
        <v>-439</v>
      </c>
      <c r="M29" s="44">
        <v>-496</v>
      </c>
      <c r="N29" s="44">
        <v>-196</v>
      </c>
      <c r="P29" t="s">
        <v>172</v>
      </c>
      <c r="Q29">
        <v>1052</v>
      </c>
      <c r="R29">
        <v>1527</v>
      </c>
      <c r="S29">
        <v>1940</v>
      </c>
      <c r="T29">
        <v>2234</v>
      </c>
      <c r="U29">
        <v>2319</v>
      </c>
    </row>
    <row r="30" spans="2:21">
      <c r="B30" s="131" t="s">
        <v>106</v>
      </c>
      <c r="C30" s="131"/>
      <c r="D30" s="131"/>
      <c r="E30" s="39">
        <v>-9041</v>
      </c>
      <c r="F30" s="39">
        <v>-1251</v>
      </c>
      <c r="G30" s="99">
        <v>-1498</v>
      </c>
      <c r="H30" s="12"/>
      <c r="I30" s="131" t="s">
        <v>106</v>
      </c>
      <c r="J30" s="131"/>
      <c r="K30" s="131"/>
      <c r="L30" s="99">
        <v>-1498</v>
      </c>
      <c r="M30" s="39">
        <v>-5748</v>
      </c>
      <c r="N30" s="39">
        <v>-1479</v>
      </c>
    </row>
    <row r="31" spans="2:21">
      <c r="B31" s="132" t="s">
        <v>107</v>
      </c>
      <c r="C31" s="132"/>
      <c r="D31" s="132"/>
      <c r="E31" s="64">
        <v>-137</v>
      </c>
      <c r="F31" s="64">
        <v>-291</v>
      </c>
      <c r="G31" s="64">
        <v>-180</v>
      </c>
      <c r="H31" s="12"/>
    </row>
    <row r="32" spans="2:21">
      <c r="B32" s="131" t="s">
        <v>108</v>
      </c>
      <c r="C32" s="131"/>
      <c r="D32" s="131"/>
      <c r="E32" s="40" t="s">
        <v>103</v>
      </c>
      <c r="F32" s="40" t="s">
        <v>103</v>
      </c>
      <c r="G32" s="98">
        <v>-208</v>
      </c>
      <c r="H32" s="12"/>
      <c r="I32" s="128" t="s">
        <v>108</v>
      </c>
      <c r="J32" s="128"/>
      <c r="K32" s="128"/>
      <c r="L32" s="98">
        <v>-208</v>
      </c>
      <c r="M32" s="45" t="s">
        <v>103</v>
      </c>
      <c r="N32" s="45" t="s">
        <v>103</v>
      </c>
    </row>
    <row r="33" spans="2:14">
      <c r="B33" s="128" t="s">
        <v>109</v>
      </c>
      <c r="C33" s="128"/>
      <c r="D33" s="128"/>
      <c r="E33" s="45" t="s">
        <v>103</v>
      </c>
      <c r="F33" s="45" t="s">
        <v>103</v>
      </c>
      <c r="G33" s="98">
        <v>-842</v>
      </c>
      <c r="H33" s="12"/>
      <c r="I33" s="131" t="s">
        <v>109</v>
      </c>
      <c r="J33" s="131"/>
      <c r="K33" s="131"/>
      <c r="L33" s="98">
        <v>-842</v>
      </c>
      <c r="M33" s="40" t="s">
        <v>103</v>
      </c>
      <c r="N33" s="40" t="s">
        <v>103</v>
      </c>
    </row>
    <row r="34" spans="2:14" ht="15" thickBot="1">
      <c r="H34" s="12"/>
      <c r="I34" s="132" t="s">
        <v>123</v>
      </c>
      <c r="J34" s="132"/>
      <c r="K34" s="132"/>
      <c r="L34" s="65">
        <v>-133</v>
      </c>
      <c r="M34" s="66">
        <v>162</v>
      </c>
      <c r="N34" s="66">
        <v>66</v>
      </c>
    </row>
    <row r="35" spans="2:14" ht="15" thickBot="1">
      <c r="B35" s="133" t="s">
        <v>110</v>
      </c>
      <c r="C35" s="133"/>
      <c r="D35" s="133"/>
      <c r="E35" s="67">
        <v>-10764</v>
      </c>
      <c r="F35" s="67">
        <v>-2614</v>
      </c>
      <c r="G35" s="67">
        <v>-4283</v>
      </c>
      <c r="H35" s="12"/>
      <c r="I35" s="133" t="s">
        <v>110</v>
      </c>
      <c r="J35" s="133"/>
      <c r="K35" s="133"/>
      <c r="L35" s="41">
        <v>-4283</v>
      </c>
      <c r="M35" s="41">
        <v>-6488</v>
      </c>
      <c r="N35" s="41">
        <v>-1147</v>
      </c>
    </row>
    <row r="36" spans="2:14" ht="15" thickBot="1">
      <c r="B36" s="134" t="s">
        <v>111</v>
      </c>
      <c r="C36" s="134"/>
      <c r="D36" s="134"/>
      <c r="E36" s="45">
        <v>40</v>
      </c>
      <c r="F36" s="45">
        <v>15</v>
      </c>
      <c r="G36" s="44">
        <v>-249</v>
      </c>
      <c r="H36" s="12"/>
      <c r="I36" s="134" t="s">
        <v>111</v>
      </c>
      <c r="J36" s="134"/>
      <c r="K36" s="134"/>
      <c r="L36" s="56">
        <v>-249</v>
      </c>
      <c r="M36" s="57">
        <v>46</v>
      </c>
      <c r="N36" s="57">
        <v>70</v>
      </c>
    </row>
    <row r="37" spans="2:14">
      <c r="B37" s="131" t="s">
        <v>112</v>
      </c>
      <c r="C37" s="131"/>
      <c r="D37" s="131"/>
      <c r="E37" s="39">
        <v>-3794</v>
      </c>
      <c r="F37" s="48">
        <v>3497</v>
      </c>
      <c r="G37" s="39">
        <v>-1055</v>
      </c>
      <c r="H37" s="12"/>
      <c r="I37" s="131" t="s">
        <v>112</v>
      </c>
      <c r="J37" s="131"/>
      <c r="K37" s="131"/>
      <c r="L37" s="55">
        <v>-1055</v>
      </c>
      <c r="M37" s="55">
        <v>-1019</v>
      </c>
      <c r="N37" s="61">
        <v>3893</v>
      </c>
    </row>
    <row r="38" spans="2:14" ht="15" thickBot="1">
      <c r="B38" s="129" t="s">
        <v>113</v>
      </c>
      <c r="C38" s="129"/>
      <c r="D38" s="129"/>
      <c r="E38" s="51">
        <v>13700</v>
      </c>
      <c r="F38" s="51">
        <v>10203</v>
      </c>
      <c r="G38" s="51">
        <v>11258</v>
      </c>
      <c r="H38" s="12"/>
      <c r="I38" s="129" t="s">
        <v>113</v>
      </c>
      <c r="J38" s="129"/>
      <c r="K38" s="129"/>
      <c r="L38" s="51">
        <v>11258</v>
      </c>
      <c r="M38" s="51">
        <v>12277</v>
      </c>
      <c r="N38" s="51">
        <v>8384</v>
      </c>
    </row>
    <row r="39" spans="2:14">
      <c r="B39" s="127" t="s">
        <v>114</v>
      </c>
      <c r="C39" s="127"/>
      <c r="D39" s="127"/>
      <c r="E39" s="52">
        <v>9906</v>
      </c>
      <c r="F39" s="52">
        <v>13700</v>
      </c>
      <c r="G39" s="52">
        <v>10203</v>
      </c>
      <c r="H39" s="12"/>
      <c r="I39" s="127" t="s">
        <v>114</v>
      </c>
      <c r="J39" s="127"/>
      <c r="K39" s="127"/>
      <c r="L39" s="52">
        <v>10203</v>
      </c>
      <c r="M39" s="52">
        <v>11258</v>
      </c>
      <c r="N39" s="52">
        <v>12277</v>
      </c>
    </row>
    <row r="40" spans="2:14" ht="18.5">
      <c r="B40" s="127" t="s">
        <v>115</v>
      </c>
      <c r="C40" s="127"/>
      <c r="D40" s="127"/>
      <c r="E40" s="34"/>
      <c r="F40" s="34"/>
      <c r="G40" s="34"/>
      <c r="H40" s="12"/>
      <c r="I40" s="127" t="s">
        <v>115</v>
      </c>
      <c r="J40" s="127"/>
      <c r="K40" s="127"/>
      <c r="L40" s="34"/>
      <c r="M40" s="34"/>
      <c r="N40" s="34"/>
    </row>
    <row r="41" spans="2:14" ht="17.5">
      <c r="B41" s="128" t="s">
        <v>81</v>
      </c>
      <c r="C41" s="128"/>
      <c r="D41" s="128"/>
      <c r="E41" s="16"/>
      <c r="F41" s="16"/>
      <c r="G41" s="16"/>
      <c r="H41" s="12"/>
      <c r="I41" s="128" t="s">
        <v>81</v>
      </c>
      <c r="J41" s="128"/>
      <c r="K41" s="128"/>
      <c r="L41" s="16"/>
      <c r="M41" s="16"/>
      <c r="N41" s="16"/>
    </row>
    <row r="42" spans="2:14">
      <c r="B42" s="130" t="s">
        <v>82</v>
      </c>
      <c r="C42" s="130"/>
      <c r="D42" s="130"/>
      <c r="E42" s="36">
        <v>129</v>
      </c>
      <c r="F42" s="36">
        <v>125</v>
      </c>
      <c r="G42" s="36">
        <v>145</v>
      </c>
      <c r="H42" s="12"/>
      <c r="I42" s="130" t="s">
        <v>82</v>
      </c>
      <c r="J42" s="130"/>
      <c r="K42" s="130"/>
      <c r="L42" s="36">
        <v>145</v>
      </c>
      <c r="M42" s="36">
        <v>149</v>
      </c>
      <c r="N42" s="36">
        <v>124</v>
      </c>
    </row>
    <row r="43" spans="2:14">
      <c r="B43" s="126" t="s">
        <v>116</v>
      </c>
      <c r="C43" s="126"/>
      <c r="D43" s="126"/>
      <c r="E43" s="53">
        <v>2319</v>
      </c>
      <c r="F43" s="53">
        <v>2234</v>
      </c>
      <c r="G43" s="53">
        <v>1940</v>
      </c>
      <c r="H43" s="12"/>
      <c r="I43" s="126" t="s">
        <v>116</v>
      </c>
      <c r="J43" s="126"/>
      <c r="K43" s="126"/>
      <c r="L43" s="53">
        <v>1940</v>
      </c>
      <c r="M43" s="53">
        <v>1527</v>
      </c>
      <c r="N43" s="53">
        <v>1052</v>
      </c>
    </row>
    <row r="44" spans="2:14" ht="18.5">
      <c r="B44" s="127" t="s">
        <v>117</v>
      </c>
      <c r="C44" s="127"/>
      <c r="D44" s="127"/>
      <c r="E44" s="34"/>
      <c r="F44" s="34"/>
      <c r="G44" s="34"/>
      <c r="H44" s="12"/>
      <c r="I44" s="127" t="s">
        <v>117</v>
      </c>
      <c r="J44" s="127"/>
      <c r="K44" s="127"/>
      <c r="L44" s="34"/>
      <c r="M44" s="34"/>
      <c r="N44" s="34"/>
    </row>
    <row r="45" spans="2:14">
      <c r="B45" s="132" t="s">
        <v>118</v>
      </c>
      <c r="C45" s="132"/>
      <c r="D45" s="132"/>
      <c r="E45" s="68" t="s">
        <v>103</v>
      </c>
      <c r="F45" s="68">
        <v>452</v>
      </c>
      <c r="G45" s="68" t="s">
        <v>103</v>
      </c>
    </row>
    <row r="46" spans="2:14">
      <c r="B46" s="131" t="s">
        <v>119</v>
      </c>
      <c r="C46" s="131"/>
      <c r="D46" s="131"/>
      <c r="E46" s="36">
        <v>203</v>
      </c>
      <c r="F46" s="36">
        <v>170</v>
      </c>
      <c r="G46" s="36">
        <v>156</v>
      </c>
      <c r="I46" s="128" t="s">
        <v>119</v>
      </c>
      <c r="J46" s="128"/>
      <c r="K46" s="128"/>
      <c r="L46" s="37">
        <v>156</v>
      </c>
      <c r="M46" s="37">
        <v>184</v>
      </c>
      <c r="N46" s="37">
        <v>204</v>
      </c>
    </row>
  </sheetData>
  <mergeCells count="83">
    <mergeCell ref="B7:D7"/>
    <mergeCell ref="B2:D2"/>
    <mergeCell ref="B3:D3"/>
    <mergeCell ref="B4:D4"/>
    <mergeCell ref="B5:D5"/>
    <mergeCell ref="B6:D6"/>
    <mergeCell ref="B21:D21"/>
    <mergeCell ref="B8:D8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33:D33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5:D35"/>
    <mergeCell ref="B36:D36"/>
    <mergeCell ref="B37:D37"/>
    <mergeCell ref="B38:D38"/>
    <mergeCell ref="B39:D39"/>
    <mergeCell ref="B46:D46"/>
    <mergeCell ref="I2:K2"/>
    <mergeCell ref="I3:K3"/>
    <mergeCell ref="I4:K4"/>
    <mergeCell ref="I5:K5"/>
    <mergeCell ref="I6:K6"/>
    <mergeCell ref="I7:K7"/>
    <mergeCell ref="I8:K8"/>
    <mergeCell ref="I9:K9"/>
    <mergeCell ref="I10:K10"/>
    <mergeCell ref="B40:D40"/>
    <mergeCell ref="B41:D41"/>
    <mergeCell ref="B42:D42"/>
    <mergeCell ref="B43:D43"/>
    <mergeCell ref="B44:D44"/>
    <mergeCell ref="B45:D45"/>
    <mergeCell ref="I22:K22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37:K37"/>
    <mergeCell ref="I23:K23"/>
    <mergeCell ref="I27:K27"/>
    <mergeCell ref="I26:K26"/>
    <mergeCell ref="I28:K28"/>
    <mergeCell ref="I29:K29"/>
    <mergeCell ref="I30:K30"/>
    <mergeCell ref="I32:K32"/>
    <mergeCell ref="I33:K33"/>
    <mergeCell ref="I34:K34"/>
    <mergeCell ref="I35:K35"/>
    <mergeCell ref="I36:K36"/>
    <mergeCell ref="I43:K43"/>
    <mergeCell ref="I44:K44"/>
    <mergeCell ref="I46:K46"/>
    <mergeCell ref="I38:K38"/>
    <mergeCell ref="I39:K39"/>
    <mergeCell ref="I40:K40"/>
    <mergeCell ref="I41:K41"/>
    <mergeCell ref="I42:K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E521-FDBC-44B0-B43A-3786863284E3}">
  <dimension ref="B1:AJ40"/>
  <sheetViews>
    <sheetView topLeftCell="R14" workbookViewId="0">
      <selection activeCell="AF37" sqref="AF37:AJ37"/>
    </sheetView>
  </sheetViews>
  <sheetFormatPr defaultRowHeight="14.5"/>
  <cols>
    <col min="2" max="2" width="18.36328125" customWidth="1"/>
    <col min="3" max="3" width="16.08984375" customWidth="1"/>
    <col min="8" max="8" width="18.453125" customWidth="1"/>
    <col min="9" max="9" width="14.7265625" customWidth="1"/>
    <col min="14" max="14" width="17.90625" customWidth="1"/>
    <col min="15" max="15" width="20.36328125" customWidth="1"/>
    <col min="24" max="28" width="10.08984375" bestFit="1" customWidth="1"/>
  </cols>
  <sheetData>
    <row r="1" spans="2:36" ht="15" thickBot="1"/>
    <row r="2" spans="2:36" ht="17.5">
      <c r="B2" s="154" t="s">
        <v>125</v>
      </c>
      <c r="C2" s="154"/>
      <c r="D2" s="154"/>
      <c r="E2" s="69">
        <v>2024</v>
      </c>
      <c r="F2" s="69">
        <v>2023</v>
      </c>
      <c r="H2" s="154" t="s">
        <v>125</v>
      </c>
      <c r="I2" s="154"/>
      <c r="J2" s="154"/>
      <c r="K2" s="69">
        <v>2022</v>
      </c>
      <c r="L2" s="69">
        <v>2021</v>
      </c>
      <c r="N2" s="154" t="s">
        <v>125</v>
      </c>
      <c r="O2" s="154"/>
      <c r="P2" s="154"/>
      <c r="Q2" s="70">
        <v>2020</v>
      </c>
      <c r="R2" s="70">
        <v>2019</v>
      </c>
      <c r="U2" s="148" t="s">
        <v>125</v>
      </c>
      <c r="V2" s="148"/>
      <c r="W2" s="148"/>
      <c r="X2" s="95">
        <v>2020</v>
      </c>
      <c r="Y2" s="95">
        <v>2021</v>
      </c>
      <c r="Z2" s="95">
        <v>2022</v>
      </c>
      <c r="AA2" s="95">
        <v>2023</v>
      </c>
      <c r="AB2" s="95">
        <v>2024</v>
      </c>
    </row>
    <row r="3" spans="2:36" ht="17.5">
      <c r="B3" s="151" t="s">
        <v>126</v>
      </c>
      <c r="C3" s="151"/>
      <c r="D3" s="151"/>
      <c r="E3" s="71"/>
      <c r="F3" s="71"/>
      <c r="H3" s="151" t="s">
        <v>126</v>
      </c>
      <c r="I3" s="151"/>
      <c r="J3" s="151"/>
      <c r="K3" s="71"/>
      <c r="L3" s="71"/>
      <c r="N3" s="151" t="s">
        <v>126</v>
      </c>
      <c r="O3" s="151"/>
      <c r="P3" s="151"/>
      <c r="Q3" s="72"/>
      <c r="R3" s="72"/>
      <c r="U3" s="142" t="s">
        <v>126</v>
      </c>
      <c r="V3" s="142"/>
      <c r="W3" s="142"/>
      <c r="X3" s="96"/>
      <c r="Y3" s="96"/>
      <c r="Z3" s="96"/>
      <c r="AA3" s="96"/>
      <c r="AB3" s="96"/>
      <c r="AD3" s="1" t="s">
        <v>175</v>
      </c>
      <c r="AF3">
        <v>2020</v>
      </c>
      <c r="AG3">
        <v>2021</v>
      </c>
      <c r="AH3">
        <v>2022</v>
      </c>
      <c r="AI3">
        <v>2023</v>
      </c>
      <c r="AJ3">
        <v>2024</v>
      </c>
    </row>
    <row r="4" spans="2:36">
      <c r="B4" s="149" t="s">
        <v>127</v>
      </c>
      <c r="C4" s="149"/>
      <c r="D4" s="149"/>
      <c r="E4" s="73">
        <v>9906</v>
      </c>
      <c r="F4" s="73">
        <v>13700</v>
      </c>
      <c r="H4" s="149" t="s">
        <v>127</v>
      </c>
      <c r="I4" s="149"/>
      <c r="J4" s="149"/>
      <c r="K4" s="73">
        <v>10203</v>
      </c>
      <c r="L4" s="73">
        <v>11258</v>
      </c>
      <c r="N4" s="149" t="s">
        <v>127</v>
      </c>
      <c r="O4" s="149"/>
      <c r="P4" s="149"/>
      <c r="Q4" s="73">
        <v>12277</v>
      </c>
      <c r="R4" s="73">
        <v>8384</v>
      </c>
      <c r="U4" s="145" t="s">
        <v>127</v>
      </c>
      <c r="V4" s="145"/>
      <c r="W4" s="145"/>
      <c r="X4" s="97">
        <v>12277</v>
      </c>
      <c r="Y4" s="97">
        <v>11258</v>
      </c>
      <c r="Z4" s="97">
        <v>10203</v>
      </c>
      <c r="AA4" s="97">
        <v>13700</v>
      </c>
      <c r="AB4" s="97">
        <v>9906</v>
      </c>
      <c r="AE4" t="s">
        <v>176</v>
      </c>
      <c r="AF4" s="104">
        <v>12277</v>
      </c>
      <c r="AG4" s="104">
        <v>11258</v>
      </c>
      <c r="AH4" s="104">
        <v>10203</v>
      </c>
      <c r="AI4" s="104">
        <v>13700</v>
      </c>
      <c r="AJ4" s="104">
        <v>9906</v>
      </c>
    </row>
    <row r="5" spans="2:36">
      <c r="B5" s="150" t="s">
        <v>128</v>
      </c>
      <c r="C5" s="150"/>
      <c r="D5" s="150"/>
      <c r="E5" s="74">
        <v>1238</v>
      </c>
      <c r="F5" s="74">
        <v>1534</v>
      </c>
      <c r="H5" s="150" t="s">
        <v>128</v>
      </c>
      <c r="I5" s="150"/>
      <c r="J5" s="150"/>
      <c r="K5" s="75">
        <v>846</v>
      </c>
      <c r="L5" s="75">
        <v>917</v>
      </c>
      <c r="N5" s="150" t="s">
        <v>128</v>
      </c>
      <c r="O5" s="150"/>
      <c r="P5" s="150"/>
      <c r="Q5" s="74">
        <v>1028</v>
      </c>
      <c r="R5" s="74">
        <v>1060</v>
      </c>
      <c r="U5" s="144" t="s">
        <v>128</v>
      </c>
      <c r="V5" s="144"/>
      <c r="W5" s="144"/>
      <c r="X5" s="97">
        <v>1028</v>
      </c>
      <c r="Y5" s="97">
        <v>917</v>
      </c>
      <c r="Z5" s="97">
        <v>846</v>
      </c>
      <c r="AA5" s="97">
        <v>1534</v>
      </c>
      <c r="AB5" s="97">
        <v>1238</v>
      </c>
      <c r="AE5" t="s">
        <v>177</v>
      </c>
      <c r="AF5" s="104">
        <v>1028</v>
      </c>
      <c r="AG5" s="104">
        <v>917</v>
      </c>
      <c r="AH5" s="104">
        <v>846</v>
      </c>
      <c r="AI5" s="104">
        <v>1534</v>
      </c>
      <c r="AJ5" s="104">
        <v>1238</v>
      </c>
    </row>
    <row r="6" spans="2:36">
      <c r="B6" s="149" t="s">
        <v>129</v>
      </c>
      <c r="C6" s="149"/>
      <c r="D6" s="149"/>
      <c r="E6" s="76">
        <v>2721</v>
      </c>
      <c r="F6" s="76">
        <v>2285</v>
      </c>
      <c r="H6" s="149" t="s">
        <v>129</v>
      </c>
      <c r="I6" s="149"/>
      <c r="J6" s="149"/>
      <c r="K6" s="76">
        <v>2241</v>
      </c>
      <c r="L6" s="76">
        <v>1803</v>
      </c>
      <c r="N6" s="149" t="s">
        <v>129</v>
      </c>
      <c r="O6" s="149"/>
      <c r="P6" s="149"/>
      <c r="Q6" s="76">
        <v>1550</v>
      </c>
      <c r="R6" s="76">
        <v>1535</v>
      </c>
      <c r="U6" s="145" t="s">
        <v>129</v>
      </c>
      <c r="V6" s="145"/>
      <c r="W6" s="145"/>
      <c r="X6" s="97">
        <v>1550</v>
      </c>
      <c r="Y6" s="97">
        <v>1803</v>
      </c>
      <c r="Z6" s="97">
        <v>2241</v>
      </c>
      <c r="AA6" s="97">
        <v>2285</v>
      </c>
      <c r="AB6" s="97">
        <v>2721</v>
      </c>
      <c r="AE6" t="s">
        <v>129</v>
      </c>
      <c r="AF6" s="104">
        <v>1550</v>
      </c>
      <c r="AG6" s="104">
        <v>1803</v>
      </c>
      <c r="AH6" s="104">
        <v>2241</v>
      </c>
      <c r="AI6" s="104">
        <v>2285</v>
      </c>
      <c r="AJ6" s="104">
        <v>2721</v>
      </c>
    </row>
    <row r="7" spans="2:36">
      <c r="B7" s="150" t="s">
        <v>89</v>
      </c>
      <c r="C7" s="150"/>
      <c r="D7" s="150"/>
      <c r="E7" s="74">
        <v>18647</v>
      </c>
      <c r="F7" s="74">
        <v>16651</v>
      </c>
      <c r="H7" s="150" t="s">
        <v>89</v>
      </c>
      <c r="I7" s="150"/>
      <c r="J7" s="150"/>
      <c r="K7" s="74">
        <v>17907</v>
      </c>
      <c r="L7" s="74">
        <v>14215</v>
      </c>
      <c r="N7" s="150" t="s">
        <v>89</v>
      </c>
      <c r="O7" s="150"/>
      <c r="P7" s="150"/>
      <c r="Q7" s="74">
        <v>12242</v>
      </c>
      <c r="R7" s="74">
        <v>11395</v>
      </c>
      <c r="U7" s="144" t="s">
        <v>89</v>
      </c>
      <c r="V7" s="144"/>
      <c r="W7" s="144"/>
      <c r="X7" s="97">
        <v>12242</v>
      </c>
      <c r="Y7" s="97">
        <v>14215</v>
      </c>
      <c r="Z7" s="97">
        <v>17907</v>
      </c>
      <c r="AA7" s="97">
        <v>16651</v>
      </c>
      <c r="AB7" s="97">
        <v>18647</v>
      </c>
      <c r="AE7" t="s">
        <v>178</v>
      </c>
      <c r="AF7" s="104">
        <v>12242</v>
      </c>
      <c r="AG7" s="104">
        <v>14215</v>
      </c>
      <c r="AH7" s="104">
        <v>17907</v>
      </c>
      <c r="AI7" s="104">
        <v>16651</v>
      </c>
      <c r="AJ7" s="104">
        <v>18647</v>
      </c>
    </row>
    <row r="8" spans="2:36" ht="15" thickBot="1">
      <c r="B8" s="149" t="s">
        <v>130</v>
      </c>
      <c r="C8" s="149"/>
      <c r="D8" s="149"/>
      <c r="E8" s="77">
        <v>1734</v>
      </c>
      <c r="F8" s="77">
        <v>1709</v>
      </c>
      <c r="H8" s="149" t="s">
        <v>130</v>
      </c>
      <c r="I8" s="149"/>
      <c r="J8" s="149"/>
      <c r="K8" s="77">
        <v>1499</v>
      </c>
      <c r="L8" s="77">
        <v>1312</v>
      </c>
      <c r="N8" s="149" t="s">
        <v>130</v>
      </c>
      <c r="O8" s="149"/>
      <c r="P8" s="149"/>
      <c r="Q8" s="77">
        <v>1023</v>
      </c>
      <c r="R8" s="77">
        <v>1111</v>
      </c>
      <c r="U8" s="145" t="s">
        <v>130</v>
      </c>
      <c r="V8" s="145"/>
      <c r="W8" s="145"/>
      <c r="X8" s="103">
        <v>1023</v>
      </c>
      <c r="Y8" s="103">
        <v>1312</v>
      </c>
      <c r="Z8" s="103">
        <v>1499</v>
      </c>
      <c r="AA8" s="103">
        <v>1709</v>
      </c>
      <c r="AB8" s="103">
        <v>1734</v>
      </c>
      <c r="AD8" s="5" t="s">
        <v>179</v>
      </c>
      <c r="AE8" s="5"/>
    </row>
    <row r="9" spans="2:36">
      <c r="B9" s="150" t="s">
        <v>131</v>
      </c>
      <c r="C9" s="150"/>
      <c r="D9" s="150"/>
      <c r="E9" s="78">
        <v>34246</v>
      </c>
      <c r="F9" s="78">
        <v>35879</v>
      </c>
      <c r="H9" s="150" t="s">
        <v>131</v>
      </c>
      <c r="I9" s="150"/>
      <c r="J9" s="150"/>
      <c r="K9" s="78">
        <v>32696</v>
      </c>
      <c r="L9" s="78">
        <v>29505</v>
      </c>
      <c r="N9" s="150" t="s">
        <v>131</v>
      </c>
      <c r="O9" s="150"/>
      <c r="P9" s="150"/>
      <c r="Q9" s="78">
        <v>28120</v>
      </c>
      <c r="R9" s="78">
        <v>23485</v>
      </c>
      <c r="U9" s="144" t="s">
        <v>131</v>
      </c>
      <c r="V9" s="144"/>
      <c r="W9" s="144"/>
      <c r="X9" s="97">
        <v>28120</v>
      </c>
      <c r="Y9" s="97">
        <v>29505</v>
      </c>
      <c r="Z9" s="97">
        <v>32696</v>
      </c>
      <c r="AA9" s="97">
        <v>35879</v>
      </c>
      <c r="AB9" s="97">
        <v>34246</v>
      </c>
    </row>
    <row r="10" spans="2:36" ht="17.5">
      <c r="B10" s="152" t="s">
        <v>132</v>
      </c>
      <c r="C10" s="152"/>
      <c r="D10" s="152"/>
      <c r="E10" s="79"/>
      <c r="F10" s="79"/>
      <c r="H10" s="152" t="s">
        <v>132</v>
      </c>
      <c r="I10" s="152"/>
      <c r="J10" s="152"/>
      <c r="K10" s="79"/>
      <c r="L10" s="79"/>
      <c r="N10" s="152" t="s">
        <v>132</v>
      </c>
      <c r="O10" s="152"/>
      <c r="P10" s="152"/>
      <c r="Q10" s="80"/>
      <c r="R10" s="80"/>
      <c r="U10" s="141" t="s">
        <v>132</v>
      </c>
      <c r="V10" s="141"/>
      <c r="W10" s="141"/>
      <c r="X10" s="97"/>
      <c r="Y10" s="97"/>
      <c r="Z10" s="97"/>
      <c r="AA10" s="97"/>
      <c r="AB10" s="97"/>
      <c r="AD10" s="1" t="s">
        <v>180</v>
      </c>
    </row>
    <row r="11" spans="2:36">
      <c r="B11" s="150" t="s">
        <v>133</v>
      </c>
      <c r="C11" s="150"/>
      <c r="D11" s="150"/>
      <c r="E11" s="74">
        <v>29032</v>
      </c>
      <c r="F11" s="74">
        <v>26684</v>
      </c>
      <c r="H11" s="150" t="s">
        <v>133</v>
      </c>
      <c r="I11" s="150"/>
      <c r="J11" s="150"/>
      <c r="K11" s="74">
        <v>24646</v>
      </c>
      <c r="L11" s="74">
        <v>23492</v>
      </c>
      <c r="N11" s="150" t="s">
        <v>133</v>
      </c>
      <c r="O11" s="150"/>
      <c r="P11" s="150"/>
      <c r="Q11" s="74">
        <v>21807</v>
      </c>
      <c r="R11" s="74">
        <v>20890</v>
      </c>
      <c r="U11" s="144" t="s">
        <v>133</v>
      </c>
      <c r="V11" s="144"/>
      <c r="W11" s="144"/>
      <c r="X11" s="97">
        <v>21807</v>
      </c>
      <c r="Y11" s="97">
        <v>23492</v>
      </c>
      <c r="Z11" s="97">
        <v>24646</v>
      </c>
      <c r="AA11" s="97">
        <v>26684</v>
      </c>
      <c r="AB11" s="97">
        <v>29032</v>
      </c>
      <c r="AE11" t="s">
        <v>181</v>
      </c>
      <c r="AF11" s="104">
        <v>21807</v>
      </c>
      <c r="AG11" s="104">
        <v>23492</v>
      </c>
      <c r="AH11" s="104">
        <v>24646</v>
      </c>
      <c r="AI11" s="104">
        <v>26684</v>
      </c>
      <c r="AJ11" s="104">
        <v>29032</v>
      </c>
    </row>
    <row r="12" spans="2:36">
      <c r="B12" s="149" t="s">
        <v>134</v>
      </c>
      <c r="C12" s="149"/>
      <c r="D12" s="149"/>
      <c r="E12" s="76">
        <v>2617</v>
      </c>
      <c r="F12" s="76">
        <v>2713</v>
      </c>
      <c r="H12" s="149" t="s">
        <v>134</v>
      </c>
      <c r="I12" s="149"/>
      <c r="J12" s="149"/>
      <c r="K12" s="76">
        <v>2774</v>
      </c>
      <c r="L12" s="76">
        <v>2890</v>
      </c>
      <c r="N12" s="149" t="s">
        <v>134</v>
      </c>
      <c r="O12" s="149"/>
      <c r="P12" s="149"/>
      <c r="Q12" s="76">
        <v>2788</v>
      </c>
      <c r="R12" s="81" t="s">
        <v>166</v>
      </c>
      <c r="U12" s="145" t="s">
        <v>134</v>
      </c>
      <c r="V12" s="145"/>
      <c r="W12" s="145"/>
      <c r="X12" s="97">
        <v>2788</v>
      </c>
      <c r="Y12" s="97">
        <v>2890</v>
      </c>
      <c r="Z12" s="97">
        <v>2774</v>
      </c>
      <c r="AA12" s="97">
        <v>2713</v>
      </c>
      <c r="AB12" s="97">
        <v>2617</v>
      </c>
      <c r="AE12" t="s">
        <v>182</v>
      </c>
      <c r="AF12" s="104">
        <v>2788</v>
      </c>
      <c r="AG12" s="104">
        <v>2890</v>
      </c>
      <c r="AH12" s="104">
        <v>2774</v>
      </c>
      <c r="AI12" s="104">
        <v>2713</v>
      </c>
      <c r="AJ12" s="104">
        <v>2617</v>
      </c>
    </row>
    <row r="13" spans="2:36" ht="15" thickBot="1">
      <c r="B13" s="150" t="s">
        <v>135</v>
      </c>
      <c r="C13" s="150"/>
      <c r="D13" s="150"/>
      <c r="E13" s="82">
        <v>3936</v>
      </c>
      <c r="F13" s="82">
        <v>3718</v>
      </c>
      <c r="H13" s="150" t="s">
        <v>135</v>
      </c>
      <c r="I13" s="150"/>
      <c r="J13" s="150"/>
      <c r="K13" s="82">
        <v>4050</v>
      </c>
      <c r="L13" s="82">
        <v>3381</v>
      </c>
      <c r="N13" s="150" t="s">
        <v>135</v>
      </c>
      <c r="O13" s="150"/>
      <c r="P13" s="150"/>
      <c r="Q13" s="82">
        <v>2841</v>
      </c>
      <c r="R13" s="82">
        <v>1025</v>
      </c>
      <c r="U13" s="144" t="s">
        <v>135</v>
      </c>
      <c r="V13" s="144"/>
      <c r="W13" s="144"/>
      <c r="X13" s="97">
        <v>2841</v>
      </c>
      <c r="Y13" s="97">
        <v>3381</v>
      </c>
      <c r="Z13" s="97">
        <v>4050</v>
      </c>
      <c r="AA13" s="97">
        <v>3718</v>
      </c>
      <c r="AB13" s="97">
        <v>3936</v>
      </c>
      <c r="AE13" t="s">
        <v>135</v>
      </c>
      <c r="AF13" s="104">
        <v>3864</v>
      </c>
      <c r="AG13" s="104">
        <v>4693</v>
      </c>
      <c r="AH13" s="104">
        <v>5549</v>
      </c>
      <c r="AI13" s="104">
        <v>5427</v>
      </c>
      <c r="AJ13" s="104">
        <v>5670</v>
      </c>
    </row>
    <row r="14" spans="2:36" ht="15" thickBot="1">
      <c r="B14" s="152" t="s">
        <v>136</v>
      </c>
      <c r="C14" s="152"/>
      <c r="D14" s="152"/>
      <c r="E14" s="83">
        <v>69831</v>
      </c>
      <c r="F14" s="83">
        <v>68994</v>
      </c>
      <c r="H14" s="152" t="s">
        <v>136</v>
      </c>
      <c r="I14" s="152"/>
      <c r="J14" s="152"/>
      <c r="K14" s="83">
        <v>64166</v>
      </c>
      <c r="L14" s="83">
        <v>59268</v>
      </c>
      <c r="N14" s="152" t="s">
        <v>136</v>
      </c>
      <c r="O14" s="152"/>
      <c r="P14" s="152"/>
      <c r="Q14" s="83">
        <v>55556</v>
      </c>
      <c r="R14" s="83">
        <v>45400</v>
      </c>
      <c r="U14" s="141" t="s">
        <v>136</v>
      </c>
      <c r="V14" s="141"/>
      <c r="W14" s="141"/>
      <c r="X14" s="97">
        <v>55556</v>
      </c>
      <c r="Y14" s="97">
        <v>59268</v>
      </c>
      <c r="Z14" s="97">
        <v>64166</v>
      </c>
      <c r="AA14" s="97">
        <v>68994</v>
      </c>
      <c r="AB14" s="97">
        <v>69831</v>
      </c>
      <c r="AD14" s="102" t="s">
        <v>183</v>
      </c>
      <c r="AE14" s="33"/>
    </row>
    <row r="15" spans="2:36" ht="18" thickTop="1">
      <c r="B15" s="153" t="s">
        <v>137</v>
      </c>
      <c r="C15" s="153"/>
      <c r="D15" s="153"/>
      <c r="E15" s="84"/>
      <c r="F15" s="84"/>
      <c r="H15" s="153" t="s">
        <v>137</v>
      </c>
      <c r="I15" s="153"/>
      <c r="J15" s="153"/>
      <c r="K15" s="84"/>
      <c r="L15" s="84"/>
      <c r="N15" s="153" t="s">
        <v>137</v>
      </c>
      <c r="O15" s="153"/>
      <c r="P15" s="153"/>
      <c r="Q15" s="85"/>
      <c r="R15" s="85"/>
      <c r="U15" s="147" t="s">
        <v>137</v>
      </c>
      <c r="V15" s="147"/>
      <c r="W15" s="147"/>
      <c r="X15" s="97"/>
      <c r="Y15" s="97"/>
      <c r="Z15" s="97"/>
      <c r="AA15" s="97"/>
      <c r="AB15" s="97"/>
    </row>
    <row r="16" spans="2:36" ht="17.5">
      <c r="B16" s="152" t="s">
        <v>138</v>
      </c>
      <c r="C16" s="152"/>
      <c r="D16" s="152"/>
      <c r="E16" s="79"/>
      <c r="F16" s="79"/>
      <c r="H16" s="152" t="s">
        <v>138</v>
      </c>
      <c r="I16" s="152"/>
      <c r="J16" s="152"/>
      <c r="K16" s="79"/>
      <c r="L16" s="79"/>
      <c r="N16" s="152" t="s">
        <v>138</v>
      </c>
      <c r="O16" s="152"/>
      <c r="P16" s="152"/>
      <c r="Q16" s="80"/>
      <c r="R16" s="80"/>
      <c r="U16" s="141" t="s">
        <v>138</v>
      </c>
      <c r="V16" s="141"/>
      <c r="W16" s="141"/>
      <c r="X16" s="97"/>
      <c r="Y16" s="97"/>
      <c r="Z16" s="97"/>
      <c r="AA16" s="97"/>
      <c r="AB16" s="97"/>
      <c r="AD16" s="1" t="s">
        <v>184</v>
      </c>
    </row>
    <row r="17" spans="2:36">
      <c r="B17" s="150" t="s">
        <v>90</v>
      </c>
      <c r="C17" s="150"/>
      <c r="D17" s="150"/>
      <c r="E17" s="86">
        <v>19421</v>
      </c>
      <c r="F17" s="86">
        <v>17483</v>
      </c>
      <c r="H17" s="150" t="s">
        <v>90</v>
      </c>
      <c r="I17" s="150"/>
      <c r="J17" s="150"/>
      <c r="K17" s="86">
        <v>17848</v>
      </c>
      <c r="L17" s="86">
        <v>16278</v>
      </c>
      <c r="N17" s="150" t="s">
        <v>90</v>
      </c>
      <c r="O17" s="150"/>
      <c r="P17" s="150"/>
      <c r="Q17" s="86">
        <v>14172</v>
      </c>
      <c r="R17" s="86">
        <v>11679</v>
      </c>
      <c r="U17" s="144" t="s">
        <v>90</v>
      </c>
      <c r="V17" s="144"/>
      <c r="W17" s="144"/>
      <c r="X17" s="97">
        <v>14172</v>
      </c>
      <c r="Y17" s="97">
        <v>16278</v>
      </c>
      <c r="Z17" s="97">
        <v>17848</v>
      </c>
      <c r="AA17" s="97">
        <v>17483</v>
      </c>
      <c r="AB17" s="97">
        <v>19421</v>
      </c>
      <c r="AE17" t="s">
        <v>62</v>
      </c>
      <c r="AF17" s="104">
        <f t="shared" ref="AF17:AH20" si="0">X17</f>
        <v>14172</v>
      </c>
      <c r="AG17" s="104">
        <f t="shared" si="0"/>
        <v>16278</v>
      </c>
      <c r="AH17" s="104">
        <f t="shared" si="0"/>
        <v>17848</v>
      </c>
      <c r="AI17" s="104">
        <f t="shared" ref="AI17:AJ20" si="1">AA17</f>
        <v>17483</v>
      </c>
      <c r="AJ17" s="104">
        <f t="shared" si="1"/>
        <v>19421</v>
      </c>
    </row>
    <row r="18" spans="2:36">
      <c r="B18" s="149" t="s">
        <v>139</v>
      </c>
      <c r="C18" s="149"/>
      <c r="D18" s="149"/>
      <c r="E18" s="76">
        <v>4794</v>
      </c>
      <c r="F18" s="76">
        <v>4278</v>
      </c>
      <c r="H18" s="149" t="s">
        <v>139</v>
      </c>
      <c r="I18" s="149"/>
      <c r="J18" s="149"/>
      <c r="K18" s="76">
        <v>4381</v>
      </c>
      <c r="L18" s="76">
        <v>4090</v>
      </c>
      <c r="N18" s="149" t="s">
        <v>139</v>
      </c>
      <c r="O18" s="149"/>
      <c r="P18" s="149"/>
      <c r="Q18" s="76">
        <v>3605</v>
      </c>
      <c r="R18" s="76">
        <v>3176</v>
      </c>
      <c r="U18" s="145" t="s">
        <v>139</v>
      </c>
      <c r="V18" s="145"/>
      <c r="W18" s="145"/>
      <c r="X18" s="97">
        <v>3605</v>
      </c>
      <c r="Y18" s="97">
        <v>4090</v>
      </c>
      <c r="Z18" s="97">
        <v>4381</v>
      </c>
      <c r="AA18" s="97">
        <v>4278</v>
      </c>
      <c r="AB18" s="97">
        <v>4794</v>
      </c>
      <c r="AE18" t="s">
        <v>185</v>
      </c>
      <c r="AF18" s="104">
        <f t="shared" si="0"/>
        <v>3605</v>
      </c>
      <c r="AG18" s="104">
        <f t="shared" si="0"/>
        <v>4090</v>
      </c>
      <c r="AH18" s="104">
        <f t="shared" si="0"/>
        <v>4381</v>
      </c>
      <c r="AI18" s="104">
        <f t="shared" si="1"/>
        <v>4278</v>
      </c>
      <c r="AJ18" s="104">
        <f t="shared" si="1"/>
        <v>4794</v>
      </c>
    </row>
    <row r="19" spans="2:36">
      <c r="B19" s="150" t="s">
        <v>140</v>
      </c>
      <c r="C19" s="150"/>
      <c r="D19" s="150"/>
      <c r="E19" s="74">
        <v>2435</v>
      </c>
      <c r="F19" s="74">
        <v>2150</v>
      </c>
      <c r="H19" s="150" t="s">
        <v>140</v>
      </c>
      <c r="I19" s="150"/>
      <c r="J19" s="150"/>
      <c r="K19" s="74">
        <v>1911</v>
      </c>
      <c r="L19" s="74">
        <v>1671</v>
      </c>
      <c r="N19" s="150" t="s">
        <v>140</v>
      </c>
      <c r="O19" s="150"/>
      <c r="P19" s="150"/>
      <c r="Q19" s="74">
        <v>1393</v>
      </c>
      <c r="R19" s="74">
        <v>1180</v>
      </c>
      <c r="U19" s="144" t="s">
        <v>140</v>
      </c>
      <c r="V19" s="144"/>
      <c r="W19" s="144"/>
      <c r="X19" s="97">
        <v>1393</v>
      </c>
      <c r="Y19" s="97">
        <v>1671</v>
      </c>
      <c r="Z19" s="97">
        <v>1911</v>
      </c>
      <c r="AA19" s="97">
        <v>2150</v>
      </c>
      <c r="AB19" s="97">
        <v>2435</v>
      </c>
      <c r="AE19" t="s">
        <v>186</v>
      </c>
      <c r="AF19" s="104">
        <f t="shared" si="0"/>
        <v>1393</v>
      </c>
      <c r="AG19" s="104">
        <f t="shared" si="0"/>
        <v>1671</v>
      </c>
      <c r="AH19" s="104">
        <f t="shared" si="0"/>
        <v>1911</v>
      </c>
      <c r="AI19" s="104">
        <f t="shared" si="1"/>
        <v>2150</v>
      </c>
      <c r="AJ19" s="104">
        <f t="shared" si="1"/>
        <v>2435</v>
      </c>
    </row>
    <row r="20" spans="2:36">
      <c r="B20" s="149" t="s">
        <v>141</v>
      </c>
      <c r="C20" s="149"/>
      <c r="D20" s="149"/>
      <c r="E20" s="76">
        <v>2501</v>
      </c>
      <c r="F20" s="76">
        <v>2337</v>
      </c>
      <c r="H20" s="149" t="s">
        <v>141</v>
      </c>
      <c r="I20" s="149"/>
      <c r="J20" s="149"/>
      <c r="K20" s="76">
        <v>2174</v>
      </c>
      <c r="L20" s="76">
        <v>2042</v>
      </c>
      <c r="N20" s="149" t="s">
        <v>141</v>
      </c>
      <c r="O20" s="149"/>
      <c r="P20" s="149"/>
      <c r="Q20" s="76">
        <v>1851</v>
      </c>
      <c r="R20" s="76">
        <v>1711</v>
      </c>
      <c r="U20" s="145" t="s">
        <v>141</v>
      </c>
      <c r="V20" s="145"/>
      <c r="W20" s="145"/>
      <c r="X20" s="97">
        <v>1851</v>
      </c>
      <c r="Y20" s="97">
        <v>2042</v>
      </c>
      <c r="Z20" s="97">
        <v>2174</v>
      </c>
      <c r="AA20" s="97">
        <v>2337</v>
      </c>
      <c r="AB20" s="97">
        <v>2501</v>
      </c>
      <c r="AE20" t="s">
        <v>187</v>
      </c>
      <c r="AF20" s="104">
        <f t="shared" si="0"/>
        <v>1851</v>
      </c>
      <c r="AG20" s="104">
        <f t="shared" si="0"/>
        <v>2042</v>
      </c>
      <c r="AH20" s="104">
        <f t="shared" si="0"/>
        <v>2174</v>
      </c>
      <c r="AI20" s="104">
        <f t="shared" si="1"/>
        <v>2337</v>
      </c>
      <c r="AJ20" s="104">
        <f t="shared" si="1"/>
        <v>2501</v>
      </c>
    </row>
    <row r="21" spans="2:36">
      <c r="B21" s="150" t="s">
        <v>142</v>
      </c>
      <c r="C21" s="150"/>
      <c r="D21" s="150"/>
      <c r="E21" s="75">
        <v>103</v>
      </c>
      <c r="F21" s="74">
        <v>1081</v>
      </c>
      <c r="H21" s="150" t="s">
        <v>142</v>
      </c>
      <c r="I21" s="150"/>
      <c r="J21" s="150"/>
      <c r="K21" s="75">
        <v>73</v>
      </c>
      <c r="L21" s="75">
        <v>799</v>
      </c>
      <c r="N21" s="150" t="s">
        <v>142</v>
      </c>
      <c r="O21" s="150"/>
      <c r="P21" s="150"/>
      <c r="Q21" s="75">
        <v>95</v>
      </c>
      <c r="R21" s="74">
        <v>1699</v>
      </c>
      <c r="U21" s="144" t="s">
        <v>142</v>
      </c>
      <c r="V21" s="144"/>
      <c r="W21" s="144"/>
      <c r="X21" s="103">
        <v>95</v>
      </c>
      <c r="Y21" s="103">
        <v>799</v>
      </c>
      <c r="Z21" s="103">
        <v>73</v>
      </c>
      <c r="AA21" s="103">
        <v>1081</v>
      </c>
      <c r="AB21" s="103">
        <v>103</v>
      </c>
      <c r="AE21" t="s">
        <v>188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ht="15" thickBot="1">
      <c r="B22" s="149" t="s">
        <v>143</v>
      </c>
      <c r="C22" s="149"/>
      <c r="D22" s="149"/>
      <c r="E22" s="77">
        <v>6210</v>
      </c>
      <c r="F22" s="77">
        <v>6254</v>
      </c>
      <c r="H22" s="149" t="s">
        <v>143</v>
      </c>
      <c r="I22" s="149"/>
      <c r="J22" s="149"/>
      <c r="K22" s="77">
        <v>5611</v>
      </c>
      <c r="L22" s="77">
        <v>4561</v>
      </c>
      <c r="N22" s="149" t="s">
        <v>143</v>
      </c>
      <c r="O22" s="149"/>
      <c r="P22" s="149"/>
      <c r="Q22" s="77">
        <v>3728</v>
      </c>
      <c r="R22" s="77">
        <v>3792</v>
      </c>
      <c r="U22" s="145" t="s">
        <v>143</v>
      </c>
      <c r="V22" s="145"/>
      <c r="W22" s="145"/>
      <c r="X22" s="103">
        <v>3728</v>
      </c>
      <c r="Y22" s="103">
        <v>4561</v>
      </c>
      <c r="Z22" s="103">
        <v>5611</v>
      </c>
      <c r="AA22" s="103">
        <v>6254</v>
      </c>
      <c r="AB22" s="103">
        <v>6210</v>
      </c>
      <c r="AD22" s="5" t="s">
        <v>189</v>
      </c>
      <c r="AE22" s="5"/>
    </row>
    <row r="23" spans="2:36">
      <c r="B23" s="150" t="s">
        <v>144</v>
      </c>
      <c r="C23" s="150"/>
      <c r="D23" s="150"/>
      <c r="E23" s="78">
        <v>35464</v>
      </c>
      <c r="F23" s="78">
        <v>33583</v>
      </c>
      <c r="H23" s="150" t="s">
        <v>144</v>
      </c>
      <c r="I23" s="150"/>
      <c r="J23" s="150"/>
      <c r="K23" s="78">
        <v>31998</v>
      </c>
      <c r="L23" s="78">
        <v>29441</v>
      </c>
      <c r="N23" s="150" t="s">
        <v>144</v>
      </c>
      <c r="O23" s="150"/>
      <c r="P23" s="150"/>
      <c r="Q23" s="78">
        <v>24844</v>
      </c>
      <c r="R23" s="78">
        <v>23237</v>
      </c>
      <c r="U23" s="144" t="s">
        <v>144</v>
      </c>
      <c r="V23" s="144"/>
      <c r="W23" s="144"/>
      <c r="X23" s="97">
        <v>24844</v>
      </c>
      <c r="Y23" s="97">
        <v>29441</v>
      </c>
      <c r="Z23" s="97">
        <v>31998</v>
      </c>
      <c r="AA23" s="97">
        <v>33583</v>
      </c>
      <c r="AB23" s="97">
        <v>35464</v>
      </c>
    </row>
    <row r="24" spans="2:36" ht="17.5">
      <c r="B24" s="152" t="s">
        <v>145</v>
      </c>
      <c r="C24" s="152"/>
      <c r="D24" s="152"/>
      <c r="E24" s="79"/>
      <c r="F24" s="79"/>
      <c r="H24" s="152" t="s">
        <v>145</v>
      </c>
      <c r="I24" s="152"/>
      <c r="J24" s="152"/>
      <c r="K24" s="79"/>
      <c r="L24" s="79"/>
      <c r="N24" s="152" t="s">
        <v>145</v>
      </c>
      <c r="O24" s="152"/>
      <c r="P24" s="152"/>
      <c r="Q24" s="80"/>
      <c r="R24" s="80"/>
      <c r="U24" s="141" t="s">
        <v>145</v>
      </c>
      <c r="V24" s="141"/>
      <c r="W24" s="141"/>
      <c r="X24" s="97"/>
      <c r="Y24" s="97"/>
      <c r="Z24" s="97"/>
      <c r="AA24" s="97"/>
      <c r="AB24" s="97"/>
      <c r="AD24" s="1" t="s">
        <v>190</v>
      </c>
    </row>
    <row r="25" spans="2:36">
      <c r="B25" s="150" t="s">
        <v>146</v>
      </c>
      <c r="C25" s="150"/>
      <c r="D25" s="150"/>
      <c r="E25" s="74">
        <v>5794</v>
      </c>
      <c r="F25" s="74">
        <v>5377</v>
      </c>
      <c r="H25" s="150" t="s">
        <v>146</v>
      </c>
      <c r="I25" s="150"/>
      <c r="J25" s="150"/>
      <c r="K25" s="74">
        <v>6484</v>
      </c>
      <c r="L25" s="74">
        <v>6692</v>
      </c>
      <c r="N25" s="150" t="s">
        <v>146</v>
      </c>
      <c r="O25" s="150"/>
      <c r="P25" s="150"/>
      <c r="Q25" s="74">
        <v>7514</v>
      </c>
      <c r="R25" s="74">
        <v>5124</v>
      </c>
      <c r="U25" s="144" t="s">
        <v>146</v>
      </c>
      <c r="V25" s="144"/>
      <c r="W25" s="144"/>
      <c r="X25" s="97">
        <v>7514</v>
      </c>
      <c r="Y25" s="97">
        <v>6692</v>
      </c>
      <c r="Z25" s="97">
        <v>6484</v>
      </c>
      <c r="AA25" s="97">
        <v>5377</v>
      </c>
      <c r="AB25" s="97">
        <v>5794</v>
      </c>
      <c r="AE25" t="s">
        <v>191</v>
      </c>
      <c r="AF25" s="104">
        <f>SUM(X25,X21)</f>
        <v>7609</v>
      </c>
      <c r="AG25" s="104">
        <f>SUM(Y25,Y21)</f>
        <v>7491</v>
      </c>
      <c r="AH25" s="104">
        <f>SUM(Z25,Z21)</f>
        <v>6557</v>
      </c>
      <c r="AI25" s="104">
        <f>SUM(AA25,AA21)</f>
        <v>6458</v>
      </c>
      <c r="AJ25" s="104">
        <f>SUM(AB25,AB21)</f>
        <v>5897</v>
      </c>
    </row>
    <row r="26" spans="2:36">
      <c r="B26" s="149" t="s">
        <v>147</v>
      </c>
      <c r="C26" s="149"/>
      <c r="D26" s="149"/>
      <c r="E26" s="76">
        <v>2375</v>
      </c>
      <c r="F26" s="76">
        <v>2426</v>
      </c>
      <c r="H26" s="149" t="s">
        <v>147</v>
      </c>
      <c r="I26" s="149"/>
      <c r="J26" s="149"/>
      <c r="K26" s="76">
        <v>2482</v>
      </c>
      <c r="L26" s="76">
        <v>2642</v>
      </c>
      <c r="N26" s="149" t="s">
        <v>147</v>
      </c>
      <c r="O26" s="149"/>
      <c r="P26" s="149"/>
      <c r="Q26" s="76">
        <v>2558</v>
      </c>
      <c r="R26" s="81" t="s">
        <v>153</v>
      </c>
      <c r="U26" s="145" t="s">
        <v>147</v>
      </c>
      <c r="V26" s="145"/>
      <c r="W26" s="145"/>
      <c r="X26" s="97">
        <v>2558</v>
      </c>
      <c r="Y26" s="97">
        <v>2642</v>
      </c>
      <c r="Z26" s="97">
        <v>2482</v>
      </c>
      <c r="AA26" s="97">
        <v>2426</v>
      </c>
      <c r="AB26" s="97">
        <v>2375</v>
      </c>
      <c r="AE26" t="s">
        <v>192</v>
      </c>
      <c r="AF26" s="104">
        <f>X26</f>
        <v>2558</v>
      </c>
      <c r="AG26" s="104">
        <f>Y26</f>
        <v>2642</v>
      </c>
      <c r="AH26" s="104">
        <f>Z26</f>
        <v>2482</v>
      </c>
      <c r="AI26" s="104">
        <f>AA26</f>
        <v>2426</v>
      </c>
      <c r="AJ26" s="104">
        <f>AB26</f>
        <v>2375</v>
      </c>
    </row>
    <row r="27" spans="2:36" ht="15" thickBot="1">
      <c r="B27" s="150" t="s">
        <v>148</v>
      </c>
      <c r="C27" s="150"/>
      <c r="D27" s="150"/>
      <c r="E27" s="82">
        <v>2576</v>
      </c>
      <c r="F27" s="82">
        <v>2550</v>
      </c>
      <c r="H27" s="150" t="s">
        <v>148</v>
      </c>
      <c r="I27" s="150"/>
      <c r="J27" s="150"/>
      <c r="K27" s="82">
        <v>2555</v>
      </c>
      <c r="L27" s="82">
        <v>2415</v>
      </c>
      <c r="N27" s="150" t="s">
        <v>148</v>
      </c>
      <c r="O27" s="150"/>
      <c r="P27" s="150"/>
      <c r="Q27" s="82">
        <v>1935</v>
      </c>
      <c r="R27" s="82">
        <v>1455</v>
      </c>
      <c r="U27" s="144" t="s">
        <v>148</v>
      </c>
      <c r="V27" s="144"/>
      <c r="W27" s="144"/>
      <c r="X27" s="97">
        <v>1935</v>
      </c>
      <c r="Y27" s="97">
        <v>2415</v>
      </c>
      <c r="Z27" s="97">
        <v>2555</v>
      </c>
      <c r="AA27" s="97">
        <v>2550</v>
      </c>
      <c r="AB27" s="97">
        <v>2576</v>
      </c>
      <c r="AE27" t="s">
        <v>148</v>
      </c>
      <c r="AF27" s="104">
        <f>SUM(X27,X22)</f>
        <v>5663</v>
      </c>
      <c r="AG27" s="104">
        <f>SUM(Y27,Y22)</f>
        <v>6976</v>
      </c>
      <c r="AH27" s="104">
        <f>SUM(Z27,Z22)</f>
        <v>8166</v>
      </c>
      <c r="AI27" s="104">
        <f>SUM(AA27,AA22)</f>
        <v>8804</v>
      </c>
      <c r="AJ27" s="104">
        <f>SUM(AB27,AB22)</f>
        <v>8786</v>
      </c>
    </row>
    <row r="28" spans="2:36" ht="15" thickBot="1">
      <c r="B28" s="152" t="s">
        <v>149</v>
      </c>
      <c r="C28" s="152"/>
      <c r="D28" s="152"/>
      <c r="E28" s="87">
        <v>46209</v>
      </c>
      <c r="F28" s="87">
        <v>43936</v>
      </c>
      <c r="H28" s="152" t="s">
        <v>149</v>
      </c>
      <c r="I28" s="152"/>
      <c r="J28" s="152"/>
      <c r="K28" s="87">
        <v>43519</v>
      </c>
      <c r="L28" s="87">
        <v>41190</v>
      </c>
      <c r="N28" s="152" t="s">
        <v>149</v>
      </c>
      <c r="O28" s="152"/>
      <c r="P28" s="152"/>
      <c r="Q28" s="87">
        <v>36851</v>
      </c>
      <c r="R28" s="87">
        <v>29816</v>
      </c>
      <c r="U28" s="141" t="s">
        <v>149</v>
      </c>
      <c r="V28" s="141"/>
      <c r="W28" s="141"/>
      <c r="X28" s="97">
        <v>36851</v>
      </c>
      <c r="Y28" s="97">
        <v>41190</v>
      </c>
      <c r="Z28" s="97">
        <v>43519</v>
      </c>
      <c r="AA28" s="97">
        <v>43936</v>
      </c>
      <c r="AB28" s="97">
        <v>46209</v>
      </c>
      <c r="AD28" s="5" t="s">
        <v>193</v>
      </c>
      <c r="AE28" s="5"/>
    </row>
    <row r="29" spans="2:36" ht="17.5">
      <c r="B29" s="151" t="s">
        <v>150</v>
      </c>
      <c r="C29" s="151"/>
      <c r="D29" s="151"/>
      <c r="E29" s="88"/>
      <c r="F29" s="88"/>
      <c r="H29" s="151" t="s">
        <v>150</v>
      </c>
      <c r="I29" s="151"/>
      <c r="J29" s="151"/>
      <c r="K29" s="88"/>
      <c r="L29" s="88"/>
      <c r="N29" s="151" t="s">
        <v>150</v>
      </c>
      <c r="O29" s="151"/>
      <c r="P29" s="151"/>
      <c r="Q29" s="89"/>
      <c r="R29" s="89"/>
      <c r="U29" s="142" t="s">
        <v>150</v>
      </c>
      <c r="V29" s="142"/>
      <c r="W29" s="142"/>
      <c r="X29" s="97"/>
      <c r="Y29" s="97"/>
      <c r="Z29" s="97"/>
      <c r="AA29" s="97"/>
      <c r="AB29" s="97"/>
    </row>
    <row r="30" spans="2:36" ht="17.5">
      <c r="B30" s="152" t="s">
        <v>151</v>
      </c>
      <c r="C30" s="152"/>
      <c r="D30" s="152"/>
      <c r="E30" s="79"/>
      <c r="F30" s="79"/>
      <c r="H30" s="152" t="s">
        <v>151</v>
      </c>
      <c r="I30" s="152"/>
      <c r="J30" s="152"/>
      <c r="K30" s="79"/>
      <c r="L30" s="79"/>
      <c r="N30" s="152" t="s">
        <v>151</v>
      </c>
      <c r="O30" s="152"/>
      <c r="P30" s="152"/>
      <c r="Q30" s="80"/>
      <c r="R30" s="80"/>
      <c r="U30" s="141" t="s">
        <v>151</v>
      </c>
      <c r="V30" s="141"/>
      <c r="W30" s="141"/>
      <c r="X30" s="97"/>
      <c r="Y30" s="97"/>
      <c r="Z30" s="97"/>
      <c r="AA30" s="97"/>
      <c r="AB30" s="97"/>
    </row>
    <row r="31" spans="2:36">
      <c r="B31" s="156" t="s">
        <v>152</v>
      </c>
      <c r="C31" s="156"/>
      <c r="D31" s="156"/>
      <c r="E31" s="75" t="s">
        <v>153</v>
      </c>
      <c r="F31" s="75" t="s">
        <v>153</v>
      </c>
      <c r="H31" s="156" t="s">
        <v>152</v>
      </c>
      <c r="I31" s="156"/>
      <c r="J31" s="156"/>
      <c r="K31" s="75" t="s">
        <v>153</v>
      </c>
      <c r="L31" s="75" t="s">
        <v>153</v>
      </c>
      <c r="N31" s="150" t="s">
        <v>163</v>
      </c>
      <c r="O31" s="150"/>
      <c r="P31" s="150"/>
      <c r="Q31" s="75" t="s">
        <v>153</v>
      </c>
      <c r="R31" s="75" t="s">
        <v>153</v>
      </c>
      <c r="U31" s="146" t="s">
        <v>152</v>
      </c>
      <c r="V31" s="146"/>
      <c r="W31" s="146"/>
      <c r="X31" s="97" t="s">
        <v>51</v>
      </c>
      <c r="Y31" s="97" t="s">
        <v>51</v>
      </c>
      <c r="Z31" s="97" t="s">
        <v>51</v>
      </c>
      <c r="AA31" s="97" t="s">
        <v>51</v>
      </c>
      <c r="AB31" s="97" t="s">
        <v>51</v>
      </c>
    </row>
    <row r="32" spans="2:36">
      <c r="B32" s="155" t="s">
        <v>154</v>
      </c>
      <c r="C32" s="155"/>
      <c r="D32" s="155"/>
      <c r="E32" s="81">
        <v>2</v>
      </c>
      <c r="F32" s="81">
        <v>2</v>
      </c>
      <c r="H32" s="155" t="s">
        <v>160</v>
      </c>
      <c r="I32" s="155"/>
      <c r="J32" s="155"/>
      <c r="K32" s="81">
        <v>2</v>
      </c>
      <c r="L32" s="81">
        <v>4</v>
      </c>
      <c r="N32" s="149" t="s">
        <v>164</v>
      </c>
      <c r="O32" s="149"/>
      <c r="P32" s="149"/>
      <c r="Q32" s="81">
        <v>4</v>
      </c>
      <c r="R32" s="81">
        <v>4</v>
      </c>
      <c r="U32" s="143" t="s">
        <v>160</v>
      </c>
      <c r="V32" s="143"/>
      <c r="W32" s="143"/>
      <c r="X32" s="97">
        <v>4</v>
      </c>
      <c r="Y32" s="97">
        <v>4</v>
      </c>
      <c r="Z32" s="97">
        <v>2</v>
      </c>
      <c r="AA32" s="97">
        <v>2</v>
      </c>
      <c r="AB32" s="97">
        <v>2</v>
      </c>
      <c r="AD32" s="1" t="s">
        <v>194</v>
      </c>
    </row>
    <row r="33" spans="2:36">
      <c r="B33" s="150" t="s">
        <v>155</v>
      </c>
      <c r="C33" s="150"/>
      <c r="D33" s="150"/>
      <c r="E33" s="74">
        <v>7829</v>
      </c>
      <c r="F33" s="74">
        <v>7340</v>
      </c>
      <c r="H33" s="150" t="s">
        <v>155</v>
      </c>
      <c r="I33" s="150"/>
      <c r="J33" s="150"/>
      <c r="K33" s="74">
        <v>6884</v>
      </c>
      <c r="L33" s="74">
        <v>7031</v>
      </c>
      <c r="N33" s="150" t="s">
        <v>155</v>
      </c>
      <c r="O33" s="150"/>
      <c r="P33" s="150"/>
      <c r="Q33" s="74">
        <v>6698</v>
      </c>
      <c r="R33" s="74">
        <v>6417</v>
      </c>
      <c r="U33" s="144" t="s">
        <v>155</v>
      </c>
      <c r="V33" s="144"/>
      <c r="W33" s="144"/>
      <c r="X33" s="97">
        <v>6698</v>
      </c>
      <c r="Y33" s="97">
        <v>7031</v>
      </c>
      <c r="Z33" s="97">
        <v>6884</v>
      </c>
      <c r="AA33" s="97">
        <v>7340</v>
      </c>
      <c r="AB33" s="97">
        <v>7829</v>
      </c>
      <c r="AD33" s="1"/>
      <c r="AE33" t="s">
        <v>195</v>
      </c>
      <c r="AF33" s="104">
        <f>SUM(X31:X33)</f>
        <v>6702</v>
      </c>
      <c r="AG33" s="104">
        <f>SUM(Y31:Y33)</f>
        <v>7035</v>
      </c>
      <c r="AH33" s="104">
        <f t="shared" ref="AH33:AJ33" si="2">SUM(Z31:Z33)</f>
        <v>6886</v>
      </c>
      <c r="AI33" s="104">
        <f t="shared" si="2"/>
        <v>7342</v>
      </c>
      <c r="AJ33" s="104">
        <f t="shared" si="2"/>
        <v>7831</v>
      </c>
    </row>
    <row r="34" spans="2:36">
      <c r="B34" s="149" t="s">
        <v>156</v>
      </c>
      <c r="C34" s="149"/>
      <c r="D34" s="149"/>
      <c r="E34" s="90">
        <v>-1828</v>
      </c>
      <c r="F34" s="90">
        <v>-1805</v>
      </c>
      <c r="H34" s="149" t="s">
        <v>156</v>
      </c>
      <c r="I34" s="149"/>
      <c r="J34" s="149"/>
      <c r="K34" s="90">
        <v>-1829</v>
      </c>
      <c r="L34" s="90">
        <v>-1137</v>
      </c>
      <c r="N34" s="149" t="s">
        <v>156</v>
      </c>
      <c r="O34" s="149"/>
      <c r="P34" s="149"/>
      <c r="Q34" s="90">
        <v>-1297</v>
      </c>
      <c r="R34" s="90">
        <v>-1436</v>
      </c>
      <c r="U34" s="145" t="s">
        <v>156</v>
      </c>
      <c r="V34" s="145"/>
      <c r="W34" s="145"/>
      <c r="X34" s="97">
        <v>-1297</v>
      </c>
      <c r="Y34" s="97">
        <v>-1137</v>
      </c>
      <c r="Z34" s="97">
        <v>-1829</v>
      </c>
      <c r="AA34" s="97">
        <v>-1805</v>
      </c>
      <c r="AB34" s="97">
        <v>-1828</v>
      </c>
      <c r="AE34" t="s">
        <v>196</v>
      </c>
      <c r="AF34" s="104">
        <f t="shared" ref="AF34:AJ35" si="3">X34</f>
        <v>-1297</v>
      </c>
      <c r="AG34" s="104">
        <f t="shared" si="3"/>
        <v>-1137</v>
      </c>
      <c r="AH34" s="104">
        <f t="shared" si="3"/>
        <v>-1829</v>
      </c>
      <c r="AI34" s="104">
        <f t="shared" si="3"/>
        <v>-1805</v>
      </c>
      <c r="AJ34" s="104">
        <f t="shared" si="3"/>
        <v>-1828</v>
      </c>
    </row>
    <row r="35" spans="2:36" ht="15" thickBot="1">
      <c r="B35" s="150" t="s">
        <v>157</v>
      </c>
      <c r="C35" s="150"/>
      <c r="D35" s="150"/>
      <c r="E35" s="74">
        <v>17619</v>
      </c>
      <c r="F35" s="74">
        <v>19521</v>
      </c>
      <c r="H35" s="150" t="s">
        <v>157</v>
      </c>
      <c r="I35" s="150"/>
      <c r="J35" s="150"/>
      <c r="K35" s="82">
        <v>15585</v>
      </c>
      <c r="L35" s="82">
        <v>11666</v>
      </c>
      <c r="N35" s="150" t="s">
        <v>157</v>
      </c>
      <c r="O35" s="150"/>
      <c r="P35" s="150"/>
      <c r="Q35" s="82">
        <v>12879</v>
      </c>
      <c r="R35" s="82">
        <v>10258</v>
      </c>
      <c r="U35" s="144" t="s">
        <v>157</v>
      </c>
      <c r="V35" s="144"/>
      <c r="W35" s="144"/>
      <c r="X35" s="97">
        <v>12879</v>
      </c>
      <c r="Y35" s="97">
        <v>11666</v>
      </c>
      <c r="Z35" s="97">
        <v>15585</v>
      </c>
      <c r="AA35" s="97">
        <v>19521</v>
      </c>
      <c r="AB35" s="97">
        <v>17619</v>
      </c>
      <c r="AE35" t="s">
        <v>197</v>
      </c>
      <c r="AF35" s="104">
        <f t="shared" si="3"/>
        <v>12879</v>
      </c>
      <c r="AG35" s="104">
        <f t="shared" si="3"/>
        <v>11666</v>
      </c>
      <c r="AH35" s="104">
        <f t="shared" si="3"/>
        <v>15585</v>
      </c>
      <c r="AI35" s="104">
        <f t="shared" si="3"/>
        <v>19521</v>
      </c>
      <c r="AJ35" s="104">
        <f t="shared" si="3"/>
        <v>17619</v>
      </c>
    </row>
    <row r="36" spans="2:36">
      <c r="B36" s="91"/>
      <c r="C36" s="91"/>
      <c r="D36" s="91"/>
      <c r="E36" s="91"/>
      <c r="F36" s="91"/>
      <c r="H36" s="149" t="s">
        <v>161</v>
      </c>
      <c r="I36" s="149"/>
      <c r="J36" s="149"/>
      <c r="K36" s="92">
        <v>20642</v>
      </c>
      <c r="L36" s="92">
        <v>17564</v>
      </c>
      <c r="N36" s="149" t="s">
        <v>161</v>
      </c>
      <c r="O36" s="149"/>
      <c r="P36" s="149"/>
      <c r="Q36" s="92">
        <v>18284</v>
      </c>
      <c r="R36" s="92">
        <v>15243</v>
      </c>
      <c r="U36" s="145" t="s">
        <v>161</v>
      </c>
      <c r="V36" s="145"/>
      <c r="W36" s="145"/>
      <c r="X36" s="97">
        <v>18284</v>
      </c>
      <c r="Y36" s="97">
        <v>17564</v>
      </c>
      <c r="Z36" s="97">
        <v>20642</v>
      </c>
      <c r="AA36" s="97"/>
      <c r="AB36" s="97"/>
      <c r="AD36" s="5" t="s">
        <v>198</v>
      </c>
      <c r="AE36" s="5"/>
    </row>
    <row r="37" spans="2:36" ht="15" thickBot="1">
      <c r="B37" s="91"/>
      <c r="C37" s="91"/>
      <c r="D37" s="91"/>
      <c r="E37" s="91"/>
      <c r="F37" s="91"/>
      <c r="H37" s="150" t="s">
        <v>162</v>
      </c>
      <c r="I37" s="150"/>
      <c r="J37" s="150"/>
      <c r="K37" s="93">
        <v>5</v>
      </c>
      <c r="L37" s="93">
        <v>514</v>
      </c>
      <c r="N37" s="150" t="s">
        <v>162</v>
      </c>
      <c r="O37" s="150"/>
      <c r="P37" s="150"/>
      <c r="Q37" s="93">
        <v>421</v>
      </c>
      <c r="R37" s="93">
        <v>341</v>
      </c>
      <c r="U37" s="144" t="s">
        <v>162</v>
      </c>
      <c r="V37" s="144"/>
      <c r="W37" s="144"/>
      <c r="X37" s="97">
        <v>421</v>
      </c>
      <c r="Y37" s="97">
        <v>514</v>
      </c>
      <c r="Z37" s="97">
        <v>5</v>
      </c>
      <c r="AA37" s="97"/>
      <c r="AB37" s="97"/>
      <c r="AE37" t="s">
        <v>199</v>
      </c>
      <c r="AF37" s="104">
        <f>X37</f>
        <v>421</v>
      </c>
      <c r="AG37" s="104">
        <f>Y37</f>
        <v>514</v>
      </c>
      <c r="AH37" s="104">
        <f>Z37</f>
        <v>5</v>
      </c>
      <c r="AI37" s="104">
        <f>AA37</f>
        <v>0</v>
      </c>
      <c r="AJ37" s="104">
        <f>AB37</f>
        <v>0</v>
      </c>
    </row>
    <row r="38" spans="2:36" ht="15" thickBot="1">
      <c r="B38" s="152" t="s">
        <v>158</v>
      </c>
      <c r="C38" s="152"/>
      <c r="D38" s="152"/>
      <c r="E38" s="87">
        <v>23622</v>
      </c>
      <c r="F38" s="87">
        <v>25058</v>
      </c>
      <c r="H38" s="152" t="s">
        <v>158</v>
      </c>
      <c r="I38" s="152"/>
      <c r="J38" s="152"/>
      <c r="K38" s="87">
        <v>20647</v>
      </c>
      <c r="L38" s="87">
        <v>18078</v>
      </c>
      <c r="N38" s="149" t="s">
        <v>165</v>
      </c>
      <c r="O38" s="149"/>
      <c r="P38" s="149"/>
      <c r="Q38" s="87">
        <v>18705</v>
      </c>
      <c r="R38" s="87">
        <v>15584</v>
      </c>
      <c r="U38" s="141" t="s">
        <v>158</v>
      </c>
      <c r="V38" s="141"/>
      <c r="W38" s="141"/>
      <c r="X38" s="97">
        <v>18705</v>
      </c>
      <c r="Y38" s="97">
        <v>18078</v>
      </c>
      <c r="Z38" s="97">
        <v>20647</v>
      </c>
      <c r="AA38" s="97">
        <v>25058</v>
      </c>
      <c r="AB38" s="97">
        <v>23622</v>
      </c>
      <c r="AD38" s="5" t="s">
        <v>200</v>
      </c>
      <c r="AE38" s="5"/>
    </row>
    <row r="39" spans="2:36" ht="15" thickBot="1">
      <c r="B39" s="151" t="s">
        <v>159</v>
      </c>
      <c r="C39" s="151"/>
      <c r="D39" s="151"/>
      <c r="E39" s="94">
        <v>69831</v>
      </c>
      <c r="F39" s="94">
        <v>68994</v>
      </c>
      <c r="H39" s="151" t="s">
        <v>159</v>
      </c>
      <c r="I39" s="151"/>
      <c r="J39" s="151"/>
      <c r="K39" s="94">
        <v>64166</v>
      </c>
      <c r="L39" s="94">
        <v>59268</v>
      </c>
      <c r="N39" s="151" t="s">
        <v>159</v>
      </c>
      <c r="O39" s="151"/>
      <c r="P39" s="151"/>
      <c r="Q39" s="94">
        <v>55556</v>
      </c>
      <c r="R39" s="94">
        <v>45400</v>
      </c>
      <c r="U39" s="142" t="s">
        <v>159</v>
      </c>
      <c r="V39" s="142"/>
      <c r="W39" s="142"/>
      <c r="X39" s="97">
        <v>55556</v>
      </c>
      <c r="Y39" s="97">
        <v>59268</v>
      </c>
      <c r="Z39" s="97">
        <v>64166</v>
      </c>
      <c r="AA39" s="97">
        <v>68994</v>
      </c>
      <c r="AB39" s="97">
        <v>69831</v>
      </c>
      <c r="AD39" s="102" t="s">
        <v>201</v>
      </c>
      <c r="AE39" s="33"/>
    </row>
    <row r="40" spans="2:36" ht="15" thickTop="1"/>
  </sheetData>
  <mergeCells count="150">
    <mergeCell ref="B11:D11"/>
    <mergeCell ref="B12:D12"/>
    <mergeCell ref="B13:D13"/>
    <mergeCell ref="B2:D2"/>
    <mergeCell ref="B3:D3"/>
    <mergeCell ref="B4:D4"/>
    <mergeCell ref="B5:D5"/>
    <mergeCell ref="B6:D6"/>
    <mergeCell ref="B7:D7"/>
    <mergeCell ref="B35:D35"/>
    <mergeCell ref="B38:D38"/>
    <mergeCell ref="B39:D39"/>
    <mergeCell ref="B26:D26"/>
    <mergeCell ref="B27:D27"/>
    <mergeCell ref="B28:D28"/>
    <mergeCell ref="B29:D29"/>
    <mergeCell ref="B30:D30"/>
    <mergeCell ref="B31:D31"/>
    <mergeCell ref="H2:J2"/>
    <mergeCell ref="H3:J3"/>
    <mergeCell ref="H4:J4"/>
    <mergeCell ref="H5:J5"/>
    <mergeCell ref="H6:J6"/>
    <mergeCell ref="H7:J7"/>
    <mergeCell ref="B32:D32"/>
    <mergeCell ref="B33:D33"/>
    <mergeCell ref="B34:D34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H14:J14"/>
    <mergeCell ref="H15:J15"/>
    <mergeCell ref="H16:J16"/>
    <mergeCell ref="H17:J17"/>
    <mergeCell ref="H18:J18"/>
    <mergeCell ref="H19:J19"/>
    <mergeCell ref="H8:J8"/>
    <mergeCell ref="H9:J9"/>
    <mergeCell ref="H10:J10"/>
    <mergeCell ref="H11:J11"/>
    <mergeCell ref="H12:J12"/>
    <mergeCell ref="H13:J13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N10:P10"/>
    <mergeCell ref="N11:P11"/>
    <mergeCell ref="N12:P12"/>
    <mergeCell ref="N13:P13"/>
    <mergeCell ref="N14:P14"/>
    <mergeCell ref="N15:P15"/>
    <mergeCell ref="H38:J38"/>
    <mergeCell ref="H39:J39"/>
    <mergeCell ref="N2:P2"/>
    <mergeCell ref="N3:P3"/>
    <mergeCell ref="N4:P4"/>
    <mergeCell ref="N5:P5"/>
    <mergeCell ref="N6:P6"/>
    <mergeCell ref="N7:P7"/>
    <mergeCell ref="N8:P8"/>
    <mergeCell ref="N9:P9"/>
    <mergeCell ref="H32:J32"/>
    <mergeCell ref="H33:J33"/>
    <mergeCell ref="H34:J34"/>
    <mergeCell ref="H35:J35"/>
    <mergeCell ref="H36:J36"/>
    <mergeCell ref="H37:J37"/>
    <mergeCell ref="H26:J26"/>
    <mergeCell ref="H27:J27"/>
    <mergeCell ref="N22:P22"/>
    <mergeCell ref="N23:P23"/>
    <mergeCell ref="N24:P24"/>
    <mergeCell ref="N25:P25"/>
    <mergeCell ref="N26:P26"/>
    <mergeCell ref="N27:P27"/>
    <mergeCell ref="N16:P16"/>
    <mergeCell ref="N17:P17"/>
    <mergeCell ref="N18:P18"/>
    <mergeCell ref="N19:P19"/>
    <mergeCell ref="N20:P20"/>
    <mergeCell ref="N21:P21"/>
    <mergeCell ref="N34:P34"/>
    <mergeCell ref="N35:P35"/>
    <mergeCell ref="N36:P36"/>
    <mergeCell ref="N37:P37"/>
    <mergeCell ref="N38:P38"/>
    <mergeCell ref="N39:P39"/>
    <mergeCell ref="N28:P28"/>
    <mergeCell ref="N29:P29"/>
    <mergeCell ref="N30:P30"/>
    <mergeCell ref="N31:P31"/>
    <mergeCell ref="N32:P32"/>
    <mergeCell ref="N33:P33"/>
    <mergeCell ref="U8:W8"/>
    <mergeCell ref="U9:W9"/>
    <mergeCell ref="U10:W10"/>
    <mergeCell ref="U11:W11"/>
    <mergeCell ref="U12:W12"/>
    <mergeCell ref="U13:W13"/>
    <mergeCell ref="U2:W2"/>
    <mergeCell ref="U3:W3"/>
    <mergeCell ref="U4:W4"/>
    <mergeCell ref="U5:W5"/>
    <mergeCell ref="U6:W6"/>
    <mergeCell ref="U7:W7"/>
    <mergeCell ref="U20:W20"/>
    <mergeCell ref="U21:W21"/>
    <mergeCell ref="U22:W22"/>
    <mergeCell ref="U23:W23"/>
    <mergeCell ref="U24:W24"/>
    <mergeCell ref="U25:W25"/>
    <mergeCell ref="U14:W14"/>
    <mergeCell ref="U15:W15"/>
    <mergeCell ref="U16:W16"/>
    <mergeCell ref="U17:W17"/>
    <mergeCell ref="U18:W18"/>
    <mergeCell ref="U19:W19"/>
    <mergeCell ref="U38:W38"/>
    <mergeCell ref="U39:W39"/>
    <mergeCell ref="U32:W32"/>
    <mergeCell ref="U33:W33"/>
    <mergeCell ref="U34:W34"/>
    <mergeCell ref="U35:W35"/>
    <mergeCell ref="U36:W36"/>
    <mergeCell ref="U37:W37"/>
    <mergeCell ref="U26:W26"/>
    <mergeCell ref="U27:W27"/>
    <mergeCell ref="U28:W28"/>
    <mergeCell ref="U29:W29"/>
    <mergeCell ref="U30:W30"/>
    <mergeCell ref="U31:W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Statements</vt:lpstr>
      <vt:lpstr>Performance Metrics</vt:lpstr>
      <vt:lpstr>Income Statement (Raw)</vt:lpstr>
      <vt:lpstr>CFS (Raw)</vt:lpstr>
      <vt:lpstr>Balance Sheet (Raw)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Aggarwal</dc:creator>
  <cp:lastModifiedBy>Keshav Aggarwal</cp:lastModifiedBy>
  <dcterms:created xsi:type="dcterms:W3CDTF">2015-06-05T18:17:20Z</dcterms:created>
  <dcterms:modified xsi:type="dcterms:W3CDTF">2025-07-15T18:27:02Z</dcterms:modified>
</cp:coreProperties>
</file>