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Sellest_töövihikust" defaultThemeVersion="124226"/>
  <mc:AlternateContent xmlns:mc="http://schemas.openxmlformats.org/markup-compatibility/2006">
    <mc:Choice Requires="x15">
      <x15ac:absPath xmlns:x15ac="http://schemas.microsoft.com/office/spreadsheetml/2010/11/ac" url="C:\Users\lenovo\Documents\Chargemate\"/>
    </mc:Choice>
  </mc:AlternateContent>
  <xr:revisionPtr revIDLastSave="0" documentId="13_ncr:1_{827DA133-E66B-4442-A1CE-93422DB79357}" xr6:coauthVersionLast="47" xr6:coauthVersionMax="47" xr10:uidLastSave="{00000000-0000-0000-0000-000000000000}"/>
  <bookViews>
    <workbookView xWindow="-108" yWindow="-108" windowWidth="23256" windowHeight="12456" activeTab="2" xr2:uid="{00000000-000D-0000-FFFF-FFFF00000000}"/>
  </bookViews>
  <sheets>
    <sheet name="Alusta siit!" sheetId="14" r:id="rId1"/>
    <sheet name="Tooted" sheetId="17" r:id="rId2"/>
    <sheet name="Kassavood" sheetId="13" r:id="rId3"/>
    <sheet name="Kasumiaruanne" sheetId="15" r:id="rId4"/>
    <sheet name="Bilanss" sheetId="16" r:id="rId5"/>
    <sheet name="Töötajad" sheetId="18" r:id="rId6"/>
    <sheet name="Toetuse kasutamine" sheetId="19" r:id="rId7"/>
  </sheets>
  <definedNames>
    <definedName name="kohu1">Bilanss!$B$33:$B$38</definedName>
    <definedName name="kohu2">Bilanss!$B$35:$B$38</definedName>
    <definedName name="_xlnm.Print_Area" localSheetId="2">Kassavood!$A$3:$Q$100</definedName>
    <definedName name="_xlnm.Print_Area" localSheetId="3">Kasumiaruanne!$A$1:$F$72</definedName>
    <definedName name="_xlnm.Print_Area" localSheetId="1">Tooted!$A$1:$U$61</definedName>
    <definedName name="_xlnm.Print_Titles" localSheetId="2">Kassavood!$A:$A,Kassavood!$1:$2</definedName>
    <definedName name="_xlnm.Print_Titles" localSheetId="1">Tooted!$A:$D,Tooted!$1:$1</definedName>
    <definedName name="raha1">Bilanss!$B$6:$B$11</definedName>
    <definedName name="raha2">Bilanss!$B$7:$B$11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7" l="1"/>
  <c r="T12" i="17"/>
  <c r="S12" i="17"/>
  <c r="I17" i="17"/>
  <c r="J17" i="17"/>
  <c r="K17" i="17"/>
  <c r="L17" i="17"/>
  <c r="M17" i="17"/>
  <c r="N17" i="17"/>
  <c r="O17" i="17"/>
  <c r="P17" i="17"/>
  <c r="Q17" i="17"/>
  <c r="H17" i="17"/>
  <c r="F27" i="17"/>
  <c r="B2" i="13"/>
  <c r="C2" i="13" s="1"/>
  <c r="D2" i="13" s="1"/>
  <c r="E2" i="13" s="1"/>
  <c r="F2" i="13" s="1"/>
  <c r="G2" i="13" s="1"/>
  <c r="H2" i="13" s="1"/>
  <c r="I2" i="13" s="1"/>
  <c r="J2" i="13" s="1"/>
  <c r="K2" i="13" s="1"/>
  <c r="L2" i="13" s="1"/>
  <c r="M2" i="13" s="1"/>
  <c r="U2" i="17"/>
  <c r="U4" i="17" s="1"/>
  <c r="U5" i="17"/>
  <c r="U6" i="17"/>
  <c r="U7" i="17" s="1"/>
  <c r="U16" i="17"/>
  <c r="U21" i="17"/>
  <c r="U26" i="17"/>
  <c r="U31" i="17"/>
  <c r="U36" i="17"/>
  <c r="U41" i="17"/>
  <c r="U46" i="17"/>
  <c r="U51" i="17"/>
  <c r="U56" i="17"/>
  <c r="U61" i="17"/>
  <c r="F1" i="17"/>
  <c r="G1" i="17" s="1"/>
  <c r="H1" i="17" s="1"/>
  <c r="I1" i="17" s="1"/>
  <c r="J1" i="17" s="1"/>
  <c r="K1" i="17" s="1"/>
  <c r="L1" i="17" s="1"/>
  <c r="M1" i="17" s="1"/>
  <c r="N1" i="17" s="1"/>
  <c r="O1" i="17" s="1"/>
  <c r="P1" i="17" s="1"/>
  <c r="Q1" i="17" s="1"/>
  <c r="U10" i="17" l="1"/>
  <c r="U3" i="17"/>
  <c r="G106" i="13" l="1"/>
  <c r="C106" i="13"/>
  <c r="D106" i="13"/>
  <c r="B106" i="13"/>
  <c r="E104" i="13"/>
  <c r="D104" i="13"/>
  <c r="C104" i="13"/>
  <c r="B104" i="13"/>
  <c r="B13" i="15" l="1"/>
  <c r="M21" i="17" l="1"/>
  <c r="B26" i="15" l="1"/>
  <c r="B21" i="15"/>
  <c r="B11" i="15" l="1"/>
  <c r="B72" i="15" l="1"/>
  <c r="B54" i="15"/>
  <c r="B63" i="15" s="1"/>
  <c r="B69" i="15" s="1"/>
  <c r="B15" i="18"/>
  <c r="B70" i="15" s="1"/>
  <c r="B64" i="15"/>
  <c r="B68" i="15" l="1"/>
  <c r="B71" i="15" l="1"/>
  <c r="D103" i="13"/>
  <c r="E103" i="13"/>
  <c r="F103" i="13"/>
  <c r="G103" i="13"/>
  <c r="H103" i="13"/>
  <c r="I103" i="13"/>
  <c r="J103" i="13"/>
  <c r="K103" i="13"/>
  <c r="L103" i="13"/>
  <c r="M103" i="13"/>
  <c r="B103" i="13"/>
  <c r="C103" i="13"/>
  <c r="D12" i="15"/>
  <c r="E12" i="15"/>
  <c r="F12" i="15"/>
  <c r="O103" i="13"/>
  <c r="P103" i="13"/>
  <c r="Q103" i="13"/>
  <c r="C109" i="13"/>
  <c r="C58" i="13"/>
  <c r="D58" i="13"/>
  <c r="E58" i="13"/>
  <c r="F58" i="13"/>
  <c r="G58" i="13"/>
  <c r="H58" i="13"/>
  <c r="I58" i="13"/>
  <c r="J58" i="13"/>
  <c r="K58" i="13"/>
  <c r="L58" i="13"/>
  <c r="M58" i="13"/>
  <c r="B58" i="13"/>
  <c r="O83" i="13"/>
  <c r="D52" i="15" s="1"/>
  <c r="Q83" i="13"/>
  <c r="F52" i="15" s="1"/>
  <c r="P83" i="13"/>
  <c r="E52" i="15" s="1"/>
  <c r="N82" i="13"/>
  <c r="C51" i="15" s="1"/>
  <c r="Q84" i="13"/>
  <c r="F53" i="15" s="1"/>
  <c r="P84" i="13"/>
  <c r="E53" i="15" s="1"/>
  <c r="N26" i="13"/>
  <c r="M84" i="13"/>
  <c r="L84" i="13"/>
  <c r="K84" i="13"/>
  <c r="J84" i="13"/>
  <c r="I84" i="13"/>
  <c r="H84" i="13"/>
  <c r="G84" i="13"/>
  <c r="F84" i="13"/>
  <c r="E84" i="13"/>
  <c r="D84" i="13"/>
  <c r="C84" i="13"/>
  <c r="B25" i="16"/>
  <c r="R12" i="17"/>
  <c r="F23" i="15"/>
  <c r="F2" i="15"/>
  <c r="F16" i="17"/>
  <c r="X11" i="17"/>
  <c r="Y11" i="17"/>
  <c r="Z11" i="17"/>
  <c r="AA11" i="17"/>
  <c r="AB11" i="17"/>
  <c r="AC11" i="17"/>
  <c r="AD11" i="17"/>
  <c r="AE11" i="17"/>
  <c r="AF11" i="17"/>
  <c r="AG11" i="17"/>
  <c r="AH11" i="17"/>
  <c r="AI11" i="17"/>
  <c r="W11" i="17"/>
  <c r="X10" i="17"/>
  <c r="Y10" i="17"/>
  <c r="Z10" i="17"/>
  <c r="AA10" i="17"/>
  <c r="AB10" i="17"/>
  <c r="AC10" i="17"/>
  <c r="AD10" i="17"/>
  <c r="AE10" i="17"/>
  <c r="AF10" i="17"/>
  <c r="AG10" i="17"/>
  <c r="AH10" i="17"/>
  <c r="AI10" i="17"/>
  <c r="W10" i="17"/>
  <c r="X9" i="17"/>
  <c r="Y9" i="17"/>
  <c r="Z9" i="17"/>
  <c r="AA9" i="17"/>
  <c r="AB9" i="17"/>
  <c r="AC9" i="17"/>
  <c r="AD9" i="17"/>
  <c r="AE9" i="17"/>
  <c r="AF9" i="17"/>
  <c r="AG9" i="17"/>
  <c r="AH9" i="17"/>
  <c r="AI9" i="17"/>
  <c r="W9" i="17"/>
  <c r="X8" i="17"/>
  <c r="Y8" i="17"/>
  <c r="Z8" i="17"/>
  <c r="AA8" i="17"/>
  <c r="AB8" i="17"/>
  <c r="AC8" i="17"/>
  <c r="AD8" i="17"/>
  <c r="AE8" i="17"/>
  <c r="AF8" i="17"/>
  <c r="AG8" i="17"/>
  <c r="AH8" i="17"/>
  <c r="AI8" i="17"/>
  <c r="W8" i="17"/>
  <c r="X7" i="17"/>
  <c r="Y7" i="17"/>
  <c r="Z7" i="17"/>
  <c r="AA7" i="17"/>
  <c r="AB7" i="17"/>
  <c r="AC7" i="17"/>
  <c r="AD7" i="17"/>
  <c r="AE7" i="17"/>
  <c r="AF7" i="17"/>
  <c r="AG7" i="17"/>
  <c r="AH7" i="17"/>
  <c r="AI7" i="17"/>
  <c r="W7" i="17"/>
  <c r="X6" i="17"/>
  <c r="Y6" i="17"/>
  <c r="Z6" i="17"/>
  <c r="AA6" i="17"/>
  <c r="AB6" i="17"/>
  <c r="AC6" i="17"/>
  <c r="AD6" i="17"/>
  <c r="AE6" i="17"/>
  <c r="AF6" i="17"/>
  <c r="AG6" i="17"/>
  <c r="AH6" i="17"/>
  <c r="AI6" i="17"/>
  <c r="W6" i="17"/>
  <c r="AM11" i="17"/>
  <c r="AM10" i="17"/>
  <c r="AM9" i="17"/>
  <c r="AM8" i="17"/>
  <c r="AM7" i="17"/>
  <c r="AM6" i="17"/>
  <c r="AL11" i="17"/>
  <c r="AL10" i="17"/>
  <c r="AL9" i="17"/>
  <c r="AL8" i="17"/>
  <c r="AL7" i="17"/>
  <c r="AL6" i="17"/>
  <c r="AK11" i="17"/>
  <c r="AK10" i="17"/>
  <c r="AK9" i="17"/>
  <c r="AK8" i="17"/>
  <c r="AK7" i="17"/>
  <c r="AK6" i="17"/>
  <c r="AM5" i="17"/>
  <c r="AK5" i="17"/>
  <c r="X5" i="17"/>
  <c r="Y5" i="17"/>
  <c r="Z5" i="17"/>
  <c r="AA5" i="17"/>
  <c r="AB5" i="17"/>
  <c r="AC5" i="17"/>
  <c r="AD5" i="17"/>
  <c r="AE5" i="17"/>
  <c r="AF5" i="17"/>
  <c r="AG5" i="17"/>
  <c r="AH5" i="17"/>
  <c r="AI5" i="17"/>
  <c r="W5" i="17"/>
  <c r="AL5" i="17"/>
  <c r="AM3" i="17"/>
  <c r="AL3" i="17"/>
  <c r="AK3" i="17"/>
  <c r="X3" i="17"/>
  <c r="Y3" i="17"/>
  <c r="Z3" i="17"/>
  <c r="AA3" i="17"/>
  <c r="AB3" i="17"/>
  <c r="AC3" i="17"/>
  <c r="AD3" i="17"/>
  <c r="AE3" i="17"/>
  <c r="AF3" i="17"/>
  <c r="AG3" i="17"/>
  <c r="AH3" i="17"/>
  <c r="AI3" i="17"/>
  <c r="W3" i="17"/>
  <c r="AK2" i="17"/>
  <c r="X2" i="17"/>
  <c r="Y2" i="17"/>
  <c r="Z2" i="17"/>
  <c r="AA2" i="17"/>
  <c r="AB2" i="17"/>
  <c r="AC2" i="17"/>
  <c r="AD2" i="17"/>
  <c r="AE2" i="17"/>
  <c r="AF2" i="17"/>
  <c r="AG2" i="17"/>
  <c r="AH2" i="17"/>
  <c r="AI2" i="17"/>
  <c r="W2" i="17"/>
  <c r="C15" i="18"/>
  <c r="C70" i="15" s="1"/>
  <c r="E15" i="18"/>
  <c r="E70" i="15" s="1"/>
  <c r="C47" i="16"/>
  <c r="D112" i="13"/>
  <c r="D114" i="13" s="1"/>
  <c r="E112" i="13"/>
  <c r="E114" i="13" s="1"/>
  <c r="F112" i="13"/>
  <c r="F114" i="13" s="1"/>
  <c r="G112" i="13"/>
  <c r="G114" i="13" s="1"/>
  <c r="H112" i="13"/>
  <c r="H114" i="13" s="1"/>
  <c r="I112" i="13"/>
  <c r="I114" i="13" s="1"/>
  <c r="J112" i="13"/>
  <c r="J114" i="13" s="1"/>
  <c r="K112" i="13"/>
  <c r="K114" i="13" s="1"/>
  <c r="L112" i="13"/>
  <c r="L114" i="13" s="1"/>
  <c r="M112" i="13"/>
  <c r="M114" i="13" s="1"/>
  <c r="C112" i="13"/>
  <c r="C114" i="13" s="1"/>
  <c r="B112" i="13"/>
  <c r="B114" i="13" s="1"/>
  <c r="N44" i="13"/>
  <c r="Q112" i="13" s="1"/>
  <c r="F19" i="16" s="1"/>
  <c r="O43" i="13"/>
  <c r="P43" i="13"/>
  <c r="Q43" i="13"/>
  <c r="N28" i="13"/>
  <c r="C43" i="13"/>
  <c r="D43" i="13"/>
  <c r="E43" i="13"/>
  <c r="F43" i="13"/>
  <c r="G43" i="13"/>
  <c r="H43" i="13"/>
  <c r="I43" i="13"/>
  <c r="J43" i="13"/>
  <c r="K43" i="13"/>
  <c r="L43" i="13"/>
  <c r="M43" i="13"/>
  <c r="B43" i="13"/>
  <c r="D15" i="18"/>
  <c r="D70" i="15" s="1"/>
  <c r="F15" i="18"/>
  <c r="F70" i="15" s="1"/>
  <c r="P58" i="13"/>
  <c r="Q58" i="13"/>
  <c r="O58" i="13"/>
  <c r="N56" i="13"/>
  <c r="F2" i="18"/>
  <c r="D2" i="18"/>
  <c r="E2" i="18"/>
  <c r="C2" i="18"/>
  <c r="A14" i="18"/>
  <c r="A13" i="18"/>
  <c r="A12" i="18"/>
  <c r="A11" i="18"/>
  <c r="A10" i="18"/>
  <c r="A9" i="18"/>
  <c r="A8" i="18"/>
  <c r="A7" i="18"/>
  <c r="A6" i="18"/>
  <c r="A5" i="18"/>
  <c r="A4" i="18"/>
  <c r="A3" i="18"/>
  <c r="A57" i="15"/>
  <c r="A55" i="15"/>
  <c r="A52" i="15"/>
  <c r="A53" i="15"/>
  <c r="A51" i="15"/>
  <c r="A47" i="15"/>
  <c r="A48" i="15"/>
  <c r="A49" i="15"/>
  <c r="A46" i="15"/>
  <c r="A43" i="15"/>
  <c r="A44" i="15"/>
  <c r="A42" i="15"/>
  <c r="A38" i="15"/>
  <c r="A39" i="15"/>
  <c r="A40" i="15"/>
  <c r="A37" i="15"/>
  <c r="A35" i="15"/>
  <c r="A30" i="15"/>
  <c r="A31" i="15"/>
  <c r="A32" i="15"/>
  <c r="A33" i="15"/>
  <c r="A34" i="15"/>
  <c r="A29" i="15"/>
  <c r="A25" i="15"/>
  <c r="A24" i="15"/>
  <c r="A23" i="15"/>
  <c r="A20" i="15"/>
  <c r="A19" i="15"/>
  <c r="O37" i="13"/>
  <c r="P37" i="13"/>
  <c r="Q37" i="13"/>
  <c r="N24" i="13"/>
  <c r="N37" i="13" s="1"/>
  <c r="C37" i="13"/>
  <c r="D37" i="13"/>
  <c r="E37" i="13"/>
  <c r="F37" i="13"/>
  <c r="G37" i="13"/>
  <c r="H37" i="13"/>
  <c r="I37" i="13"/>
  <c r="J37" i="13"/>
  <c r="K37" i="13"/>
  <c r="L37" i="13"/>
  <c r="M37" i="13"/>
  <c r="B37" i="13"/>
  <c r="C2" i="16"/>
  <c r="D2" i="16"/>
  <c r="E2" i="16"/>
  <c r="F2" i="16"/>
  <c r="B12" i="16"/>
  <c r="C34" i="16"/>
  <c r="D34" i="16"/>
  <c r="E34" i="16"/>
  <c r="F34" i="16"/>
  <c r="B39" i="16"/>
  <c r="B44" i="16"/>
  <c r="B50" i="16"/>
  <c r="C2" i="15"/>
  <c r="D2" i="15"/>
  <c r="E2" i="15"/>
  <c r="D10" i="15"/>
  <c r="E10" i="15"/>
  <c r="F10" i="15"/>
  <c r="D20" i="15"/>
  <c r="E20" i="15"/>
  <c r="F20" i="15"/>
  <c r="D23" i="15"/>
  <c r="E23" i="15"/>
  <c r="D24" i="15"/>
  <c r="E24" i="15"/>
  <c r="F24" i="15"/>
  <c r="D25" i="15"/>
  <c r="E25" i="15"/>
  <c r="F25" i="15"/>
  <c r="D29" i="15"/>
  <c r="E29" i="15"/>
  <c r="F29" i="15"/>
  <c r="D30" i="15"/>
  <c r="E30" i="15"/>
  <c r="F30" i="15"/>
  <c r="D31" i="15"/>
  <c r="E31" i="15"/>
  <c r="F31" i="15"/>
  <c r="D32" i="15"/>
  <c r="E32" i="15"/>
  <c r="F32" i="15"/>
  <c r="D33" i="15"/>
  <c r="E33" i="15"/>
  <c r="F33" i="15"/>
  <c r="D34" i="15"/>
  <c r="E34" i="15"/>
  <c r="F34" i="15"/>
  <c r="D35" i="15"/>
  <c r="E35" i="15"/>
  <c r="F35" i="15"/>
  <c r="D37" i="15"/>
  <c r="E37" i="15"/>
  <c r="F37" i="15"/>
  <c r="D38" i="15"/>
  <c r="E38" i="15"/>
  <c r="F38" i="15"/>
  <c r="D39" i="15"/>
  <c r="E39" i="15"/>
  <c r="F39" i="15"/>
  <c r="D40" i="15"/>
  <c r="E40" i="15"/>
  <c r="F40" i="15"/>
  <c r="D42" i="15"/>
  <c r="E42" i="15"/>
  <c r="F42" i="15"/>
  <c r="D43" i="15"/>
  <c r="E43" i="15"/>
  <c r="F43" i="15"/>
  <c r="D44" i="15"/>
  <c r="E44" i="15"/>
  <c r="F44" i="15"/>
  <c r="D46" i="15"/>
  <c r="E46" i="15"/>
  <c r="F46" i="15"/>
  <c r="D47" i="15"/>
  <c r="E47" i="15"/>
  <c r="F47" i="15"/>
  <c r="D48" i="15"/>
  <c r="E48" i="15"/>
  <c r="F48" i="15"/>
  <c r="D49" i="15"/>
  <c r="E49" i="15"/>
  <c r="F49" i="15"/>
  <c r="D51" i="15"/>
  <c r="E51" i="15"/>
  <c r="F51" i="15"/>
  <c r="D55" i="15"/>
  <c r="E55" i="15"/>
  <c r="F55" i="15"/>
  <c r="D57" i="15"/>
  <c r="E57" i="15"/>
  <c r="F57" i="15"/>
  <c r="D66" i="15"/>
  <c r="E66" i="15"/>
  <c r="F66" i="15"/>
  <c r="B4" i="13"/>
  <c r="N4" i="13" s="1"/>
  <c r="N18" i="13"/>
  <c r="N20" i="13"/>
  <c r="C46" i="16" s="1"/>
  <c r="D46" i="16" s="1"/>
  <c r="E46" i="16" s="1"/>
  <c r="F46" i="16" s="1"/>
  <c r="N21" i="13"/>
  <c r="N22" i="13"/>
  <c r="M91" i="13" s="1"/>
  <c r="N91" i="13" s="1"/>
  <c r="N23" i="13"/>
  <c r="N25" i="13"/>
  <c r="N27" i="13"/>
  <c r="N29" i="13"/>
  <c r="N35" i="13"/>
  <c r="Q104" i="13" s="1"/>
  <c r="B36" i="13"/>
  <c r="B105" i="13" s="1"/>
  <c r="B111" i="13" s="1"/>
  <c r="C36" i="13"/>
  <c r="D36" i="13"/>
  <c r="E36" i="13"/>
  <c r="F36" i="13"/>
  <c r="G36" i="13"/>
  <c r="H36" i="13"/>
  <c r="I36" i="13"/>
  <c r="J36" i="13"/>
  <c r="K36" i="13"/>
  <c r="L36" i="13"/>
  <c r="M36" i="13"/>
  <c r="O36" i="13"/>
  <c r="P36" i="13"/>
  <c r="Q36" i="13"/>
  <c r="B38" i="13"/>
  <c r="C38" i="13"/>
  <c r="D38" i="13"/>
  <c r="E38" i="13"/>
  <c r="F38" i="13"/>
  <c r="G38" i="13"/>
  <c r="H38" i="13"/>
  <c r="I38" i="13"/>
  <c r="J38" i="13"/>
  <c r="K38" i="13"/>
  <c r="L38" i="13"/>
  <c r="M38" i="13"/>
  <c r="O38" i="13"/>
  <c r="P38" i="13"/>
  <c r="Q38" i="13"/>
  <c r="N39" i="13"/>
  <c r="N40" i="13"/>
  <c r="N41" i="13"/>
  <c r="N49" i="13"/>
  <c r="C20" i="15" s="1"/>
  <c r="N53" i="13"/>
  <c r="C23" i="15" s="1"/>
  <c r="N54" i="13"/>
  <c r="C24" i="15" s="1"/>
  <c r="N55" i="13"/>
  <c r="C25" i="15" s="1"/>
  <c r="N60" i="13"/>
  <c r="C29" i="15" s="1"/>
  <c r="N61" i="13"/>
  <c r="C30" i="15" s="1"/>
  <c r="N62" i="13"/>
  <c r="C31" i="15" s="1"/>
  <c r="N63" i="13"/>
  <c r="C32" i="15" s="1"/>
  <c r="N64" i="13"/>
  <c r="C33" i="15" s="1"/>
  <c r="N65" i="13"/>
  <c r="C34" i="15" s="1"/>
  <c r="N66" i="13"/>
  <c r="C35" i="15" s="1"/>
  <c r="N68" i="13"/>
  <c r="C37" i="15" s="1"/>
  <c r="N69" i="13"/>
  <c r="C38" i="15" s="1"/>
  <c r="N70" i="13"/>
  <c r="C39" i="15" s="1"/>
  <c r="N71" i="13"/>
  <c r="C40" i="15" s="1"/>
  <c r="N73" i="13"/>
  <c r="C42" i="15" s="1"/>
  <c r="N74" i="13"/>
  <c r="C43" i="15" s="1"/>
  <c r="N75" i="13"/>
  <c r="C44" i="15" s="1"/>
  <c r="N77" i="13"/>
  <c r="C46" i="15" s="1"/>
  <c r="N78" i="13"/>
  <c r="C47" i="15" s="1"/>
  <c r="N79" i="13"/>
  <c r="C48" i="15" s="1"/>
  <c r="N80" i="13"/>
  <c r="C49" i="15" s="1"/>
  <c r="C83" i="13"/>
  <c r="D83" i="13"/>
  <c r="E83" i="13"/>
  <c r="F83" i="13"/>
  <c r="G83" i="13"/>
  <c r="H83" i="13"/>
  <c r="I83" i="13"/>
  <c r="J83" i="13"/>
  <c r="K83" i="13"/>
  <c r="L83" i="13"/>
  <c r="M83" i="13"/>
  <c r="N85" i="13"/>
  <c r="C55" i="15" s="1"/>
  <c r="N87" i="13"/>
  <c r="C57" i="15" s="1"/>
  <c r="M90" i="13"/>
  <c r="N90" i="13" s="1"/>
  <c r="N92" i="13"/>
  <c r="C66" i="15" s="1"/>
  <c r="B96" i="13"/>
  <c r="N96" i="13" s="1"/>
  <c r="N98" i="13"/>
  <c r="N99" i="13"/>
  <c r="B108" i="13"/>
  <c r="C108" i="13"/>
  <c r="E108" i="13"/>
  <c r="F104" i="13"/>
  <c r="F108" i="13" s="1"/>
  <c r="G104" i="13"/>
  <c r="G108" i="13" s="1"/>
  <c r="H104" i="13"/>
  <c r="H108" i="13" s="1"/>
  <c r="I104" i="13"/>
  <c r="I108" i="13" s="1"/>
  <c r="J104" i="13"/>
  <c r="J108" i="13" s="1"/>
  <c r="K104" i="13"/>
  <c r="K108" i="13" s="1"/>
  <c r="L104" i="13"/>
  <c r="L108" i="13" s="1"/>
  <c r="M104" i="13"/>
  <c r="M108" i="13" s="1"/>
  <c r="B109" i="13"/>
  <c r="D109" i="13"/>
  <c r="E106" i="13"/>
  <c r="E109" i="13" s="1"/>
  <c r="F106" i="13"/>
  <c r="F109" i="13" s="1"/>
  <c r="G109" i="13"/>
  <c r="H106" i="13"/>
  <c r="H109" i="13" s="1"/>
  <c r="I106" i="13"/>
  <c r="I109" i="13" s="1"/>
  <c r="J106" i="13"/>
  <c r="J109" i="13" s="1"/>
  <c r="K106" i="13"/>
  <c r="K109" i="13" s="1"/>
  <c r="L106" i="13"/>
  <c r="L109" i="13" s="1"/>
  <c r="M106" i="13"/>
  <c r="N106" i="13" s="1"/>
  <c r="C16" i="16" s="1"/>
  <c r="D108" i="13"/>
  <c r="X1" i="17"/>
  <c r="Y1" i="17"/>
  <c r="Z1" i="17"/>
  <c r="AA1" i="17"/>
  <c r="AB1" i="17"/>
  <c r="AC1" i="17"/>
  <c r="AD1" i="17"/>
  <c r="AE1" i="17"/>
  <c r="AF1" i="17"/>
  <c r="AG1" i="17"/>
  <c r="AH1" i="17"/>
  <c r="AI1" i="17"/>
  <c r="AJ1" i="17"/>
  <c r="AK1" i="17"/>
  <c r="AL1" i="17"/>
  <c r="AM1" i="17"/>
  <c r="E2" i="17"/>
  <c r="F2" i="17"/>
  <c r="B10" i="13" s="1"/>
  <c r="G2" i="17"/>
  <c r="H2" i="17"/>
  <c r="I2" i="17"/>
  <c r="E10" i="13" s="1"/>
  <c r="J2" i="17"/>
  <c r="F10" i="13" s="1"/>
  <c r="K2" i="17"/>
  <c r="G10" i="13" s="1"/>
  <c r="L2" i="17"/>
  <c r="M2" i="17"/>
  <c r="I10" i="13" s="1"/>
  <c r="N2" i="17"/>
  <c r="O2" i="17"/>
  <c r="P2" i="17"/>
  <c r="L10" i="13" s="1"/>
  <c r="Q2" i="17"/>
  <c r="S2" i="17"/>
  <c r="O10" i="13" s="1"/>
  <c r="D8" i="15" s="1"/>
  <c r="T2" i="17"/>
  <c r="P10" i="13" s="1"/>
  <c r="E8" i="15" s="1"/>
  <c r="E5" i="17"/>
  <c r="F5" i="17"/>
  <c r="G5" i="17"/>
  <c r="H5" i="17"/>
  <c r="I5" i="17"/>
  <c r="J5" i="17"/>
  <c r="K5" i="17"/>
  <c r="L5" i="17"/>
  <c r="M5" i="17"/>
  <c r="N5" i="17"/>
  <c r="O5" i="17"/>
  <c r="P5" i="17"/>
  <c r="Q5" i="17"/>
  <c r="S5" i="17"/>
  <c r="D19" i="15" s="1"/>
  <c r="T5" i="17"/>
  <c r="E19" i="15" s="1"/>
  <c r="F19" i="15"/>
  <c r="E6" i="17"/>
  <c r="E7" i="17" s="1"/>
  <c r="F6" i="17"/>
  <c r="F7" i="17" s="1"/>
  <c r="G6" i="17"/>
  <c r="G7" i="17" s="1"/>
  <c r="H6" i="17"/>
  <c r="H7" i="17" s="1"/>
  <c r="I6" i="17"/>
  <c r="I7" i="17" s="1"/>
  <c r="J6" i="17"/>
  <c r="K6" i="17"/>
  <c r="K7" i="17" s="1"/>
  <c r="L6" i="17"/>
  <c r="L7" i="17" s="1"/>
  <c r="M6" i="17"/>
  <c r="M7" i="17" s="1"/>
  <c r="N6" i="17"/>
  <c r="O6" i="17"/>
  <c r="O7" i="17" s="1"/>
  <c r="P6" i="17"/>
  <c r="P7" i="17" s="1"/>
  <c r="Q6" i="17"/>
  <c r="Q7" i="17" s="1"/>
  <c r="S6" i="17"/>
  <c r="S7" i="17" s="1"/>
  <c r="T6" i="17"/>
  <c r="T7" i="17" s="1"/>
  <c r="U8" i="17" s="1"/>
  <c r="E16" i="17"/>
  <c r="G16" i="17"/>
  <c r="H16" i="17"/>
  <c r="I16" i="17"/>
  <c r="J16" i="17"/>
  <c r="K16" i="17"/>
  <c r="L16" i="17"/>
  <c r="M16" i="17"/>
  <c r="N16" i="17"/>
  <c r="O16" i="17"/>
  <c r="P16" i="17"/>
  <c r="Q16" i="17"/>
  <c r="AL2" i="17" s="1"/>
  <c r="S16" i="17"/>
  <c r="T16" i="17"/>
  <c r="R17" i="17"/>
  <c r="E21" i="17"/>
  <c r="F21" i="17"/>
  <c r="G21" i="17"/>
  <c r="H21" i="17"/>
  <c r="I21" i="17"/>
  <c r="J21" i="17"/>
  <c r="K21" i="17"/>
  <c r="L21" i="17"/>
  <c r="N21" i="17"/>
  <c r="O21" i="17"/>
  <c r="P21" i="17"/>
  <c r="Q21" i="17"/>
  <c r="S21" i="17"/>
  <c r="T21" i="17"/>
  <c r="R22" i="17"/>
  <c r="E26" i="17"/>
  <c r="W4" i="17" s="1"/>
  <c r="F26" i="17"/>
  <c r="X4" i="17" s="1"/>
  <c r="G26" i="17"/>
  <c r="Y4" i="17" s="1"/>
  <c r="H26" i="17"/>
  <c r="I26" i="17"/>
  <c r="AA4" i="17" s="1"/>
  <c r="J26" i="17"/>
  <c r="AB4" i="17" s="1"/>
  <c r="K26" i="17"/>
  <c r="AC4" i="17" s="1"/>
  <c r="L26" i="17"/>
  <c r="AD4" i="17" s="1"/>
  <c r="M26" i="17"/>
  <c r="AE4" i="17" s="1"/>
  <c r="N26" i="17"/>
  <c r="O26" i="17"/>
  <c r="AG4" i="17" s="1"/>
  <c r="P26" i="17"/>
  <c r="AH4" i="17" s="1"/>
  <c r="Q26" i="17"/>
  <c r="AI4" i="17" s="1"/>
  <c r="S26" i="17"/>
  <c r="T26" i="17"/>
  <c r="AM4" i="17"/>
  <c r="R27" i="17"/>
  <c r="E31" i="17"/>
  <c r="F31" i="17"/>
  <c r="G31" i="17"/>
  <c r="H31" i="17"/>
  <c r="I31" i="17"/>
  <c r="J31" i="17"/>
  <c r="K31" i="17"/>
  <c r="L31" i="17"/>
  <c r="M31" i="17"/>
  <c r="N31" i="17"/>
  <c r="O31" i="17"/>
  <c r="P31" i="17"/>
  <c r="Q31" i="17"/>
  <c r="S31" i="17"/>
  <c r="T31" i="17"/>
  <c r="R32" i="17"/>
  <c r="E36" i="17"/>
  <c r="F36" i="17"/>
  <c r="G36" i="17"/>
  <c r="H36" i="17"/>
  <c r="I36" i="17"/>
  <c r="J36" i="17"/>
  <c r="K36" i="17"/>
  <c r="L36" i="17"/>
  <c r="M36" i="17"/>
  <c r="N36" i="17"/>
  <c r="O36" i="17"/>
  <c r="P36" i="17"/>
  <c r="Q36" i="17"/>
  <c r="S36" i="17"/>
  <c r="T36" i="17"/>
  <c r="R37" i="17"/>
  <c r="E41" i="17"/>
  <c r="F41" i="17"/>
  <c r="G41" i="17"/>
  <c r="H41" i="17"/>
  <c r="I41" i="17"/>
  <c r="J41" i="17"/>
  <c r="K41" i="17"/>
  <c r="L41" i="17"/>
  <c r="M41" i="17"/>
  <c r="N41" i="17"/>
  <c r="O41" i="17"/>
  <c r="P41" i="17"/>
  <c r="Q41" i="17"/>
  <c r="S41" i="17"/>
  <c r="T41" i="17"/>
  <c r="R42" i="17"/>
  <c r="E46" i="17"/>
  <c r="F46" i="17"/>
  <c r="G46" i="17"/>
  <c r="H46" i="17"/>
  <c r="I46" i="17"/>
  <c r="J46" i="17"/>
  <c r="K46" i="17"/>
  <c r="L46" i="17"/>
  <c r="M46" i="17"/>
  <c r="N46" i="17"/>
  <c r="O46" i="17"/>
  <c r="P46" i="17"/>
  <c r="Q46" i="17"/>
  <c r="S46" i="17"/>
  <c r="T46" i="17"/>
  <c r="R47" i="17"/>
  <c r="E51" i="17"/>
  <c r="F51" i="17"/>
  <c r="G51" i="17"/>
  <c r="H51" i="17"/>
  <c r="I51" i="17"/>
  <c r="J51" i="17"/>
  <c r="K51" i="17"/>
  <c r="L51" i="17"/>
  <c r="M51" i="17"/>
  <c r="N51" i="17"/>
  <c r="O51" i="17"/>
  <c r="P51" i="17"/>
  <c r="Q51" i="17"/>
  <c r="S51" i="17"/>
  <c r="T51" i="17"/>
  <c r="R52" i="17"/>
  <c r="E56" i="17"/>
  <c r="F56" i="17"/>
  <c r="G56" i="17"/>
  <c r="H56" i="17"/>
  <c r="I56" i="17"/>
  <c r="J56" i="17"/>
  <c r="K56" i="17"/>
  <c r="L56" i="17"/>
  <c r="M56" i="17"/>
  <c r="N56" i="17"/>
  <c r="O56" i="17"/>
  <c r="P56" i="17"/>
  <c r="Q56" i="17"/>
  <c r="S56" i="17"/>
  <c r="T56" i="17"/>
  <c r="R57" i="17"/>
  <c r="E61" i="17"/>
  <c r="F61" i="17"/>
  <c r="G61" i="17"/>
  <c r="H61" i="17"/>
  <c r="I61" i="17"/>
  <c r="J61" i="17"/>
  <c r="K61" i="17"/>
  <c r="L61" i="17"/>
  <c r="M61" i="17"/>
  <c r="N61" i="17"/>
  <c r="O61" i="17"/>
  <c r="P61" i="17"/>
  <c r="Q61" i="17"/>
  <c r="S61" i="17"/>
  <c r="T61" i="17"/>
  <c r="C113" i="13"/>
  <c r="C115" i="13" s="1"/>
  <c r="AK4" i="17"/>
  <c r="B27" i="16"/>
  <c r="Z4" i="17"/>
  <c r="C10" i="13" l="1"/>
  <c r="G113" i="13"/>
  <c r="G115" i="13" s="1"/>
  <c r="I107" i="13"/>
  <c r="I110" i="13" s="1"/>
  <c r="Q114" i="13"/>
  <c r="F61" i="15" s="1"/>
  <c r="AJ5" i="17"/>
  <c r="M107" i="13"/>
  <c r="M110" i="13" s="1"/>
  <c r="I105" i="13"/>
  <c r="I111" i="13" s="1"/>
  <c r="L9" i="17"/>
  <c r="I3" i="17"/>
  <c r="E7" i="13" s="1"/>
  <c r="E6" i="13" s="1"/>
  <c r="C107" i="13"/>
  <c r="C110" i="13" s="1"/>
  <c r="O84" i="13"/>
  <c r="D53" i="15" s="1"/>
  <c r="D54" i="15" s="1"/>
  <c r="Q10" i="13"/>
  <c r="F8" i="15" s="1"/>
  <c r="P8" i="17"/>
  <c r="L48" i="13" s="1"/>
  <c r="L88" i="13" s="1"/>
  <c r="O112" i="13"/>
  <c r="P112" i="13"/>
  <c r="P114" i="13" s="1"/>
  <c r="E61" i="15" s="1"/>
  <c r="F105" i="13"/>
  <c r="F111" i="13" s="1"/>
  <c r="L105" i="13"/>
  <c r="L111" i="13" s="1"/>
  <c r="J107" i="13"/>
  <c r="J110" i="13" s="1"/>
  <c r="K113" i="13"/>
  <c r="K115" i="13" s="1"/>
  <c r="AJ3" i="17"/>
  <c r="AJ6" i="17"/>
  <c r="I10" i="17"/>
  <c r="E9" i="13" s="1"/>
  <c r="E8" i="13" s="1"/>
  <c r="R61" i="17"/>
  <c r="R51" i="17"/>
  <c r="N104" i="13"/>
  <c r="C15" i="16" s="1"/>
  <c r="N38" i="13"/>
  <c r="O107" i="13" s="1"/>
  <c r="O110" i="13" s="1"/>
  <c r="C10" i="15"/>
  <c r="G107" i="13"/>
  <c r="G110" i="13" s="1"/>
  <c r="M3" i="17"/>
  <c r="I7" i="13" s="1"/>
  <c r="E8" i="17"/>
  <c r="R46" i="17"/>
  <c r="N3" i="17"/>
  <c r="J7" i="13" s="1"/>
  <c r="J6" i="13" s="1"/>
  <c r="J3" i="17"/>
  <c r="F7" i="13" s="1"/>
  <c r="E10" i="17"/>
  <c r="M8" i="17"/>
  <c r="I48" i="13" s="1"/>
  <c r="I88" i="13" s="1"/>
  <c r="H8" i="17"/>
  <c r="D48" i="13" s="1"/>
  <c r="D88" i="13" s="1"/>
  <c r="L8" i="17"/>
  <c r="H48" i="13" s="1"/>
  <c r="H88" i="13" s="1"/>
  <c r="D10" i="13"/>
  <c r="K9" i="17"/>
  <c r="G9" i="17"/>
  <c r="AJ11" i="17"/>
  <c r="F21" i="15"/>
  <c r="M109" i="13"/>
  <c r="N109" i="13" s="1"/>
  <c r="C60" i="15" s="1"/>
  <c r="N58" i="13"/>
  <c r="F26" i="15"/>
  <c r="D107" i="13"/>
  <c r="D110" i="13" s="1"/>
  <c r="F3" i="17"/>
  <c r="B7" i="13" s="1"/>
  <c r="F54" i="15"/>
  <c r="C105" i="13"/>
  <c r="C111" i="13" s="1"/>
  <c r="E113" i="13"/>
  <c r="E115" i="13" s="1"/>
  <c r="I113" i="13"/>
  <c r="I115" i="13" s="1"/>
  <c r="R56" i="17"/>
  <c r="E3" i="17"/>
  <c r="E4" i="17" s="1"/>
  <c r="O3" i="17"/>
  <c r="K7" i="13" s="1"/>
  <c r="Q48" i="13"/>
  <c r="Q88" i="13" s="1"/>
  <c r="I8" i="17"/>
  <c r="E48" i="13" s="1"/>
  <c r="E88" i="13" s="1"/>
  <c r="H107" i="13"/>
  <c r="H110" i="13" s="1"/>
  <c r="L107" i="13"/>
  <c r="L110" i="13" s="1"/>
  <c r="M10" i="17"/>
  <c r="I9" i="13" s="1"/>
  <c r="I8" i="13" s="1"/>
  <c r="P9" i="17"/>
  <c r="K10" i="17"/>
  <c r="G9" i="13" s="1"/>
  <c r="G8" i="13" s="1"/>
  <c r="T8" i="17"/>
  <c r="P48" i="13" s="1"/>
  <c r="P88" i="13" s="1"/>
  <c r="J10" i="13"/>
  <c r="C41" i="16"/>
  <c r="D41" i="16" s="1"/>
  <c r="E41" i="16" s="1"/>
  <c r="F41" i="16" s="1"/>
  <c r="E26" i="15"/>
  <c r="B52" i="16"/>
  <c r="N112" i="13"/>
  <c r="C19" i="16" s="1"/>
  <c r="J9" i="17"/>
  <c r="E107" i="13"/>
  <c r="E110" i="13" s="1"/>
  <c r="K107" i="13"/>
  <c r="K110" i="13" s="1"/>
  <c r="Q7" i="13"/>
  <c r="F5" i="15" s="1"/>
  <c r="F13" i="15" s="1"/>
  <c r="R5" i="17"/>
  <c r="C19" i="15" s="1"/>
  <c r="F107" i="13"/>
  <c r="F110" i="13" s="1"/>
  <c r="G10" i="17"/>
  <c r="C9" i="13" s="1"/>
  <c r="C8" i="13" s="1"/>
  <c r="L3" i="17"/>
  <c r="H7" i="13" s="1"/>
  <c r="H6" i="13" s="1"/>
  <c r="G8" i="17"/>
  <c r="C48" i="13" s="1"/>
  <c r="C88" i="13" s="1"/>
  <c r="D64" i="15"/>
  <c r="P106" i="13"/>
  <c r="P109" i="13" s="1"/>
  <c r="E60" i="15" s="1"/>
  <c r="D26" i="15"/>
  <c r="B107" i="13"/>
  <c r="B110" i="13" s="1"/>
  <c r="M9" i="17"/>
  <c r="R7" i="17"/>
  <c r="S8" i="17"/>
  <c r="O48" i="13" s="1"/>
  <c r="O88" i="13" s="1"/>
  <c r="Q8" i="17"/>
  <c r="F64" i="15"/>
  <c r="E54" i="15"/>
  <c r="E21" i="15"/>
  <c r="E64" i="15"/>
  <c r="D21" i="15"/>
  <c r="C33" i="16"/>
  <c r="D33" i="16" s="1"/>
  <c r="E33" i="16" s="1"/>
  <c r="F33" i="16" s="1"/>
  <c r="R31" i="17"/>
  <c r="H10" i="17"/>
  <c r="D9" i="13" s="1"/>
  <c r="D8" i="13" s="1"/>
  <c r="H9" i="17"/>
  <c r="F15" i="16"/>
  <c r="Q108" i="13"/>
  <c r="F59" i="15" s="1"/>
  <c r="O104" i="13"/>
  <c r="P104" i="13"/>
  <c r="K3" i="17"/>
  <c r="G7" i="13" s="1"/>
  <c r="R16" i="17"/>
  <c r="AM2" i="17" s="1"/>
  <c r="U9" i="17" s="1"/>
  <c r="N83" i="13"/>
  <c r="C52" i="15" s="1"/>
  <c r="C64" i="15"/>
  <c r="F8" i="17"/>
  <c r="AF4" i="17"/>
  <c r="AJ4" i="17" s="1"/>
  <c r="N10" i="17"/>
  <c r="J9" i="13" s="1"/>
  <c r="J8" i="13" s="1"/>
  <c r="Q9" i="13"/>
  <c r="J7" i="17"/>
  <c r="K8" i="17" s="1"/>
  <c r="G48" i="13" s="1"/>
  <c r="J8" i="17"/>
  <c r="F48" i="13" s="1"/>
  <c r="H105" i="13"/>
  <c r="H111" i="13" s="1"/>
  <c r="D105" i="13"/>
  <c r="D111" i="13" s="1"/>
  <c r="E105" i="13"/>
  <c r="E111" i="13" s="1"/>
  <c r="N36" i="13"/>
  <c r="K105" i="13"/>
  <c r="K111" i="13" s="1"/>
  <c r="G105" i="13"/>
  <c r="G111" i="13" s="1"/>
  <c r="J105" i="13"/>
  <c r="J111" i="13" s="1"/>
  <c r="M105" i="13"/>
  <c r="F9" i="17"/>
  <c r="AJ2" i="17"/>
  <c r="AL4" i="17"/>
  <c r="T9" i="17" s="1"/>
  <c r="T10" i="17"/>
  <c r="P9" i="13" s="1"/>
  <c r="S3" i="17"/>
  <c r="S10" i="17"/>
  <c r="N7" i="17"/>
  <c r="O8" i="17" s="1"/>
  <c r="K48" i="13" s="1"/>
  <c r="N8" i="17"/>
  <c r="J48" i="13" s="1"/>
  <c r="K10" i="13"/>
  <c r="H10" i="13"/>
  <c r="R2" i="17"/>
  <c r="R36" i="17"/>
  <c r="Q3" i="17"/>
  <c r="J10" i="17"/>
  <c r="F9" i="13" s="1"/>
  <c r="F8" i="13" s="1"/>
  <c r="M10" i="13"/>
  <c r="C26" i="15"/>
  <c r="O106" i="13"/>
  <c r="E9" i="17"/>
  <c r="N84" i="13"/>
  <c r="C53" i="15" s="1"/>
  <c r="C12" i="15"/>
  <c r="N103" i="13"/>
  <c r="R41" i="17"/>
  <c r="Q10" i="17"/>
  <c r="R26" i="17"/>
  <c r="P10" i="17"/>
  <c r="L9" i="13" s="1"/>
  <c r="L8" i="13" s="1"/>
  <c r="P3" i="17"/>
  <c r="L7" i="13" s="1"/>
  <c r="T3" i="17"/>
  <c r="N108" i="13"/>
  <c r="Q106" i="13"/>
  <c r="D113" i="13"/>
  <c r="D115" i="13" s="1"/>
  <c r="L113" i="13"/>
  <c r="L115" i="13" s="1"/>
  <c r="B113" i="13"/>
  <c r="B115" i="13" s="1"/>
  <c r="J113" i="13"/>
  <c r="J115" i="13" s="1"/>
  <c r="H113" i="13"/>
  <c r="H115" i="13" s="1"/>
  <c r="F113" i="13"/>
  <c r="F115" i="13" s="1"/>
  <c r="M113" i="13"/>
  <c r="N43" i="13"/>
  <c r="Q9" i="17"/>
  <c r="O9" i="17"/>
  <c r="AJ8" i="17"/>
  <c r="F10" i="17"/>
  <c r="O10" i="17"/>
  <c r="K9" i="13" s="1"/>
  <c r="K8" i="13" s="1"/>
  <c r="R21" i="17"/>
  <c r="G3" i="17"/>
  <c r="G4" i="17" s="1"/>
  <c r="C11" i="13" s="1"/>
  <c r="L10" i="17"/>
  <c r="H9" i="13" s="1"/>
  <c r="H8" i="13" s="1"/>
  <c r="H3" i="17"/>
  <c r="D7" i="13" s="1"/>
  <c r="N114" i="13"/>
  <c r="I9" i="17"/>
  <c r="S9" i="17"/>
  <c r="AJ7" i="17"/>
  <c r="AJ9" i="17"/>
  <c r="AJ10" i="17"/>
  <c r="F14" i="13" l="1"/>
  <c r="F15" i="13" s="1"/>
  <c r="O4" i="17"/>
  <c r="K11" i="13" s="1"/>
  <c r="N4" i="17"/>
  <c r="J11" i="13" s="1"/>
  <c r="I4" i="17"/>
  <c r="E11" i="13" s="1"/>
  <c r="L4" i="17"/>
  <c r="H11" i="13" s="1"/>
  <c r="M4" i="17"/>
  <c r="I11" i="13" s="1"/>
  <c r="K4" i="17"/>
  <c r="G11" i="13" s="1"/>
  <c r="J4" i="17"/>
  <c r="F11" i="13" s="1"/>
  <c r="H4" i="17"/>
  <c r="D11" i="13" s="1"/>
  <c r="H16" i="13"/>
  <c r="D16" i="13"/>
  <c r="G16" i="13"/>
  <c r="I16" i="13"/>
  <c r="N107" i="13"/>
  <c r="Q107" i="13"/>
  <c r="Q110" i="13" s="1"/>
  <c r="E19" i="16"/>
  <c r="F4" i="17"/>
  <c r="B11" i="13" s="1"/>
  <c r="E16" i="13"/>
  <c r="N9" i="17"/>
  <c r="J16" i="13" s="1"/>
  <c r="F6" i="13"/>
  <c r="P107" i="13"/>
  <c r="P110" i="13" s="1"/>
  <c r="E16" i="16"/>
  <c r="I14" i="13"/>
  <c r="I15" i="13" s="1"/>
  <c r="Q11" i="13"/>
  <c r="P7" i="13"/>
  <c r="Q14" i="13" s="1"/>
  <c r="T4" i="17"/>
  <c r="P11" i="13" s="1"/>
  <c r="J14" i="13"/>
  <c r="J15" i="13" s="1"/>
  <c r="I6" i="13"/>
  <c r="O114" i="13"/>
  <c r="D61" i="15" s="1"/>
  <c r="D19" i="16"/>
  <c r="C21" i="15"/>
  <c r="N110" i="13"/>
  <c r="L16" i="13"/>
  <c r="P4" i="17"/>
  <c r="L11" i="13" s="1"/>
  <c r="K6" i="13"/>
  <c r="K14" i="13"/>
  <c r="K15" i="13" s="1"/>
  <c r="B6" i="13"/>
  <c r="B14" i="13"/>
  <c r="O7" i="13"/>
  <c r="D5" i="15" s="1"/>
  <c r="D13" i="15" s="1"/>
  <c r="S4" i="17"/>
  <c r="O9" i="13"/>
  <c r="D6" i="15" s="1"/>
  <c r="M48" i="13"/>
  <c r="M88" i="13" s="1"/>
  <c r="M9" i="13"/>
  <c r="M8" i="13" s="1"/>
  <c r="M7" i="13"/>
  <c r="M14" i="13" s="1"/>
  <c r="M16" i="13"/>
  <c r="Q4" i="17"/>
  <c r="P16" i="13"/>
  <c r="N10" i="13"/>
  <c r="C8" i="15" s="1"/>
  <c r="D6" i="13"/>
  <c r="E14" i="13"/>
  <c r="L14" i="13"/>
  <c r="L6" i="13"/>
  <c r="Q8" i="13"/>
  <c r="F6" i="15"/>
  <c r="Q16" i="13"/>
  <c r="F16" i="13"/>
  <c r="R10" i="17"/>
  <c r="B9" i="13"/>
  <c r="G14" i="13"/>
  <c r="G6" i="13"/>
  <c r="E15" i="16"/>
  <c r="P108" i="13"/>
  <c r="E59" i="15" s="1"/>
  <c r="G88" i="13"/>
  <c r="M115" i="13"/>
  <c r="N115" i="13" s="1"/>
  <c r="N113" i="13"/>
  <c r="C23" i="16" s="1"/>
  <c r="C59" i="15"/>
  <c r="C17" i="16"/>
  <c r="O109" i="13"/>
  <c r="D60" i="15" s="1"/>
  <c r="D16" i="16"/>
  <c r="J88" i="13"/>
  <c r="E6" i="15"/>
  <c r="P8" i="13"/>
  <c r="M111" i="13"/>
  <c r="N111" i="13" s="1"/>
  <c r="N105" i="13"/>
  <c r="P105" i="13"/>
  <c r="Q105" i="13"/>
  <c r="O105" i="13"/>
  <c r="F88" i="13"/>
  <c r="D15" i="16"/>
  <c r="O108" i="13"/>
  <c r="D59" i="15" s="1"/>
  <c r="C61" i="15"/>
  <c r="C20" i="16"/>
  <c r="Q113" i="13"/>
  <c r="O113" i="13"/>
  <c r="P113" i="13"/>
  <c r="F16" i="16"/>
  <c r="Q109" i="13"/>
  <c r="F60" i="15" s="1"/>
  <c r="F63" i="15" s="1"/>
  <c r="F68" i="15" s="1"/>
  <c r="H14" i="13"/>
  <c r="C7" i="13"/>
  <c r="R3" i="17"/>
  <c r="R4" i="17" s="1"/>
  <c r="O16" i="13"/>
  <c r="K88" i="13"/>
  <c r="B16" i="13"/>
  <c r="C16" i="13"/>
  <c r="B48" i="13"/>
  <c r="R8" i="17"/>
  <c r="C54" i="15"/>
  <c r="F11" i="15"/>
  <c r="F9" i="15"/>
  <c r="C22" i="16" l="1"/>
  <c r="R9" i="17"/>
  <c r="I17" i="13"/>
  <c r="I19" i="13" s="1"/>
  <c r="I102" i="13" s="1"/>
  <c r="J17" i="13"/>
  <c r="J19" i="13" s="1"/>
  <c r="J102" i="13" s="1"/>
  <c r="K16" i="13"/>
  <c r="K17" i="13" s="1"/>
  <c r="K19" i="13" s="1"/>
  <c r="K30" i="13" s="1"/>
  <c r="Q15" i="13"/>
  <c r="Q17" i="13" s="1"/>
  <c r="Q19" i="13" s="1"/>
  <c r="Q102" i="13" s="1"/>
  <c r="F17" i="13"/>
  <c r="F19" i="13" s="1"/>
  <c r="F30" i="13" s="1"/>
  <c r="E5" i="15"/>
  <c r="E13" i="15" s="1"/>
  <c r="D20" i="16"/>
  <c r="E20" i="16" s="1"/>
  <c r="F20" i="16" s="1"/>
  <c r="C63" i="15"/>
  <c r="F69" i="15"/>
  <c r="F49" i="16" s="1"/>
  <c r="F62" i="15"/>
  <c r="O8" i="13"/>
  <c r="C24" i="16"/>
  <c r="M6" i="13"/>
  <c r="D9" i="15"/>
  <c r="D11" i="15"/>
  <c r="P14" i="13"/>
  <c r="P15" i="13" s="1"/>
  <c r="P17" i="13" s="1"/>
  <c r="P19" i="13" s="1"/>
  <c r="P102" i="13" s="1"/>
  <c r="O11" i="13"/>
  <c r="O14" i="13"/>
  <c r="M11" i="13"/>
  <c r="D7" i="15"/>
  <c r="E7" i="15"/>
  <c r="C62" i="15"/>
  <c r="F7" i="15"/>
  <c r="N48" i="13"/>
  <c r="B88" i="13"/>
  <c r="N88" i="13" s="1"/>
  <c r="C6" i="13"/>
  <c r="C14" i="13"/>
  <c r="N7" i="13"/>
  <c r="E22" i="16"/>
  <c r="P111" i="13"/>
  <c r="D14" i="13"/>
  <c r="H15" i="13"/>
  <c r="H17" i="13" s="1"/>
  <c r="H19" i="13" s="1"/>
  <c r="H102" i="13" s="1"/>
  <c r="E23" i="16"/>
  <c r="P115" i="13"/>
  <c r="D17" i="16"/>
  <c r="E17" i="16" s="1"/>
  <c r="F17" i="16" s="1"/>
  <c r="L15" i="13"/>
  <c r="L17" i="13" s="1"/>
  <c r="L19" i="13" s="1"/>
  <c r="L102" i="13" s="1"/>
  <c r="M15" i="13"/>
  <c r="M17" i="13" s="1"/>
  <c r="M19" i="13" s="1"/>
  <c r="M102" i="13" s="1"/>
  <c r="D23" i="16"/>
  <c r="O115" i="13"/>
  <c r="D22" i="16"/>
  <c r="O111" i="13"/>
  <c r="G15" i="13"/>
  <c r="G17" i="13" s="1"/>
  <c r="G19" i="13" s="1"/>
  <c r="G102" i="13" s="1"/>
  <c r="F23" i="16"/>
  <c r="Q115" i="13"/>
  <c r="D63" i="15"/>
  <c r="D68" i="15" s="1"/>
  <c r="D62" i="15"/>
  <c r="Q111" i="13"/>
  <c r="F22" i="16"/>
  <c r="E62" i="15"/>
  <c r="E63" i="15"/>
  <c r="B8" i="13"/>
  <c r="B15" i="13" s="1"/>
  <c r="N9" i="13"/>
  <c r="E15" i="13"/>
  <c r="E17" i="13" s="1"/>
  <c r="E19" i="13" s="1"/>
  <c r="E102" i="13" s="1"/>
  <c r="C25" i="16" l="1"/>
  <c r="E9" i="15"/>
  <c r="O15" i="13"/>
  <c r="O17" i="13" s="1"/>
  <c r="O19" i="13" s="1"/>
  <c r="O102" i="13" s="1"/>
  <c r="P93" i="13" s="1"/>
  <c r="P95" i="13" s="1"/>
  <c r="K93" i="13"/>
  <c r="K95" i="13" s="1"/>
  <c r="N16" i="13"/>
  <c r="J30" i="13"/>
  <c r="J93" i="13"/>
  <c r="J95" i="13" s="1"/>
  <c r="I30" i="13"/>
  <c r="E68" i="15"/>
  <c r="E11" i="15"/>
  <c r="E15" i="15" s="1"/>
  <c r="F102" i="13"/>
  <c r="G93" i="13" s="1"/>
  <c r="G95" i="13" s="1"/>
  <c r="K102" i="13"/>
  <c r="M93" i="13" s="1"/>
  <c r="F72" i="15"/>
  <c r="E69" i="15"/>
  <c r="D69" i="15"/>
  <c r="D72" i="15" s="1"/>
  <c r="N6" i="13"/>
  <c r="D24" i="16"/>
  <c r="D43" i="16" s="1"/>
  <c r="D44" i="16" s="1"/>
  <c r="C43" i="16"/>
  <c r="C44" i="16" s="1"/>
  <c r="B95" i="13"/>
  <c r="F71" i="15"/>
  <c r="P30" i="13"/>
  <c r="M30" i="13"/>
  <c r="H30" i="13"/>
  <c r="C5" i="15"/>
  <c r="C13" i="15" s="1"/>
  <c r="C69" i="15" s="1"/>
  <c r="N11" i="13"/>
  <c r="Q93" i="13"/>
  <c r="Q95" i="13" s="1"/>
  <c r="Q30" i="13"/>
  <c r="D15" i="13"/>
  <c r="D17" i="13" s="1"/>
  <c r="D19" i="13" s="1"/>
  <c r="D102" i="13" s="1"/>
  <c r="F93" i="13" s="1"/>
  <c r="F95" i="13" s="1"/>
  <c r="E30" i="13"/>
  <c r="G30" i="13"/>
  <c r="C15" i="13"/>
  <c r="C17" i="13" s="1"/>
  <c r="C19" i="13" s="1"/>
  <c r="C102" i="13" s="1"/>
  <c r="N14" i="13"/>
  <c r="B17" i="13"/>
  <c r="N8" i="13"/>
  <c r="C6" i="15"/>
  <c r="I93" i="13"/>
  <c r="I95" i="13" s="1"/>
  <c r="L30" i="13"/>
  <c r="C10" i="16"/>
  <c r="D10" i="16" s="1"/>
  <c r="E10" i="16" s="1"/>
  <c r="F10" i="16" s="1"/>
  <c r="F15" i="15" l="1"/>
  <c r="E72" i="15"/>
  <c r="O93" i="13"/>
  <c r="O30" i="13"/>
  <c r="H93" i="13"/>
  <c r="H95" i="13" s="1"/>
  <c r="L93" i="13"/>
  <c r="L95" i="13" s="1"/>
  <c r="C68" i="15"/>
  <c r="C11" i="15"/>
  <c r="C72" i="15" s="1"/>
  <c r="E24" i="16"/>
  <c r="D25" i="16"/>
  <c r="C30" i="13"/>
  <c r="E71" i="15"/>
  <c r="E49" i="16"/>
  <c r="F47" i="16" s="1"/>
  <c r="D71" i="15"/>
  <c r="D49" i="16"/>
  <c r="E47" i="16" s="1"/>
  <c r="C7" i="15"/>
  <c r="N17" i="13"/>
  <c r="B19" i="13"/>
  <c r="N15" i="13"/>
  <c r="E93" i="13"/>
  <c r="E95" i="13" s="1"/>
  <c r="C7" i="16"/>
  <c r="D7" i="16" s="1"/>
  <c r="E7" i="16" s="1"/>
  <c r="F7" i="16" s="1"/>
  <c r="C9" i="15"/>
  <c r="D30" i="13"/>
  <c r="D15" i="15" l="1"/>
  <c r="E25" i="16"/>
  <c r="E43" i="16"/>
  <c r="E44" i="16" s="1"/>
  <c r="F24" i="16"/>
  <c r="F43" i="16" s="1"/>
  <c r="F44" i="16" s="1"/>
  <c r="B30" i="13"/>
  <c r="B97" i="13" s="1"/>
  <c r="C4" i="13" s="1"/>
  <c r="B102" i="13"/>
  <c r="N19" i="13"/>
  <c r="F25" i="16" l="1"/>
  <c r="C49" i="16"/>
  <c r="C71" i="15"/>
  <c r="N30" i="13"/>
  <c r="D93" i="13"/>
  <c r="D95" i="13" s="1"/>
  <c r="C93" i="13"/>
  <c r="D47" i="16" l="1"/>
  <c r="N93" i="13"/>
  <c r="C38" i="16" l="1"/>
  <c r="C39" i="16" l="1"/>
  <c r="D38" i="16"/>
  <c r="E38" i="16" l="1"/>
  <c r="D39" i="16"/>
  <c r="E39" i="16" l="1"/>
  <c r="F38" i="16"/>
  <c r="F39" i="16" s="1"/>
  <c r="C95" i="13"/>
  <c r="C97" i="13" s="1"/>
  <c r="D4" i="13" s="1"/>
  <c r="D97" i="13" s="1"/>
  <c r="E4" i="13" s="1"/>
  <c r="E97" i="13" s="1"/>
  <c r="F4" i="13" s="1"/>
  <c r="F97" i="13" s="1"/>
  <c r="G4" i="13" s="1"/>
  <c r="G97" i="13" s="1"/>
  <c r="H4" i="13" s="1"/>
  <c r="H97" i="13" s="1"/>
  <c r="I4" i="13" s="1"/>
  <c r="I97" i="13" s="1"/>
  <c r="J4" i="13" s="1"/>
  <c r="J97" i="13" s="1"/>
  <c r="K4" i="13" s="1"/>
  <c r="K97" i="13" s="1"/>
  <c r="L4" i="13" s="1"/>
  <c r="L97" i="13" s="1"/>
  <c r="M4" i="13" s="1"/>
  <c r="O95" i="13" l="1"/>
  <c r="M95" i="13"/>
  <c r="M97" i="13" s="1"/>
  <c r="N94" i="13"/>
  <c r="C48" i="16" s="1"/>
  <c r="N95" i="13" l="1"/>
  <c r="N97" i="13" s="1"/>
  <c r="O4" i="13" s="1"/>
  <c r="O97" i="13" s="1"/>
  <c r="C50" i="16"/>
  <c r="C52" i="16" s="1"/>
  <c r="D48" i="16"/>
  <c r="C6" i="16" l="1"/>
  <c r="C12" i="16" s="1"/>
  <c r="C27" i="16" s="1"/>
  <c r="D50" i="16"/>
  <c r="D52" i="16" s="1"/>
  <c r="E48" i="16"/>
  <c r="P4" i="13"/>
  <c r="P97" i="13" s="1"/>
  <c r="D6" i="16"/>
  <c r="D12" i="16" s="1"/>
  <c r="D27" i="16" s="1"/>
  <c r="E6" i="16" l="1"/>
  <c r="E12" i="16" s="1"/>
  <c r="E27" i="16" s="1"/>
  <c r="Q4" i="13"/>
  <c r="Q97" i="13" s="1"/>
  <c r="F6" i="16" s="1"/>
  <c r="F12" i="16" s="1"/>
  <c r="F27" i="16" s="1"/>
  <c r="F48" i="16"/>
  <c r="F50" i="16" s="1"/>
  <c r="F52" i="16" s="1"/>
  <c r="E50" i="16"/>
  <c r="E52"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Julia Eigird</author>
  </authors>
  <commentList>
    <comment ref="C19" authorId="0" shapeId="0" xr:uid="{00000000-0006-0000-0000-000001000000}">
      <text>
        <r>
          <rPr>
            <sz val="12"/>
            <color indexed="10"/>
            <rFont val="Arial"/>
            <family val="2"/>
            <charset val="186"/>
          </rPr>
          <t xml:space="preserve">Sisesta lahtrisse majandustegevuse alustamise kuu (formaadis </t>
        </r>
        <r>
          <rPr>
            <i/>
            <sz val="12"/>
            <color indexed="10"/>
            <rFont val="Arial"/>
            <family val="2"/>
            <charset val="186"/>
          </rPr>
          <t>kk.aaaa,</t>
        </r>
        <r>
          <rPr>
            <sz val="12"/>
            <color indexed="10"/>
            <rFont val="Arial"/>
            <family val="2"/>
            <charset val="186"/>
          </rPr>
          <t xml:space="preserve"> näiteks </t>
        </r>
        <r>
          <rPr>
            <i/>
            <sz val="12"/>
            <color indexed="10"/>
            <rFont val="Arial"/>
            <family val="2"/>
            <charset val="186"/>
          </rPr>
          <t>05.2019</t>
        </r>
        <r>
          <rPr>
            <sz val="12"/>
            <color indexed="10"/>
            <rFont val="Arial"/>
            <family val="2"/>
            <charset val="186"/>
          </rPr>
          <t>)</t>
        </r>
      </text>
    </comment>
    <comment ref="E23" authorId="0" shapeId="0" xr:uid="{00000000-0006-0000-0000-000002000000}">
      <text>
        <r>
          <rPr>
            <sz val="12"/>
            <color indexed="10"/>
            <rFont val="Arial"/>
            <family val="2"/>
            <charset val="186"/>
          </rPr>
          <t>Täita ainult teie ettevõttele vajalikud rohelised lahtrid!
Ülejäänud jäävad tühjaks.
Ka järgmistes tabelites jäävad teile mittevajalikud lahtrid tühjaks.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tc={F1A05E3C-4F91-4228-BB01-6FD9BBA1F9B3}</author>
  </authors>
  <commentList>
    <comment ref="G12" authorId="0" shapeId="0" xr:uid="{44E8CDAE-652E-4144-B35E-79D1661B09AE}">
      <text>
        <r>
          <rPr>
            <b/>
            <sz val="9"/>
            <color indexed="81"/>
            <rFont val="Tahoma"/>
            <charset val="1"/>
          </rPr>
          <t>lenovo:</t>
        </r>
        <r>
          <rPr>
            <sz val="9"/>
            <color indexed="81"/>
            <rFont val="Tahoma"/>
            <charset val="1"/>
          </rPr>
          <t xml:space="preserve">
uute jaamade tellimine</t>
        </r>
      </text>
    </comment>
    <comment ref="J12" authorId="1" shapeId="0" xr:uid="{F1A05E3C-4F91-4228-BB01-6FD9BBA1F9B3}">
      <text>
        <t>[Threaded comment]
Your version of Excel allows you to read this threaded comment; however, any edits to it will get removed if the file is opened in a newer version of Excel. Learn more: https://go.microsoft.com/fwlink/?linkid=870924
Comment:
    Jaamade paigaldamine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tc={9512EF3D-5C40-40CE-898B-9A7F21CDA91C}</author>
    <author>MargitK</author>
  </authors>
  <commentList>
    <comment ref="D20" authorId="0" shapeId="0" xr:uid="{9512EF3D-5C40-40CE-898B-9A7F21CDA91C}">
      <text>
        <t>[Threaded comment]
Your version of Excel allows you to read this threaded comment; however, any edits to it will get removed if the file is opened in a newer version of Excel. Learn more: https://go.microsoft.com/fwlink/?linkid=870924
Comment:
    investor</t>
      </text>
    </comment>
    <comment ref="R90" authorId="1" shapeId="0" xr:uid="{00000000-0006-0000-0200-000001000000}">
      <text>
        <r>
          <rPr>
            <sz val="8"/>
            <color indexed="81"/>
            <rFont val="Tahoma"/>
            <family val="2"/>
            <charset val="186"/>
          </rPr>
          <t xml:space="preserve">Siia lahtrisse kirjutada 5. tegevusaastal tagasimaksmisele kuuluva pikaajalise laenu lühiajaline osa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KristiinaN</author>
  </authors>
  <commentList>
    <comment ref="F15" authorId="0" shapeId="0" xr:uid="{00000000-0006-0000-0300-000001000000}">
      <text>
        <r>
          <rPr>
            <sz val="9"/>
            <color indexed="81"/>
            <rFont val="Tahoma"/>
            <family val="2"/>
            <charset val="186"/>
          </rPr>
          <t xml:space="preserve">Starditoetuse taotlemisel peab olema müügitulu </t>
        </r>
        <r>
          <rPr>
            <b/>
            <sz val="9"/>
            <color indexed="81"/>
            <rFont val="Tahoma"/>
            <family val="2"/>
            <charset val="186"/>
          </rPr>
          <t>kasv kahel projekti lõpule järgneval aastal vähemalt 20%</t>
        </r>
        <r>
          <rPr>
            <sz val="9"/>
            <color indexed="81"/>
            <rFont val="Tahoma"/>
            <family val="2"/>
            <charset val="186"/>
          </rPr>
          <t xml:space="preserve">. Projekti lõppkuupäev märgitakse taotlusvormile.
</t>
        </r>
      </text>
    </comment>
  </commentList>
</comments>
</file>

<file path=xl/sharedStrings.xml><?xml version="1.0" encoding="utf-8"?>
<sst xmlns="http://schemas.openxmlformats.org/spreadsheetml/2006/main" count="326" uniqueCount="244">
  <si>
    <t>KASSAVOOGUDE PROGNOOS</t>
  </si>
  <si>
    <t>2.aasta</t>
  </si>
  <si>
    <t>3.aasta</t>
  </si>
  <si>
    <t>Raha jääk perioodi algul</t>
  </si>
  <si>
    <t>Müügitulu</t>
  </si>
  <si>
    <t>Muud äritulud (renditulu, intressitulu jne.)</t>
  </si>
  <si>
    <t>Käibemaks</t>
  </si>
  <si>
    <t>Kapitali sissemaksed</t>
  </si>
  <si>
    <t>Laekumine kokku</t>
  </si>
  <si>
    <t>Toore ja materjal</t>
  </si>
  <si>
    <t>Küte</t>
  </si>
  <si>
    <t>Elekter</t>
  </si>
  <si>
    <t>Rent</t>
  </si>
  <si>
    <t>Ostetud transporditeenused</t>
  </si>
  <si>
    <t>Autokütus</t>
  </si>
  <si>
    <t>Autohooldus ja remondikulud</t>
  </si>
  <si>
    <t>Sõidukite kindlustus</t>
  </si>
  <si>
    <t>GSM</t>
  </si>
  <si>
    <t>Tavatelefon</t>
  </si>
  <si>
    <t>Arvutustehnika ja tarkavaraga seotud kulu</t>
  </si>
  <si>
    <t>Pangakulu</t>
  </si>
  <si>
    <t>Reklaamikulud</t>
  </si>
  <si>
    <t>Kasutamine kokku</t>
  </si>
  <si>
    <t>Raha jääk perioodi lõpus</t>
  </si>
  <si>
    <t>Raha sissetulek</t>
  </si>
  <si>
    <t>Raha väljaminek</t>
  </si>
  <si>
    <t>Majandustegevuse käigus tekkivad kulud</t>
  </si>
  <si>
    <t>Turustuskulud</t>
  </si>
  <si>
    <t xml:space="preserve">Otseselt põhitegevuse eesmärgil soetused </t>
  </si>
  <si>
    <t>Ostuteenused</t>
  </si>
  <si>
    <t>Transpordikulud</t>
  </si>
  <si>
    <t>Üldhalduskulud</t>
  </si>
  <si>
    <t>Turustamisega seotud transporditeenused</t>
  </si>
  <si>
    <t>Turustamisega seotud autokütus</t>
  </si>
  <si>
    <t>Kantseleitarbed</t>
  </si>
  <si>
    <t>Bürootehnika</t>
  </si>
  <si>
    <t>Mööbel ja muu inventar</t>
  </si>
  <si>
    <t>Ruumide korrashoiukulud</t>
  </si>
  <si>
    <t>Koolituskulud</t>
  </si>
  <si>
    <t>IT ja sidekulud</t>
  </si>
  <si>
    <t>Valveteenused</t>
  </si>
  <si>
    <t>Personalikulu</t>
  </si>
  <si>
    <t>Ruumide majandamiskulud</t>
  </si>
  <si>
    <t>Ruumide kindlustus</t>
  </si>
  <si>
    <t>Maksud</t>
  </si>
  <si>
    <t>Muud kulud</t>
  </si>
  <si>
    <t>Ruumide remondikulud</t>
  </si>
  <si>
    <t>Seadmete hooldus ja remont</t>
  </si>
  <si>
    <t>Finantseerimistegevusest</t>
  </si>
  <si>
    <t>Investeerimistegevusest</t>
  </si>
  <si>
    <t>ühikuid (tundi, tk)</t>
  </si>
  <si>
    <t>ühe ühiku keskmine müügihind</t>
  </si>
  <si>
    <t>Käibemaksu korrigeerimised</t>
  </si>
  <si>
    <t>1. aasta</t>
  </si>
  <si>
    <t>KASUMIARUANDE PROGNOOS</t>
  </si>
  <si>
    <t>Müügitulud kokku</t>
  </si>
  <si>
    <t>Kulud kokku</t>
  </si>
  <si>
    <t>Amortisatsioon</t>
  </si>
  <si>
    <t>Hoonete amort</t>
  </si>
  <si>
    <t>Kasum majandustegevusest</t>
  </si>
  <si>
    <t>Tulud majandustegevusest</t>
  </si>
  <si>
    <t>Intressid</t>
  </si>
  <si>
    <t>Brutopalk (makstakse välja samal kuul)</t>
  </si>
  <si>
    <t>Finantskulud</t>
  </si>
  <si>
    <t>Seadmete amortisatsiooninorm %</t>
  </si>
  <si>
    <t>Hoonete amortisatsiooninorm %</t>
  </si>
  <si>
    <t>BILANSI PROGNOOS</t>
  </si>
  <si>
    <t>AKTIVA</t>
  </si>
  <si>
    <t>Raha ja pangakontod</t>
  </si>
  <si>
    <t>Nõuded ostjate vastu</t>
  </si>
  <si>
    <t>Mitmesugused nõuded</t>
  </si>
  <si>
    <t>Ettemaksed</t>
  </si>
  <si>
    <t>Valmistoodangu varu</t>
  </si>
  <si>
    <t>Käibevara kokku</t>
  </si>
  <si>
    <t>Sihtfinantseerimise abil soetatud põhivara</t>
  </si>
  <si>
    <t>Põhivara kokku</t>
  </si>
  <si>
    <t>AKTIVA KOKKU</t>
  </si>
  <si>
    <t>PASSIVA (KOHUSTUSED JA OMAKAPITAL)</t>
  </si>
  <si>
    <t>Ostjate ettemaksed toodete ja kaupade eest</t>
  </si>
  <si>
    <t>Võlad tarnijatele</t>
  </si>
  <si>
    <t>Mitmesugused võlad</t>
  </si>
  <si>
    <t>Maksuvõlad</t>
  </si>
  <si>
    <t>Lühiajalised kohutused kokku</t>
  </si>
  <si>
    <t>Pikaajalised laenud, kapitalirent</t>
  </si>
  <si>
    <t>Muud pikaajalised võlad</t>
  </si>
  <si>
    <t>Tulevaste perioodide tulud sihtfinantseerimisest</t>
  </si>
  <si>
    <t>Pikaajalised kohustused kokku</t>
  </si>
  <si>
    <t>Osakapital nimiväärtuses</t>
  </si>
  <si>
    <t>Kohustuslik reservkapital</t>
  </si>
  <si>
    <t>Eelmiste perioodide jaotamata kasum</t>
  </si>
  <si>
    <t>Aruandeaasta kasum</t>
  </si>
  <si>
    <t>Omakapital kokku</t>
  </si>
  <si>
    <t>PASSIVA KOKKU</t>
  </si>
  <si>
    <t>seadmete soetamine</t>
  </si>
  <si>
    <t>hoonete amordi arvestus</t>
  </si>
  <si>
    <t>seadmete amordi arvestus</t>
  </si>
  <si>
    <t>sihtfinantseerimise abil soetatud PV amort</t>
  </si>
  <si>
    <t>Pikajalised laenud kreeditoridelt (pangalaen jm.)</t>
  </si>
  <si>
    <t>Lühiajalised laenud kreeditoridelt (pangalaen jm.)</t>
  </si>
  <si>
    <t>Pikaajalise laenu tagasimaksed</t>
  </si>
  <si>
    <t>Lühiajalise laenu tagasimaksed</t>
  </si>
  <si>
    <t>Muud maksud (riigilõivud jms)</t>
  </si>
  <si>
    <t>Sotsiaalmaks (tasutakse järgmisel kuul)</t>
  </si>
  <si>
    <t>Töötuskindlustusmaks (tasutakse jrgm kuul)</t>
  </si>
  <si>
    <t>Toodetud tooteid/teenuseid perioodil</t>
  </si>
  <si>
    <t>Laekumine müügist arvestades krediiti müüki</t>
  </si>
  <si>
    <t>Tooraine varu</t>
  </si>
  <si>
    <t>Muud finantstulud</t>
  </si>
  <si>
    <t>Muud tulud (renditulu, intressitulu jne.)</t>
  </si>
  <si>
    <t>Intressid jms</t>
  </si>
  <si>
    <t>Finantsprognooside täitmise juhend</t>
  </si>
  <si>
    <t>sh eksport</t>
  </si>
  <si>
    <t>sh ekspordiks %-des</t>
  </si>
  <si>
    <t>4. aasta</t>
  </si>
  <si>
    <t>IV aasta</t>
  </si>
  <si>
    <t>ekspordi osatähtsus käibes</t>
  </si>
  <si>
    <t>Krediiti müügi osakaal käibest (kui suur osa müügiarvetest laekub järgmisel kuul) %</t>
  </si>
  <si>
    <t>Materiaalne põhivara (hooned)</t>
  </si>
  <si>
    <t>Akumuleeritud kulum (miinusmärgiga)</t>
  </si>
  <si>
    <t>Pikaajaliste laenude, kapitalirendi lühiajaline osa</t>
  </si>
  <si>
    <t>Lühiajalised võlakohustused (laenud, kapitalirent)</t>
  </si>
  <si>
    <t>sellest 0% määraga maksustatavat müügitulu</t>
  </si>
  <si>
    <r>
      <t xml:space="preserve">Kas ettevõte hakkab/on registreeritud käibemaksukohustuslaseks </t>
    </r>
    <r>
      <rPr>
        <sz val="10"/>
        <color indexed="10"/>
        <rFont val="Arial"/>
        <family val="2"/>
        <charset val="186"/>
      </rPr>
      <t>(jah/ei)</t>
    </r>
  </si>
  <si>
    <t>Jrk.nr.</t>
  </si>
  <si>
    <t>Kokku toote nr. 1 käive</t>
  </si>
  <si>
    <t>Kokku toote nr. 4 käive</t>
  </si>
  <si>
    <t>Kokku toote nr. 5 käive</t>
  </si>
  <si>
    <t>Toodetud ühikuid kokku tk</t>
  </si>
  <si>
    <t>Ühe ühiku keskmine müügihind kr</t>
  </si>
  <si>
    <t>materjali/kauba kulu ühikule kr</t>
  </si>
  <si>
    <t>toodetav kogus kokku</t>
  </si>
  <si>
    <t>Siseriikliku käibe puhul rakenduv KM määr</t>
  </si>
  <si>
    <t>Käive kokku kr</t>
  </si>
  <si>
    <t>Kokku toote nr. 6 käive</t>
  </si>
  <si>
    <t>Kokku toote nr. 7 käive</t>
  </si>
  <si>
    <t>Kokku toote nr. 8 käive</t>
  </si>
  <si>
    <t>Kokku toote nr. 9 käive</t>
  </si>
  <si>
    <t>Kokku toote nr. 10 käive</t>
  </si>
  <si>
    <t>Kokku toote nr. 2 käive</t>
  </si>
  <si>
    <t>Kokku toote nr. 3 käive</t>
  </si>
  <si>
    <t>materjali/kauba keskmine laovaru vajadus %</t>
  </si>
  <si>
    <t>Kulutused toormele kokku kr</t>
  </si>
  <si>
    <t>Toorme maksumus toodetele kokku kr</t>
  </si>
  <si>
    <t>Toorme keskmine laovaru vajadus kr</t>
  </si>
  <si>
    <t>Toorme varu laos perioodi lõpuks kr</t>
  </si>
  <si>
    <t>Ekspordikäive kokku</t>
  </si>
  <si>
    <t>Näide</t>
  </si>
  <si>
    <t>keskm.ühiku müügihind KM-ta</t>
  </si>
  <si>
    <t>käibemaksu arvestus</t>
  </si>
  <si>
    <t>hoonete soetamine, renoveerimine</t>
  </si>
  <si>
    <t>sihtfinantseerimise abil renoveeritud omandis olevad hooned</t>
  </si>
  <si>
    <t>sihtfinantseerimise abil renoveeritud omandis olevate hoonete amort</t>
  </si>
  <si>
    <t>Algandmed seisuga</t>
  </si>
  <si>
    <t>Kokku töötasukulud</t>
  </si>
  <si>
    <t>Eelneva perioodi nõuded-kohustused (va. laenukohustused)</t>
  </si>
  <si>
    <r>
      <t>NB!</t>
    </r>
    <r>
      <rPr>
        <sz val="8"/>
        <rFont val="Arial"/>
        <family val="2"/>
      </rPr>
      <t xml:space="preserve"> Esimese kuu rahajäägile liidetakse juurde eelneva perioodi bilansis olevad nõuded ja avatakse maha lühiaj. kohustused (</t>
    </r>
    <r>
      <rPr>
        <sz val="8"/>
        <color indexed="10"/>
        <rFont val="Arial"/>
        <family val="2"/>
        <charset val="186"/>
      </rPr>
      <t>v.a. laenukoh</t>
    </r>
    <r>
      <rPr>
        <sz val="8"/>
        <rFont val="Arial"/>
        <family val="2"/>
      </rPr>
      <t>)</t>
    </r>
  </si>
  <si>
    <t>Arvutus põhineb eeldusel, et kõik lühiaj. nõuded laekuvad ja lühiaj. kohustused tasutakse nõuete/kohustuste tekkimisele järgneval kuul</t>
  </si>
  <si>
    <r>
      <t xml:space="preserve">Toote/teenuse andmed - </t>
    </r>
    <r>
      <rPr>
        <b/>
        <sz val="8"/>
        <color indexed="10"/>
        <rFont val="Arial"/>
        <family val="2"/>
        <charset val="186"/>
      </rPr>
      <t>asendage sinise kirjaga lahtrid oma toodete/teenusetega ning õigete käibemaksumääradega!</t>
    </r>
  </si>
  <si>
    <t xml:space="preserve">         sh muud halduskulud (amordita)</t>
  </si>
  <si>
    <t>Dividendide väljamaks (brutoumma)</t>
  </si>
  <si>
    <t>Muud laekunud toetused hoonete ehitamiseks ja omandis olevate ruumide renoveerimiseks</t>
  </si>
  <si>
    <t>Muud laekunud toetused muu põhivara ostuks</t>
  </si>
  <si>
    <t>Masinad, seadmed ja muu põhivara (soetusmaksumus miinus toetus)</t>
  </si>
  <si>
    <t>Omandis olevate hoonete renoveerimine (kapitaliseeritud kulud), soetatud hooned, hoonete ehitamine</t>
  </si>
  <si>
    <t>Toetusega kaetavad kulutused (täpsusta)</t>
  </si>
  <si>
    <t>käiberentaablus</t>
  </si>
  <si>
    <t>lisandväärtus töötaja kohta</t>
  </si>
  <si>
    <t>keskmine töötajate arv</t>
  </si>
  <si>
    <t>Töötajate arv</t>
  </si>
  <si>
    <t>Materiaalse põhivara soetus</t>
  </si>
  <si>
    <t>Immateriaalse põhivara (litsentsid, kaubamärgid, tarkvara jms) soetus</t>
  </si>
  <si>
    <t>Immateriaalne põhivara (soetusmaksumus miinus toetus)</t>
  </si>
  <si>
    <t>Immateriaalse põhivara amortisatsiooninorm %</t>
  </si>
  <si>
    <t>stardi- või kasvuitoetuse abil soetatud materiaalne PV</t>
  </si>
  <si>
    <t>stardi- või kasvuitoetuse abil soetatud immateriaalne PV</t>
  </si>
  <si>
    <t>immateriaalse põhivara soetamine</t>
  </si>
  <si>
    <t>immateriaalse põhivara amort</t>
  </si>
  <si>
    <t>stardi- või kasvuitoetuse abil soetatud immateriaalse PV amort</t>
  </si>
  <si>
    <t>Immateriaalse põhivara amort</t>
  </si>
  <si>
    <t>Seadmete ja muu põhivara amort</t>
  </si>
  <si>
    <t>Materiaalne põhivara (seadmed ja muud)</t>
  </si>
  <si>
    <t>Materiaalne põhivara</t>
  </si>
  <si>
    <t>Immateriaalne põhivara</t>
  </si>
  <si>
    <t>Immateriaalse põhivara kulum</t>
  </si>
  <si>
    <r>
      <t xml:space="preserve">Muud laekunud toetused </t>
    </r>
    <r>
      <rPr>
        <b/>
        <sz val="8"/>
        <rFont val="Arial"/>
        <family val="2"/>
        <charset val="186"/>
      </rPr>
      <t xml:space="preserve">kulude </t>
    </r>
    <r>
      <rPr>
        <sz val="8"/>
        <rFont val="Arial"/>
        <family val="2"/>
      </rPr>
      <t>katteks</t>
    </r>
  </si>
  <si>
    <t>Muud toetuse abil soetatud muu põhivara toetuse summa</t>
  </si>
  <si>
    <t>Muu toetuse abil ehitatud hoone, omandis olevate ruumdie renoveerimise toetuse summa</t>
  </si>
  <si>
    <t>Sihtfinantseerimise abil soetatud materiaalne põhivara</t>
  </si>
  <si>
    <t>Sihtfinantseerimise abil soetatud immateriaalne põhivara</t>
  </si>
  <si>
    <t>9% KM määraga maksustatav käive</t>
  </si>
  <si>
    <t>sellest 9% määraga maksustatavat müügitulu</t>
  </si>
  <si>
    <t>näide 9% KM</t>
  </si>
  <si>
    <t>sellest 20% määraga maksustavat müügitulu</t>
  </si>
  <si>
    <t>materjali/kauba kulu ühikule</t>
  </si>
  <si>
    <t xml:space="preserve">materjali/kauba kulu ühikule </t>
  </si>
  <si>
    <t xml:space="preserve">Müügitulu kasv võrreldes eelmise aastaga </t>
  </si>
  <si>
    <t>sh ekspordiks eurodes</t>
  </si>
  <si>
    <t xml:space="preserve">Tulud sihtfinantseerimisest </t>
  </si>
  <si>
    <t>jah</t>
  </si>
  <si>
    <t>toetatud palk/turunduskulu</t>
  </si>
  <si>
    <t>Ärikasum</t>
  </si>
  <si>
    <t>Taotlusele eelnev majandusaasta</t>
  </si>
  <si>
    <t>Tulud kokku</t>
  </si>
  <si>
    <t xml:space="preserve">Majandustegevuse alustamise kuu </t>
  </si>
  <si>
    <t>NB!</t>
  </si>
  <si>
    <t>Neljas tegevusaasta, kokku</t>
  </si>
  <si>
    <r>
      <t xml:space="preserve">Tabel on koostatud Ettevõtluse Arendamise Sihtasutuse (EAS) </t>
    </r>
    <r>
      <rPr>
        <i/>
        <sz val="10"/>
        <rFont val="Arial"/>
        <family val="2"/>
        <charset val="186"/>
      </rPr>
      <t>"Isegenereeruvate finantsprognooside"</t>
    </r>
    <r>
      <rPr>
        <sz val="10"/>
        <rFont val="Arial"/>
        <family val="2"/>
        <charset val="186"/>
      </rPr>
      <t xml:space="preserve"> tabeli baasil </t>
    </r>
  </si>
  <si>
    <t>1.aasta</t>
  </si>
  <si>
    <t xml:space="preserve"> -</t>
  </si>
  <si>
    <r>
      <rPr>
        <b/>
        <i/>
        <sz val="10"/>
        <color indexed="12"/>
        <rFont val="Arial"/>
        <family val="2"/>
        <charset val="186"/>
      </rPr>
      <t>Sinisega</t>
    </r>
    <r>
      <rPr>
        <sz val="10"/>
        <rFont val="Arial"/>
        <family val="2"/>
        <charset val="186"/>
      </rPr>
      <t xml:space="preserve"> täidetud lahtrid genereeruvad automaatselt.</t>
    </r>
  </si>
  <si>
    <r>
      <t>"</t>
    </r>
    <r>
      <rPr>
        <b/>
        <i/>
        <sz val="10"/>
        <color indexed="12"/>
        <rFont val="Arial"/>
        <family val="2"/>
        <charset val="186"/>
      </rPr>
      <t>Kasumiaruanne</t>
    </r>
    <r>
      <rPr>
        <sz val="10"/>
        <rFont val="Arial"/>
        <family val="2"/>
        <charset val="186"/>
      </rPr>
      <t>" ja "</t>
    </r>
    <r>
      <rPr>
        <b/>
        <i/>
        <sz val="10"/>
        <color indexed="12"/>
        <rFont val="Arial"/>
        <family val="2"/>
        <charset val="186"/>
      </rPr>
      <t>Bilanss</t>
    </r>
    <r>
      <rPr>
        <sz val="10"/>
        <rFont val="Arial"/>
        <family val="2"/>
        <charset val="186"/>
      </rPr>
      <t>" genereeruvad "</t>
    </r>
    <r>
      <rPr>
        <b/>
        <i/>
        <sz val="10"/>
        <color rgb="FF0000FF"/>
        <rFont val="Arial"/>
        <family val="2"/>
        <charset val="186"/>
      </rPr>
      <t>Alusta siit!</t>
    </r>
    <r>
      <rPr>
        <sz val="10"/>
        <rFont val="Arial"/>
        <family val="2"/>
        <charset val="186"/>
      </rPr>
      <t>" ja "</t>
    </r>
    <r>
      <rPr>
        <b/>
        <i/>
        <sz val="10"/>
        <color indexed="12"/>
        <rFont val="Arial"/>
        <family val="2"/>
        <charset val="186"/>
      </rPr>
      <t>Kassavood"</t>
    </r>
    <r>
      <rPr>
        <sz val="10"/>
        <rFont val="Arial"/>
        <family val="2"/>
        <charset val="186"/>
      </rPr>
      <t xml:space="preserve"> andmete alusel.</t>
    </r>
  </si>
  <si>
    <r>
      <t>Üldjuhul täitmist ei vaja "</t>
    </r>
    <r>
      <rPr>
        <b/>
        <i/>
        <sz val="10"/>
        <color indexed="12"/>
        <rFont val="Arial"/>
        <family val="2"/>
        <charset val="186"/>
      </rPr>
      <t>Bilanss</t>
    </r>
    <r>
      <rPr>
        <sz val="10"/>
        <rFont val="Arial"/>
        <family val="2"/>
        <charset val="186"/>
      </rPr>
      <t>" lehel eelmise tegevusperioodi veerg (B)</t>
    </r>
  </si>
  <si>
    <t>Juhul kui enne majandustegevuse alustamist on vajalik (abi-)materjali ja/või kauba sisseost või tootmisel on arvestatud ka valmistoodangu varuga ('Bilanss' C11, D11, E11), siis vastavad kulud palume kajastada real ostuteenused vastava kuu lahtris. Kasuta vajadusel. Kasutamisel lisa selgitusi (nt äriplaani sisulises osas)</t>
  </si>
  <si>
    <t>1)</t>
  </si>
  <si>
    <t>2)</t>
  </si>
  <si>
    <t>3)</t>
  </si>
  <si>
    <t>4)</t>
  </si>
  <si>
    <r>
      <rPr>
        <b/>
        <sz val="8"/>
        <color theme="9" tint="-0.249977111117893"/>
        <rFont val="Arial"/>
        <family val="2"/>
        <charset val="186"/>
      </rPr>
      <t>Toetus</t>
    </r>
    <r>
      <rPr>
        <sz val="8"/>
        <rFont val="Arial"/>
        <family val="2"/>
      </rPr>
      <t xml:space="preserve"> </t>
    </r>
    <r>
      <rPr>
        <b/>
        <sz val="8"/>
        <rFont val="Arial"/>
        <family val="2"/>
        <charset val="186"/>
      </rPr>
      <t xml:space="preserve">kulude </t>
    </r>
    <r>
      <rPr>
        <sz val="8"/>
        <rFont val="Arial"/>
        <family val="2"/>
        <charset val="186"/>
      </rPr>
      <t>(turundus, personali jne.)</t>
    </r>
    <r>
      <rPr>
        <b/>
        <sz val="8"/>
        <rFont val="Arial"/>
        <family val="2"/>
        <charset val="186"/>
      </rPr>
      <t xml:space="preserve"> </t>
    </r>
    <r>
      <rPr>
        <sz val="8"/>
        <rFont val="Arial"/>
        <family val="2"/>
      </rPr>
      <t>katteks</t>
    </r>
  </si>
  <si>
    <r>
      <rPr>
        <b/>
        <sz val="8"/>
        <color theme="9" tint="-0.249977111117893"/>
        <rFont val="Arial"/>
        <family val="2"/>
        <charset val="186"/>
      </rPr>
      <t>Toetus</t>
    </r>
    <r>
      <rPr>
        <sz val="8"/>
        <rFont val="Arial"/>
        <family val="2"/>
      </rPr>
      <t xml:space="preserve"> </t>
    </r>
    <r>
      <rPr>
        <b/>
        <sz val="8"/>
        <rFont val="Arial"/>
        <family val="2"/>
        <charset val="186"/>
      </rPr>
      <t>materiaalse</t>
    </r>
    <r>
      <rPr>
        <sz val="8"/>
        <rFont val="Arial"/>
        <family val="2"/>
      </rPr>
      <t xml:space="preserve"> põhivara soetamiseks</t>
    </r>
  </si>
  <si>
    <r>
      <rPr>
        <b/>
        <sz val="8"/>
        <color theme="9" tint="-0.249977111117893"/>
        <rFont val="Arial"/>
        <family val="2"/>
        <charset val="186"/>
      </rPr>
      <t>Toetus</t>
    </r>
    <r>
      <rPr>
        <sz val="8"/>
        <rFont val="Arial"/>
        <family val="2"/>
      </rPr>
      <t xml:space="preserve"> </t>
    </r>
    <r>
      <rPr>
        <b/>
        <sz val="8"/>
        <rFont val="Arial"/>
        <family val="2"/>
        <charset val="186"/>
      </rPr>
      <t>immateriaalse</t>
    </r>
    <r>
      <rPr>
        <sz val="8"/>
        <rFont val="Arial"/>
        <family val="2"/>
      </rPr>
      <t xml:space="preserve"> põhivara soetuseks</t>
    </r>
  </si>
  <si>
    <r>
      <rPr>
        <b/>
        <sz val="8"/>
        <color theme="9" tint="-0.249977111117893"/>
        <rFont val="Arial"/>
        <family val="2"/>
        <charset val="186"/>
      </rPr>
      <t>Toetuse</t>
    </r>
    <r>
      <rPr>
        <sz val="8"/>
        <rFont val="Arial"/>
        <family val="2"/>
      </rPr>
      <t xml:space="preserve"> abil soetatud materiaalse põhivara (masinad ja seadmed), toetuse summa</t>
    </r>
  </si>
  <si>
    <r>
      <rPr>
        <b/>
        <sz val="8"/>
        <color theme="9" tint="-0.249977111117893"/>
        <rFont val="Arial"/>
        <family val="2"/>
        <charset val="186"/>
      </rPr>
      <t>Toetuse</t>
    </r>
    <r>
      <rPr>
        <sz val="8"/>
        <rFont val="Arial"/>
        <family val="2"/>
      </rPr>
      <t xml:space="preserve"> abil soetatud </t>
    </r>
    <r>
      <rPr>
        <b/>
        <sz val="8"/>
        <rFont val="Arial"/>
        <family val="2"/>
        <charset val="186"/>
      </rPr>
      <t xml:space="preserve">immateriaalse põhivara </t>
    </r>
    <r>
      <rPr>
        <sz val="8"/>
        <rFont val="Arial"/>
        <family val="2"/>
      </rPr>
      <t>toetuse summa</t>
    </r>
  </si>
  <si>
    <r>
      <t>Täida ära "</t>
    </r>
    <r>
      <rPr>
        <b/>
        <i/>
        <sz val="10"/>
        <color indexed="12"/>
        <rFont val="Arial"/>
        <family val="2"/>
        <charset val="186"/>
      </rPr>
      <t>Alusta siit!</t>
    </r>
    <r>
      <rPr>
        <sz val="10"/>
        <rFont val="Arial"/>
        <family val="2"/>
        <charset val="186"/>
      </rPr>
      <t>" lehel kõik vajalikud rohelise taustaga lahtrid!</t>
    </r>
  </si>
  <si>
    <r>
      <t xml:space="preserve">Täida ära </t>
    </r>
    <r>
      <rPr>
        <b/>
        <i/>
        <sz val="10"/>
        <color indexed="12"/>
        <rFont val="Arial"/>
        <family val="2"/>
        <charset val="186"/>
      </rPr>
      <t>"Tooted"</t>
    </r>
    <r>
      <rPr>
        <sz val="10"/>
        <rFont val="Arial"/>
        <family val="2"/>
        <charset val="186"/>
      </rPr>
      <t xml:space="preserve"> lehel kõik vajalikud andmed! 
NB! </t>
    </r>
    <r>
      <rPr>
        <b/>
        <i/>
        <sz val="10"/>
        <color indexed="12"/>
        <rFont val="Arial"/>
        <family val="2"/>
        <charset val="186"/>
      </rPr>
      <t xml:space="preserve">Sinisega täidetud lahtrid on näitlikud ja neid saab muuta! </t>
    </r>
  </si>
  <si>
    <r>
      <t>Täida ära "</t>
    </r>
    <r>
      <rPr>
        <b/>
        <i/>
        <sz val="10"/>
        <color indexed="12"/>
        <rFont val="Arial"/>
        <family val="2"/>
        <charset val="186"/>
      </rPr>
      <t>Kassavood</t>
    </r>
    <r>
      <rPr>
        <sz val="10"/>
        <rFont val="Arial"/>
        <family val="2"/>
        <charset val="186"/>
      </rPr>
      <t xml:space="preserve">" lehel tühjad lahtrid! Siin esitada andmed </t>
    </r>
    <r>
      <rPr>
        <b/>
        <i/>
        <sz val="10"/>
        <color indexed="12"/>
        <rFont val="Arial"/>
        <family val="2"/>
        <charset val="186"/>
      </rPr>
      <t xml:space="preserve">projekti esimese tegevusaasta </t>
    </r>
    <r>
      <rPr>
        <sz val="10"/>
        <rFont val="Arial"/>
        <family val="2"/>
        <charset val="186"/>
      </rPr>
      <t>kohta.</t>
    </r>
    <r>
      <rPr>
        <b/>
        <i/>
        <sz val="10"/>
        <color indexed="12"/>
        <rFont val="Arial"/>
        <family val="2"/>
        <charset val="186"/>
      </rPr>
      <t/>
    </r>
  </si>
  <si>
    <r>
      <t xml:space="preserve">Täida ära </t>
    </r>
    <r>
      <rPr>
        <b/>
        <i/>
        <sz val="10"/>
        <color rgb="FF0000FF"/>
        <rFont val="Arial"/>
        <family val="2"/>
        <charset val="186"/>
      </rPr>
      <t xml:space="preserve">"Töötajad" </t>
    </r>
    <r>
      <rPr>
        <sz val="10"/>
        <rFont val="Arial"/>
        <family val="2"/>
        <charset val="186"/>
      </rPr>
      <t>lehel kõik vajalikud rohelise taustaga lahtrid!</t>
    </r>
  </si>
  <si>
    <t>Kulu</t>
  </si>
  <si>
    <t>Nr</t>
  </si>
  <si>
    <t>Toetuse kasutamise tabel</t>
  </si>
  <si>
    <t>Kokku, EUR</t>
  </si>
  <si>
    <t>Hinnapakkumised ei või olla vanemad kui kolm kuud arvates avalduse esitamise päevast.</t>
  </si>
  <si>
    <t>Kui kahte sõltumatut hinnapakkumist ei ole võimalik esitada või kui ei valita odavaimat pakkumist, tuleb esitada sellekohane põhjendus.</t>
  </si>
  <si>
    <t>Masinate ja seadmete ostmisel tuleb hinnapakkumistele lisada seadmete spetsifikatsioon.</t>
  </si>
  <si>
    <t>Kui soovitakse soetada kasutatud seadet, tuleb esitada alternatiivne hinnapakkumine või -päring uue seadme kohta või viide avalikele allikatele, kui antud info on kättesaadav internetis.</t>
  </si>
  <si>
    <t>NB! Internetilinkidena esitatud hinnapakkumistes võivad andmed ajaga muutuda, mistõttu tuleb Eesti Töötukassa toetuse eest tehtavate investeeringute hinnapakkumised või –päringud esitada fikseeritud dokumentidena (kuvatõmmisena, PDF failina, skaneerituna vm).</t>
  </si>
  <si>
    <t>Maksumus *</t>
  </si>
  <si>
    <t xml:space="preserve">  * Palume lisada vähemalt kaks sõltumatut ja omavahel võrreldavat hinnapakkumist juhul kui kulurea, ostetava asja või teenuse eeldatav maksumus on 500 eurot või rohkem.</t>
  </si>
  <si>
    <r>
      <t xml:space="preserve">Ettevõtluse alustamise toetuse summa - kuni </t>
    </r>
    <r>
      <rPr>
        <b/>
        <sz val="10"/>
        <color rgb="FF2E2E2E"/>
        <rFont val="Arial"/>
        <family val="2"/>
        <charset val="186"/>
      </rPr>
      <t>4474</t>
    </r>
    <r>
      <rPr>
        <sz val="10"/>
        <color rgb="FF2E2E2E"/>
        <rFont val="Arial"/>
        <family val="2"/>
        <charset val="186"/>
      </rPr>
      <t xml:space="preserve"> eurot.</t>
    </r>
  </si>
  <si>
    <t xml:space="preserve">Informatsioon toetuse taotlemise ja kasutamise kohta Eesti Töötukassa kodulehel: /Avaleht / Teenused / Ettevõtluse alustamise toetus / EVAT taotlemine ja kasutamine/ - https://www.tootukassa.ee/content/teenused/evat-taotlemine-ja-kasutamine </t>
  </si>
  <si>
    <r>
      <t>Vajaduse põhjendus</t>
    </r>
    <r>
      <rPr>
        <sz val="10"/>
        <rFont val="Arial"/>
        <family val="2"/>
        <charset val="186"/>
      </rPr>
      <t xml:space="preserve"> </t>
    </r>
    <r>
      <rPr>
        <sz val="8"/>
        <rFont val="Arial"/>
        <family val="2"/>
        <charset val="186"/>
      </rPr>
      <t>(kirjelda seost majandustegevuse käivitamise ja/või teenuse pakkumise ja/või tootmisega)</t>
    </r>
  </si>
  <si>
    <t>akupankade 1 tunni rent</t>
  </si>
  <si>
    <t>akupankade päeva rent</t>
  </si>
  <si>
    <t xml:space="preserve">Jaamas esindatud reklaam </t>
  </si>
  <si>
    <t xml:space="preserve">akupankade varastamine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</si>
</sst>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k_r_-;\-* #,##0.00\ _k_r_-;_-* &quot;-&quot;??\ _k_r_-;_-@_-"/>
    <numFmt numFmtId="165" formatCode="mmm/yyyy"/>
    <numFmt numFmtId="166" formatCode="#,##0\ &quot;kr&quot;"/>
    <numFmt numFmtId="167" formatCode="&quot;Kokku &quot;\&amp;\A\2"/>
    <numFmt numFmtId="168" formatCode="mmmm"/>
    <numFmt numFmtId="169" formatCode="dd\.mm\.yy;@"/>
    <numFmt numFmtId="170" formatCode="0.0"/>
  </numFmts>
  <fonts count="63" x14ac:knownFonts="1">
    <font>
      <sz val="10"/>
      <name val="Arial"/>
      <charset val="186"/>
    </font>
    <font>
      <sz val="10"/>
      <name val="Arial"/>
      <family val="2"/>
      <charset val="186"/>
    </font>
    <font>
      <sz val="8"/>
      <name val="Arial"/>
      <family val="2"/>
      <charset val="186"/>
    </font>
    <font>
      <sz val="10"/>
      <name val="Arial"/>
      <family val="2"/>
    </font>
    <font>
      <sz val="8"/>
      <name val="Arial"/>
      <family val="2"/>
    </font>
    <font>
      <b/>
      <sz val="10"/>
      <name val="Arial"/>
      <family val="2"/>
    </font>
    <font>
      <b/>
      <sz val="8"/>
      <name val="Arial"/>
      <family val="2"/>
    </font>
    <font>
      <b/>
      <sz val="10"/>
      <name val="Arial"/>
      <family val="2"/>
      <charset val="186"/>
    </font>
    <font>
      <b/>
      <sz val="10"/>
      <color indexed="12"/>
      <name val="Arial"/>
      <family val="2"/>
      <charset val="186"/>
    </font>
    <font>
      <b/>
      <sz val="10"/>
      <color indexed="12"/>
      <name val="Arial"/>
      <family val="2"/>
    </font>
    <font>
      <i/>
      <sz val="8"/>
      <color indexed="19"/>
      <name val="Arial"/>
      <family val="2"/>
    </font>
    <font>
      <sz val="10"/>
      <name val="Arial"/>
      <family val="2"/>
      <charset val="186"/>
    </font>
    <font>
      <sz val="10"/>
      <color indexed="10"/>
      <name val="Arial"/>
      <family val="2"/>
      <charset val="186"/>
    </font>
    <font>
      <b/>
      <u/>
      <sz val="10"/>
      <name val="Arial"/>
      <family val="2"/>
      <charset val="186"/>
    </font>
    <font>
      <sz val="8"/>
      <color indexed="9"/>
      <name val="Arial"/>
      <family val="2"/>
    </font>
    <font>
      <i/>
      <sz val="8"/>
      <color indexed="10"/>
      <name val="Arial"/>
      <family val="2"/>
    </font>
    <font>
      <b/>
      <i/>
      <sz val="8"/>
      <color indexed="12"/>
      <name val="Arial"/>
      <family val="2"/>
    </font>
    <font>
      <b/>
      <sz val="8"/>
      <color indexed="12"/>
      <name val="Arial"/>
      <family val="2"/>
    </font>
    <font>
      <b/>
      <sz val="8"/>
      <color indexed="61"/>
      <name val="Arial"/>
      <family val="2"/>
    </font>
    <font>
      <b/>
      <i/>
      <sz val="8"/>
      <color indexed="60"/>
      <name val="Arial"/>
      <family val="2"/>
    </font>
    <font>
      <i/>
      <sz val="10"/>
      <name val="Arial"/>
      <family val="2"/>
      <charset val="186"/>
    </font>
    <font>
      <u/>
      <sz val="10"/>
      <name val="Arial"/>
      <family val="2"/>
      <charset val="186"/>
    </font>
    <font>
      <b/>
      <i/>
      <sz val="10"/>
      <color indexed="12"/>
      <name val="Arial"/>
      <family val="2"/>
      <charset val="186"/>
    </font>
    <font>
      <sz val="10"/>
      <color indexed="12"/>
      <name val="Arial"/>
      <family val="2"/>
      <charset val="186"/>
    </font>
    <font>
      <i/>
      <sz val="10"/>
      <color indexed="12"/>
      <name val="Arial"/>
      <family val="2"/>
      <charset val="186"/>
    </font>
    <font>
      <sz val="8"/>
      <color indexed="12"/>
      <name val="Arial"/>
      <family val="2"/>
    </font>
    <font>
      <i/>
      <sz val="8"/>
      <color indexed="12"/>
      <name val="Arial"/>
      <family val="2"/>
    </font>
    <font>
      <b/>
      <i/>
      <sz val="12"/>
      <color indexed="10"/>
      <name val="Arial"/>
      <family val="2"/>
      <charset val="186"/>
    </font>
    <font>
      <i/>
      <sz val="8"/>
      <color indexed="45"/>
      <name val="Arial"/>
      <family val="2"/>
    </font>
    <font>
      <i/>
      <sz val="8"/>
      <name val="Arial"/>
      <family val="2"/>
      <charset val="186"/>
    </font>
    <font>
      <b/>
      <i/>
      <sz val="8"/>
      <color indexed="12"/>
      <name val="Arial"/>
      <family val="2"/>
      <charset val="186"/>
    </font>
    <font>
      <sz val="8"/>
      <color indexed="81"/>
      <name val="Tahoma"/>
      <family val="2"/>
      <charset val="186"/>
    </font>
    <font>
      <b/>
      <i/>
      <sz val="8"/>
      <color indexed="9"/>
      <name val="Arial"/>
      <family val="2"/>
    </font>
    <font>
      <sz val="8"/>
      <color indexed="10"/>
      <name val="Arial"/>
      <family val="2"/>
      <charset val="186"/>
    </font>
    <font>
      <sz val="8"/>
      <color indexed="9"/>
      <name val="Arial"/>
      <family val="2"/>
      <charset val="186"/>
    </font>
    <font>
      <b/>
      <sz val="8"/>
      <color indexed="12"/>
      <name val="Arial"/>
      <family val="2"/>
      <charset val="186"/>
    </font>
    <font>
      <sz val="9"/>
      <name val="Arial"/>
      <family val="2"/>
      <charset val="186"/>
    </font>
    <font>
      <sz val="8"/>
      <color indexed="60"/>
      <name val="Arial"/>
      <family val="2"/>
      <charset val="186"/>
    </font>
    <font>
      <b/>
      <sz val="8"/>
      <color indexed="10"/>
      <name val="Arial"/>
      <family val="2"/>
      <charset val="186"/>
    </font>
    <font>
      <b/>
      <sz val="8"/>
      <color indexed="12"/>
      <name val="Arial"/>
      <family val="2"/>
      <charset val="186"/>
    </font>
    <font>
      <sz val="8"/>
      <name val="Arial"/>
      <family val="2"/>
      <charset val="186"/>
    </font>
    <font>
      <b/>
      <sz val="8"/>
      <name val="Arial"/>
      <family val="2"/>
      <charset val="186"/>
    </font>
    <font>
      <b/>
      <sz val="18"/>
      <color indexed="56"/>
      <name val="Cambria"/>
      <family val="2"/>
      <charset val="186"/>
    </font>
    <font>
      <b/>
      <i/>
      <sz val="8"/>
      <color theme="4" tint="-0.499984740745262"/>
      <name val="Arial"/>
      <family val="2"/>
      <charset val="186"/>
    </font>
    <font>
      <b/>
      <sz val="8"/>
      <color rgb="FF6600FF"/>
      <name val="Arial"/>
      <family val="2"/>
    </font>
    <font>
      <b/>
      <i/>
      <sz val="8"/>
      <color rgb="FF002060"/>
      <name val="Arial"/>
      <family val="2"/>
      <charset val="186"/>
    </font>
    <font>
      <b/>
      <sz val="8"/>
      <color rgb="FFFF0000"/>
      <name val="Arial"/>
      <family val="2"/>
    </font>
    <font>
      <sz val="10"/>
      <color theme="0" tint="-0.34998626667073579"/>
      <name val="Arial"/>
      <family val="2"/>
    </font>
    <font>
      <i/>
      <sz val="8"/>
      <color indexed="12"/>
      <name val="Arial"/>
      <family val="2"/>
      <charset val="186"/>
    </font>
    <font>
      <sz val="8"/>
      <color theme="0" tint="-0.34998626667073579"/>
      <name val="Arial"/>
      <family val="2"/>
      <charset val="186"/>
    </font>
    <font>
      <sz val="9"/>
      <color indexed="81"/>
      <name val="Tahoma"/>
      <family val="2"/>
      <charset val="186"/>
    </font>
    <font>
      <b/>
      <sz val="9"/>
      <color indexed="81"/>
      <name val="Tahoma"/>
      <family val="2"/>
      <charset val="186"/>
    </font>
    <font>
      <sz val="10"/>
      <name val="Arial"/>
      <family val="2"/>
      <charset val="186"/>
    </font>
    <font>
      <b/>
      <i/>
      <sz val="10"/>
      <color rgb="FF0000FF"/>
      <name val="Arial"/>
      <family val="2"/>
      <charset val="186"/>
    </font>
    <font>
      <sz val="12"/>
      <color indexed="10"/>
      <name val="Arial"/>
      <family val="2"/>
      <charset val="186"/>
    </font>
    <font>
      <i/>
      <sz val="12"/>
      <color indexed="10"/>
      <name val="Arial"/>
      <family val="2"/>
      <charset val="186"/>
    </font>
    <font>
      <b/>
      <i/>
      <sz val="12"/>
      <name val="Arial"/>
      <family val="2"/>
      <charset val="186"/>
    </font>
    <font>
      <sz val="12"/>
      <name val="Arial"/>
      <family val="2"/>
      <charset val="186"/>
    </font>
    <font>
      <b/>
      <sz val="8"/>
      <color theme="9" tint="-0.249977111117893"/>
      <name val="Arial"/>
      <family val="2"/>
      <charset val="186"/>
    </font>
    <font>
      <sz val="10"/>
      <color rgb="FF2E2E2E"/>
      <name val="Arial"/>
      <family val="2"/>
      <charset val="186"/>
    </font>
    <font>
      <b/>
      <sz val="10"/>
      <color rgb="FF2E2E2E"/>
      <name val="Arial"/>
      <family val="2"/>
      <charset val="186"/>
    </font>
    <font>
      <sz val="9"/>
      <color indexed="81"/>
      <name val="Tahoma"/>
      <charset val="1"/>
    </font>
    <font>
      <b/>
      <sz val="9"/>
      <color indexed="81"/>
      <name val="Tahoma"/>
      <charset val="1"/>
    </font>
  </fonts>
  <fills count="11">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65"/>
        <bgColor indexed="64"/>
      </patternFill>
    </fill>
    <fill>
      <patternFill patternType="solid">
        <fgColor indexed="47"/>
        <bgColor indexed="64"/>
      </patternFill>
    </fill>
    <fill>
      <patternFill patternType="solid">
        <fgColor indexed="9"/>
        <bgColor indexed="64"/>
      </patternFill>
    </fill>
    <fill>
      <patternFill patternType="solid">
        <fgColor theme="6" tint="0.79998168889431442"/>
        <bgColor indexed="64"/>
      </patternFill>
    </fill>
    <fill>
      <patternFill patternType="solid">
        <fgColor rgb="FFCCFFCC"/>
        <bgColor indexed="64"/>
      </patternFill>
    </fill>
    <fill>
      <patternFill patternType="solid">
        <fgColor rgb="FFFFFF00"/>
        <bgColor indexed="64"/>
      </patternFill>
    </fill>
    <fill>
      <patternFill patternType="solid">
        <fgColor theme="9"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ck">
        <color indexed="60"/>
      </top>
      <bottom style="thin">
        <color indexed="64"/>
      </bottom>
      <diagonal/>
    </border>
    <border>
      <left style="thin">
        <color indexed="64"/>
      </left>
      <right style="thin">
        <color indexed="64"/>
      </right>
      <top style="thin">
        <color indexed="64"/>
      </top>
      <bottom style="thick">
        <color indexed="60"/>
      </bottom>
      <diagonal/>
    </border>
    <border>
      <left style="thin">
        <color indexed="64"/>
      </left>
      <right style="thick">
        <color indexed="60"/>
      </right>
      <top style="thin">
        <color indexed="64"/>
      </top>
      <bottom style="thin">
        <color indexed="64"/>
      </bottom>
      <diagonal/>
    </border>
    <border>
      <left style="thin">
        <color indexed="64"/>
      </left>
      <right style="thick">
        <color indexed="60"/>
      </right>
      <top style="thin">
        <color indexed="64"/>
      </top>
      <bottom style="thick">
        <color indexed="6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ck">
        <color indexed="60"/>
      </right>
      <top style="thick">
        <color indexed="60"/>
      </top>
      <bottom style="thin">
        <color indexed="64"/>
      </bottom>
      <diagonal/>
    </border>
    <border>
      <left/>
      <right/>
      <top style="thin">
        <color indexed="64"/>
      </top>
      <bottom style="thin">
        <color indexed="64"/>
      </bottom>
      <diagonal/>
    </border>
    <border>
      <left style="thick">
        <color indexed="60"/>
      </left>
      <right style="thin">
        <color indexed="64"/>
      </right>
      <top style="thick">
        <color indexed="60"/>
      </top>
      <bottom style="thin">
        <color indexed="64"/>
      </bottom>
      <diagonal/>
    </border>
    <border>
      <left style="thick">
        <color indexed="60"/>
      </left>
      <right style="thin">
        <color indexed="64"/>
      </right>
      <top style="thin">
        <color indexed="64"/>
      </top>
      <bottom style="thin">
        <color indexed="64"/>
      </bottom>
      <diagonal/>
    </border>
    <border>
      <left style="thick">
        <color indexed="60"/>
      </left>
      <right style="thin">
        <color indexed="64"/>
      </right>
      <top style="thin">
        <color indexed="64"/>
      </top>
      <bottom style="thick">
        <color indexed="60"/>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right/>
      <top/>
      <bottom style="thin">
        <color indexed="55"/>
      </bottom>
      <diagonal/>
    </border>
    <border>
      <left/>
      <right/>
      <top/>
      <bottom style="double">
        <color indexed="64"/>
      </bottom>
      <diagonal/>
    </border>
  </borders>
  <cellStyleXfs count="4">
    <xf numFmtId="0" fontId="0" fillId="0" borderId="0"/>
    <xf numFmtId="164" fontId="1" fillId="0" borderId="0" applyFont="0" applyFill="0" applyBorder="0" applyAlignment="0" applyProtection="0"/>
    <xf numFmtId="0" fontId="42" fillId="0" borderId="0"/>
    <xf numFmtId="9" fontId="1" fillId="0" borderId="0" applyFont="0" applyFill="0" applyBorder="0" applyAlignment="0" applyProtection="0"/>
  </cellStyleXfs>
  <cellXfs count="312">
    <xf numFmtId="0" fontId="0" fillId="0" borderId="0" xfId="0"/>
    <xf numFmtId="0" fontId="0" fillId="0" borderId="0" xfId="0" applyAlignment="1">
      <alignment wrapText="1"/>
    </xf>
    <xf numFmtId="0" fontId="0" fillId="0" borderId="0" xfId="0" applyProtection="1">
      <protection locked="0"/>
    </xf>
    <xf numFmtId="0" fontId="0" fillId="0" borderId="0" xfId="0" applyAlignment="1">
      <alignment horizontal="center"/>
    </xf>
    <xf numFmtId="0" fontId="0" fillId="0" borderId="0" xfId="0" applyAlignment="1" applyProtection="1">
      <alignment horizontal="center"/>
      <protection locked="0"/>
    </xf>
    <xf numFmtId="1" fontId="0" fillId="0" borderId="0" xfId="0" applyNumberFormat="1" applyAlignment="1" applyProtection="1">
      <alignment horizontal="center"/>
      <protection locked="0"/>
    </xf>
    <xf numFmtId="166" fontId="0" fillId="0" borderId="0" xfId="0" applyNumberFormat="1" applyAlignment="1">
      <alignment horizontal="center"/>
    </xf>
    <xf numFmtId="166" fontId="0" fillId="0" borderId="0" xfId="0" applyNumberFormat="1"/>
    <xf numFmtId="0" fontId="2" fillId="0" borderId="1" xfId="0" applyFont="1" applyBorder="1" applyAlignment="1">
      <alignment wrapText="1"/>
    </xf>
    <xf numFmtId="0" fontId="2" fillId="0" borderId="0" xfId="0" applyFont="1"/>
    <xf numFmtId="0" fontId="2" fillId="3" borderId="1" xfId="0" applyFont="1" applyFill="1" applyBorder="1"/>
    <xf numFmtId="0" fontId="2" fillId="3" borderId="1" xfId="0" applyFont="1" applyFill="1" applyBorder="1" applyAlignment="1">
      <alignment wrapText="1"/>
    </xf>
    <xf numFmtId="3" fontId="2" fillId="3" borderId="1" xfId="0" applyNumberFormat="1" applyFont="1" applyFill="1" applyBorder="1"/>
    <xf numFmtId="0" fontId="2" fillId="3" borderId="2" xfId="0" applyFont="1" applyFill="1" applyBorder="1"/>
    <xf numFmtId="0" fontId="2" fillId="3" borderId="2" xfId="0" applyFont="1" applyFill="1" applyBorder="1" applyAlignment="1">
      <alignment wrapText="1"/>
    </xf>
    <xf numFmtId="3" fontId="2" fillId="3" borderId="2" xfId="0" applyNumberFormat="1" applyFont="1" applyFill="1" applyBorder="1"/>
    <xf numFmtId="0" fontId="2" fillId="0" borderId="3" xfId="0" applyFont="1" applyBorder="1" applyAlignment="1">
      <alignment wrapText="1"/>
    </xf>
    <xf numFmtId="0" fontId="2" fillId="0" borderId="1" xfId="0" applyFont="1" applyBorder="1" applyAlignment="1">
      <alignment horizontal="left" wrapText="1"/>
    </xf>
    <xf numFmtId="0" fontId="2" fillId="0" borderId="1" xfId="0" applyFont="1" applyBorder="1" applyAlignment="1">
      <alignment horizontal="center" wrapText="1"/>
    </xf>
    <xf numFmtId="9" fontId="35" fillId="0" borderId="4" xfId="0" applyNumberFormat="1" applyFont="1" applyBorder="1" applyAlignment="1" applyProtection="1">
      <alignment horizontal="center"/>
      <protection locked="0"/>
    </xf>
    <xf numFmtId="167" fontId="2" fillId="2" borderId="4" xfId="0" applyNumberFormat="1" applyFont="1" applyFill="1" applyBorder="1" applyAlignment="1">
      <alignment horizontal="right" wrapText="1"/>
    </xf>
    <xf numFmtId="9" fontId="35" fillId="4" borderId="4" xfId="0" applyNumberFormat="1" applyFont="1" applyFill="1" applyBorder="1" applyAlignment="1" applyProtection="1">
      <alignment horizontal="center"/>
      <protection locked="0"/>
    </xf>
    <xf numFmtId="0" fontId="2" fillId="0" borderId="0" xfId="0" applyFont="1" applyAlignment="1">
      <alignment wrapText="1"/>
    </xf>
    <xf numFmtId="3" fontId="37" fillId="5" borderId="1" xfId="0" applyNumberFormat="1" applyFont="1" applyFill="1" applyBorder="1"/>
    <xf numFmtId="3" fontId="37" fillId="5" borderId="2" xfId="0" applyNumberFormat="1" applyFont="1" applyFill="1" applyBorder="1"/>
    <xf numFmtId="3" fontId="37" fillId="5" borderId="3" xfId="0" applyNumberFormat="1" applyFont="1" applyFill="1" applyBorder="1"/>
    <xf numFmtId="9" fontId="37" fillId="5" borderId="1" xfId="0" applyNumberFormat="1" applyFont="1" applyFill="1" applyBorder="1"/>
    <xf numFmtId="3" fontId="37" fillId="5" borderId="4" xfId="0" applyNumberFormat="1" applyFont="1" applyFill="1" applyBorder="1"/>
    <xf numFmtId="0" fontId="37" fillId="0" borderId="0" xfId="0" applyFont="1"/>
    <xf numFmtId="168" fontId="0" fillId="0" borderId="0" xfId="0" applyNumberFormat="1"/>
    <xf numFmtId="0" fontId="11" fillId="0" borderId="0" xfId="0" applyFont="1"/>
    <xf numFmtId="4" fontId="2" fillId="0" borderId="3" xfId="0" applyNumberFormat="1" applyFont="1" applyBorder="1" applyProtection="1">
      <protection locked="0"/>
    </xf>
    <xf numFmtId="4" fontId="2" fillId="0" borderId="1" xfId="0" applyNumberFormat="1" applyFont="1" applyBorder="1" applyProtection="1">
      <protection locked="0"/>
    </xf>
    <xf numFmtId="4" fontId="2" fillId="0" borderId="1" xfId="0" applyNumberFormat="1" applyFont="1" applyBorder="1"/>
    <xf numFmtId="4" fontId="2" fillId="0" borderId="5" xfId="0" applyNumberFormat="1" applyFont="1" applyBorder="1" applyProtection="1">
      <protection locked="0"/>
    </xf>
    <xf numFmtId="4" fontId="2" fillId="2" borderId="4" xfId="0" applyNumberFormat="1" applyFont="1" applyFill="1" applyBorder="1"/>
    <xf numFmtId="4" fontId="2" fillId="2" borderId="6" xfId="0" applyNumberFormat="1" applyFont="1" applyFill="1" applyBorder="1"/>
    <xf numFmtId="4" fontId="4" fillId="6" borderId="0" xfId="0" applyNumberFormat="1" applyFont="1" applyFill="1" applyAlignment="1">
      <alignment horizontal="right"/>
    </xf>
    <xf numFmtId="4" fontId="4" fillId="6" borderId="0" xfId="0" applyNumberFormat="1" applyFont="1" applyFill="1"/>
    <xf numFmtId="4" fontId="15" fillId="6" borderId="0" xfId="0" applyNumberFormat="1" applyFont="1" applyFill="1" applyAlignment="1">
      <alignment horizontal="left" wrapText="1"/>
    </xf>
    <xf numFmtId="4" fontId="28" fillId="6" borderId="0" xfId="0" applyNumberFormat="1" applyFont="1" applyFill="1" applyAlignment="1">
      <alignment horizontal="right"/>
    </xf>
    <xf numFmtId="4" fontId="28" fillId="6" borderId="0" xfId="0" applyNumberFormat="1" applyFont="1" applyFill="1"/>
    <xf numFmtId="4" fontId="30" fillId="0" borderId="1" xfId="0" applyNumberFormat="1" applyFont="1" applyBorder="1" applyAlignment="1">
      <alignment horizontal="right"/>
    </xf>
    <xf numFmtId="4" fontId="16" fillId="0" borderId="1" xfId="1" applyNumberFormat="1" applyFont="1" applyFill="1" applyBorder="1" applyAlignment="1" applyProtection="1">
      <alignment horizontal="right"/>
      <protection hidden="1"/>
    </xf>
    <xf numFmtId="4" fontId="16" fillId="0" borderId="1" xfId="0" applyNumberFormat="1" applyFont="1" applyBorder="1" applyAlignment="1" applyProtection="1">
      <alignment horizontal="right"/>
      <protection hidden="1"/>
    </xf>
    <xf numFmtId="4" fontId="6" fillId="6" borderId="0" xfId="0" applyNumberFormat="1" applyFont="1" applyFill="1"/>
    <xf numFmtId="4" fontId="4" fillId="0" borderId="0" xfId="0" applyNumberFormat="1" applyFont="1" applyAlignment="1">
      <alignment horizontal="right"/>
    </xf>
    <xf numFmtId="4" fontId="4" fillId="6" borderId="0" xfId="1" applyNumberFormat="1" applyFont="1" applyFill="1" applyBorder="1" applyAlignment="1" applyProtection="1">
      <alignment horizontal="right"/>
    </xf>
    <xf numFmtId="4" fontId="14" fillId="6" borderId="0" xfId="0" applyNumberFormat="1" applyFont="1" applyFill="1"/>
    <xf numFmtId="4" fontId="14" fillId="6" borderId="0" xfId="0" applyNumberFormat="1" applyFont="1" applyFill="1" applyAlignment="1">
      <alignment horizontal="right"/>
    </xf>
    <xf numFmtId="4" fontId="4" fillId="6" borderId="1" xfId="0" applyNumberFormat="1" applyFont="1" applyFill="1" applyBorder="1" applyAlignment="1">
      <alignment horizontal="left" indent="3"/>
    </xf>
    <xf numFmtId="4" fontId="16" fillId="6" borderId="2" xfId="1" applyNumberFormat="1" applyFont="1" applyFill="1" applyBorder="1" applyAlignment="1" applyProtection="1">
      <alignment horizontal="right"/>
      <protection hidden="1"/>
    </xf>
    <xf numFmtId="4" fontId="4" fillId="6" borderId="0" xfId="0" applyNumberFormat="1" applyFont="1" applyFill="1" applyAlignment="1">
      <alignment horizontal="left" indent="1"/>
    </xf>
    <xf numFmtId="4" fontId="29" fillId="6" borderId="7" xfId="0" applyNumberFormat="1" applyFont="1" applyFill="1" applyBorder="1" applyAlignment="1">
      <alignment horizontal="left" indent="6"/>
    </xf>
    <xf numFmtId="4" fontId="4" fillId="6" borderId="7" xfId="0" applyNumberFormat="1" applyFont="1" applyFill="1" applyBorder="1" applyAlignment="1">
      <alignment horizontal="left" indent="8"/>
    </xf>
    <xf numFmtId="4" fontId="30" fillId="6" borderId="1" xfId="1" applyNumberFormat="1" applyFont="1" applyFill="1" applyBorder="1" applyAlignment="1" applyProtection="1">
      <alignment horizontal="right"/>
      <protection hidden="1"/>
    </xf>
    <xf numFmtId="4" fontId="10" fillId="6" borderId="0" xfId="0" applyNumberFormat="1" applyFont="1" applyFill="1" applyAlignment="1">
      <alignment horizontal="left" indent="8"/>
    </xf>
    <xf numFmtId="4" fontId="10" fillId="6" borderId="0" xfId="1" applyNumberFormat="1" applyFont="1" applyFill="1" applyBorder="1" applyAlignment="1" applyProtection="1">
      <alignment horizontal="right"/>
    </xf>
    <xf numFmtId="4" fontId="10" fillId="6" borderId="0" xfId="0" applyNumberFormat="1" applyFont="1" applyFill="1" applyAlignment="1">
      <alignment horizontal="left" indent="1"/>
    </xf>
    <xf numFmtId="4" fontId="18" fillId="6" borderId="0" xfId="0" applyNumberFormat="1" applyFont="1" applyFill="1"/>
    <xf numFmtId="4" fontId="16" fillId="6" borderId="1" xfId="1" applyNumberFormat="1" applyFont="1" applyFill="1" applyBorder="1" applyAlignment="1" applyProtection="1">
      <alignment horizontal="right"/>
      <protection hidden="1"/>
    </xf>
    <xf numFmtId="4" fontId="29" fillId="6" borderId="1" xfId="0" applyNumberFormat="1" applyFont="1" applyFill="1" applyBorder="1" applyAlignment="1">
      <alignment horizontal="left" indent="6"/>
    </xf>
    <xf numFmtId="4" fontId="4" fillId="6" borderId="1" xfId="1" applyNumberFormat="1" applyFont="1" applyFill="1" applyBorder="1" applyAlignment="1" applyProtection="1">
      <alignment horizontal="right"/>
      <protection locked="0"/>
    </xf>
    <xf numFmtId="4" fontId="19" fillId="6" borderId="1" xfId="0" applyNumberFormat="1" applyFont="1" applyFill="1" applyBorder="1" applyAlignment="1">
      <alignment horizontal="left" indent="2"/>
    </xf>
    <xf numFmtId="4" fontId="4" fillId="0" borderId="1" xfId="0" applyNumberFormat="1" applyFont="1" applyBorder="1" applyAlignment="1" applyProtection="1">
      <alignment horizontal="right"/>
      <protection locked="0"/>
    </xf>
    <xf numFmtId="4" fontId="4" fillId="6" borderId="1" xfId="0" applyNumberFormat="1" applyFont="1" applyFill="1" applyBorder="1" applyAlignment="1">
      <alignment horizontal="left" wrapText="1" indent="3"/>
    </xf>
    <xf numFmtId="4" fontId="6" fillId="6" borderId="1" xfId="0" applyNumberFormat="1" applyFont="1" applyFill="1" applyBorder="1" applyAlignment="1">
      <alignment horizontal="left" indent="3"/>
    </xf>
    <xf numFmtId="4" fontId="6" fillId="6" borderId="0" xfId="0" applyNumberFormat="1" applyFont="1" applyFill="1" applyAlignment="1">
      <alignment horizontal="left" indent="1"/>
    </xf>
    <xf numFmtId="4" fontId="6" fillId="6" borderId="0" xfId="0" applyNumberFormat="1" applyFont="1" applyFill="1" applyAlignment="1">
      <alignment horizontal="left" indent="2"/>
    </xf>
    <xf numFmtId="4" fontId="6" fillId="6" borderId="0" xfId="1" applyNumberFormat="1" applyFont="1" applyFill="1" applyBorder="1" applyAlignment="1" applyProtection="1">
      <alignment horizontal="right"/>
    </xf>
    <xf numFmtId="4" fontId="17" fillId="6" borderId="0" xfId="0" applyNumberFormat="1" applyFont="1" applyFill="1"/>
    <xf numFmtId="4" fontId="2" fillId="6" borderId="1" xfId="0" applyNumberFormat="1" applyFont="1" applyFill="1" applyBorder="1" applyAlignment="1">
      <alignment horizontal="left" wrapText="1" indent="3"/>
    </xf>
    <xf numFmtId="4" fontId="41" fillId="6" borderId="0" xfId="0" applyNumberFormat="1" applyFont="1" applyFill="1" applyAlignment="1">
      <alignment horizontal="left" wrapText="1"/>
    </xf>
    <xf numFmtId="4" fontId="4" fillId="6" borderId="0" xfId="1" applyNumberFormat="1" applyFont="1" applyFill="1" applyBorder="1" applyAlignment="1" applyProtection="1">
      <alignment horizontal="right"/>
      <protection locked="0"/>
    </xf>
    <xf numFmtId="4" fontId="43" fillId="6" borderId="1" xfId="1" applyNumberFormat="1" applyFont="1" applyFill="1" applyBorder="1" applyAlignment="1" applyProtection="1">
      <alignment horizontal="right"/>
    </xf>
    <xf numFmtId="4" fontId="4" fillId="6" borderId="0" xfId="0" applyNumberFormat="1" applyFont="1" applyFill="1" applyAlignment="1">
      <alignment horizontal="left" indent="2"/>
    </xf>
    <xf numFmtId="4" fontId="17" fillId="6" borderId="0" xfId="0" applyNumberFormat="1" applyFont="1" applyFill="1" applyAlignment="1">
      <alignment horizontal="left"/>
    </xf>
    <xf numFmtId="4" fontId="16" fillId="6" borderId="8" xfId="1" applyNumberFormat="1" applyFont="1" applyFill="1" applyBorder="1" applyAlignment="1" applyProtection="1">
      <alignment horizontal="right"/>
      <protection hidden="1"/>
    </xf>
    <xf numFmtId="4" fontId="4" fillId="6" borderId="0" xfId="0" applyNumberFormat="1" applyFont="1" applyFill="1" applyAlignment="1">
      <alignment horizontal="left" indent="3"/>
    </xf>
    <xf numFmtId="4" fontId="6" fillId="6" borderId="0" xfId="0" applyNumberFormat="1" applyFont="1" applyFill="1" applyAlignment="1">
      <alignment horizontal="left"/>
    </xf>
    <xf numFmtId="4" fontId="44" fillId="6" borderId="0" xfId="0" applyNumberFormat="1" applyFont="1" applyFill="1" applyAlignment="1" applyProtection="1">
      <alignment horizontal="left" indent="1"/>
      <protection locked="0"/>
    </xf>
    <xf numFmtId="4" fontId="45" fillId="6" borderId="1" xfId="1" applyNumberFormat="1" applyFont="1" applyFill="1" applyBorder="1" applyAlignment="1" applyProtection="1">
      <alignment horizontal="right"/>
    </xf>
    <xf numFmtId="4" fontId="4" fillId="0" borderId="1" xfId="0" applyNumberFormat="1" applyFont="1" applyBorder="1" applyAlignment="1">
      <alignment horizontal="left" indent="3"/>
    </xf>
    <xf numFmtId="4" fontId="4" fillId="0" borderId="1" xfId="1" applyNumberFormat="1" applyFont="1" applyFill="1" applyBorder="1" applyAlignment="1" applyProtection="1">
      <alignment horizontal="right"/>
      <protection locked="0"/>
    </xf>
    <xf numFmtId="4" fontId="4" fillId="0" borderId="0" xfId="0" applyNumberFormat="1" applyFont="1"/>
    <xf numFmtId="4" fontId="4" fillId="6" borderId="1" xfId="1" applyNumberFormat="1" applyFont="1" applyFill="1" applyBorder="1" applyAlignment="1" applyProtection="1">
      <alignment horizontal="right"/>
    </xf>
    <xf numFmtId="4" fontId="17" fillId="0" borderId="0" xfId="0" applyNumberFormat="1" applyFont="1" applyAlignment="1">
      <alignment horizontal="left"/>
    </xf>
    <xf numFmtId="4" fontId="4" fillId="6" borderId="0" xfId="0" applyNumberFormat="1" applyFont="1" applyFill="1" applyAlignment="1" applyProtection="1">
      <alignment horizontal="right"/>
      <protection locked="0"/>
    </xf>
    <xf numFmtId="4" fontId="4" fillId="0" borderId="9" xfId="0" applyNumberFormat="1" applyFont="1" applyBorder="1" applyProtection="1">
      <protection locked="0"/>
    </xf>
    <xf numFmtId="4" fontId="6" fillId="6" borderId="1" xfId="0" applyNumberFormat="1" applyFont="1" applyFill="1" applyBorder="1" applyAlignment="1">
      <alignment horizontal="left"/>
    </xf>
    <xf numFmtId="4" fontId="30" fillId="6" borderId="0" xfId="1" applyNumberFormat="1" applyFont="1" applyFill="1" applyBorder="1" applyAlignment="1" applyProtection="1">
      <alignment horizontal="right"/>
      <protection hidden="1"/>
    </xf>
    <xf numFmtId="4" fontId="14" fillId="6" borderId="0" xfId="0" applyNumberFormat="1" applyFont="1" applyFill="1" applyAlignment="1" applyProtection="1">
      <alignment horizontal="right"/>
      <protection hidden="1"/>
    </xf>
    <xf numFmtId="4" fontId="33" fillId="6" borderId="0" xfId="0" applyNumberFormat="1" applyFont="1" applyFill="1" applyAlignment="1">
      <alignment horizontal="left"/>
    </xf>
    <xf numFmtId="4" fontId="4" fillId="6" borderId="0" xfId="0" applyNumberFormat="1" applyFont="1" applyFill="1" applyAlignment="1">
      <alignment horizontal="left"/>
    </xf>
    <xf numFmtId="4" fontId="4" fillId="6" borderId="0" xfId="0" applyNumberFormat="1" applyFont="1" applyFill="1" applyProtection="1">
      <protection hidden="1"/>
    </xf>
    <xf numFmtId="4" fontId="4" fillId="6" borderId="0" xfId="0" applyNumberFormat="1" applyFont="1" applyFill="1" applyAlignment="1" applyProtection="1">
      <alignment horizontal="right"/>
      <protection hidden="1"/>
    </xf>
    <xf numFmtId="4" fontId="5" fillId="6" borderId="0" xfId="0" applyNumberFormat="1" applyFont="1" applyFill="1" applyAlignment="1">
      <alignment horizontal="left"/>
    </xf>
    <xf numFmtId="4" fontId="0" fillId="0" borderId="0" xfId="0" applyNumberFormat="1"/>
    <xf numFmtId="4" fontId="25" fillId="6" borderId="0" xfId="0" applyNumberFormat="1" applyFont="1" applyFill="1" applyAlignment="1">
      <alignment horizontal="right"/>
    </xf>
    <xf numFmtId="4" fontId="9" fillId="6" borderId="0" xfId="0" applyNumberFormat="1" applyFont="1" applyFill="1"/>
    <xf numFmtId="4" fontId="3" fillId="6" borderId="1" xfId="0" applyNumberFormat="1" applyFont="1" applyFill="1" applyBorder="1" applyAlignment="1">
      <alignment horizontal="left" indent="3"/>
    </xf>
    <xf numFmtId="4" fontId="24" fillId="6" borderId="1" xfId="0" applyNumberFormat="1" applyFont="1" applyFill="1" applyBorder="1" applyAlignment="1">
      <alignment horizontal="left" indent="6"/>
    </xf>
    <xf numFmtId="4" fontId="24" fillId="6" borderId="1" xfId="0" applyNumberFormat="1" applyFont="1" applyFill="1" applyBorder="1" applyAlignment="1">
      <alignment horizontal="left" indent="8"/>
    </xf>
    <xf numFmtId="4" fontId="5" fillId="6" borderId="1" xfId="0" applyNumberFormat="1" applyFont="1" applyFill="1" applyBorder="1" applyAlignment="1">
      <alignment horizontal="left" indent="3"/>
    </xf>
    <xf numFmtId="4" fontId="5" fillId="6" borderId="0" xfId="0" applyNumberFormat="1" applyFont="1" applyFill="1" applyAlignment="1">
      <alignment horizontal="left" indent="3"/>
    </xf>
    <xf numFmtId="4" fontId="36" fillId="6" borderId="0" xfId="0" applyNumberFormat="1" applyFont="1" applyFill="1" applyAlignment="1">
      <alignment horizontal="left" indent="3"/>
    </xf>
    <xf numFmtId="4" fontId="8" fillId="6" borderId="0" xfId="0" applyNumberFormat="1" applyFont="1" applyFill="1" applyAlignment="1">
      <alignment horizontal="left"/>
    </xf>
    <xf numFmtId="4" fontId="7" fillId="6" borderId="0" xfId="0" applyNumberFormat="1" applyFont="1" applyFill="1"/>
    <xf numFmtId="4" fontId="3" fillId="6" borderId="7" xfId="0" applyNumberFormat="1" applyFont="1" applyFill="1" applyBorder="1" applyAlignment="1">
      <alignment horizontal="left" indent="3"/>
    </xf>
    <xf numFmtId="4" fontId="3" fillId="6" borderId="0" xfId="0" applyNumberFormat="1" applyFont="1" applyFill="1" applyAlignment="1">
      <alignment horizontal="left" indent="2"/>
    </xf>
    <xf numFmtId="4" fontId="7" fillId="6" borderId="0" xfId="0" applyNumberFormat="1" applyFont="1" applyFill="1" applyAlignment="1">
      <alignment horizontal="left"/>
    </xf>
    <xf numFmtId="4" fontId="7" fillId="6" borderId="0" xfId="0" applyNumberFormat="1" applyFont="1" applyFill="1" applyAlignment="1">
      <alignment horizontal="left" indent="1"/>
    </xf>
    <xf numFmtId="4" fontId="3" fillId="0" borderId="1" xfId="0" applyNumberFormat="1" applyFont="1" applyBorder="1" applyAlignment="1">
      <alignment horizontal="left" indent="3"/>
    </xf>
    <xf numFmtId="4" fontId="7" fillId="6" borderId="1" xfId="0" applyNumberFormat="1" applyFont="1" applyFill="1" applyBorder="1" applyAlignment="1">
      <alignment horizontal="left" indent="2"/>
    </xf>
    <xf numFmtId="4" fontId="5" fillId="6" borderId="1" xfId="0" applyNumberFormat="1" applyFont="1" applyFill="1" applyBorder="1" applyAlignment="1">
      <alignment horizontal="left"/>
    </xf>
    <xf numFmtId="4" fontId="11" fillId="6" borderId="0" xfId="0" applyNumberFormat="1" applyFont="1" applyFill="1" applyAlignment="1">
      <alignment horizontal="left"/>
    </xf>
    <xf numFmtId="4" fontId="11" fillId="6" borderId="1" xfId="0" applyNumberFormat="1" applyFont="1" applyFill="1" applyBorder="1" applyAlignment="1">
      <alignment horizontal="left" indent="3"/>
    </xf>
    <xf numFmtId="4" fontId="40" fillId="6" borderId="0" xfId="0" applyNumberFormat="1" applyFont="1" applyFill="1" applyAlignment="1">
      <alignment horizontal="right"/>
    </xf>
    <xf numFmtId="4" fontId="3" fillId="6" borderId="0" xfId="0" applyNumberFormat="1" applyFont="1" applyFill="1"/>
    <xf numFmtId="4" fontId="7" fillId="0" borderId="0" xfId="0" applyNumberFormat="1" applyFont="1" applyAlignment="1">
      <alignment horizontal="left" indent="1"/>
    </xf>
    <xf numFmtId="4" fontId="11" fillId="0" borderId="0" xfId="1" applyNumberFormat="1" applyFont="1" applyBorder="1" applyAlignment="1">
      <alignment horizontal="center"/>
    </xf>
    <xf numFmtId="4" fontId="11" fillId="0" borderId="0" xfId="0" applyNumberFormat="1" applyFont="1"/>
    <xf numFmtId="4" fontId="23" fillId="0" borderId="0" xfId="0" applyNumberFormat="1" applyFont="1" applyAlignment="1">
      <alignment horizontal="center"/>
    </xf>
    <xf numFmtId="4" fontId="11" fillId="0" borderId="0" xfId="0" applyNumberFormat="1" applyFont="1" applyAlignment="1">
      <alignment horizontal="left" indent="1"/>
    </xf>
    <xf numFmtId="4" fontId="11" fillId="0" borderId="0" xfId="0" applyNumberFormat="1" applyFont="1" applyAlignment="1">
      <alignment horizontal="right"/>
    </xf>
    <xf numFmtId="4" fontId="11" fillId="0" borderId="0" xfId="1" applyNumberFormat="1" applyFont="1" applyBorder="1"/>
    <xf numFmtId="4" fontId="7" fillId="0" borderId="0" xfId="0" applyNumberFormat="1" applyFont="1" applyAlignment="1">
      <alignment horizontal="right"/>
    </xf>
    <xf numFmtId="9" fontId="2" fillId="0" borderId="1" xfId="0" applyNumberFormat="1" applyFont="1" applyBorder="1" applyProtection="1">
      <protection locked="0"/>
    </xf>
    <xf numFmtId="9" fontId="2" fillId="0" borderId="1" xfId="0" applyNumberFormat="1" applyFont="1" applyBorder="1"/>
    <xf numFmtId="9" fontId="2" fillId="0" borderId="5" xfId="0" applyNumberFormat="1" applyFont="1" applyBorder="1" applyProtection="1">
      <protection locked="0"/>
    </xf>
    <xf numFmtId="1" fontId="6" fillId="6" borderId="0" xfId="1" applyNumberFormat="1" applyFont="1" applyFill="1" applyBorder="1" applyAlignment="1" applyProtection="1">
      <alignment horizontal="right"/>
    </xf>
    <xf numFmtId="1" fontId="4" fillId="6" borderId="0" xfId="1" applyNumberFormat="1" applyFont="1" applyFill="1" applyBorder="1" applyAlignment="1" applyProtection="1">
      <alignment horizontal="right"/>
    </xf>
    <xf numFmtId="1" fontId="17" fillId="6" borderId="0" xfId="1" applyNumberFormat="1" applyFont="1" applyFill="1" applyBorder="1" applyAlignment="1" applyProtection="1">
      <alignment horizontal="right"/>
      <protection hidden="1"/>
    </xf>
    <xf numFmtId="1" fontId="4" fillId="6" borderId="0" xfId="0" applyNumberFormat="1" applyFont="1" applyFill="1" applyAlignment="1">
      <alignment horizontal="right"/>
    </xf>
    <xf numFmtId="1" fontId="11" fillId="0" borderId="10" xfId="0" applyNumberFormat="1" applyFont="1" applyBorder="1" applyAlignment="1">
      <alignment horizontal="left" indent="1"/>
    </xf>
    <xf numFmtId="1" fontId="7" fillId="0" borderId="10" xfId="0" applyNumberFormat="1" applyFont="1" applyBorder="1" applyAlignment="1">
      <alignment horizontal="left" indent="1"/>
    </xf>
    <xf numFmtId="1" fontId="7" fillId="0" borderId="0" xfId="0" applyNumberFormat="1" applyFont="1" applyAlignment="1">
      <alignment horizontal="left" indent="1"/>
    </xf>
    <xf numFmtId="1" fontId="7" fillId="0" borderId="0" xfId="0" applyNumberFormat="1" applyFont="1" applyAlignment="1">
      <alignment horizontal="right"/>
    </xf>
    <xf numFmtId="1" fontId="11" fillId="0" borderId="0" xfId="1" applyNumberFormat="1" applyFont="1" applyBorder="1"/>
    <xf numFmtId="1" fontId="11" fillId="0" borderId="10" xfId="0" applyNumberFormat="1" applyFont="1" applyBorder="1" applyAlignment="1">
      <alignment horizontal="left" wrapText="1" indent="1"/>
    </xf>
    <xf numFmtId="1" fontId="11" fillId="0" borderId="0" xfId="0" applyNumberFormat="1" applyFont="1" applyAlignment="1">
      <alignment horizontal="left" indent="1"/>
    </xf>
    <xf numFmtId="1" fontId="7" fillId="0" borderId="0" xfId="1" applyNumberFormat="1" applyFont="1" applyBorder="1"/>
    <xf numFmtId="1" fontId="11" fillId="0" borderId="0" xfId="0" applyNumberFormat="1" applyFont="1" applyAlignment="1">
      <alignment horizontal="right"/>
    </xf>
    <xf numFmtId="1" fontId="21" fillId="0" borderId="0" xfId="0" applyNumberFormat="1" applyFont="1" applyAlignment="1">
      <alignment horizontal="left" indent="1"/>
    </xf>
    <xf numFmtId="1" fontId="21" fillId="0" borderId="0" xfId="0" applyNumberFormat="1" applyFont="1" applyAlignment="1">
      <alignment horizontal="right"/>
    </xf>
    <xf numFmtId="1" fontId="20" fillId="0" borderId="10" xfId="0" applyNumberFormat="1" applyFont="1" applyBorder="1" applyAlignment="1">
      <alignment horizontal="left" indent="1"/>
    </xf>
    <xf numFmtId="1" fontId="13" fillId="0" borderId="0" xfId="0" applyNumberFormat="1" applyFont="1" applyAlignment="1">
      <alignment horizontal="left" indent="1"/>
    </xf>
    <xf numFmtId="1" fontId="13" fillId="0" borderId="0" xfId="0" applyNumberFormat="1" applyFont="1" applyAlignment="1">
      <alignment horizontal="right"/>
    </xf>
    <xf numFmtId="14" fontId="6" fillId="6" borderId="0" xfId="0" applyNumberFormat="1" applyFont="1" applyFill="1" applyAlignment="1">
      <alignment horizontal="left"/>
    </xf>
    <xf numFmtId="14" fontId="4" fillId="6" borderId="0" xfId="0" applyNumberFormat="1" applyFont="1" applyFill="1"/>
    <xf numFmtId="165" fontId="4" fillId="6" borderId="0" xfId="0" applyNumberFormat="1" applyFont="1" applyFill="1" applyAlignment="1">
      <alignment horizontal="right"/>
    </xf>
    <xf numFmtId="3" fontId="25" fillId="6" borderId="1" xfId="1" applyNumberFormat="1" applyFont="1" applyFill="1" applyBorder="1" applyAlignment="1" applyProtection="1">
      <alignment horizontal="right"/>
      <protection hidden="1"/>
    </xf>
    <xf numFmtId="3" fontId="26" fillId="6" borderId="1" xfId="1" applyNumberFormat="1" applyFont="1" applyFill="1" applyBorder="1" applyAlignment="1" applyProtection="1">
      <alignment horizontal="right"/>
      <protection hidden="1"/>
    </xf>
    <xf numFmtId="3" fontId="17" fillId="6" borderId="1" xfId="1" applyNumberFormat="1" applyFont="1" applyFill="1" applyBorder="1" applyAlignment="1" applyProtection="1">
      <alignment horizontal="right"/>
      <protection hidden="1"/>
    </xf>
    <xf numFmtId="3" fontId="25" fillId="6" borderId="2" xfId="1" applyNumberFormat="1" applyFont="1" applyFill="1" applyBorder="1" applyAlignment="1" applyProtection="1">
      <alignment horizontal="right"/>
      <protection hidden="1"/>
    </xf>
    <xf numFmtId="3" fontId="4" fillId="6" borderId="0" xfId="1" applyNumberFormat="1" applyFont="1" applyFill="1" applyBorder="1" applyAlignment="1" applyProtection="1">
      <alignment horizontal="right"/>
    </xf>
    <xf numFmtId="3" fontId="25" fillId="6" borderId="11" xfId="1" applyNumberFormat="1" applyFont="1" applyFill="1" applyBorder="1" applyAlignment="1" applyProtection="1">
      <alignment horizontal="right"/>
      <protection hidden="1"/>
    </xf>
    <xf numFmtId="3" fontId="25" fillId="6" borderId="12" xfId="1" applyNumberFormat="1" applyFont="1" applyFill="1" applyBorder="1" applyAlignment="1" applyProtection="1">
      <alignment horizontal="right"/>
      <protection hidden="1"/>
    </xf>
    <xf numFmtId="3" fontId="39" fillId="6" borderId="2" xfId="1" applyNumberFormat="1" applyFont="1" applyFill="1" applyBorder="1" applyAlignment="1" applyProtection="1">
      <alignment horizontal="right"/>
      <protection hidden="1"/>
    </xf>
    <xf numFmtId="3" fontId="40" fillId="6" borderId="0" xfId="1" applyNumberFormat="1" applyFont="1" applyFill="1" applyBorder="1" applyAlignment="1" applyProtection="1">
      <alignment horizontal="right"/>
    </xf>
    <xf numFmtId="3" fontId="6" fillId="6" borderId="0" xfId="1" applyNumberFormat="1" applyFont="1" applyFill="1" applyBorder="1" applyAlignment="1" applyProtection="1">
      <alignment horizontal="right"/>
    </xf>
    <xf numFmtId="3" fontId="11" fillId="0" borderId="10" xfId="0" applyNumberFormat="1" applyFont="1" applyBorder="1" applyAlignment="1" applyProtection="1">
      <alignment horizontal="right"/>
      <protection locked="0"/>
    </xf>
    <xf numFmtId="3" fontId="23" fillId="0" borderId="10" xfId="1" applyNumberFormat="1" applyFont="1" applyBorder="1" applyProtection="1">
      <protection hidden="1"/>
    </xf>
    <xf numFmtId="3" fontId="11" fillId="0" borderId="10" xfId="1" applyNumberFormat="1" applyFont="1" applyBorder="1" applyProtection="1">
      <protection locked="0"/>
    </xf>
    <xf numFmtId="3" fontId="8" fillId="0" borderId="10" xfId="1" applyNumberFormat="1" applyFont="1" applyBorder="1" applyAlignment="1" applyProtection="1">
      <alignment horizontal="right"/>
      <protection hidden="1"/>
    </xf>
    <xf numFmtId="3" fontId="8" fillId="0" borderId="10" xfId="1" applyNumberFormat="1" applyFont="1" applyBorder="1" applyProtection="1">
      <protection hidden="1"/>
    </xf>
    <xf numFmtId="3" fontId="20" fillId="0" borderId="10" xfId="0" applyNumberFormat="1" applyFont="1" applyBorder="1" applyAlignment="1">
      <alignment horizontal="right"/>
    </xf>
    <xf numFmtId="3" fontId="24" fillId="0" borderId="10" xfId="1" applyNumberFormat="1" applyFont="1" applyBorder="1" applyProtection="1">
      <protection hidden="1"/>
    </xf>
    <xf numFmtId="3" fontId="11" fillId="0" borderId="0" xfId="0" applyNumberFormat="1" applyFont="1" applyAlignment="1">
      <alignment horizontal="right"/>
    </xf>
    <xf numFmtId="3" fontId="11" fillId="0" borderId="0" xfId="1" applyNumberFormat="1" applyFont="1" applyBorder="1"/>
    <xf numFmtId="3" fontId="8" fillId="0" borderId="0" xfId="1" applyNumberFormat="1" applyFont="1" applyBorder="1" applyAlignment="1" applyProtection="1">
      <alignment horizontal="right"/>
      <protection hidden="1"/>
    </xf>
    <xf numFmtId="3" fontId="8" fillId="0" borderId="0" xfId="1" applyNumberFormat="1" applyFont="1" applyBorder="1" applyProtection="1">
      <protection hidden="1"/>
    </xf>
    <xf numFmtId="3" fontId="21" fillId="0" borderId="0" xfId="0" applyNumberFormat="1" applyFont="1" applyAlignment="1">
      <alignment horizontal="right"/>
    </xf>
    <xf numFmtId="169" fontId="7" fillId="0" borderId="0" xfId="0" applyNumberFormat="1" applyFont="1" applyAlignment="1">
      <alignment horizontal="center" wrapText="1"/>
    </xf>
    <xf numFmtId="169" fontId="7" fillId="0" borderId="0" xfId="0" applyNumberFormat="1" applyFont="1" applyAlignment="1" applyProtection="1">
      <alignment horizontal="center"/>
      <protection locked="0"/>
    </xf>
    <xf numFmtId="17" fontId="4" fillId="0" borderId="1" xfId="0" applyNumberFormat="1" applyFont="1" applyBorder="1"/>
    <xf numFmtId="3" fontId="11" fillId="0" borderId="10" xfId="0" applyNumberFormat="1" applyFont="1" applyBorder="1" applyAlignment="1">
      <alignment horizontal="right"/>
    </xf>
    <xf numFmtId="1" fontId="28" fillId="6" borderId="0" xfId="0" applyNumberFormat="1" applyFont="1" applyFill="1" applyAlignment="1">
      <alignment horizontal="right"/>
    </xf>
    <xf numFmtId="1" fontId="16" fillId="0" borderId="1" xfId="0" applyNumberFormat="1" applyFont="1" applyBorder="1" applyAlignment="1" applyProtection="1">
      <alignment horizontal="right"/>
      <protection hidden="1"/>
    </xf>
    <xf numFmtId="1" fontId="14" fillId="6" borderId="0" xfId="0" applyNumberFormat="1" applyFont="1" applyFill="1" applyAlignment="1">
      <alignment horizontal="right"/>
    </xf>
    <xf numFmtId="1" fontId="16" fillId="6" borderId="2" xfId="1" applyNumberFormat="1" applyFont="1" applyFill="1" applyBorder="1" applyAlignment="1" applyProtection="1">
      <alignment horizontal="right"/>
      <protection hidden="1"/>
    </xf>
    <xf numFmtId="1" fontId="30" fillId="6" borderId="1" xfId="1" applyNumberFormat="1" applyFont="1" applyFill="1" applyBorder="1" applyAlignment="1" applyProtection="1">
      <alignment horizontal="right"/>
      <protection hidden="1"/>
    </xf>
    <xf numFmtId="1" fontId="10" fillId="6" borderId="0" xfId="1" applyNumberFormat="1" applyFont="1" applyFill="1" applyBorder="1" applyAlignment="1" applyProtection="1">
      <alignment horizontal="right"/>
    </xf>
    <xf numFmtId="1" fontId="16" fillId="6" borderId="1" xfId="1" applyNumberFormat="1" applyFont="1" applyFill="1" applyBorder="1" applyAlignment="1" applyProtection="1">
      <alignment horizontal="right"/>
      <protection hidden="1"/>
    </xf>
    <xf numFmtId="1" fontId="4" fillId="6" borderId="1" xfId="1" applyNumberFormat="1" applyFont="1" applyFill="1" applyBorder="1" applyAlignment="1" applyProtection="1">
      <alignment horizontal="right"/>
      <protection locked="0"/>
    </xf>
    <xf numFmtId="1" fontId="4" fillId="6" borderId="0" xfId="1" applyNumberFormat="1" applyFont="1" applyFill="1" applyBorder="1" applyAlignment="1" applyProtection="1">
      <alignment horizontal="right"/>
      <protection locked="0"/>
    </xf>
    <xf numFmtId="1" fontId="16" fillId="6" borderId="1" xfId="1" applyNumberFormat="1" applyFont="1" applyFill="1" applyBorder="1" applyAlignment="1" applyProtection="1">
      <alignment horizontal="right"/>
    </xf>
    <xf numFmtId="1" fontId="16" fillId="6" borderId="8" xfId="1" applyNumberFormat="1" applyFont="1" applyFill="1" applyBorder="1" applyAlignment="1" applyProtection="1">
      <alignment horizontal="right"/>
      <protection hidden="1"/>
    </xf>
    <xf numFmtId="1" fontId="45" fillId="6" borderId="1" xfId="1" applyNumberFormat="1" applyFont="1" applyFill="1" applyBorder="1" applyAlignment="1" applyProtection="1">
      <alignment horizontal="right"/>
    </xf>
    <xf numFmtId="1" fontId="4" fillId="6" borderId="0" xfId="0" applyNumberFormat="1" applyFont="1" applyFill="1" applyAlignment="1" applyProtection="1">
      <alignment horizontal="right"/>
      <protection locked="0"/>
    </xf>
    <xf numFmtId="1" fontId="4" fillId="6" borderId="7" xfId="1" applyNumberFormat="1" applyFont="1" applyFill="1" applyBorder="1" applyAlignment="1" applyProtection="1">
      <alignment horizontal="right"/>
      <protection locked="0"/>
    </xf>
    <xf numFmtId="1" fontId="4" fillId="6" borderId="0" xfId="0" applyNumberFormat="1" applyFont="1" applyFill="1"/>
    <xf numFmtId="1" fontId="4" fillId="6" borderId="0" xfId="0" applyNumberFormat="1" applyFont="1" applyFill="1" applyAlignment="1" applyProtection="1">
      <alignment horizontal="right"/>
      <protection hidden="1"/>
    </xf>
    <xf numFmtId="1" fontId="32" fillId="6" borderId="2" xfId="1" applyNumberFormat="1" applyFont="1" applyFill="1" applyBorder="1" applyAlignment="1" applyProtection="1">
      <alignment horizontal="right"/>
      <protection hidden="1"/>
    </xf>
    <xf numFmtId="1" fontId="16" fillId="6" borderId="0" xfId="1" applyNumberFormat="1" applyFont="1" applyFill="1" applyBorder="1" applyAlignment="1" applyProtection="1">
      <alignment horizontal="right"/>
      <protection hidden="1"/>
    </xf>
    <xf numFmtId="1" fontId="16" fillId="6" borderId="0" xfId="1" applyNumberFormat="1" applyFont="1" applyFill="1" applyBorder="1" applyAlignment="1" applyProtection="1">
      <alignment horizontal="right"/>
    </xf>
    <xf numFmtId="3" fontId="2" fillId="0" borderId="3" xfId="0" applyNumberFormat="1" applyFont="1" applyBorder="1" applyProtection="1">
      <protection locked="0"/>
    </xf>
    <xf numFmtId="3" fontId="2" fillId="0" borderId="3" xfId="0" applyNumberFormat="1" applyFont="1" applyBorder="1"/>
    <xf numFmtId="3" fontId="2" fillId="0" borderId="13" xfId="0" applyNumberFormat="1" applyFont="1" applyBorder="1" applyProtection="1">
      <protection locked="0"/>
    </xf>
    <xf numFmtId="1" fontId="2" fillId="0" borderId="3" xfId="0" applyNumberFormat="1" applyFont="1" applyBorder="1" applyProtection="1">
      <protection locked="0"/>
    </xf>
    <xf numFmtId="1" fontId="2" fillId="0" borderId="3" xfId="0" applyNumberFormat="1" applyFont="1" applyBorder="1"/>
    <xf numFmtId="1" fontId="2" fillId="0" borderId="13" xfId="0" applyNumberFormat="1" applyFont="1" applyBorder="1" applyProtection="1">
      <protection locked="0"/>
    </xf>
    <xf numFmtId="1" fontId="2" fillId="0" borderId="0" xfId="0" applyNumberFormat="1" applyFont="1"/>
    <xf numFmtId="9" fontId="46" fillId="6" borderId="0" xfId="3" applyFont="1" applyFill="1" applyBorder="1" applyAlignment="1" applyProtection="1">
      <alignment horizontal="right"/>
    </xf>
    <xf numFmtId="9" fontId="25" fillId="6" borderId="1" xfId="1" applyNumberFormat="1" applyFont="1" applyFill="1" applyBorder="1" applyAlignment="1" applyProtection="1">
      <alignment horizontal="right"/>
      <protection hidden="1"/>
    </xf>
    <xf numFmtId="9" fontId="30" fillId="6" borderId="2" xfId="1" applyNumberFormat="1" applyFont="1" applyFill="1" applyBorder="1" applyAlignment="1" applyProtection="1">
      <alignment horizontal="right"/>
      <protection hidden="1"/>
    </xf>
    <xf numFmtId="1" fontId="16" fillId="0" borderId="1" xfId="1" applyNumberFormat="1" applyFont="1" applyFill="1" applyBorder="1" applyAlignment="1" applyProtection="1">
      <alignment horizontal="right"/>
      <protection hidden="1"/>
    </xf>
    <xf numFmtId="1" fontId="4" fillId="0" borderId="1" xfId="1" applyNumberFormat="1" applyFont="1" applyFill="1" applyBorder="1" applyAlignment="1" applyProtection="1">
      <alignment horizontal="right"/>
      <protection locked="0"/>
    </xf>
    <xf numFmtId="4" fontId="4" fillId="0" borderId="0" xfId="0" applyNumberFormat="1" applyFont="1" applyAlignment="1">
      <alignment horizontal="left" indent="1"/>
    </xf>
    <xf numFmtId="4" fontId="47" fillId="0" borderId="1" xfId="0" applyNumberFormat="1" applyFont="1" applyBorder="1" applyAlignment="1">
      <alignment horizontal="left" indent="3"/>
    </xf>
    <xf numFmtId="3" fontId="25" fillId="0" borderId="1" xfId="1" applyNumberFormat="1" applyFont="1" applyFill="1" applyBorder="1" applyAlignment="1" applyProtection="1">
      <alignment horizontal="right"/>
      <protection hidden="1"/>
    </xf>
    <xf numFmtId="3" fontId="17" fillId="0" borderId="1" xfId="1" applyNumberFormat="1" applyFont="1" applyFill="1" applyBorder="1" applyAlignment="1" applyProtection="1">
      <alignment horizontal="right"/>
      <protection hidden="1"/>
    </xf>
    <xf numFmtId="9" fontId="46" fillId="6" borderId="0" xfId="3" applyFont="1" applyFill="1" applyBorder="1" applyAlignment="1" applyProtection="1">
      <alignment horizontal="center"/>
    </xf>
    <xf numFmtId="4" fontId="41" fillId="6" borderId="1" xfId="0" applyNumberFormat="1" applyFont="1" applyFill="1" applyBorder="1"/>
    <xf numFmtId="4" fontId="30" fillId="6" borderId="1" xfId="1" applyNumberFormat="1" applyFont="1" applyFill="1" applyBorder="1" applyAlignment="1" applyProtection="1">
      <alignment horizontal="right"/>
    </xf>
    <xf numFmtId="4" fontId="5" fillId="0" borderId="1" xfId="0" applyNumberFormat="1" applyFont="1" applyBorder="1" applyAlignment="1">
      <alignment horizontal="left"/>
    </xf>
    <xf numFmtId="4" fontId="1" fillId="0" borderId="0" xfId="0" applyNumberFormat="1" applyFont="1" applyAlignment="1">
      <alignment wrapText="1"/>
    </xf>
    <xf numFmtId="0" fontId="0" fillId="7" borderId="1" xfId="0" applyFill="1" applyBorder="1" applyProtection="1">
      <protection locked="0"/>
    </xf>
    <xf numFmtId="4" fontId="5" fillId="0" borderId="1" xfId="0" applyNumberFormat="1" applyFont="1" applyBorder="1" applyAlignment="1">
      <alignment horizontal="left" indent="3"/>
    </xf>
    <xf numFmtId="3" fontId="41" fillId="0" borderId="0" xfId="0" applyNumberFormat="1" applyFont="1" applyProtection="1">
      <protection locked="0"/>
    </xf>
    <xf numFmtId="3" fontId="35" fillId="0" borderId="0" xfId="0" applyNumberFormat="1" applyFont="1" applyProtection="1">
      <protection locked="0"/>
    </xf>
    <xf numFmtId="3" fontId="2" fillId="0" borderId="1" xfId="0" applyNumberFormat="1" applyFont="1" applyBorder="1" applyProtection="1">
      <protection locked="0"/>
    </xf>
    <xf numFmtId="3" fontId="48" fillId="0" borderId="1" xfId="0" applyNumberFormat="1" applyFont="1" applyBorder="1" applyProtection="1">
      <protection locked="0"/>
    </xf>
    <xf numFmtId="3" fontId="41" fillId="0" borderId="1" xfId="0" applyNumberFormat="1" applyFont="1" applyBorder="1"/>
    <xf numFmtId="3" fontId="49" fillId="0" borderId="1" xfId="0" applyNumberFormat="1" applyFont="1" applyBorder="1" applyProtection="1">
      <protection locked="0"/>
    </xf>
    <xf numFmtId="3" fontId="2" fillId="0" borderId="0" xfId="0" applyNumberFormat="1" applyFont="1" applyProtection="1">
      <protection locked="0"/>
    </xf>
    <xf numFmtId="3" fontId="2" fillId="0" borderId="2" xfId="0" applyNumberFormat="1" applyFont="1" applyBorder="1" applyProtection="1">
      <protection locked="0"/>
    </xf>
    <xf numFmtId="3" fontId="2" fillId="0" borderId="7" xfId="0" applyNumberFormat="1" applyFont="1" applyBorder="1" applyProtection="1">
      <protection locked="0"/>
    </xf>
    <xf numFmtId="3" fontId="2" fillId="0" borderId="0" xfId="0" applyNumberFormat="1" applyFont="1" applyAlignment="1">
      <alignment vertical="top"/>
    </xf>
    <xf numFmtId="3" fontId="41" fillId="0" borderId="0" xfId="0" applyNumberFormat="1" applyFont="1" applyAlignment="1" applyProtection="1">
      <alignment vertical="top"/>
      <protection locked="0"/>
    </xf>
    <xf numFmtId="3" fontId="2" fillId="0" borderId="7" xfId="0" applyNumberFormat="1" applyFont="1" applyBorder="1" applyAlignment="1" applyProtection="1">
      <alignment vertical="top"/>
      <protection locked="0"/>
    </xf>
    <xf numFmtId="3" fontId="2" fillId="0" borderId="11" xfId="0" applyNumberFormat="1" applyFont="1" applyBorder="1" applyAlignment="1" applyProtection="1">
      <alignment vertical="top"/>
      <protection locked="0"/>
    </xf>
    <xf numFmtId="3" fontId="2" fillId="0" borderId="1" xfId="0" applyNumberFormat="1" applyFont="1" applyBorder="1" applyAlignment="1" applyProtection="1">
      <alignment vertical="top"/>
      <protection locked="0"/>
    </xf>
    <xf numFmtId="3" fontId="2" fillId="0" borderId="11" xfId="0" applyNumberFormat="1" applyFont="1" applyBorder="1" applyProtection="1">
      <protection locked="0"/>
    </xf>
    <xf numFmtId="3" fontId="2" fillId="0" borderId="12" xfId="0" applyNumberFormat="1" applyFont="1" applyBorder="1" applyProtection="1">
      <protection locked="0"/>
    </xf>
    <xf numFmtId="3" fontId="41" fillId="0" borderId="2" xfId="0" applyNumberFormat="1" applyFont="1" applyBorder="1"/>
    <xf numFmtId="3" fontId="40" fillId="0" borderId="0" xfId="1" applyNumberFormat="1" applyFont="1" applyFill="1" applyBorder="1" applyAlignment="1" applyProtection="1"/>
    <xf numFmtId="3" fontId="41" fillId="0" borderId="1" xfId="0" applyNumberFormat="1" applyFont="1" applyBorder="1" applyProtection="1">
      <protection locked="0"/>
    </xf>
    <xf numFmtId="3" fontId="17" fillId="0" borderId="1" xfId="1" applyNumberFormat="1" applyFont="1" applyFill="1" applyBorder="1" applyAlignment="1" applyProtection="1">
      <protection hidden="1"/>
    </xf>
    <xf numFmtId="3" fontId="17" fillId="0" borderId="0" xfId="1" applyNumberFormat="1" applyFont="1" applyFill="1" applyBorder="1" applyAlignment="1" applyProtection="1">
      <protection hidden="1"/>
    </xf>
    <xf numFmtId="3" fontId="2" fillId="6" borderId="0" xfId="0" applyNumberFormat="1" applyFont="1" applyFill="1" applyProtection="1">
      <protection locked="0"/>
    </xf>
    <xf numFmtId="3" fontId="4" fillId="0" borderId="0" xfId="0" applyNumberFormat="1" applyFont="1" applyProtection="1">
      <protection hidden="1"/>
    </xf>
    <xf numFmtId="3" fontId="4" fillId="0" borderId="0" xfId="3" applyNumberFormat="1" applyFont="1" applyFill="1" applyAlignment="1" applyProtection="1">
      <protection hidden="1"/>
    </xf>
    <xf numFmtId="4" fontId="4" fillId="0" borderId="0" xfId="3" applyNumberFormat="1" applyFont="1" applyFill="1" applyAlignment="1" applyProtection="1">
      <alignment horizontal="right"/>
      <protection hidden="1"/>
    </xf>
    <xf numFmtId="170" fontId="0" fillId="0" borderId="0" xfId="0" applyNumberFormat="1"/>
    <xf numFmtId="0" fontId="1" fillId="7" borderId="1" xfId="0" applyFont="1" applyFill="1" applyBorder="1" applyProtection="1">
      <protection locked="0"/>
    </xf>
    <xf numFmtId="4" fontId="4" fillId="9" borderId="0" xfId="0" applyNumberFormat="1" applyFont="1" applyFill="1" applyProtection="1">
      <protection hidden="1"/>
    </xf>
    <xf numFmtId="4" fontId="4" fillId="9" borderId="0" xfId="0" applyNumberFormat="1" applyFont="1" applyFill="1" applyAlignment="1" applyProtection="1">
      <alignment horizontal="right"/>
      <protection hidden="1"/>
    </xf>
    <xf numFmtId="1" fontId="4" fillId="9" borderId="0" xfId="0" applyNumberFormat="1" applyFont="1" applyFill="1" applyAlignment="1" applyProtection="1">
      <alignment horizontal="right"/>
      <protection hidden="1"/>
    </xf>
    <xf numFmtId="0" fontId="1" fillId="0" borderId="0" xfId="0" applyFont="1" applyAlignment="1">
      <alignment horizontal="right"/>
    </xf>
    <xf numFmtId="0" fontId="0" fillId="2" borderId="1" xfId="0" applyFill="1" applyBorder="1" applyAlignment="1" applyProtection="1">
      <alignment horizontal="center"/>
      <protection locked="0"/>
    </xf>
    <xf numFmtId="1" fontId="0" fillId="2" borderId="1" xfId="0" applyNumberFormat="1" applyFill="1" applyBorder="1" applyAlignment="1" applyProtection="1">
      <alignment horizontal="center"/>
      <protection locked="0"/>
    </xf>
    <xf numFmtId="0" fontId="1" fillId="0" borderId="0" xfId="0" applyFont="1"/>
    <xf numFmtId="0" fontId="27" fillId="0" borderId="0" xfId="0" applyFont="1"/>
    <xf numFmtId="4" fontId="23" fillId="0" borderId="0" xfId="0" applyNumberFormat="1" applyFont="1" applyAlignment="1">
      <alignment horizontal="center" wrapText="1"/>
    </xf>
    <xf numFmtId="0" fontId="2" fillId="0" borderId="1" xfId="0" applyFont="1" applyBorder="1" applyAlignment="1">
      <alignment vertical="center" wrapText="1"/>
    </xf>
    <xf numFmtId="0" fontId="37" fillId="5" borderId="1" xfId="0" applyFont="1" applyFill="1" applyBorder="1" applyAlignment="1">
      <alignment vertical="center" wrapText="1"/>
    </xf>
    <xf numFmtId="17" fontId="2" fillId="0" borderId="1" xfId="0" applyNumberFormat="1" applyFont="1" applyBorder="1" applyAlignment="1">
      <alignment horizontal="center" vertical="center"/>
    </xf>
    <xf numFmtId="1" fontId="41" fillId="0" borderId="1" xfId="0" applyNumberFormat="1" applyFont="1" applyBorder="1" applyAlignment="1">
      <alignment horizontal="center" vertical="center" wrapText="1"/>
    </xf>
    <xf numFmtId="1" fontId="2" fillId="0" borderId="1" xfId="0" applyNumberFormat="1" applyFont="1" applyBorder="1" applyAlignment="1">
      <alignment vertical="center" wrapText="1"/>
    </xf>
    <xf numFmtId="0" fontId="2" fillId="0" borderId="0" xfId="0" applyFont="1" applyAlignment="1">
      <alignment vertical="center"/>
    </xf>
    <xf numFmtId="0" fontId="34" fillId="0" borderId="0" xfId="0" applyFont="1" applyAlignment="1">
      <alignment vertical="center"/>
    </xf>
    <xf numFmtId="165" fontId="34" fillId="0" borderId="0" xfId="0" applyNumberFormat="1" applyFont="1" applyAlignment="1">
      <alignment vertical="center"/>
    </xf>
    <xf numFmtId="1" fontId="34" fillId="0" borderId="0" xfId="0" applyNumberFormat="1" applyFont="1" applyAlignment="1">
      <alignment vertical="center"/>
    </xf>
    <xf numFmtId="165" fontId="52" fillId="0" borderId="0" xfId="0" applyNumberFormat="1" applyFont="1" applyAlignment="1">
      <alignment horizontal="center"/>
    </xf>
    <xf numFmtId="0" fontId="1" fillId="0" borderId="0" xfId="0" applyFont="1" applyAlignment="1">
      <alignment horizontal="center"/>
    </xf>
    <xf numFmtId="0" fontId="56" fillId="0" borderId="0" xfId="0" applyFont="1"/>
    <xf numFmtId="0" fontId="1" fillId="0" borderId="0" xfId="0" applyFont="1" applyAlignment="1">
      <alignment wrapText="1"/>
    </xf>
    <xf numFmtId="0" fontId="0" fillId="0" borderId="1" xfId="0" applyBorder="1"/>
    <xf numFmtId="0" fontId="1" fillId="0" borderId="0" xfId="0" applyFont="1" applyAlignment="1">
      <alignment horizontal="right" vertical="top"/>
    </xf>
    <xf numFmtId="0" fontId="0" fillId="0" borderId="22" xfId="0" applyBorder="1"/>
    <xf numFmtId="0" fontId="1" fillId="0" borderId="22" xfId="0" applyFont="1" applyBorder="1" applyAlignment="1">
      <alignment wrapText="1"/>
    </xf>
    <xf numFmtId="0" fontId="0" fillId="0" borderId="22" xfId="0" applyBorder="1" applyAlignment="1" applyProtection="1">
      <alignment horizontal="center"/>
      <protection locked="0"/>
    </xf>
    <xf numFmtId="0" fontId="0" fillId="0" borderId="0" xfId="0" applyAlignment="1">
      <alignment horizontal="right"/>
    </xf>
    <xf numFmtId="165" fontId="57" fillId="8" borderId="1" xfId="0" applyNumberFormat="1" applyFont="1" applyFill="1" applyBorder="1" applyAlignment="1">
      <alignment horizontal="center"/>
    </xf>
    <xf numFmtId="4" fontId="2" fillId="0" borderId="1" xfId="0" applyNumberFormat="1" applyFont="1" applyBorder="1" applyAlignment="1">
      <alignment horizontal="left" indent="3"/>
    </xf>
    <xf numFmtId="4" fontId="2" fillId="6" borderId="1" xfId="0" applyNumberFormat="1" applyFont="1" applyFill="1" applyBorder="1" applyAlignment="1">
      <alignment horizontal="left" indent="3"/>
    </xf>
    <xf numFmtId="0" fontId="1" fillId="0" borderId="0" xfId="0" applyFont="1" applyAlignment="1">
      <alignment vertical="top" wrapText="1"/>
    </xf>
    <xf numFmtId="0" fontId="0" fillId="0" borderId="1" xfId="0" applyBorder="1" applyAlignment="1">
      <alignment wrapText="1"/>
    </xf>
    <xf numFmtId="0" fontId="7" fillId="0" borderId="1" xfId="0" applyFont="1" applyBorder="1"/>
    <xf numFmtId="0" fontId="7" fillId="0" borderId="1" xfId="0" applyFont="1" applyBorder="1" applyAlignment="1">
      <alignment wrapText="1"/>
    </xf>
    <xf numFmtId="2" fontId="0" fillId="0" borderId="0" xfId="0" applyNumberFormat="1"/>
    <xf numFmtId="2" fontId="0" fillId="0" borderId="1" xfId="0" applyNumberFormat="1" applyBorder="1"/>
    <xf numFmtId="2" fontId="7" fillId="0" borderId="1" xfId="0" applyNumberFormat="1" applyFont="1" applyBorder="1"/>
    <xf numFmtId="0" fontId="7" fillId="0" borderId="0" xfId="0" applyFont="1"/>
    <xf numFmtId="0" fontId="0" fillId="0" borderId="0" xfId="0" applyAlignment="1">
      <alignment horizontal="left" vertical="top" wrapText="1"/>
    </xf>
    <xf numFmtId="2" fontId="0" fillId="0" borderId="0" xfId="0" applyNumberFormat="1" applyAlignment="1">
      <alignment horizontal="left" vertical="top" wrapText="1"/>
    </xf>
    <xf numFmtId="0" fontId="59" fillId="0" borderId="0" xfId="0" applyFont="1" applyAlignment="1">
      <alignment horizontal="center" vertical="top"/>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xf>
    <xf numFmtId="0" fontId="0" fillId="0" borderId="0" xfId="0" applyAlignment="1">
      <alignment horizontal="center" vertical="center"/>
    </xf>
    <xf numFmtId="4" fontId="4" fillId="6" borderId="0" xfId="0" applyNumberFormat="1" applyFont="1" applyFill="1" applyAlignment="1" applyProtection="1">
      <alignment horizontal="left" indent="1"/>
      <protection locked="0"/>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49" fontId="35" fillId="0" borderId="3" xfId="0" applyNumberFormat="1" applyFont="1" applyBorder="1" applyAlignment="1" applyProtection="1">
      <alignment horizontal="center" vertical="center" wrapText="1"/>
      <protection locked="0"/>
    </xf>
    <xf numFmtId="0" fontId="35" fillId="0" borderId="3" xfId="0" applyFont="1" applyBorder="1" applyAlignment="1" applyProtection="1">
      <alignment horizontal="center"/>
      <protection locked="0"/>
    </xf>
    <xf numFmtId="0" fontId="35" fillId="0" borderId="1" xfId="0" applyFont="1" applyBorder="1" applyAlignment="1" applyProtection="1">
      <alignment horizontal="center"/>
      <protection locked="0"/>
    </xf>
    <xf numFmtId="0" fontId="2" fillId="0" borderId="7" xfId="0" applyFont="1" applyBorder="1" applyAlignment="1">
      <alignment vertical="center" wrapText="1"/>
    </xf>
    <xf numFmtId="0" fontId="2" fillId="0" borderId="14" xfId="0" applyFont="1" applyBorder="1" applyAlignment="1">
      <alignment vertical="center" wrapText="1"/>
    </xf>
    <xf numFmtId="0" fontId="2" fillId="0" borderId="8" xfId="0" applyFont="1" applyBorder="1" applyAlignment="1">
      <alignment vertical="center" wrapText="1"/>
    </xf>
    <xf numFmtId="3" fontId="2" fillId="0" borderId="0" xfId="0" applyNumberFormat="1" applyFont="1" applyAlignment="1">
      <alignment wrapText="1"/>
    </xf>
    <xf numFmtId="1" fontId="7" fillId="0" borderId="18" xfId="0" applyNumberFormat="1" applyFont="1" applyBorder="1" applyAlignment="1">
      <alignment horizontal="left"/>
    </xf>
    <xf numFmtId="1" fontId="7" fillId="0" borderId="19" xfId="0" applyNumberFormat="1" applyFont="1" applyBorder="1" applyAlignment="1">
      <alignment horizontal="left"/>
    </xf>
    <xf numFmtId="1" fontId="7" fillId="0" borderId="20" xfId="0" applyNumberFormat="1" applyFont="1" applyBorder="1" applyAlignment="1">
      <alignment horizontal="left"/>
    </xf>
    <xf numFmtId="1" fontId="7" fillId="0" borderId="21" xfId="0" applyNumberFormat="1" applyFont="1" applyBorder="1" applyAlignment="1">
      <alignment horizontal="left"/>
    </xf>
    <xf numFmtId="0" fontId="11" fillId="0" borderId="0" xfId="0" applyFont="1" applyAlignment="1">
      <alignment horizontal="center"/>
    </xf>
    <xf numFmtId="0" fontId="59" fillId="0" borderId="0" xfId="0" applyFont="1" applyAlignment="1">
      <alignment horizontal="left" vertical="top" wrapText="1"/>
    </xf>
    <xf numFmtId="0" fontId="7" fillId="10" borderId="1" xfId="0" applyFont="1" applyFill="1" applyBorder="1" applyAlignment="1">
      <alignment horizontal="center"/>
    </xf>
    <xf numFmtId="0" fontId="59" fillId="0" borderId="0" xfId="0" applyFont="1" applyAlignment="1">
      <alignment horizontal="center" vertical="top"/>
    </xf>
    <xf numFmtId="0" fontId="59" fillId="0" borderId="0" xfId="0" applyFont="1" applyAlignment="1">
      <alignment horizontal="center" vertical="top" wrapText="1"/>
    </xf>
  </cellXfs>
  <cellStyles count="4">
    <cellStyle name="Comma" xfId="1" builtinId="3"/>
    <cellStyle name="Normaallaad 2" xfId="2" xr:uid="{00000000-0005-0000-0000-000002000000}"/>
    <cellStyle name="Normal" xfId="0" builtinId="0"/>
    <cellStyle name="Percent" xfId="3" builtinId="5"/>
  </cellStyles>
  <dxfs count="8">
    <dxf>
      <font>
        <condense val="0"/>
        <extend val="0"/>
        <color indexed="10"/>
      </font>
    </dxf>
    <dxf>
      <font>
        <b/>
        <i/>
        <condense val="0"/>
        <extend val="0"/>
        <color indexed="10"/>
      </font>
    </dxf>
    <dxf>
      <font>
        <b/>
        <i/>
        <condense val="0"/>
        <extend val="0"/>
        <color indexed="12"/>
      </font>
      <fill>
        <patternFill patternType="none">
          <bgColor indexed="65"/>
        </patternFill>
      </fill>
    </dxf>
    <dxf>
      <font>
        <b/>
        <i/>
        <condense val="0"/>
        <extend val="0"/>
        <color indexed="10"/>
      </font>
      <fill>
        <patternFill patternType="none">
          <fgColor indexed="64"/>
          <bgColor indexed="65"/>
        </patternFill>
      </fill>
    </dxf>
    <dxf>
      <font>
        <b/>
        <i/>
        <condense val="0"/>
        <extend val="0"/>
        <color indexed="12"/>
      </font>
    </dxf>
    <dxf>
      <font>
        <b/>
        <i/>
        <condense val="0"/>
        <extend val="0"/>
        <color indexed="10"/>
      </font>
    </dxf>
    <dxf>
      <font>
        <b/>
        <i/>
        <condense val="0"/>
        <extend val="0"/>
        <color indexed="12"/>
      </font>
    </dxf>
    <dxf>
      <font>
        <condense val="0"/>
        <extend val="0"/>
        <color indexed="10"/>
      </font>
    </dxf>
  </dxfs>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Vasiliy Bezlyudnyy" id="{EE033083-BC2A-40C7-B344-CEDDE8711B9C}" userId="S::vasiliy.bezlyudnyy@ivkhk.ee::f22c7b2f-fcd1-4091-8ae8-7e7b14111588"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2" dT="2023-12-08T11:27:09.18" personId="{EE033083-BC2A-40C7-B344-CEDDE8711B9C}" id="{F1A05E3C-4F91-4228-BB01-6FD9BBA1F9B3}">
    <text>Jaamade paigaldamine</text>
  </threadedComment>
</ThreadedComments>
</file>

<file path=xl/threadedComments/threadedComment2.xml><?xml version="1.0" encoding="utf-8"?>
<ThreadedComments xmlns="http://schemas.microsoft.com/office/spreadsheetml/2018/threadedcomments" xmlns:x="http://schemas.openxmlformats.org/spreadsheetml/2006/main">
  <threadedComment ref="D20" dT="2023-11-04T11:13:11.91" personId="{EE033083-BC2A-40C7-B344-CEDDE8711B9C}" id="{9512EF3D-5C40-40CE-898B-9A7F21CDA91C}">
    <text>investor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Leht1">
    <tabColor theme="9"/>
    <pageSetUpPr fitToPage="1"/>
  </sheetPr>
  <dimension ref="A1:F33"/>
  <sheetViews>
    <sheetView topLeftCell="A14" workbookViewId="0">
      <selection activeCell="D31" sqref="D31"/>
    </sheetView>
  </sheetViews>
  <sheetFormatPr defaultRowHeight="13.2" x14ac:dyDescent="0.25"/>
  <cols>
    <col min="1" max="1" width="2.5546875" bestFit="1" customWidth="1"/>
    <col min="2" max="2" width="69.5546875" customWidth="1"/>
    <col min="3" max="5" width="11.109375" style="4" customWidth="1"/>
    <col min="6" max="6" width="8.109375" style="2" hidden="1" customWidth="1"/>
  </cols>
  <sheetData>
    <row r="1" spans="1:5" x14ac:dyDescent="0.25">
      <c r="B1" s="252" t="s">
        <v>206</v>
      </c>
    </row>
    <row r="2" spans="1:5" x14ac:dyDescent="0.25">
      <c r="B2" s="252"/>
    </row>
    <row r="3" spans="1:5" ht="15.6" x14ac:dyDescent="0.3">
      <c r="B3" s="266" t="s">
        <v>110</v>
      </c>
      <c r="C3" s="3"/>
      <c r="D3" s="3"/>
      <c r="E3" s="3"/>
    </row>
    <row r="4" spans="1:5" x14ac:dyDescent="0.25">
      <c r="A4" s="249" t="s">
        <v>213</v>
      </c>
      <c r="B4" s="252" t="s">
        <v>222</v>
      </c>
    </row>
    <row r="5" spans="1:5" ht="15.6" x14ac:dyDescent="0.3">
      <c r="A5" s="273"/>
      <c r="B5" s="253"/>
    </row>
    <row r="6" spans="1:5" x14ac:dyDescent="0.25">
      <c r="A6" s="249" t="s">
        <v>214</v>
      </c>
      <c r="B6" s="252" t="s">
        <v>223</v>
      </c>
    </row>
    <row r="7" spans="1:5" ht="15" customHeight="1" x14ac:dyDescent="0.3">
      <c r="A7" s="273"/>
      <c r="B7" s="253"/>
    </row>
    <row r="8" spans="1:5" x14ac:dyDescent="0.25">
      <c r="A8" s="249" t="s">
        <v>215</v>
      </c>
      <c r="B8" s="252" t="s">
        <v>224</v>
      </c>
    </row>
    <row r="9" spans="1:5" ht="15.6" x14ac:dyDescent="0.3">
      <c r="A9" s="273"/>
      <c r="B9" s="253"/>
    </row>
    <row r="10" spans="1:5" x14ac:dyDescent="0.25">
      <c r="A10" s="249" t="s">
        <v>216</v>
      </c>
      <c r="B10" s="252" t="s">
        <v>225</v>
      </c>
    </row>
    <row r="11" spans="1:5" x14ac:dyDescent="0.25">
      <c r="A11" s="273"/>
      <c r="B11" s="252"/>
    </row>
    <row r="12" spans="1:5" ht="15.6" x14ac:dyDescent="0.3">
      <c r="B12" s="253" t="s">
        <v>204</v>
      </c>
    </row>
    <row r="13" spans="1:5" x14ac:dyDescent="0.25">
      <c r="A13" s="269" t="s">
        <v>208</v>
      </c>
      <c r="B13" s="267" t="s">
        <v>209</v>
      </c>
    </row>
    <row r="14" spans="1:5" ht="26.4" x14ac:dyDescent="0.25">
      <c r="A14" s="269" t="s">
        <v>208</v>
      </c>
      <c r="B14" s="267" t="s">
        <v>210</v>
      </c>
    </row>
    <row r="15" spans="1:5" x14ac:dyDescent="0.25">
      <c r="A15" s="269" t="s">
        <v>208</v>
      </c>
      <c r="B15" s="267" t="s">
        <v>211</v>
      </c>
    </row>
    <row r="16" spans="1:5" ht="52.8" x14ac:dyDescent="0.25">
      <c r="A16" s="269" t="s">
        <v>208</v>
      </c>
      <c r="B16" s="277" t="s">
        <v>212</v>
      </c>
    </row>
    <row r="17" spans="1:6" ht="13.8" thickBot="1" x14ac:dyDescent="0.3">
      <c r="A17" s="270"/>
      <c r="B17" s="271"/>
      <c r="C17" s="272"/>
      <c r="D17" s="272"/>
      <c r="E17" s="272"/>
    </row>
    <row r="18" spans="1:6" ht="13.8" thickTop="1" x14ac:dyDescent="0.25">
      <c r="B18" s="1"/>
    </row>
    <row r="19" spans="1:6" ht="15" x14ac:dyDescent="0.25">
      <c r="B19" s="249" t="s">
        <v>203</v>
      </c>
      <c r="C19" s="274">
        <v>45231</v>
      </c>
      <c r="D19" s="3"/>
      <c r="E19" s="3"/>
      <c r="F19"/>
    </row>
    <row r="20" spans="1:6" x14ac:dyDescent="0.25">
      <c r="B20" s="249"/>
      <c r="C20" s="264"/>
      <c r="D20" s="3"/>
      <c r="E20" s="3"/>
      <c r="F20"/>
    </row>
    <row r="21" spans="1:6" x14ac:dyDescent="0.25">
      <c r="C21" s="265" t="s">
        <v>207</v>
      </c>
      <c r="D21" s="265" t="s">
        <v>1</v>
      </c>
      <c r="E21" s="265" t="s">
        <v>2</v>
      </c>
      <c r="F21" s="2" t="s">
        <v>114</v>
      </c>
    </row>
    <row r="22" spans="1:6" x14ac:dyDescent="0.25">
      <c r="B22" t="s">
        <v>122</v>
      </c>
      <c r="C22" s="250" t="s">
        <v>198</v>
      </c>
      <c r="D22" s="250" t="s">
        <v>198</v>
      </c>
      <c r="E22" s="250" t="s">
        <v>198</v>
      </c>
      <c r="F22" s="250" t="s">
        <v>198</v>
      </c>
    </row>
    <row r="23" spans="1:6" x14ac:dyDescent="0.25">
      <c r="B23" t="s">
        <v>116</v>
      </c>
      <c r="C23" s="251"/>
      <c r="D23" s="251"/>
      <c r="E23" s="251"/>
      <c r="F23" s="251"/>
    </row>
    <row r="24" spans="1:6" x14ac:dyDescent="0.25">
      <c r="B24" t="s">
        <v>65</v>
      </c>
      <c r="C24" s="251"/>
      <c r="D24" s="251"/>
      <c r="E24" s="251"/>
      <c r="F24" s="251"/>
    </row>
    <row r="25" spans="1:6" x14ac:dyDescent="0.25">
      <c r="B25" t="s">
        <v>64</v>
      </c>
      <c r="C25" s="251">
        <v>20</v>
      </c>
      <c r="D25" s="251">
        <v>20</v>
      </c>
      <c r="E25" s="251">
        <v>20</v>
      </c>
      <c r="F25" s="251"/>
    </row>
    <row r="26" spans="1:6" x14ac:dyDescent="0.25">
      <c r="B26" s="30" t="s">
        <v>172</v>
      </c>
      <c r="C26" s="251"/>
      <c r="D26" s="251"/>
      <c r="E26" s="251"/>
      <c r="F26" s="251"/>
    </row>
    <row r="27" spans="1:6" x14ac:dyDescent="0.25">
      <c r="B27" s="30"/>
      <c r="C27"/>
      <c r="D27"/>
      <c r="E27"/>
      <c r="F27"/>
    </row>
    <row r="28" spans="1:6" x14ac:dyDescent="0.25">
      <c r="C28" s="5"/>
      <c r="D28" s="5"/>
      <c r="E28" s="5"/>
    </row>
    <row r="30" spans="1:6" x14ac:dyDescent="0.25">
      <c r="C30" s="6"/>
      <c r="D30" s="6"/>
      <c r="E30" s="6"/>
      <c r="F30" s="7"/>
    </row>
    <row r="31" spans="1:6" x14ac:dyDescent="0.25">
      <c r="C31" s="3"/>
      <c r="D31" s="3"/>
      <c r="E31" s="3"/>
      <c r="F31"/>
    </row>
    <row r="32" spans="1:6" x14ac:dyDescent="0.25">
      <c r="B32" s="1"/>
    </row>
    <row r="33" spans="2:2" x14ac:dyDescent="0.25">
      <c r="B33" s="1"/>
    </row>
  </sheetData>
  <phoneticPr fontId="2" type="noConversion"/>
  <dataValidations count="2">
    <dataValidation type="textLength" allowBlank="1" showInputMessage="1" showErrorMessage="1" error="valik saab olla ainult &quot;jah&quot; või &quot;ei&quot;" promptTitle="Sisestada valikväärtus " sqref="C22:F22" xr:uid="{00000000-0002-0000-0000-000000000000}">
      <formula1>2</formula1>
      <formula2>3</formula2>
    </dataValidation>
    <dataValidation type="whole" allowBlank="1" showInputMessage="1" showErrorMessage="1" error="Summa saab olla ainult täisarv vahemikus 1-100" sqref="C23:F26" xr:uid="{00000000-0002-0000-0000-000001000000}">
      <formula1>1</formula1>
      <formula2>100</formula2>
    </dataValidation>
  </dataValidations>
  <pageMargins left="0.75" right="0.75" top="0.98425196850393704" bottom="0.98425196850393704" header="0" footer="0"/>
  <pageSetup paperSize="9" scale="8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Leht2">
    <pageSetUpPr fitToPage="1"/>
  </sheetPr>
  <dimension ref="A1:AM62"/>
  <sheetViews>
    <sheetView view="pageBreakPreview" zoomScale="94" zoomScaleNormal="100" zoomScaleSheetLayoutView="90" workbookViewId="0">
      <pane xSplit="4" ySplit="11" topLeftCell="E12" activePane="bottomRight" state="frozen"/>
      <selection pane="topRight" activeCell="E1" sqref="E1"/>
      <selection pane="bottomLeft" activeCell="A12" sqref="A12"/>
      <selection pane="bottomRight" activeCell="I25" sqref="I25"/>
    </sheetView>
  </sheetViews>
  <sheetFormatPr defaultColWidth="9.109375" defaultRowHeight="10.199999999999999" x14ac:dyDescent="0.2"/>
  <cols>
    <col min="1" max="1" width="4.33203125" style="9" customWidth="1"/>
    <col min="2" max="2" width="15.44140625" style="9" customWidth="1"/>
    <col min="3" max="3" width="15" style="9" customWidth="1"/>
    <col min="4" max="4" width="21.44140625" style="22" bestFit="1" customWidth="1"/>
    <col min="5" max="5" width="7.44140625" style="28" customWidth="1"/>
    <col min="6" max="17" width="10" style="9" customWidth="1"/>
    <col min="18" max="18" width="11.33203125" style="9" customWidth="1"/>
    <col min="19" max="19" width="11.109375" style="9" customWidth="1"/>
    <col min="20" max="20" width="11" style="9" customWidth="1"/>
    <col min="21" max="21" width="11.5546875" style="9" hidden="1" customWidth="1"/>
    <col min="22" max="22" width="9.109375" style="9"/>
    <col min="23" max="23" width="12.109375" style="9" customWidth="1"/>
    <col min="24" max="24" width="9" style="9" customWidth="1"/>
    <col min="25" max="25" width="9.88671875" style="9" customWidth="1"/>
    <col min="26" max="26" width="10.33203125" style="9" customWidth="1"/>
    <col min="27" max="27" width="9.5546875" style="9" customWidth="1"/>
    <col min="28" max="28" width="8.5546875" style="9" customWidth="1"/>
    <col min="29" max="29" width="9.44140625" style="9" customWidth="1"/>
    <col min="30" max="30" width="8.88671875" style="9" customWidth="1"/>
    <col min="31" max="31" width="8.5546875" style="9" customWidth="1"/>
    <col min="32" max="32" width="9.109375" style="9" customWidth="1"/>
    <col min="33" max="33" width="8.109375" style="9" customWidth="1"/>
    <col min="34" max="34" width="8.33203125" style="9" customWidth="1"/>
    <col min="35" max="35" width="10" style="9" customWidth="1"/>
    <col min="36" max="36" width="6" style="9" customWidth="1"/>
    <col min="37" max="39" width="5" style="9" customWidth="1"/>
    <col min="40" max="40" width="9.109375" style="9" customWidth="1"/>
    <col min="41" max="16384" width="9.109375" style="9"/>
  </cols>
  <sheetData>
    <row r="1" spans="1:39" s="260" customFormat="1" ht="31.2" thickBot="1" x14ac:dyDescent="0.3">
      <c r="A1" s="255" t="s">
        <v>123</v>
      </c>
      <c r="B1" s="299" t="s">
        <v>157</v>
      </c>
      <c r="C1" s="300"/>
      <c r="D1" s="301"/>
      <c r="E1" s="256" t="s">
        <v>146</v>
      </c>
      <c r="F1" s="257">
        <f>'Alusta siit!'!C19</f>
        <v>45231</v>
      </c>
      <c r="G1" s="257">
        <f>EOMONTH(F1,1)</f>
        <v>45291</v>
      </c>
      <c r="H1" s="257">
        <f t="shared" ref="H1:Q1" si="0">EOMONTH(G1,1)</f>
        <v>45322</v>
      </c>
      <c r="I1" s="257">
        <f t="shared" si="0"/>
        <v>45351</v>
      </c>
      <c r="J1" s="257">
        <f t="shared" si="0"/>
        <v>45382</v>
      </c>
      <c r="K1" s="257">
        <f t="shared" si="0"/>
        <v>45412</v>
      </c>
      <c r="L1" s="257">
        <f t="shared" si="0"/>
        <v>45443</v>
      </c>
      <c r="M1" s="257">
        <f t="shared" si="0"/>
        <v>45473</v>
      </c>
      <c r="N1" s="257">
        <f t="shared" si="0"/>
        <v>45504</v>
      </c>
      <c r="O1" s="257">
        <f t="shared" si="0"/>
        <v>45535</v>
      </c>
      <c r="P1" s="257">
        <f t="shared" si="0"/>
        <v>45565</v>
      </c>
      <c r="Q1" s="257">
        <f t="shared" si="0"/>
        <v>45596</v>
      </c>
      <c r="R1" s="258" t="s">
        <v>207</v>
      </c>
      <c r="S1" s="258" t="s">
        <v>1</v>
      </c>
      <c r="T1" s="258" t="s">
        <v>2</v>
      </c>
      <c r="U1" s="259" t="s">
        <v>205</v>
      </c>
      <c r="W1" s="261" t="s">
        <v>191</v>
      </c>
      <c r="X1" s="262">
        <f>Kassavood!B2</f>
        <v>45231</v>
      </c>
      <c r="Y1" s="262">
        <f>Kassavood!C2</f>
        <v>45291</v>
      </c>
      <c r="Z1" s="262">
        <f>Kassavood!D2</f>
        <v>45322</v>
      </c>
      <c r="AA1" s="262">
        <f>Kassavood!E2</f>
        <v>45351</v>
      </c>
      <c r="AB1" s="262">
        <f>Kassavood!F2</f>
        <v>45382</v>
      </c>
      <c r="AC1" s="262">
        <f>Kassavood!G2</f>
        <v>45412</v>
      </c>
      <c r="AD1" s="262">
        <f>Kassavood!H2</f>
        <v>45443</v>
      </c>
      <c r="AE1" s="262">
        <f>Kassavood!I2</f>
        <v>45473</v>
      </c>
      <c r="AF1" s="262">
        <f>Kassavood!J2</f>
        <v>45504</v>
      </c>
      <c r="AG1" s="262">
        <f>Kassavood!K2</f>
        <v>45535</v>
      </c>
      <c r="AH1" s="262">
        <f>Kassavood!L2</f>
        <v>45565</v>
      </c>
      <c r="AI1" s="262">
        <f>Kassavood!M2</f>
        <v>45596</v>
      </c>
      <c r="AJ1" s="263" t="str">
        <f>Kassavood!N2</f>
        <v>1. aasta</v>
      </c>
      <c r="AK1" s="263" t="str">
        <f>Kassavood!O2</f>
        <v>2.aasta</v>
      </c>
      <c r="AL1" s="263" t="str">
        <f>Kassavood!P2</f>
        <v>3.aasta</v>
      </c>
      <c r="AM1" s="263" t="str">
        <f>Kassavood!Q2</f>
        <v>4. aasta</v>
      </c>
    </row>
    <row r="2" spans="1:39" ht="10.8" hidden="1" thickBot="1" x14ac:dyDescent="0.25">
      <c r="A2" s="10"/>
      <c r="B2" s="10" t="s">
        <v>127</v>
      </c>
      <c r="C2" s="10"/>
      <c r="D2" s="11"/>
      <c r="E2" s="23">
        <f t="shared" ref="E2" si="1">E12+E17+E22+E27+E32+E37+E42+E47+E52+E57</f>
        <v>67</v>
      </c>
      <c r="F2" s="12">
        <f t="shared" ref="F2:Q2" si="2">F12+F17+F22+F27+F32+F37+F42+F47+F52+F57</f>
        <v>0</v>
      </c>
      <c r="G2" s="12">
        <f t="shared" si="2"/>
        <v>30</v>
      </c>
      <c r="H2" s="12">
        <f t="shared" si="2"/>
        <v>51.5</v>
      </c>
      <c r="I2" s="12">
        <f t="shared" si="2"/>
        <v>92.7</v>
      </c>
      <c r="J2" s="12">
        <f t="shared" si="2"/>
        <v>190.4</v>
      </c>
      <c r="K2" s="12">
        <f t="shared" si="2"/>
        <v>314</v>
      </c>
      <c r="L2" s="12">
        <f t="shared" si="2"/>
        <v>623</v>
      </c>
      <c r="M2" s="12">
        <f t="shared" si="2"/>
        <v>830</v>
      </c>
      <c r="N2" s="12">
        <f t="shared" si="2"/>
        <v>1036</v>
      </c>
      <c r="O2" s="12">
        <f t="shared" si="2"/>
        <v>1242</v>
      </c>
      <c r="P2" s="12">
        <f t="shared" si="2"/>
        <v>1551</v>
      </c>
      <c r="Q2" s="12">
        <f t="shared" si="2"/>
        <v>1860</v>
      </c>
      <c r="R2" s="12">
        <f>SUM(F2:Q2)</f>
        <v>7820.6</v>
      </c>
      <c r="S2" s="12">
        <f>S12+S17+S22+S27+S32+S37+S42+S47+S52+S57</f>
        <v>35411</v>
      </c>
      <c r="T2" s="12">
        <f>T12+T17+T22+T27+T32+T37+T42+T47+T52+T57</f>
        <v>46216</v>
      </c>
      <c r="U2" s="12">
        <f>U12+U17+U22+U27+U32+U37+U42+U47+U52+U57</f>
        <v>0</v>
      </c>
      <c r="W2" s="9">
        <f t="shared" ref="W2:AI2" si="3">IF($B16=9%,E16-E16*E13,0)</f>
        <v>0</v>
      </c>
      <c r="X2" s="9">
        <f t="shared" si="3"/>
        <v>0</v>
      </c>
      <c r="Y2" s="9">
        <f t="shared" si="3"/>
        <v>0</v>
      </c>
      <c r="Z2" s="9">
        <f t="shared" si="3"/>
        <v>0</v>
      </c>
      <c r="AA2" s="9">
        <f t="shared" si="3"/>
        <v>0</v>
      </c>
      <c r="AB2" s="9">
        <f t="shared" si="3"/>
        <v>0</v>
      </c>
      <c r="AC2" s="9">
        <f t="shared" si="3"/>
        <v>0</v>
      </c>
      <c r="AD2" s="9">
        <f t="shared" si="3"/>
        <v>0</v>
      </c>
      <c r="AE2" s="9">
        <f t="shared" si="3"/>
        <v>0</v>
      </c>
      <c r="AF2" s="9">
        <f t="shared" si="3"/>
        <v>0</v>
      </c>
      <c r="AG2" s="9">
        <f t="shared" si="3"/>
        <v>0</v>
      </c>
      <c r="AH2" s="9">
        <f t="shared" si="3"/>
        <v>0</v>
      </c>
      <c r="AI2" s="9">
        <f t="shared" si="3"/>
        <v>0</v>
      </c>
      <c r="AJ2" s="9">
        <f>SUM(X2:AI2)</f>
        <v>0</v>
      </c>
      <c r="AK2" s="9">
        <f>IF($B16=9%,S16-S16*S13,0)</f>
        <v>0</v>
      </c>
      <c r="AL2" s="9">
        <f>IF(Q16=9%,T16-T16*T13,0)</f>
        <v>0</v>
      </c>
      <c r="AM2" s="9">
        <f>IF(R16=9%,U16-U16*U13,0)</f>
        <v>0</v>
      </c>
    </row>
    <row r="3" spans="1:39" ht="10.8" hidden="1" thickBot="1" x14ac:dyDescent="0.25">
      <c r="A3" s="10"/>
      <c r="B3" s="10" t="s">
        <v>132</v>
      </c>
      <c r="C3" s="10"/>
      <c r="D3" s="11"/>
      <c r="E3" s="23">
        <f t="shared" ref="E3:Q3" si="4">E16+E21+E26+E31+E36+E41+E46+E51+E56+E61</f>
        <v>77500</v>
      </c>
      <c r="F3" s="12">
        <f t="shared" si="4"/>
        <v>0</v>
      </c>
      <c r="G3" s="12">
        <f t="shared" si="4"/>
        <v>36</v>
      </c>
      <c r="H3" s="12">
        <f t="shared" si="4"/>
        <v>65.400000000000006</v>
      </c>
      <c r="I3" s="12">
        <f t="shared" si="4"/>
        <v>117.72</v>
      </c>
      <c r="J3" s="12">
        <f t="shared" si="4"/>
        <v>735.44</v>
      </c>
      <c r="K3" s="12">
        <f t="shared" si="4"/>
        <v>1142.4000000000001</v>
      </c>
      <c r="L3" s="12">
        <f t="shared" si="4"/>
        <v>1784.8</v>
      </c>
      <c r="M3" s="12">
        <f t="shared" si="4"/>
        <v>2061.4</v>
      </c>
      <c r="N3" s="12">
        <f t="shared" si="4"/>
        <v>2323</v>
      </c>
      <c r="O3" s="12">
        <f t="shared" si="4"/>
        <v>2584.6</v>
      </c>
      <c r="P3" s="12">
        <f t="shared" si="4"/>
        <v>2977</v>
      </c>
      <c r="Q3" s="12">
        <f t="shared" si="4"/>
        <v>3369.4</v>
      </c>
      <c r="R3" s="12">
        <f>SUM(F3:Q3)</f>
        <v>17197.16</v>
      </c>
      <c r="S3" s="12">
        <f>S16+S21+S26+S31+S36+S41+S46+S51+S56+S61</f>
        <v>64512.799999999996</v>
      </c>
      <c r="T3" s="12">
        <f>T16+T21+T26+T31+T36+T41+T46+T51+T56+T61</f>
        <v>77835.199999999997</v>
      </c>
      <c r="U3" s="12">
        <f>U16+U21+U26+U31+U36+U41+U46+U51+U56+U61</f>
        <v>0</v>
      </c>
      <c r="W3" s="9">
        <f t="shared" ref="W3:AI3" si="5">IF($B21=9%,E21-E21*E18,0)</f>
        <v>0</v>
      </c>
      <c r="X3" s="9">
        <f t="shared" si="5"/>
        <v>0</v>
      </c>
      <c r="Y3" s="9">
        <f t="shared" si="5"/>
        <v>0</v>
      </c>
      <c r="Z3" s="9">
        <f t="shared" si="5"/>
        <v>0</v>
      </c>
      <c r="AA3" s="9">
        <f t="shared" si="5"/>
        <v>0</v>
      </c>
      <c r="AB3" s="9">
        <f t="shared" si="5"/>
        <v>0</v>
      </c>
      <c r="AC3" s="9">
        <f t="shared" si="5"/>
        <v>0</v>
      </c>
      <c r="AD3" s="9">
        <f t="shared" si="5"/>
        <v>0</v>
      </c>
      <c r="AE3" s="9">
        <f t="shared" si="5"/>
        <v>0</v>
      </c>
      <c r="AF3" s="9">
        <f t="shared" si="5"/>
        <v>0</v>
      </c>
      <c r="AG3" s="9">
        <f t="shared" si="5"/>
        <v>0</v>
      </c>
      <c r="AH3" s="9">
        <f t="shared" si="5"/>
        <v>0</v>
      </c>
      <c r="AI3" s="9">
        <f t="shared" si="5"/>
        <v>0</v>
      </c>
      <c r="AJ3" s="9">
        <f t="shared" ref="AJ3:AJ11" si="6">SUM(X3:AI3)</f>
        <v>0</v>
      </c>
      <c r="AK3" s="9">
        <f>IF($B21=9%,S21-S21*S18,0)</f>
        <v>0</v>
      </c>
      <c r="AL3" s="9">
        <f>IF($B21=9%,T21-T21*T18,0)</f>
        <v>0</v>
      </c>
      <c r="AM3" s="9">
        <f>IF($B21=9%,U21-U21*U18,0)</f>
        <v>0</v>
      </c>
    </row>
    <row r="4" spans="1:39" ht="10.8" hidden="1" thickBot="1" x14ac:dyDescent="0.25">
      <c r="A4" s="10"/>
      <c r="B4" s="10" t="s">
        <v>128</v>
      </c>
      <c r="C4" s="10"/>
      <c r="D4" s="11"/>
      <c r="E4" s="23">
        <f>ROUND(E3/E2,0)</f>
        <v>1157</v>
      </c>
      <c r="F4" s="12">
        <f>IF(F2&gt;0,ROUND(F3/F2,0),0)</f>
        <v>0</v>
      </c>
      <c r="G4" s="12">
        <f t="shared" ref="G4:P4" si="7">IF(G2&gt;0,ROUND(G3/G2,0),0)</f>
        <v>1</v>
      </c>
      <c r="H4" s="12">
        <f t="shared" si="7"/>
        <v>1</v>
      </c>
      <c r="I4" s="12">
        <f t="shared" si="7"/>
        <v>1</v>
      </c>
      <c r="J4" s="12">
        <f t="shared" si="7"/>
        <v>4</v>
      </c>
      <c r="K4" s="12">
        <f t="shared" si="7"/>
        <v>4</v>
      </c>
      <c r="L4" s="12">
        <f t="shared" si="7"/>
        <v>3</v>
      </c>
      <c r="M4" s="12">
        <f t="shared" si="7"/>
        <v>2</v>
      </c>
      <c r="N4" s="12">
        <f t="shared" si="7"/>
        <v>2</v>
      </c>
      <c r="O4" s="12">
        <f t="shared" si="7"/>
        <v>2</v>
      </c>
      <c r="P4" s="12">
        <f t="shared" si="7"/>
        <v>2</v>
      </c>
      <c r="Q4" s="12">
        <f>IF(Q2&gt;0,ROUND(Q3/Q2,0),0)</f>
        <v>2</v>
      </c>
      <c r="R4" s="12">
        <f>IF(R2&gt;0,ROUND(R3/R2,0),0)</f>
        <v>2</v>
      </c>
      <c r="S4" s="12">
        <f>IF(S2&gt;0,ROUND(S3/S2,0),0)</f>
        <v>2</v>
      </c>
      <c r="T4" s="12">
        <f>IF(T2&gt;0,ROUND(T3/T2,0),0)</f>
        <v>2</v>
      </c>
      <c r="U4" s="12">
        <f>IF(U2&gt;0,ROUND(U3/U2,0),0)</f>
        <v>0</v>
      </c>
      <c r="W4" s="9">
        <f t="shared" ref="W4:AI4" si="8">IF($B26=9%,E26-E26*E23,0)</f>
        <v>0</v>
      </c>
      <c r="X4" s="9">
        <f t="shared" si="8"/>
        <v>0</v>
      </c>
      <c r="Y4" s="9">
        <f t="shared" si="8"/>
        <v>0</v>
      </c>
      <c r="Z4" s="9">
        <f t="shared" si="8"/>
        <v>0</v>
      </c>
      <c r="AA4" s="9">
        <f t="shared" si="8"/>
        <v>0</v>
      </c>
      <c r="AB4" s="9">
        <f t="shared" si="8"/>
        <v>0</v>
      </c>
      <c r="AC4" s="9">
        <f t="shared" si="8"/>
        <v>0</v>
      </c>
      <c r="AD4" s="9">
        <f t="shared" si="8"/>
        <v>0</v>
      </c>
      <c r="AE4" s="9">
        <f t="shared" si="8"/>
        <v>0</v>
      </c>
      <c r="AF4" s="9">
        <f t="shared" si="8"/>
        <v>0</v>
      </c>
      <c r="AG4" s="9">
        <f t="shared" si="8"/>
        <v>0</v>
      </c>
      <c r="AH4" s="9">
        <f t="shared" si="8"/>
        <v>0</v>
      </c>
      <c r="AI4" s="9">
        <f t="shared" si="8"/>
        <v>0</v>
      </c>
      <c r="AJ4" s="9">
        <f t="shared" si="6"/>
        <v>0</v>
      </c>
      <c r="AK4" s="9">
        <f>IF($B26=9%,S26-S26*S23,0)</f>
        <v>0</v>
      </c>
      <c r="AL4" s="9">
        <f>IF($B26=9%,T26-T26*T23,0)</f>
        <v>0</v>
      </c>
      <c r="AM4" s="9">
        <f>IF($B26=9%,U26-U26*U23,0)</f>
        <v>0</v>
      </c>
    </row>
    <row r="5" spans="1:39" ht="10.8" hidden="1" thickBot="1" x14ac:dyDescent="0.25">
      <c r="A5" s="10"/>
      <c r="B5" s="10" t="s">
        <v>142</v>
      </c>
      <c r="C5" s="10"/>
      <c r="D5" s="11"/>
      <c r="E5" s="23">
        <f>E12*E15+E17*E20+E22*E25+E27*E30+E32*E35+E37*E40+E42*E45+E47*E50+E52*E55+E57*E60</f>
        <v>37900</v>
      </c>
      <c r="F5" s="12">
        <f t="shared" ref="F5:Q5" si="9">ROUND(F12*F15+F17*F20+F22*F25+F27*F30+F32*F35+F37*F40+F42*F45+F47*F50+F52*F55+F57*F60,0)</f>
        <v>0</v>
      </c>
      <c r="G5" s="12">
        <f t="shared" si="9"/>
        <v>0</v>
      </c>
      <c r="H5" s="12">
        <f t="shared" si="9"/>
        <v>0</v>
      </c>
      <c r="I5" s="12">
        <f t="shared" si="9"/>
        <v>0</v>
      </c>
      <c r="J5" s="12">
        <f t="shared" si="9"/>
        <v>0</v>
      </c>
      <c r="K5" s="12">
        <f t="shared" si="9"/>
        <v>0</v>
      </c>
      <c r="L5" s="12">
        <f t="shared" si="9"/>
        <v>0</v>
      </c>
      <c r="M5" s="12">
        <f t="shared" si="9"/>
        <v>0</v>
      </c>
      <c r="N5" s="12">
        <f t="shared" si="9"/>
        <v>0</v>
      </c>
      <c r="O5" s="12">
        <f t="shared" si="9"/>
        <v>0</v>
      </c>
      <c r="P5" s="12">
        <f t="shared" si="9"/>
        <v>0</v>
      </c>
      <c r="Q5" s="12">
        <f t="shared" si="9"/>
        <v>0</v>
      </c>
      <c r="R5" s="12">
        <f>SUM(F5:Q5)</f>
        <v>0</v>
      </c>
      <c r="S5" s="12">
        <f>ROUND(S12*S15+S17*S20+S22*S25+S27*S30+S32*S35+S37*S40+S42*S45+S47*S50+S52*S55+S57*S60,0)</f>
        <v>0</v>
      </c>
      <c r="T5" s="12">
        <f>T12*T15+T17*T20+T22*T25+T27*T30+T32*T35+T37*T40+T42*T45+T47*T50+T52*T55+T57*T60</f>
        <v>0</v>
      </c>
      <c r="U5" s="12">
        <f>U12*U15+U17*U20+U22*U25+U27*U30+U32*U35+U37*U40+U42*U45+U47*U50+U52*U55+U57*U60</f>
        <v>0</v>
      </c>
      <c r="W5" s="9">
        <f t="shared" ref="W5:AI5" si="10">IF($B31=9%,E31-E31*E28,0)</f>
        <v>0</v>
      </c>
      <c r="X5" s="9">
        <f t="shared" si="10"/>
        <v>0</v>
      </c>
      <c r="Y5" s="9">
        <f t="shared" si="10"/>
        <v>0</v>
      </c>
      <c r="Z5" s="9">
        <f t="shared" si="10"/>
        <v>0</v>
      </c>
      <c r="AA5" s="9">
        <f t="shared" si="10"/>
        <v>0</v>
      </c>
      <c r="AB5" s="9">
        <f t="shared" si="10"/>
        <v>0</v>
      </c>
      <c r="AC5" s="9">
        <f t="shared" si="10"/>
        <v>0</v>
      </c>
      <c r="AD5" s="9">
        <f t="shared" si="10"/>
        <v>0</v>
      </c>
      <c r="AE5" s="9">
        <f t="shared" si="10"/>
        <v>0</v>
      </c>
      <c r="AF5" s="9">
        <f t="shared" si="10"/>
        <v>0</v>
      </c>
      <c r="AG5" s="9">
        <f t="shared" si="10"/>
        <v>0</v>
      </c>
      <c r="AH5" s="9">
        <f t="shared" si="10"/>
        <v>0</v>
      </c>
      <c r="AI5" s="9">
        <f t="shared" si="10"/>
        <v>0</v>
      </c>
      <c r="AJ5" s="9">
        <f t="shared" si="6"/>
        <v>0</v>
      </c>
      <c r="AK5" s="9">
        <f>IF($B31=9%,S31-S31*S28,0)</f>
        <v>0</v>
      </c>
      <c r="AL5" s="9">
        <f>IF($B31=9%,T31-T31*T28,0)</f>
        <v>0</v>
      </c>
      <c r="AM5" s="9">
        <f>IF($B31=9%,U31-U31*U28,0)</f>
        <v>0</v>
      </c>
    </row>
    <row r="6" spans="1:39" ht="10.8" hidden="1" thickBot="1" x14ac:dyDescent="0.25">
      <c r="A6" s="10"/>
      <c r="B6" s="10" t="s">
        <v>143</v>
      </c>
      <c r="C6" s="10"/>
      <c r="D6" s="11"/>
      <c r="E6" s="23">
        <f>E12*E15*$C16+E17*E20*$C21+E22*E25*$C26+E27*E30*$C31+E32*E35*$C36+E37*E40*$C41+E42*E45*$C46+E47*E50*$C51+E52*E55*$C56+E57*E60*$C61</f>
        <v>0</v>
      </c>
      <c r="F6" s="12">
        <f t="shared" ref="F6:Q6" si="11">ROUND(F12*F15*$C16+F17*F20*$C21+F22*F25*$C26+F27*F30*$C31+F32*F35*$C36+F37*F40*$C41+F42*F45*$C46+F47*F50*$C51+F52*F55*$C56+F57*F60*$C61,0)</f>
        <v>0</v>
      </c>
      <c r="G6" s="12">
        <f t="shared" si="11"/>
        <v>0</v>
      </c>
      <c r="H6" s="12">
        <f t="shared" si="11"/>
        <v>0</v>
      </c>
      <c r="I6" s="12">
        <f t="shared" si="11"/>
        <v>0</v>
      </c>
      <c r="J6" s="12">
        <f t="shared" si="11"/>
        <v>0</v>
      </c>
      <c r="K6" s="12">
        <f t="shared" si="11"/>
        <v>0</v>
      </c>
      <c r="L6" s="12">
        <f t="shared" si="11"/>
        <v>0</v>
      </c>
      <c r="M6" s="12">
        <f t="shared" si="11"/>
        <v>0</v>
      </c>
      <c r="N6" s="12">
        <f t="shared" si="11"/>
        <v>0</v>
      </c>
      <c r="O6" s="12">
        <f t="shared" si="11"/>
        <v>0</v>
      </c>
      <c r="P6" s="12">
        <f t="shared" si="11"/>
        <v>0</v>
      </c>
      <c r="Q6" s="12">
        <f t="shared" si="11"/>
        <v>0</v>
      </c>
      <c r="R6" s="12"/>
      <c r="S6" s="12">
        <f>(ROUND(S12*S15*$C16+S17*S20*$C21+S22*S25*$C26+S27*S30*$C31+S32*S35*$C36+S37*S40*$C41+S42*S45*$C46+S47*S50*$C51+S52*S55*$C56+S57*S60*$C61,0))/12</f>
        <v>0</v>
      </c>
      <c r="T6" s="12">
        <f>(ROUND(T12*T15*$C16+T17*T20*$C21+T22*T25*$C26+T27*T30*$C31+T32*T35*$C36+T37*T40*$C41+T42*T45*$C46+T47*T50*$C51+T52*T55*$C56+T57*T60*$C61,0))/12</f>
        <v>0</v>
      </c>
      <c r="U6" s="12">
        <f>(ROUND(U12*U15*$C16+U17*U20*$C21+U22*U25*$C26+U27*U30*$C31+U32*U35*$C36+U37*U40*$C41+U42*U45*$C46+U47*U50*$C51+U52*U55*$C56+U57*U60*$C61,0))/12</f>
        <v>0</v>
      </c>
      <c r="W6" s="9">
        <f t="shared" ref="W6:AI6" si="12">IF($B36=9%,E36-E36*E33,0)</f>
        <v>0</v>
      </c>
      <c r="X6" s="9">
        <f t="shared" si="12"/>
        <v>0</v>
      </c>
      <c r="Y6" s="9">
        <f t="shared" si="12"/>
        <v>0</v>
      </c>
      <c r="Z6" s="9">
        <f t="shared" si="12"/>
        <v>0</v>
      </c>
      <c r="AA6" s="9">
        <f t="shared" si="12"/>
        <v>0</v>
      </c>
      <c r="AB6" s="9">
        <f t="shared" si="12"/>
        <v>0</v>
      </c>
      <c r="AC6" s="9">
        <f t="shared" si="12"/>
        <v>0</v>
      </c>
      <c r="AD6" s="9">
        <f t="shared" si="12"/>
        <v>0</v>
      </c>
      <c r="AE6" s="9">
        <f t="shared" si="12"/>
        <v>0</v>
      </c>
      <c r="AF6" s="9">
        <f t="shared" si="12"/>
        <v>0</v>
      </c>
      <c r="AG6" s="9">
        <f t="shared" si="12"/>
        <v>0</v>
      </c>
      <c r="AH6" s="9">
        <f t="shared" si="12"/>
        <v>0</v>
      </c>
      <c r="AI6" s="9">
        <f t="shared" si="12"/>
        <v>0</v>
      </c>
      <c r="AJ6" s="9">
        <f t="shared" si="6"/>
        <v>0</v>
      </c>
      <c r="AK6" s="9">
        <f>IF($B36=9%,S36-S36*S33,0)</f>
        <v>0</v>
      </c>
      <c r="AL6" s="9">
        <f>IF($B36=9%,T36-T36*T33,0)</f>
        <v>0</v>
      </c>
      <c r="AM6" s="9">
        <f>IF($B36=9%,U36-U36*U33,0)</f>
        <v>0</v>
      </c>
    </row>
    <row r="7" spans="1:39" ht="10.8" hidden="1" thickBot="1" x14ac:dyDescent="0.25">
      <c r="A7" s="10"/>
      <c r="B7" s="10" t="s">
        <v>144</v>
      </c>
      <c r="C7" s="10"/>
      <c r="D7" s="11"/>
      <c r="E7" s="23">
        <f>E6</f>
        <v>0</v>
      </c>
      <c r="F7" s="12">
        <f>F6</f>
        <v>0</v>
      </c>
      <c r="G7" s="12">
        <f t="shared" ref="G7:Q7" si="13">G6</f>
        <v>0</v>
      </c>
      <c r="H7" s="12">
        <f t="shared" si="13"/>
        <v>0</v>
      </c>
      <c r="I7" s="12">
        <f t="shared" si="13"/>
        <v>0</v>
      </c>
      <c r="J7" s="12">
        <f t="shared" si="13"/>
        <v>0</v>
      </c>
      <c r="K7" s="12">
        <f t="shared" si="13"/>
        <v>0</v>
      </c>
      <c r="L7" s="12">
        <f t="shared" si="13"/>
        <v>0</v>
      </c>
      <c r="M7" s="12">
        <f t="shared" si="13"/>
        <v>0</v>
      </c>
      <c r="N7" s="12">
        <f t="shared" si="13"/>
        <v>0</v>
      </c>
      <c r="O7" s="12">
        <f t="shared" si="13"/>
        <v>0</v>
      </c>
      <c r="P7" s="12">
        <f t="shared" si="13"/>
        <v>0</v>
      </c>
      <c r="Q7" s="12">
        <f t="shared" si="13"/>
        <v>0</v>
      </c>
      <c r="R7" s="12">
        <f>Q7</f>
        <v>0</v>
      </c>
      <c r="S7" s="12">
        <f>S6</f>
        <v>0</v>
      </c>
      <c r="T7" s="12">
        <f>T6</f>
        <v>0</v>
      </c>
      <c r="U7" s="12">
        <f>U6</f>
        <v>0</v>
      </c>
      <c r="W7" s="9">
        <f t="shared" ref="W7:AI7" si="14">IF($B41=9%,E41-E41*E38,0)</f>
        <v>0</v>
      </c>
      <c r="X7" s="9">
        <f t="shared" si="14"/>
        <v>0</v>
      </c>
      <c r="Y7" s="9">
        <f t="shared" si="14"/>
        <v>0</v>
      </c>
      <c r="Z7" s="9">
        <f t="shared" si="14"/>
        <v>0</v>
      </c>
      <c r="AA7" s="9">
        <f t="shared" si="14"/>
        <v>0</v>
      </c>
      <c r="AB7" s="9">
        <f t="shared" si="14"/>
        <v>0</v>
      </c>
      <c r="AC7" s="9">
        <f t="shared" si="14"/>
        <v>0</v>
      </c>
      <c r="AD7" s="9">
        <f t="shared" si="14"/>
        <v>0</v>
      </c>
      <c r="AE7" s="9">
        <f t="shared" si="14"/>
        <v>0</v>
      </c>
      <c r="AF7" s="9">
        <f t="shared" si="14"/>
        <v>0</v>
      </c>
      <c r="AG7" s="9">
        <f t="shared" si="14"/>
        <v>0</v>
      </c>
      <c r="AH7" s="9">
        <f t="shared" si="14"/>
        <v>0</v>
      </c>
      <c r="AI7" s="9">
        <f t="shared" si="14"/>
        <v>0</v>
      </c>
      <c r="AJ7" s="9">
        <f t="shared" si="6"/>
        <v>0</v>
      </c>
      <c r="AK7" s="9">
        <f>IF($B41=9%,S41-S41*S38,0)</f>
        <v>0</v>
      </c>
      <c r="AL7" s="9">
        <f>IF($B41=9%,T41-T41*T38,0)</f>
        <v>0</v>
      </c>
      <c r="AM7" s="9">
        <f>IF($B41=9%,U41-U41*U38,0)</f>
        <v>0</v>
      </c>
    </row>
    <row r="8" spans="1:39" ht="10.8" hidden="1" thickBot="1" x14ac:dyDescent="0.25">
      <c r="A8" s="10"/>
      <c r="B8" s="10" t="s">
        <v>141</v>
      </c>
      <c r="C8" s="10"/>
      <c r="D8" s="11"/>
      <c r="E8" s="23">
        <f>E5+E6</f>
        <v>37900</v>
      </c>
      <c r="F8" s="12">
        <f>F5+F6</f>
        <v>0</v>
      </c>
      <c r="G8" s="12">
        <f>G5+G6-F7</f>
        <v>0</v>
      </c>
      <c r="H8" s="12">
        <f t="shared" ref="H8:Q8" si="15">H5+H6-G7</f>
        <v>0</v>
      </c>
      <c r="I8" s="12">
        <f t="shared" si="15"/>
        <v>0</v>
      </c>
      <c r="J8" s="12">
        <f t="shared" si="15"/>
        <v>0</v>
      </c>
      <c r="K8" s="12">
        <f t="shared" si="15"/>
        <v>0</v>
      </c>
      <c r="L8" s="12">
        <f t="shared" si="15"/>
        <v>0</v>
      </c>
      <c r="M8" s="12">
        <f t="shared" si="15"/>
        <v>0</v>
      </c>
      <c r="N8" s="12">
        <f t="shared" si="15"/>
        <v>0</v>
      </c>
      <c r="O8" s="12">
        <f t="shared" si="15"/>
        <v>0</v>
      </c>
      <c r="P8" s="12">
        <f t="shared" si="15"/>
        <v>0</v>
      </c>
      <c r="Q8" s="12">
        <f t="shared" si="15"/>
        <v>0</v>
      </c>
      <c r="R8" s="12">
        <f>SUM(F8:Q8)</f>
        <v>0</v>
      </c>
      <c r="S8" s="12">
        <f>S5+S6-Q7</f>
        <v>0</v>
      </c>
      <c r="T8" s="12">
        <f>T5+T6-S7</f>
        <v>0</v>
      </c>
      <c r="U8" s="12">
        <f>U5+U6-T7</f>
        <v>0</v>
      </c>
      <c r="W8" s="9">
        <f t="shared" ref="W8:AI8" si="16">IF($B46=9%,E46-E46*E43,0)</f>
        <v>0</v>
      </c>
      <c r="X8" s="9">
        <f t="shared" si="16"/>
        <v>0</v>
      </c>
      <c r="Y8" s="9">
        <f t="shared" si="16"/>
        <v>0</v>
      </c>
      <c r="Z8" s="9">
        <f t="shared" si="16"/>
        <v>0</v>
      </c>
      <c r="AA8" s="9">
        <f t="shared" si="16"/>
        <v>0</v>
      </c>
      <c r="AB8" s="9">
        <f t="shared" si="16"/>
        <v>0</v>
      </c>
      <c r="AC8" s="9">
        <f t="shared" si="16"/>
        <v>0</v>
      </c>
      <c r="AD8" s="9">
        <f t="shared" si="16"/>
        <v>0</v>
      </c>
      <c r="AE8" s="9">
        <f t="shared" si="16"/>
        <v>0</v>
      </c>
      <c r="AF8" s="9">
        <f t="shared" si="16"/>
        <v>0</v>
      </c>
      <c r="AG8" s="9">
        <f t="shared" si="16"/>
        <v>0</v>
      </c>
      <c r="AH8" s="9">
        <f t="shared" si="16"/>
        <v>0</v>
      </c>
      <c r="AI8" s="9">
        <f t="shared" si="16"/>
        <v>0</v>
      </c>
      <c r="AJ8" s="9">
        <f t="shared" si="6"/>
        <v>0</v>
      </c>
      <c r="AK8" s="9">
        <f>IF($B46=9%,S46-S46*S43,0)</f>
        <v>0</v>
      </c>
      <c r="AL8" s="9">
        <f>IF($B46=9%,T46-T46*T43,0)</f>
        <v>0</v>
      </c>
      <c r="AM8" s="9">
        <f>IF($B46=9%,U46-U46*U43,0)</f>
        <v>0</v>
      </c>
    </row>
    <row r="9" spans="1:39" ht="10.8" hidden="1" thickBot="1" x14ac:dyDescent="0.25">
      <c r="A9" s="10"/>
      <c r="B9" s="10" t="s">
        <v>189</v>
      </c>
      <c r="C9" s="10"/>
      <c r="D9" s="11"/>
      <c r="E9" s="23">
        <f>SUM(W2:W11)</f>
        <v>0</v>
      </c>
      <c r="F9" s="12">
        <f>SUM(X2:X11)</f>
        <v>0</v>
      </c>
      <c r="G9" s="12">
        <f t="shared" ref="G9:S9" si="17">SUM(Y2:Y11)</f>
        <v>0</v>
      </c>
      <c r="H9" s="12">
        <f t="shared" si="17"/>
        <v>0</v>
      </c>
      <c r="I9" s="12">
        <f t="shared" si="17"/>
        <v>0</v>
      </c>
      <c r="J9" s="12">
        <f t="shared" si="17"/>
        <v>0</v>
      </c>
      <c r="K9" s="12">
        <f t="shared" si="17"/>
        <v>0</v>
      </c>
      <c r="L9" s="12">
        <f t="shared" si="17"/>
        <v>0</v>
      </c>
      <c r="M9" s="12">
        <f t="shared" si="17"/>
        <v>0</v>
      </c>
      <c r="N9" s="12">
        <f t="shared" si="17"/>
        <v>0</v>
      </c>
      <c r="O9" s="12">
        <f t="shared" si="17"/>
        <v>0</v>
      </c>
      <c r="P9" s="12">
        <f t="shared" si="17"/>
        <v>0</v>
      </c>
      <c r="Q9" s="12">
        <f t="shared" si="17"/>
        <v>0</v>
      </c>
      <c r="R9" s="12">
        <f>SUM(F9:Q9)</f>
        <v>0</v>
      </c>
      <c r="S9" s="12">
        <f t="shared" si="17"/>
        <v>0</v>
      </c>
      <c r="T9" s="12">
        <f>SUM(AL2:AL11)</f>
        <v>0</v>
      </c>
      <c r="U9" s="12">
        <f>SUM(AM2:AM11)</f>
        <v>0</v>
      </c>
      <c r="W9" s="9">
        <f t="shared" ref="W9:AI9" si="18">IF($B51=9%,E51-E51*E48,0)</f>
        <v>0</v>
      </c>
      <c r="X9" s="9">
        <f t="shared" si="18"/>
        <v>0</v>
      </c>
      <c r="Y9" s="9">
        <f t="shared" si="18"/>
        <v>0</v>
      </c>
      <c r="Z9" s="9">
        <f t="shared" si="18"/>
        <v>0</v>
      </c>
      <c r="AA9" s="9">
        <f t="shared" si="18"/>
        <v>0</v>
      </c>
      <c r="AB9" s="9">
        <f t="shared" si="18"/>
        <v>0</v>
      </c>
      <c r="AC9" s="9">
        <f t="shared" si="18"/>
        <v>0</v>
      </c>
      <c r="AD9" s="9">
        <f t="shared" si="18"/>
        <v>0</v>
      </c>
      <c r="AE9" s="9">
        <f t="shared" si="18"/>
        <v>0</v>
      </c>
      <c r="AF9" s="9">
        <f t="shared" si="18"/>
        <v>0</v>
      </c>
      <c r="AG9" s="9">
        <f t="shared" si="18"/>
        <v>0</v>
      </c>
      <c r="AH9" s="9">
        <f t="shared" si="18"/>
        <v>0</v>
      </c>
      <c r="AI9" s="9">
        <f t="shared" si="18"/>
        <v>0</v>
      </c>
      <c r="AJ9" s="9">
        <f t="shared" si="6"/>
        <v>0</v>
      </c>
      <c r="AK9" s="9">
        <f>IF($B51=9%,S51-S51*S48,0)</f>
        <v>0</v>
      </c>
      <c r="AL9" s="9">
        <f>IF($B51=9%,T51-T51*T48,0)</f>
        <v>0</v>
      </c>
      <c r="AM9" s="9">
        <f>IF($B51=9%,U51-U51*U48,0)</f>
        <v>0</v>
      </c>
    </row>
    <row r="10" spans="1:39" ht="10.8" hidden="1" thickBot="1" x14ac:dyDescent="0.25">
      <c r="A10" s="10"/>
      <c r="B10" s="10" t="s">
        <v>145</v>
      </c>
      <c r="C10" s="10"/>
      <c r="D10" s="11"/>
      <c r="E10" s="23">
        <f t="shared" ref="E10:Q10" si="19">E13*E16+E18*E21+E23*E26+E28*E31+E33*E36+E38*E41+E43*E46+E48*E51+E53*E56+E58*E61</f>
        <v>12000</v>
      </c>
      <c r="F10" s="12">
        <f t="shared" si="19"/>
        <v>0</v>
      </c>
      <c r="G10" s="12">
        <f t="shared" si="19"/>
        <v>0</v>
      </c>
      <c r="H10" s="12">
        <f t="shared" si="19"/>
        <v>0</v>
      </c>
      <c r="I10" s="12">
        <f t="shared" si="19"/>
        <v>0</v>
      </c>
      <c r="J10" s="12">
        <f t="shared" si="19"/>
        <v>0</v>
      </c>
      <c r="K10" s="12">
        <f t="shared" si="19"/>
        <v>0</v>
      </c>
      <c r="L10" s="12">
        <f t="shared" si="19"/>
        <v>0</v>
      </c>
      <c r="M10" s="12">
        <f t="shared" si="19"/>
        <v>0</v>
      </c>
      <c r="N10" s="12">
        <f t="shared" si="19"/>
        <v>0</v>
      </c>
      <c r="O10" s="12">
        <f t="shared" si="19"/>
        <v>0</v>
      </c>
      <c r="P10" s="12">
        <f t="shared" si="19"/>
        <v>0</v>
      </c>
      <c r="Q10" s="12">
        <f t="shared" si="19"/>
        <v>0</v>
      </c>
      <c r="R10" s="12">
        <f>SUM(F10:Q10)</f>
        <v>0</v>
      </c>
      <c r="S10" s="12">
        <f>S13*S16+S18*S21+S23*S26+S28*S31+S33*S36+S38*S41+S43*S46+S48*S51+S53*S56+S58*S61</f>
        <v>0</v>
      </c>
      <c r="T10" s="12">
        <f>T13*T16+T18*T21+T23*T26+T28*T31+T33*T36+T38*T41+T43*T46+T48*T51+T53*T56+T58*T61</f>
        <v>0</v>
      </c>
      <c r="U10" s="12">
        <f>U13*U16+U18*U21+U23*U26+U28*U31+U33*U36+U38*U41+U43*U46+U48*U51+U53*U56+U58*U61</f>
        <v>0</v>
      </c>
      <c r="W10" s="9">
        <f t="shared" ref="W10:AI10" si="20">IF($B56=9%,E56-E56*E53,0)</f>
        <v>0</v>
      </c>
      <c r="X10" s="9">
        <f t="shared" si="20"/>
        <v>0</v>
      </c>
      <c r="Y10" s="9">
        <f t="shared" si="20"/>
        <v>0</v>
      </c>
      <c r="Z10" s="9">
        <f t="shared" si="20"/>
        <v>0</v>
      </c>
      <c r="AA10" s="9">
        <f t="shared" si="20"/>
        <v>0</v>
      </c>
      <c r="AB10" s="9">
        <f t="shared" si="20"/>
        <v>0</v>
      </c>
      <c r="AC10" s="9">
        <f t="shared" si="20"/>
        <v>0</v>
      </c>
      <c r="AD10" s="9">
        <f t="shared" si="20"/>
        <v>0</v>
      </c>
      <c r="AE10" s="9">
        <f t="shared" si="20"/>
        <v>0</v>
      </c>
      <c r="AF10" s="9">
        <f t="shared" si="20"/>
        <v>0</v>
      </c>
      <c r="AG10" s="9">
        <f t="shared" si="20"/>
        <v>0</v>
      </c>
      <c r="AH10" s="9">
        <f t="shared" si="20"/>
        <v>0</v>
      </c>
      <c r="AI10" s="9">
        <f t="shared" si="20"/>
        <v>0</v>
      </c>
      <c r="AJ10" s="9">
        <f t="shared" si="6"/>
        <v>0</v>
      </c>
      <c r="AK10" s="9">
        <f>IF($B56=9%,S56-S56*S53,0)</f>
        <v>0</v>
      </c>
      <c r="AL10" s="9">
        <f>IF($B56=9%,T56-T56*T53,0)</f>
        <v>0</v>
      </c>
      <c r="AM10" s="9">
        <f>IF($B56=9%,U56-U56*U53,0)</f>
        <v>0</v>
      </c>
    </row>
    <row r="11" spans="1:39" ht="10.8" hidden="1" thickBot="1" x14ac:dyDescent="0.25">
      <c r="A11" s="13"/>
      <c r="B11" s="13"/>
      <c r="C11" s="13"/>
      <c r="D11" s="14"/>
      <c r="E11" s="24"/>
      <c r="F11" s="15"/>
      <c r="G11" s="15"/>
      <c r="H11" s="15"/>
      <c r="I11" s="15"/>
      <c r="J11" s="15"/>
      <c r="K11" s="15"/>
      <c r="L11" s="15"/>
      <c r="M11" s="15"/>
      <c r="N11" s="15"/>
      <c r="O11" s="15"/>
      <c r="P11" s="15"/>
      <c r="Q11" s="15"/>
      <c r="R11" s="15"/>
      <c r="S11" s="15"/>
      <c r="T11" s="15"/>
      <c r="U11" s="15"/>
      <c r="W11" s="9">
        <f t="shared" ref="W11:AI11" si="21">IF($B61=9%,E61-E61*E58,0)</f>
        <v>0</v>
      </c>
      <c r="X11" s="9">
        <f t="shared" si="21"/>
        <v>0</v>
      </c>
      <c r="Y11" s="9">
        <f t="shared" si="21"/>
        <v>0</v>
      </c>
      <c r="Z11" s="9">
        <f t="shared" si="21"/>
        <v>0</v>
      </c>
      <c r="AA11" s="9">
        <f t="shared" si="21"/>
        <v>0</v>
      </c>
      <c r="AB11" s="9">
        <f t="shared" si="21"/>
        <v>0</v>
      </c>
      <c r="AC11" s="9">
        <f t="shared" si="21"/>
        <v>0</v>
      </c>
      <c r="AD11" s="9">
        <f t="shared" si="21"/>
        <v>0</v>
      </c>
      <c r="AE11" s="9">
        <f t="shared" si="21"/>
        <v>0</v>
      </c>
      <c r="AF11" s="9">
        <f t="shared" si="21"/>
        <v>0</v>
      </c>
      <c r="AG11" s="9">
        <f t="shared" si="21"/>
        <v>0</v>
      </c>
      <c r="AH11" s="9">
        <f t="shared" si="21"/>
        <v>0</v>
      </c>
      <c r="AI11" s="9">
        <f t="shared" si="21"/>
        <v>0</v>
      </c>
      <c r="AJ11" s="9">
        <f t="shared" si="6"/>
        <v>0</v>
      </c>
      <c r="AK11" s="9">
        <f>IF($B61=9%,S61-S61*S58,0)</f>
        <v>0</v>
      </c>
      <c r="AL11" s="9">
        <f>IF($B61=9%,T61-T61*T58,0)</f>
        <v>0</v>
      </c>
      <c r="AM11" s="9">
        <f>IF($B61=9%,U61-U61*U58,0)</f>
        <v>0</v>
      </c>
    </row>
    <row r="12" spans="1:39" ht="10.8" thickTop="1" x14ac:dyDescent="0.2">
      <c r="A12" s="293">
        <v>1</v>
      </c>
      <c r="B12" s="296" t="s">
        <v>240</v>
      </c>
      <c r="C12" s="297"/>
      <c r="D12" s="16" t="s">
        <v>130</v>
      </c>
      <c r="E12" s="25">
        <v>2</v>
      </c>
      <c r="F12" s="199">
        <v>0</v>
      </c>
      <c r="G12" s="199">
        <v>30</v>
      </c>
      <c r="H12" s="199">
        <v>50</v>
      </c>
      <c r="I12" s="199">
        <v>90</v>
      </c>
      <c r="J12" s="199">
        <v>180</v>
      </c>
      <c r="K12" s="199">
        <v>300</v>
      </c>
      <c r="L12" s="199">
        <v>600</v>
      </c>
      <c r="M12" s="199">
        <v>800</v>
      </c>
      <c r="N12" s="199">
        <v>1000</v>
      </c>
      <c r="O12" s="199">
        <v>1200</v>
      </c>
      <c r="P12" s="199">
        <v>1500</v>
      </c>
      <c r="Q12" s="199">
        <v>1800</v>
      </c>
      <c r="R12" s="200">
        <f>SUM(F12:Q12)</f>
        <v>7550</v>
      </c>
      <c r="S12" s="199">
        <f>130*1*7*4*12*0.8</f>
        <v>34944</v>
      </c>
      <c r="T12" s="199">
        <f>170*1*7*4*12*0.8</f>
        <v>45696</v>
      </c>
      <c r="U12" s="201"/>
    </row>
    <row r="13" spans="1:39" x14ac:dyDescent="0.2">
      <c r="A13" s="294"/>
      <c r="B13" s="298"/>
      <c r="C13" s="298"/>
      <c r="D13" s="17" t="s">
        <v>112</v>
      </c>
      <c r="E13" s="26">
        <v>0.5</v>
      </c>
      <c r="F13" s="127">
        <v>0</v>
      </c>
      <c r="G13" s="127">
        <v>0</v>
      </c>
      <c r="H13" s="127">
        <v>0</v>
      </c>
      <c r="I13" s="127">
        <v>0</v>
      </c>
      <c r="J13" s="127">
        <v>0</v>
      </c>
      <c r="K13" s="127">
        <v>0</v>
      </c>
      <c r="L13" s="127">
        <v>0</v>
      </c>
      <c r="M13" s="127">
        <v>0</v>
      </c>
      <c r="N13" s="127">
        <v>0</v>
      </c>
      <c r="O13" s="127">
        <v>0</v>
      </c>
      <c r="P13" s="127">
        <v>0</v>
      </c>
      <c r="Q13" s="127">
        <v>0</v>
      </c>
      <c r="R13" s="128"/>
      <c r="S13" s="127">
        <v>0</v>
      </c>
      <c r="T13" s="127">
        <v>0</v>
      </c>
      <c r="U13" s="129"/>
    </row>
    <row r="14" spans="1:39" x14ac:dyDescent="0.2">
      <c r="A14" s="294"/>
      <c r="B14" s="298"/>
      <c r="C14" s="298"/>
      <c r="D14" s="8" t="s">
        <v>147</v>
      </c>
      <c r="E14" s="23">
        <v>12000</v>
      </c>
      <c r="F14" s="32">
        <v>1.2</v>
      </c>
      <c r="G14" s="32">
        <v>1.2</v>
      </c>
      <c r="H14" s="32">
        <v>1.2</v>
      </c>
      <c r="I14" s="32">
        <v>1.2</v>
      </c>
      <c r="J14" s="32">
        <v>1.2</v>
      </c>
      <c r="K14" s="32">
        <v>1.2</v>
      </c>
      <c r="L14" s="32">
        <v>1.2</v>
      </c>
      <c r="M14" s="32">
        <v>1.2</v>
      </c>
      <c r="N14" s="32">
        <v>1.2</v>
      </c>
      <c r="O14" s="32">
        <v>1.2</v>
      </c>
      <c r="P14" s="32">
        <v>1.2</v>
      </c>
      <c r="Q14" s="32">
        <v>1.2</v>
      </c>
      <c r="R14" s="33"/>
      <c r="S14" s="32">
        <v>1.2</v>
      </c>
      <c r="T14" s="32">
        <v>1.2</v>
      </c>
      <c r="U14" s="32"/>
    </row>
    <row r="15" spans="1:39" ht="30.6" x14ac:dyDescent="0.2">
      <c r="A15" s="294"/>
      <c r="B15" s="18" t="s">
        <v>131</v>
      </c>
      <c r="C15" s="18" t="s">
        <v>140</v>
      </c>
      <c r="D15" s="8" t="s">
        <v>193</v>
      </c>
      <c r="E15" s="23">
        <v>8000</v>
      </c>
      <c r="F15" s="32"/>
      <c r="G15" s="32"/>
      <c r="H15" s="32"/>
      <c r="I15" s="32"/>
      <c r="J15" s="32"/>
      <c r="K15" s="32"/>
      <c r="L15" s="32"/>
      <c r="M15" s="32"/>
      <c r="N15" s="32"/>
      <c r="O15" s="32"/>
      <c r="P15" s="32"/>
      <c r="Q15" s="32"/>
      <c r="R15" s="33"/>
      <c r="S15" s="32"/>
      <c r="T15" s="32"/>
      <c r="U15" s="34"/>
    </row>
    <row r="16" spans="1:39" ht="10.8" thickBot="1" x14ac:dyDescent="0.25">
      <c r="A16" s="295"/>
      <c r="B16" s="19">
        <v>0.2</v>
      </c>
      <c r="C16" s="19">
        <v>0</v>
      </c>
      <c r="D16" s="20" t="s">
        <v>124</v>
      </c>
      <c r="E16" s="27">
        <f t="shared" ref="E16:Q16" si="22">E12*E14</f>
        <v>24000</v>
      </c>
      <c r="F16" s="35">
        <f t="shared" si="22"/>
        <v>0</v>
      </c>
      <c r="G16" s="35">
        <f t="shared" si="22"/>
        <v>36</v>
      </c>
      <c r="H16" s="35">
        <f t="shared" si="22"/>
        <v>60</v>
      </c>
      <c r="I16" s="35">
        <f t="shared" si="22"/>
        <v>108</v>
      </c>
      <c r="J16" s="35">
        <f t="shared" si="22"/>
        <v>216</v>
      </c>
      <c r="K16" s="35">
        <f t="shared" si="22"/>
        <v>360</v>
      </c>
      <c r="L16" s="35">
        <f t="shared" si="22"/>
        <v>720</v>
      </c>
      <c r="M16" s="35">
        <f t="shared" si="22"/>
        <v>960</v>
      </c>
      <c r="N16" s="35">
        <f t="shared" si="22"/>
        <v>1200</v>
      </c>
      <c r="O16" s="35">
        <f t="shared" si="22"/>
        <v>1440</v>
      </c>
      <c r="P16" s="35">
        <f t="shared" si="22"/>
        <v>1800</v>
      </c>
      <c r="Q16" s="35">
        <f t="shared" si="22"/>
        <v>2160</v>
      </c>
      <c r="R16" s="35">
        <f>SUM(F16:Q16)</f>
        <v>9060</v>
      </c>
      <c r="S16" s="35">
        <f t="shared" ref="S16:U16" si="23">S12*S14</f>
        <v>41932.799999999996</v>
      </c>
      <c r="T16" s="35">
        <f t="shared" si="23"/>
        <v>54835.199999999997</v>
      </c>
      <c r="U16" s="36">
        <f t="shared" si="23"/>
        <v>0</v>
      </c>
    </row>
    <row r="17" spans="1:22" ht="10.8" thickTop="1" x14ac:dyDescent="0.2">
      <c r="A17" s="293">
        <v>2</v>
      </c>
      <c r="B17" s="296" t="s">
        <v>241</v>
      </c>
      <c r="C17" s="297"/>
      <c r="D17" s="16" t="s">
        <v>130</v>
      </c>
      <c r="E17" s="25">
        <v>15</v>
      </c>
      <c r="F17" s="31">
        <f>F12*0.1</f>
        <v>0</v>
      </c>
      <c r="G17" s="31">
        <v>0</v>
      </c>
      <c r="H17" s="31">
        <f>H12*0.03</f>
        <v>1.5</v>
      </c>
      <c r="I17" s="31">
        <f t="shared" ref="I17:Q17" si="24">I12*0.03</f>
        <v>2.6999999999999997</v>
      </c>
      <c r="J17" s="196">
        <f t="shared" si="24"/>
        <v>5.3999999999999995</v>
      </c>
      <c r="K17" s="196">
        <f t="shared" si="24"/>
        <v>9</v>
      </c>
      <c r="L17" s="196">
        <f t="shared" si="24"/>
        <v>18</v>
      </c>
      <c r="M17" s="196">
        <f t="shared" si="24"/>
        <v>24</v>
      </c>
      <c r="N17" s="196">
        <f t="shared" si="24"/>
        <v>30</v>
      </c>
      <c r="O17" s="196">
        <f t="shared" si="24"/>
        <v>36</v>
      </c>
      <c r="P17" s="196">
        <f t="shared" si="24"/>
        <v>45</v>
      </c>
      <c r="Q17" s="196">
        <f t="shared" si="24"/>
        <v>54</v>
      </c>
      <c r="R17" s="197">
        <f>SUM(F17:Q17)</f>
        <v>225.6</v>
      </c>
      <c r="S17" s="196">
        <v>400</v>
      </c>
      <c r="T17" s="196">
        <v>450</v>
      </c>
      <c r="U17" s="198"/>
    </row>
    <row r="18" spans="1:22" x14ac:dyDescent="0.2">
      <c r="A18" s="294"/>
      <c r="B18" s="298"/>
      <c r="C18" s="298"/>
      <c r="D18" s="17" t="s">
        <v>112</v>
      </c>
      <c r="E18" s="26">
        <v>0</v>
      </c>
      <c r="F18" s="127">
        <v>0</v>
      </c>
      <c r="G18" s="127">
        <v>0</v>
      </c>
      <c r="H18" s="127">
        <v>0</v>
      </c>
      <c r="I18" s="127">
        <v>0</v>
      </c>
      <c r="J18" s="127">
        <v>0</v>
      </c>
      <c r="K18" s="127">
        <v>0</v>
      </c>
      <c r="L18" s="127">
        <v>0</v>
      </c>
      <c r="M18" s="127">
        <v>0</v>
      </c>
      <c r="N18" s="127">
        <v>0</v>
      </c>
      <c r="O18" s="127">
        <v>0</v>
      </c>
      <c r="P18" s="127">
        <v>0</v>
      </c>
      <c r="Q18" s="127">
        <v>0</v>
      </c>
      <c r="R18" s="128"/>
      <c r="S18" s="127"/>
      <c r="T18" s="127"/>
      <c r="U18" s="129"/>
    </row>
    <row r="19" spans="1:22" x14ac:dyDescent="0.2">
      <c r="A19" s="294"/>
      <c r="B19" s="298"/>
      <c r="C19" s="298"/>
      <c r="D19" s="8" t="s">
        <v>147</v>
      </c>
      <c r="E19" s="23">
        <v>3000</v>
      </c>
      <c r="F19" s="32">
        <v>3.6</v>
      </c>
      <c r="G19" s="32">
        <v>3.6</v>
      </c>
      <c r="H19" s="32">
        <v>3.6</v>
      </c>
      <c r="I19" s="32">
        <v>3.6</v>
      </c>
      <c r="J19" s="32">
        <v>3.6</v>
      </c>
      <c r="K19" s="32">
        <v>3.6</v>
      </c>
      <c r="L19" s="32">
        <v>3.6</v>
      </c>
      <c r="M19" s="32">
        <v>3.6</v>
      </c>
      <c r="N19" s="32">
        <v>3.6</v>
      </c>
      <c r="O19" s="32">
        <v>3.6</v>
      </c>
      <c r="P19" s="32">
        <v>3.6</v>
      </c>
      <c r="Q19" s="32">
        <v>3.6</v>
      </c>
      <c r="R19" s="33"/>
      <c r="S19" s="32">
        <v>3.6</v>
      </c>
      <c r="T19" s="32">
        <v>4</v>
      </c>
      <c r="U19" s="34"/>
    </row>
    <row r="20" spans="1:22" ht="30.6" x14ac:dyDescent="0.2">
      <c r="A20" s="294"/>
      <c r="B20" s="18" t="s">
        <v>131</v>
      </c>
      <c r="C20" s="18" t="s">
        <v>140</v>
      </c>
      <c r="D20" s="8" t="s">
        <v>194</v>
      </c>
      <c r="E20" s="23">
        <v>1400</v>
      </c>
      <c r="F20" s="32"/>
      <c r="G20" s="32"/>
      <c r="H20" s="32"/>
      <c r="I20" s="32"/>
      <c r="J20" s="32"/>
      <c r="K20" s="32"/>
      <c r="L20" s="32"/>
      <c r="M20" s="32"/>
      <c r="N20" s="32"/>
      <c r="O20" s="32"/>
      <c r="P20" s="32"/>
      <c r="Q20" s="32"/>
      <c r="R20" s="33"/>
      <c r="S20" s="32"/>
      <c r="T20" s="32"/>
      <c r="U20" s="34"/>
    </row>
    <row r="21" spans="1:22" ht="10.8" thickBot="1" x14ac:dyDescent="0.25">
      <c r="A21" s="295"/>
      <c r="B21" s="19">
        <v>0.2</v>
      </c>
      <c r="C21" s="19">
        <v>0</v>
      </c>
      <c r="D21" s="20" t="s">
        <v>138</v>
      </c>
      <c r="E21" s="27">
        <f>E17*E19</f>
        <v>45000</v>
      </c>
      <c r="F21" s="35">
        <f t="shared" ref="F21:Q21" si="25">F17*F19</f>
        <v>0</v>
      </c>
      <c r="G21" s="35">
        <f t="shared" si="25"/>
        <v>0</v>
      </c>
      <c r="H21" s="35">
        <f t="shared" si="25"/>
        <v>5.4</v>
      </c>
      <c r="I21" s="35">
        <f t="shared" si="25"/>
        <v>9.7199999999999989</v>
      </c>
      <c r="J21" s="35">
        <f t="shared" si="25"/>
        <v>19.439999999999998</v>
      </c>
      <c r="K21" s="35">
        <f t="shared" si="25"/>
        <v>32.4</v>
      </c>
      <c r="L21" s="35">
        <f t="shared" si="25"/>
        <v>64.8</v>
      </c>
      <c r="M21" s="35">
        <f t="shared" si="25"/>
        <v>86.4</v>
      </c>
      <c r="N21" s="35">
        <f t="shared" si="25"/>
        <v>108</v>
      </c>
      <c r="O21" s="35">
        <f t="shared" si="25"/>
        <v>129.6</v>
      </c>
      <c r="P21" s="35">
        <f t="shared" si="25"/>
        <v>162</v>
      </c>
      <c r="Q21" s="35">
        <f t="shared" si="25"/>
        <v>194.4</v>
      </c>
      <c r="R21" s="35">
        <f>SUM(F21:Q21)</f>
        <v>812.16</v>
      </c>
      <c r="S21" s="35">
        <f>S17*S19</f>
        <v>1440</v>
      </c>
      <c r="T21" s="35">
        <f>T17*T19</f>
        <v>1800</v>
      </c>
      <c r="U21" s="36">
        <f>U17*U19</f>
        <v>0</v>
      </c>
    </row>
    <row r="22" spans="1:22" ht="10.8" thickTop="1" x14ac:dyDescent="0.2">
      <c r="A22" s="293">
        <v>3</v>
      </c>
      <c r="B22" s="296" t="s">
        <v>242</v>
      </c>
      <c r="C22" s="297"/>
      <c r="D22" s="16" t="s">
        <v>130</v>
      </c>
      <c r="E22" s="25">
        <v>20</v>
      </c>
      <c r="F22" s="196">
        <v>0</v>
      </c>
      <c r="G22" s="196">
        <v>0</v>
      </c>
      <c r="H22" s="196">
        <v>0</v>
      </c>
      <c r="I22" s="196">
        <v>0</v>
      </c>
      <c r="J22" s="196">
        <v>5</v>
      </c>
      <c r="K22" s="196">
        <v>5</v>
      </c>
      <c r="L22" s="196">
        <v>5</v>
      </c>
      <c r="M22" s="196">
        <v>5</v>
      </c>
      <c r="N22" s="196">
        <v>5</v>
      </c>
      <c r="O22" s="196">
        <v>5</v>
      </c>
      <c r="P22" s="196">
        <v>5</v>
      </c>
      <c r="Q22" s="196">
        <v>5</v>
      </c>
      <c r="R22" s="197">
        <f>SUM(F22:Q22)</f>
        <v>40</v>
      </c>
      <c r="S22" s="196">
        <v>60</v>
      </c>
      <c r="T22" s="196">
        <v>60</v>
      </c>
      <c r="U22" s="198"/>
    </row>
    <row r="23" spans="1:22" x14ac:dyDescent="0.2">
      <c r="A23" s="294"/>
      <c r="B23" s="298"/>
      <c r="C23" s="298"/>
      <c r="D23" s="17" t="s">
        <v>112</v>
      </c>
      <c r="E23" s="26">
        <v>0</v>
      </c>
      <c r="F23" s="127">
        <v>0</v>
      </c>
      <c r="G23" s="127">
        <v>0</v>
      </c>
      <c r="H23" s="127">
        <v>0</v>
      </c>
      <c r="I23" s="127">
        <v>0</v>
      </c>
      <c r="J23" s="127">
        <v>0</v>
      </c>
      <c r="K23" s="127">
        <v>0</v>
      </c>
      <c r="L23" s="127">
        <v>0</v>
      </c>
      <c r="M23" s="127">
        <v>0</v>
      </c>
      <c r="N23" s="127">
        <v>0</v>
      </c>
      <c r="O23" s="127">
        <v>0</v>
      </c>
      <c r="P23" s="127">
        <v>0</v>
      </c>
      <c r="Q23" s="127">
        <v>0</v>
      </c>
      <c r="R23" s="128"/>
      <c r="S23" s="127"/>
      <c r="T23" s="127"/>
      <c r="U23" s="129"/>
    </row>
    <row r="24" spans="1:22" x14ac:dyDescent="0.2">
      <c r="A24" s="294"/>
      <c r="B24" s="298"/>
      <c r="C24" s="298"/>
      <c r="D24" s="8" t="s">
        <v>147</v>
      </c>
      <c r="E24" s="23">
        <v>350</v>
      </c>
      <c r="F24" s="32">
        <v>50</v>
      </c>
      <c r="G24" s="32">
        <v>50</v>
      </c>
      <c r="H24" s="32">
        <v>50</v>
      </c>
      <c r="I24" s="32">
        <v>50</v>
      </c>
      <c r="J24" s="32">
        <v>100</v>
      </c>
      <c r="K24" s="32">
        <v>150</v>
      </c>
      <c r="L24" s="32">
        <v>200</v>
      </c>
      <c r="M24" s="32">
        <v>200</v>
      </c>
      <c r="N24" s="32">
        <v>200</v>
      </c>
      <c r="O24" s="32">
        <v>200</v>
      </c>
      <c r="P24" s="32">
        <v>200</v>
      </c>
      <c r="Q24" s="32">
        <v>200</v>
      </c>
      <c r="R24" s="33"/>
      <c r="S24" s="32">
        <v>350</v>
      </c>
      <c r="T24" s="32">
        <v>350</v>
      </c>
      <c r="U24" s="34"/>
    </row>
    <row r="25" spans="1:22" ht="30.6" x14ac:dyDescent="0.2">
      <c r="A25" s="294"/>
      <c r="B25" s="18" t="s">
        <v>131</v>
      </c>
      <c r="C25" s="18" t="s">
        <v>140</v>
      </c>
      <c r="D25" s="8" t="s">
        <v>194</v>
      </c>
      <c r="E25" s="23">
        <v>0</v>
      </c>
      <c r="F25" s="32"/>
      <c r="G25" s="32"/>
      <c r="H25" s="32"/>
      <c r="I25" s="32"/>
      <c r="J25" s="32"/>
      <c r="K25" s="32"/>
      <c r="L25" s="32"/>
      <c r="M25" s="32"/>
      <c r="N25" s="32"/>
      <c r="O25" s="32"/>
      <c r="P25" s="32"/>
      <c r="Q25" s="32"/>
      <c r="R25" s="33"/>
      <c r="S25" s="32"/>
      <c r="T25" s="32"/>
      <c r="U25" s="34"/>
    </row>
    <row r="26" spans="1:22" ht="10.8" thickBot="1" x14ac:dyDescent="0.25">
      <c r="A26" s="295"/>
      <c r="B26" s="21">
        <v>0.2</v>
      </c>
      <c r="C26" s="21">
        <v>0</v>
      </c>
      <c r="D26" s="20" t="s">
        <v>139</v>
      </c>
      <c r="E26" s="27">
        <f>E22*E24</f>
        <v>7000</v>
      </c>
      <c r="F26" s="35">
        <f t="shared" ref="F26:Q26" si="26">F22*F24</f>
        <v>0</v>
      </c>
      <c r="G26" s="35">
        <f t="shared" si="26"/>
        <v>0</v>
      </c>
      <c r="H26" s="35">
        <f t="shared" si="26"/>
        <v>0</v>
      </c>
      <c r="I26" s="35">
        <f t="shared" si="26"/>
        <v>0</v>
      </c>
      <c r="J26" s="35">
        <f t="shared" si="26"/>
        <v>500</v>
      </c>
      <c r="K26" s="35">
        <f t="shared" si="26"/>
        <v>750</v>
      </c>
      <c r="L26" s="35">
        <f t="shared" si="26"/>
        <v>1000</v>
      </c>
      <c r="M26" s="35">
        <f t="shared" si="26"/>
        <v>1000</v>
      </c>
      <c r="N26" s="35">
        <f t="shared" si="26"/>
        <v>1000</v>
      </c>
      <c r="O26" s="35">
        <f t="shared" si="26"/>
        <v>1000</v>
      </c>
      <c r="P26" s="35">
        <f t="shared" si="26"/>
        <v>1000</v>
      </c>
      <c r="Q26" s="35">
        <f t="shared" si="26"/>
        <v>1000</v>
      </c>
      <c r="R26" s="35">
        <f>SUM(F26:Q26)</f>
        <v>7250</v>
      </c>
      <c r="S26" s="35">
        <f>S22*S24</f>
        <v>21000</v>
      </c>
      <c r="T26" s="35">
        <f>T22*T24</f>
        <v>21000</v>
      </c>
      <c r="U26" s="36">
        <f>U22*U24</f>
        <v>0</v>
      </c>
    </row>
    <row r="27" spans="1:22" ht="10.8" thickTop="1" x14ac:dyDescent="0.2">
      <c r="A27" s="293">
        <v>4</v>
      </c>
      <c r="B27" s="296" t="s">
        <v>243</v>
      </c>
      <c r="C27" s="297"/>
      <c r="D27" s="16" t="s">
        <v>130</v>
      </c>
      <c r="E27" s="25">
        <v>30</v>
      </c>
      <c r="F27" s="196">
        <f t="shared" ref="F27" si="27">F12*0.01</f>
        <v>0</v>
      </c>
      <c r="G27" s="196">
        <v>0</v>
      </c>
      <c r="H27" s="196">
        <v>0</v>
      </c>
      <c r="I27" s="196">
        <v>0</v>
      </c>
      <c r="J27" s="196">
        <v>0</v>
      </c>
      <c r="K27" s="196">
        <v>0</v>
      </c>
      <c r="L27" s="196">
        <v>0</v>
      </c>
      <c r="M27" s="196">
        <v>1</v>
      </c>
      <c r="N27" s="196">
        <v>1</v>
      </c>
      <c r="O27" s="196">
        <v>1</v>
      </c>
      <c r="P27" s="196">
        <v>1</v>
      </c>
      <c r="Q27" s="196">
        <v>1</v>
      </c>
      <c r="R27" s="197">
        <f>SUM(F27:Q27)</f>
        <v>5</v>
      </c>
      <c r="S27" s="196">
        <v>7</v>
      </c>
      <c r="T27" s="196">
        <v>10</v>
      </c>
      <c r="U27" s="198"/>
    </row>
    <row r="28" spans="1:22" x14ac:dyDescent="0.2">
      <c r="A28" s="294"/>
      <c r="B28" s="298"/>
      <c r="C28" s="298"/>
      <c r="D28" s="17" t="s">
        <v>112</v>
      </c>
      <c r="E28" s="26">
        <v>0</v>
      </c>
      <c r="F28" s="127">
        <v>0</v>
      </c>
      <c r="G28" s="127">
        <v>0</v>
      </c>
      <c r="H28" s="127">
        <v>0</v>
      </c>
      <c r="I28" s="127">
        <v>0</v>
      </c>
      <c r="J28" s="127">
        <v>0</v>
      </c>
      <c r="K28" s="127">
        <v>0</v>
      </c>
      <c r="L28" s="127">
        <v>0</v>
      </c>
      <c r="M28" s="127">
        <v>0</v>
      </c>
      <c r="N28" s="127">
        <v>0</v>
      </c>
      <c r="O28" s="127">
        <v>0</v>
      </c>
      <c r="P28" s="127">
        <v>0</v>
      </c>
      <c r="Q28" s="127">
        <v>0</v>
      </c>
      <c r="R28" s="128"/>
      <c r="S28" s="127"/>
      <c r="T28" s="127"/>
      <c r="U28" s="129"/>
    </row>
    <row r="29" spans="1:22" x14ac:dyDescent="0.2">
      <c r="A29" s="294"/>
      <c r="B29" s="298"/>
      <c r="C29" s="298"/>
      <c r="D29" s="8" t="s">
        <v>147</v>
      </c>
      <c r="E29" s="23">
        <v>50</v>
      </c>
      <c r="F29" s="32">
        <v>15</v>
      </c>
      <c r="G29" s="32">
        <v>15</v>
      </c>
      <c r="H29" s="32">
        <v>15</v>
      </c>
      <c r="I29" s="32">
        <v>15</v>
      </c>
      <c r="J29" s="32">
        <v>15</v>
      </c>
      <c r="K29" s="32">
        <v>15</v>
      </c>
      <c r="L29" s="32">
        <v>15</v>
      </c>
      <c r="M29" s="32">
        <v>15</v>
      </c>
      <c r="N29" s="32">
        <v>15</v>
      </c>
      <c r="O29" s="32">
        <v>15</v>
      </c>
      <c r="P29" s="32">
        <v>15</v>
      </c>
      <c r="Q29" s="32">
        <v>15</v>
      </c>
      <c r="R29" s="33"/>
      <c r="S29" s="32">
        <v>20</v>
      </c>
      <c r="T29" s="32">
        <v>20</v>
      </c>
      <c r="U29" s="34"/>
    </row>
    <row r="30" spans="1:22" ht="30.6" x14ac:dyDescent="0.2">
      <c r="A30" s="294"/>
      <c r="B30" s="18" t="s">
        <v>131</v>
      </c>
      <c r="C30" s="18" t="s">
        <v>140</v>
      </c>
      <c r="D30" s="8" t="s">
        <v>129</v>
      </c>
      <c r="E30" s="23">
        <v>30</v>
      </c>
      <c r="F30" s="32"/>
      <c r="G30" s="32"/>
      <c r="H30" s="32"/>
      <c r="I30" s="32"/>
      <c r="J30" s="32"/>
      <c r="K30" s="32"/>
      <c r="L30" s="32"/>
      <c r="M30" s="32"/>
      <c r="N30" s="32"/>
      <c r="O30" s="32"/>
      <c r="P30" s="32"/>
      <c r="Q30" s="32"/>
      <c r="R30" s="33"/>
      <c r="S30" s="32"/>
      <c r="T30" s="32"/>
      <c r="U30" s="34"/>
    </row>
    <row r="31" spans="1:22" ht="10.8" thickBot="1" x14ac:dyDescent="0.25">
      <c r="A31" s="295"/>
      <c r="B31" s="21">
        <v>0.2</v>
      </c>
      <c r="C31" s="21">
        <v>0</v>
      </c>
      <c r="D31" s="20" t="s">
        <v>125</v>
      </c>
      <c r="E31" s="27">
        <f>E27*E29</f>
        <v>1500</v>
      </c>
      <c r="F31" s="35">
        <f t="shared" ref="F31:Q31" si="28">F27*F29</f>
        <v>0</v>
      </c>
      <c r="G31" s="35">
        <f t="shared" si="28"/>
        <v>0</v>
      </c>
      <c r="H31" s="35">
        <f t="shared" si="28"/>
        <v>0</v>
      </c>
      <c r="I31" s="35">
        <f t="shared" si="28"/>
        <v>0</v>
      </c>
      <c r="J31" s="35">
        <f t="shared" si="28"/>
        <v>0</v>
      </c>
      <c r="K31" s="35">
        <f t="shared" si="28"/>
        <v>0</v>
      </c>
      <c r="L31" s="35">
        <f t="shared" si="28"/>
        <v>0</v>
      </c>
      <c r="M31" s="35">
        <f t="shared" si="28"/>
        <v>15</v>
      </c>
      <c r="N31" s="35">
        <f t="shared" si="28"/>
        <v>15</v>
      </c>
      <c r="O31" s="35">
        <f t="shared" si="28"/>
        <v>15</v>
      </c>
      <c r="P31" s="35">
        <f t="shared" si="28"/>
        <v>15</v>
      </c>
      <c r="Q31" s="35">
        <f t="shared" si="28"/>
        <v>15</v>
      </c>
      <c r="R31" s="35">
        <f>SUM(F31:Q31)</f>
        <v>75</v>
      </c>
      <c r="S31" s="35">
        <f>S27*S29</f>
        <v>140</v>
      </c>
      <c r="T31" s="35">
        <f>T27*T29</f>
        <v>200</v>
      </c>
      <c r="U31" s="36">
        <f>U27*U29</f>
        <v>0</v>
      </c>
    </row>
    <row r="32" spans="1:22" ht="10.8" thickTop="1" x14ac:dyDescent="0.2">
      <c r="A32" s="293">
        <v>5</v>
      </c>
      <c r="B32" s="296"/>
      <c r="C32" s="297"/>
      <c r="D32" s="16" t="s">
        <v>130</v>
      </c>
      <c r="E32" s="25"/>
      <c r="F32" s="199"/>
      <c r="G32" s="199"/>
      <c r="H32" s="199"/>
      <c r="I32" s="199"/>
      <c r="J32" s="199"/>
      <c r="K32" s="199"/>
      <c r="L32" s="199"/>
      <c r="M32" s="199"/>
      <c r="N32" s="199"/>
      <c r="O32" s="199"/>
      <c r="P32" s="199"/>
      <c r="Q32" s="199"/>
      <c r="R32" s="200">
        <f>SUM(F32:Q32)</f>
        <v>0</v>
      </c>
      <c r="S32" s="199"/>
      <c r="T32" s="199"/>
      <c r="U32" s="201"/>
      <c r="V32" s="202"/>
    </row>
    <row r="33" spans="1:22" x14ac:dyDescent="0.2">
      <c r="A33" s="294"/>
      <c r="B33" s="298"/>
      <c r="C33" s="298"/>
      <c r="D33" s="17" t="s">
        <v>112</v>
      </c>
      <c r="E33" s="26"/>
      <c r="F33" s="127"/>
      <c r="G33" s="127"/>
      <c r="H33" s="127"/>
      <c r="I33" s="127"/>
      <c r="J33" s="127"/>
      <c r="K33" s="127"/>
      <c r="L33" s="127"/>
      <c r="M33" s="127"/>
      <c r="N33" s="127"/>
      <c r="O33" s="127"/>
      <c r="P33" s="127"/>
      <c r="Q33" s="127"/>
      <c r="R33" s="128"/>
      <c r="S33" s="127"/>
      <c r="T33" s="127"/>
      <c r="U33" s="129"/>
    </row>
    <row r="34" spans="1:22" x14ac:dyDescent="0.2">
      <c r="A34" s="294"/>
      <c r="B34" s="298"/>
      <c r="C34" s="298"/>
      <c r="D34" s="8" t="s">
        <v>147</v>
      </c>
      <c r="E34" s="23"/>
      <c r="F34" s="32"/>
      <c r="G34" s="32"/>
      <c r="H34" s="32"/>
      <c r="I34" s="32"/>
      <c r="J34" s="32"/>
      <c r="K34" s="32"/>
      <c r="L34" s="32"/>
      <c r="M34" s="32"/>
      <c r="N34" s="32"/>
      <c r="O34" s="32"/>
      <c r="P34" s="32"/>
      <c r="Q34" s="32"/>
      <c r="R34" s="33"/>
      <c r="S34" s="32"/>
      <c r="T34" s="32"/>
      <c r="U34" s="34"/>
    </row>
    <row r="35" spans="1:22" ht="30.6" x14ac:dyDescent="0.2">
      <c r="A35" s="294"/>
      <c r="B35" s="18" t="s">
        <v>131</v>
      </c>
      <c r="C35" s="18" t="s">
        <v>140</v>
      </c>
      <c r="D35" s="8" t="s">
        <v>193</v>
      </c>
      <c r="E35" s="23"/>
      <c r="F35" s="32"/>
      <c r="G35" s="32"/>
      <c r="H35" s="32"/>
      <c r="I35" s="32"/>
      <c r="J35" s="32"/>
      <c r="K35" s="32"/>
      <c r="L35" s="32"/>
      <c r="M35" s="32"/>
      <c r="N35" s="32"/>
      <c r="O35" s="32"/>
      <c r="P35" s="32"/>
      <c r="Q35" s="32"/>
      <c r="R35" s="33"/>
      <c r="S35" s="32"/>
      <c r="T35" s="32"/>
      <c r="U35" s="34"/>
    </row>
    <row r="36" spans="1:22" ht="10.8" thickBot="1" x14ac:dyDescent="0.25">
      <c r="A36" s="295"/>
      <c r="B36" s="21"/>
      <c r="C36" s="21"/>
      <c r="D36" s="20" t="s">
        <v>126</v>
      </c>
      <c r="E36" s="27">
        <f>E32*E34</f>
        <v>0</v>
      </c>
      <c r="F36" s="35">
        <f t="shared" ref="F36:Q36" si="29">F32*F34</f>
        <v>0</v>
      </c>
      <c r="G36" s="35">
        <f t="shared" si="29"/>
        <v>0</v>
      </c>
      <c r="H36" s="35">
        <f t="shared" si="29"/>
        <v>0</v>
      </c>
      <c r="I36" s="35">
        <f t="shared" si="29"/>
        <v>0</v>
      </c>
      <c r="J36" s="35">
        <f t="shared" si="29"/>
        <v>0</v>
      </c>
      <c r="K36" s="35">
        <f t="shared" si="29"/>
        <v>0</v>
      </c>
      <c r="L36" s="35">
        <f t="shared" si="29"/>
        <v>0</v>
      </c>
      <c r="M36" s="35">
        <f t="shared" si="29"/>
        <v>0</v>
      </c>
      <c r="N36" s="35">
        <f t="shared" si="29"/>
        <v>0</v>
      </c>
      <c r="O36" s="35">
        <f t="shared" si="29"/>
        <v>0</v>
      </c>
      <c r="P36" s="35">
        <f t="shared" si="29"/>
        <v>0</v>
      </c>
      <c r="Q36" s="35">
        <f t="shared" si="29"/>
        <v>0</v>
      </c>
      <c r="R36" s="35">
        <f>SUM(F36:Q36)</f>
        <v>0</v>
      </c>
      <c r="S36" s="35">
        <f>S32*S34</f>
        <v>0</v>
      </c>
      <c r="T36" s="35">
        <f>T32*T34</f>
        <v>0</v>
      </c>
      <c r="U36" s="36">
        <f>U32*U34</f>
        <v>0</v>
      </c>
    </row>
    <row r="37" spans="1:22" ht="10.8" thickTop="1" x14ac:dyDescent="0.2">
      <c r="A37" s="293">
        <v>6</v>
      </c>
      <c r="B37" s="296"/>
      <c r="C37" s="297"/>
      <c r="D37" s="16" t="s">
        <v>130</v>
      </c>
      <c r="E37" s="25"/>
      <c r="F37" s="196"/>
      <c r="G37" s="196"/>
      <c r="H37" s="196"/>
      <c r="I37" s="196"/>
      <c r="J37" s="196"/>
      <c r="K37" s="196"/>
      <c r="L37" s="196"/>
      <c r="M37" s="196"/>
      <c r="N37" s="196"/>
      <c r="O37" s="196"/>
      <c r="P37" s="196"/>
      <c r="Q37" s="196"/>
      <c r="R37" s="197">
        <f>SUM(F37:Q37)</f>
        <v>0</v>
      </c>
      <c r="S37" s="196"/>
      <c r="T37" s="196"/>
      <c r="U37" s="198"/>
    </row>
    <row r="38" spans="1:22" x14ac:dyDescent="0.2">
      <c r="A38" s="294"/>
      <c r="B38" s="298"/>
      <c r="C38" s="298"/>
      <c r="D38" s="17" t="s">
        <v>112</v>
      </c>
      <c r="E38" s="26"/>
      <c r="F38" s="127"/>
      <c r="G38" s="127"/>
      <c r="H38" s="127"/>
      <c r="I38" s="127"/>
      <c r="J38" s="127"/>
      <c r="K38" s="127"/>
      <c r="L38" s="127"/>
      <c r="M38" s="127"/>
      <c r="N38" s="127"/>
      <c r="O38" s="127"/>
      <c r="P38" s="127"/>
      <c r="Q38" s="127"/>
      <c r="R38" s="128"/>
      <c r="S38" s="127"/>
      <c r="T38" s="127"/>
      <c r="U38" s="129"/>
    </row>
    <row r="39" spans="1:22" x14ac:dyDescent="0.2">
      <c r="A39" s="294"/>
      <c r="B39" s="298"/>
      <c r="C39" s="298"/>
      <c r="D39" s="8" t="s">
        <v>147</v>
      </c>
      <c r="E39" s="23"/>
      <c r="F39" s="32"/>
      <c r="G39" s="32"/>
      <c r="H39" s="32"/>
      <c r="I39" s="32"/>
      <c r="J39" s="32"/>
      <c r="K39" s="32"/>
      <c r="L39" s="32"/>
      <c r="M39" s="32"/>
      <c r="N39" s="32"/>
      <c r="O39" s="32"/>
      <c r="P39" s="32"/>
      <c r="Q39" s="32"/>
      <c r="R39" s="33"/>
      <c r="S39" s="32"/>
      <c r="T39" s="32"/>
      <c r="U39" s="34"/>
    </row>
    <row r="40" spans="1:22" ht="30.6" x14ac:dyDescent="0.2">
      <c r="A40" s="294"/>
      <c r="B40" s="18" t="s">
        <v>131</v>
      </c>
      <c r="C40" s="18" t="s">
        <v>140</v>
      </c>
      <c r="D40" s="8" t="s">
        <v>194</v>
      </c>
      <c r="E40" s="23"/>
      <c r="F40" s="32"/>
      <c r="G40" s="32"/>
      <c r="H40" s="32"/>
      <c r="I40" s="32"/>
      <c r="J40" s="32"/>
      <c r="K40" s="32"/>
      <c r="L40" s="32"/>
      <c r="M40" s="32"/>
      <c r="N40" s="32"/>
      <c r="O40" s="32"/>
      <c r="P40" s="32"/>
      <c r="Q40" s="32"/>
      <c r="R40" s="33"/>
      <c r="S40" s="32"/>
      <c r="T40" s="32"/>
      <c r="U40" s="34"/>
    </row>
    <row r="41" spans="1:22" ht="10.8" thickBot="1" x14ac:dyDescent="0.25">
      <c r="A41" s="295"/>
      <c r="B41" s="19"/>
      <c r="C41" s="19"/>
      <c r="D41" s="20" t="s">
        <v>133</v>
      </c>
      <c r="E41" s="27">
        <f>E37*E39</f>
        <v>0</v>
      </c>
      <c r="F41" s="35">
        <f t="shared" ref="F41:Q41" si="30">F37*F39</f>
        <v>0</v>
      </c>
      <c r="G41" s="35">
        <f t="shared" si="30"/>
        <v>0</v>
      </c>
      <c r="H41" s="35">
        <f t="shared" si="30"/>
        <v>0</v>
      </c>
      <c r="I41" s="35">
        <f t="shared" si="30"/>
        <v>0</v>
      </c>
      <c r="J41" s="35">
        <f t="shared" si="30"/>
        <v>0</v>
      </c>
      <c r="K41" s="35">
        <f t="shared" si="30"/>
        <v>0</v>
      </c>
      <c r="L41" s="35">
        <f t="shared" si="30"/>
        <v>0</v>
      </c>
      <c r="M41" s="35">
        <f t="shared" si="30"/>
        <v>0</v>
      </c>
      <c r="N41" s="35">
        <f t="shared" si="30"/>
        <v>0</v>
      </c>
      <c r="O41" s="35">
        <f t="shared" si="30"/>
        <v>0</v>
      </c>
      <c r="P41" s="35">
        <f t="shared" si="30"/>
        <v>0</v>
      </c>
      <c r="Q41" s="35">
        <f t="shared" si="30"/>
        <v>0</v>
      </c>
      <c r="R41" s="35">
        <f>SUM(F41:Q41)</f>
        <v>0</v>
      </c>
      <c r="S41" s="35">
        <f>S37*S39</f>
        <v>0</v>
      </c>
      <c r="T41" s="35">
        <f>T37*T39</f>
        <v>0</v>
      </c>
      <c r="U41" s="36">
        <f>U37*U39</f>
        <v>0</v>
      </c>
    </row>
    <row r="42" spans="1:22" ht="10.8" thickTop="1" x14ac:dyDescent="0.2">
      <c r="A42" s="293">
        <v>7</v>
      </c>
      <c r="B42" s="296"/>
      <c r="C42" s="297"/>
      <c r="D42" s="16" t="s">
        <v>130</v>
      </c>
      <c r="E42" s="25"/>
      <c r="F42" s="199"/>
      <c r="G42" s="199"/>
      <c r="H42" s="199"/>
      <c r="I42" s="199"/>
      <c r="J42" s="199"/>
      <c r="K42" s="199"/>
      <c r="L42" s="199"/>
      <c r="M42" s="199"/>
      <c r="N42" s="199"/>
      <c r="O42" s="199"/>
      <c r="P42" s="199"/>
      <c r="Q42" s="199"/>
      <c r="R42" s="200">
        <f>SUM(F42:Q42)</f>
        <v>0</v>
      </c>
      <c r="S42" s="199"/>
      <c r="T42" s="199"/>
      <c r="U42" s="201"/>
      <c r="V42" s="202"/>
    </row>
    <row r="43" spans="1:22" x14ac:dyDescent="0.2">
      <c r="A43" s="294"/>
      <c r="B43" s="298"/>
      <c r="C43" s="298"/>
      <c r="D43" s="17" t="s">
        <v>112</v>
      </c>
      <c r="E43" s="26"/>
      <c r="F43" s="127"/>
      <c r="G43" s="127"/>
      <c r="H43" s="127"/>
      <c r="I43" s="127"/>
      <c r="J43" s="127"/>
      <c r="K43" s="127"/>
      <c r="L43" s="127"/>
      <c r="M43" s="127"/>
      <c r="N43" s="127"/>
      <c r="O43" s="127"/>
      <c r="P43" s="127"/>
      <c r="Q43" s="127"/>
      <c r="R43" s="128"/>
      <c r="S43" s="127"/>
      <c r="T43" s="127"/>
      <c r="U43" s="129"/>
    </row>
    <row r="44" spans="1:22" x14ac:dyDescent="0.2">
      <c r="A44" s="294"/>
      <c r="B44" s="298"/>
      <c r="C44" s="298"/>
      <c r="D44" s="8" t="s">
        <v>147</v>
      </c>
      <c r="E44" s="23"/>
      <c r="F44" s="32"/>
      <c r="G44" s="32"/>
      <c r="H44" s="32"/>
      <c r="I44" s="32"/>
      <c r="J44" s="32"/>
      <c r="K44" s="32"/>
      <c r="L44" s="32"/>
      <c r="M44" s="32"/>
      <c r="N44" s="32"/>
      <c r="O44" s="32"/>
      <c r="P44" s="32"/>
      <c r="Q44" s="32"/>
      <c r="R44" s="33"/>
      <c r="S44" s="32"/>
      <c r="T44" s="32"/>
      <c r="U44" s="34"/>
    </row>
    <row r="45" spans="1:22" ht="30.6" x14ac:dyDescent="0.2">
      <c r="A45" s="294"/>
      <c r="B45" s="18" t="s">
        <v>131</v>
      </c>
      <c r="C45" s="18" t="s">
        <v>140</v>
      </c>
      <c r="D45" s="8" t="s">
        <v>193</v>
      </c>
      <c r="E45" s="23"/>
      <c r="F45" s="32"/>
      <c r="G45" s="32"/>
      <c r="H45" s="32"/>
      <c r="I45" s="32"/>
      <c r="J45" s="32"/>
      <c r="K45" s="32"/>
      <c r="L45" s="32"/>
      <c r="M45" s="32"/>
      <c r="N45" s="32"/>
      <c r="O45" s="32"/>
      <c r="P45" s="32"/>
      <c r="Q45" s="32"/>
      <c r="R45" s="33"/>
      <c r="S45" s="32"/>
      <c r="T45" s="32"/>
      <c r="U45" s="34"/>
    </row>
    <row r="46" spans="1:22" ht="10.8" thickBot="1" x14ac:dyDescent="0.25">
      <c r="A46" s="295"/>
      <c r="B46" s="21"/>
      <c r="C46" s="21"/>
      <c r="D46" s="20" t="s">
        <v>134</v>
      </c>
      <c r="E46" s="27">
        <f>E42*E44</f>
        <v>0</v>
      </c>
      <c r="F46" s="35">
        <f t="shared" ref="F46:Q46" si="31">F42*F44</f>
        <v>0</v>
      </c>
      <c r="G46" s="35">
        <f t="shared" si="31"/>
        <v>0</v>
      </c>
      <c r="H46" s="35">
        <f t="shared" si="31"/>
        <v>0</v>
      </c>
      <c r="I46" s="35">
        <f t="shared" si="31"/>
        <v>0</v>
      </c>
      <c r="J46" s="35">
        <f t="shared" si="31"/>
        <v>0</v>
      </c>
      <c r="K46" s="35">
        <f t="shared" si="31"/>
        <v>0</v>
      </c>
      <c r="L46" s="35">
        <f t="shared" si="31"/>
        <v>0</v>
      </c>
      <c r="M46" s="35">
        <f t="shared" si="31"/>
        <v>0</v>
      </c>
      <c r="N46" s="35">
        <f t="shared" si="31"/>
        <v>0</v>
      </c>
      <c r="O46" s="35">
        <f t="shared" si="31"/>
        <v>0</v>
      </c>
      <c r="P46" s="35">
        <f t="shared" si="31"/>
        <v>0</v>
      </c>
      <c r="Q46" s="35">
        <f t="shared" si="31"/>
        <v>0</v>
      </c>
      <c r="R46" s="35">
        <f>SUM(F46:Q46)</f>
        <v>0</v>
      </c>
      <c r="S46" s="35">
        <f>S42*S44</f>
        <v>0</v>
      </c>
      <c r="T46" s="35">
        <f>T42*T44</f>
        <v>0</v>
      </c>
      <c r="U46" s="36">
        <f>U42*U44</f>
        <v>0</v>
      </c>
    </row>
    <row r="47" spans="1:22" ht="10.8" thickTop="1" x14ac:dyDescent="0.2">
      <c r="A47" s="293">
        <v>8</v>
      </c>
      <c r="B47" s="296"/>
      <c r="C47" s="297"/>
      <c r="D47" s="16" t="s">
        <v>130</v>
      </c>
      <c r="E47" s="25"/>
      <c r="F47" s="196"/>
      <c r="G47" s="196"/>
      <c r="H47" s="196"/>
      <c r="I47" s="196"/>
      <c r="J47" s="196"/>
      <c r="K47" s="196"/>
      <c r="L47" s="196"/>
      <c r="M47" s="196"/>
      <c r="N47" s="196"/>
      <c r="O47" s="196"/>
      <c r="P47" s="196"/>
      <c r="Q47" s="196"/>
      <c r="R47" s="197">
        <f>SUM(F47:Q47)</f>
        <v>0</v>
      </c>
      <c r="S47" s="196"/>
      <c r="T47" s="196"/>
      <c r="U47" s="198"/>
    </row>
    <row r="48" spans="1:22" x14ac:dyDescent="0.2">
      <c r="A48" s="294"/>
      <c r="B48" s="298"/>
      <c r="C48" s="298"/>
      <c r="D48" s="17" t="s">
        <v>112</v>
      </c>
      <c r="E48" s="26"/>
      <c r="F48" s="127"/>
      <c r="G48" s="127"/>
      <c r="H48" s="127"/>
      <c r="I48" s="127"/>
      <c r="J48" s="127"/>
      <c r="K48" s="127"/>
      <c r="L48" s="127"/>
      <c r="M48" s="127"/>
      <c r="N48" s="127"/>
      <c r="O48" s="127"/>
      <c r="P48" s="127"/>
      <c r="Q48" s="127"/>
      <c r="R48" s="128"/>
      <c r="S48" s="127"/>
      <c r="T48" s="127"/>
      <c r="U48" s="129"/>
    </row>
    <row r="49" spans="1:21" x14ac:dyDescent="0.2">
      <c r="A49" s="294"/>
      <c r="B49" s="298"/>
      <c r="C49" s="298"/>
      <c r="D49" s="8" t="s">
        <v>147</v>
      </c>
      <c r="E49" s="23"/>
      <c r="F49" s="32"/>
      <c r="G49" s="32"/>
      <c r="H49" s="32"/>
      <c r="I49" s="32"/>
      <c r="J49" s="32"/>
      <c r="K49" s="32"/>
      <c r="L49" s="32"/>
      <c r="M49" s="32"/>
      <c r="N49" s="32"/>
      <c r="O49" s="32"/>
      <c r="P49" s="32"/>
      <c r="Q49" s="32"/>
      <c r="R49" s="33"/>
      <c r="S49" s="32"/>
      <c r="T49" s="32"/>
      <c r="U49" s="34"/>
    </row>
    <row r="50" spans="1:21" ht="30.6" x14ac:dyDescent="0.2">
      <c r="A50" s="294"/>
      <c r="B50" s="18" t="s">
        <v>131</v>
      </c>
      <c r="C50" s="18" t="s">
        <v>140</v>
      </c>
      <c r="D50" s="8" t="s">
        <v>193</v>
      </c>
      <c r="E50" s="23"/>
      <c r="F50" s="32"/>
      <c r="G50" s="32"/>
      <c r="H50" s="32"/>
      <c r="I50" s="32"/>
      <c r="J50" s="32"/>
      <c r="K50" s="32"/>
      <c r="L50" s="32"/>
      <c r="M50" s="32"/>
      <c r="N50" s="32"/>
      <c r="O50" s="32"/>
      <c r="P50" s="32"/>
      <c r="Q50" s="32"/>
      <c r="R50" s="33"/>
      <c r="S50" s="32"/>
      <c r="T50" s="32"/>
      <c r="U50" s="34"/>
    </row>
    <row r="51" spans="1:21" ht="10.8" thickBot="1" x14ac:dyDescent="0.25">
      <c r="A51" s="295"/>
      <c r="B51" s="21"/>
      <c r="C51" s="21"/>
      <c r="D51" s="20" t="s">
        <v>135</v>
      </c>
      <c r="E51" s="27">
        <f>E47*E49</f>
        <v>0</v>
      </c>
      <c r="F51" s="35">
        <f t="shared" ref="F51:Q51" si="32">F47*F49</f>
        <v>0</v>
      </c>
      <c r="G51" s="35">
        <f t="shared" si="32"/>
        <v>0</v>
      </c>
      <c r="H51" s="35">
        <f t="shared" si="32"/>
        <v>0</v>
      </c>
      <c r="I51" s="35">
        <f t="shared" si="32"/>
        <v>0</v>
      </c>
      <c r="J51" s="35">
        <f t="shared" si="32"/>
        <v>0</v>
      </c>
      <c r="K51" s="35">
        <f t="shared" si="32"/>
        <v>0</v>
      </c>
      <c r="L51" s="35">
        <f t="shared" si="32"/>
        <v>0</v>
      </c>
      <c r="M51" s="35">
        <f t="shared" si="32"/>
        <v>0</v>
      </c>
      <c r="N51" s="35">
        <f t="shared" si="32"/>
        <v>0</v>
      </c>
      <c r="O51" s="35">
        <f t="shared" si="32"/>
        <v>0</v>
      </c>
      <c r="P51" s="35">
        <f t="shared" si="32"/>
        <v>0</v>
      </c>
      <c r="Q51" s="35">
        <f t="shared" si="32"/>
        <v>0</v>
      </c>
      <c r="R51" s="35">
        <f>SUM(F51:Q51)</f>
        <v>0</v>
      </c>
      <c r="S51" s="35">
        <f>S47*S49</f>
        <v>0</v>
      </c>
      <c r="T51" s="35">
        <f>T47*T49</f>
        <v>0</v>
      </c>
      <c r="U51" s="36">
        <f>U47*U49</f>
        <v>0</v>
      </c>
    </row>
    <row r="52" spans="1:21" ht="10.8" thickTop="1" x14ac:dyDescent="0.2">
      <c r="A52" s="293">
        <v>9</v>
      </c>
      <c r="B52" s="296"/>
      <c r="C52" s="297"/>
      <c r="D52" s="16" t="s">
        <v>130</v>
      </c>
      <c r="E52" s="25"/>
      <c r="F52" s="196"/>
      <c r="G52" s="196"/>
      <c r="H52" s="196"/>
      <c r="I52" s="196"/>
      <c r="J52" s="196"/>
      <c r="K52" s="196"/>
      <c r="L52" s="196"/>
      <c r="M52" s="196"/>
      <c r="N52" s="196"/>
      <c r="O52" s="196"/>
      <c r="P52" s="196"/>
      <c r="Q52" s="196"/>
      <c r="R52" s="197">
        <f>SUM(F52:Q52)</f>
        <v>0</v>
      </c>
      <c r="S52" s="196"/>
      <c r="T52" s="196"/>
      <c r="U52" s="198"/>
    </row>
    <row r="53" spans="1:21" x14ac:dyDescent="0.2">
      <c r="A53" s="294"/>
      <c r="B53" s="298"/>
      <c r="C53" s="298"/>
      <c r="D53" s="17" t="s">
        <v>112</v>
      </c>
      <c r="E53" s="26"/>
      <c r="F53" s="127"/>
      <c r="G53" s="127"/>
      <c r="H53" s="127"/>
      <c r="I53" s="127"/>
      <c r="J53" s="127"/>
      <c r="K53" s="127"/>
      <c r="L53" s="127"/>
      <c r="M53" s="127"/>
      <c r="N53" s="127"/>
      <c r="O53" s="127"/>
      <c r="P53" s="127"/>
      <c r="Q53" s="127"/>
      <c r="R53" s="128"/>
      <c r="S53" s="127"/>
      <c r="T53" s="127"/>
      <c r="U53" s="129"/>
    </row>
    <row r="54" spans="1:21" x14ac:dyDescent="0.2">
      <c r="A54" s="294"/>
      <c r="B54" s="298"/>
      <c r="C54" s="298"/>
      <c r="D54" s="8" t="s">
        <v>147</v>
      </c>
      <c r="E54" s="23"/>
      <c r="F54" s="32"/>
      <c r="G54" s="32"/>
      <c r="H54" s="32"/>
      <c r="I54" s="32"/>
      <c r="J54" s="32"/>
      <c r="K54" s="32"/>
      <c r="L54" s="32"/>
      <c r="M54" s="32"/>
      <c r="N54" s="32"/>
      <c r="O54" s="32"/>
      <c r="P54" s="32"/>
      <c r="Q54" s="32"/>
      <c r="R54" s="33"/>
      <c r="S54" s="32"/>
      <c r="T54" s="32"/>
      <c r="U54" s="34"/>
    </row>
    <row r="55" spans="1:21" ht="30.6" x14ac:dyDescent="0.2">
      <c r="A55" s="294"/>
      <c r="B55" s="18" t="s">
        <v>131</v>
      </c>
      <c r="C55" s="18" t="s">
        <v>140</v>
      </c>
      <c r="D55" s="8" t="s">
        <v>193</v>
      </c>
      <c r="E55" s="23"/>
      <c r="F55" s="32"/>
      <c r="G55" s="32"/>
      <c r="H55" s="32"/>
      <c r="I55" s="32"/>
      <c r="J55" s="32"/>
      <c r="K55" s="32"/>
      <c r="L55" s="32"/>
      <c r="M55" s="32"/>
      <c r="N55" s="32"/>
      <c r="O55" s="32"/>
      <c r="P55" s="32"/>
      <c r="Q55" s="32"/>
      <c r="R55" s="33"/>
      <c r="S55" s="32"/>
      <c r="T55" s="32"/>
      <c r="U55" s="34"/>
    </row>
    <row r="56" spans="1:21" ht="10.8" thickBot="1" x14ac:dyDescent="0.25">
      <c r="A56" s="295"/>
      <c r="B56" s="21"/>
      <c r="C56" s="21"/>
      <c r="D56" s="20" t="s">
        <v>136</v>
      </c>
      <c r="E56" s="27">
        <f>E52*E54</f>
        <v>0</v>
      </c>
      <c r="F56" s="35">
        <f t="shared" ref="F56:Q56" si="33">F52*F54</f>
        <v>0</v>
      </c>
      <c r="G56" s="35">
        <f t="shared" si="33"/>
        <v>0</v>
      </c>
      <c r="H56" s="35">
        <f t="shared" si="33"/>
        <v>0</v>
      </c>
      <c r="I56" s="35">
        <f t="shared" si="33"/>
        <v>0</v>
      </c>
      <c r="J56" s="35">
        <f t="shared" si="33"/>
        <v>0</v>
      </c>
      <c r="K56" s="35">
        <f t="shared" si="33"/>
        <v>0</v>
      </c>
      <c r="L56" s="35">
        <f t="shared" si="33"/>
        <v>0</v>
      </c>
      <c r="M56" s="35">
        <f t="shared" si="33"/>
        <v>0</v>
      </c>
      <c r="N56" s="35">
        <f t="shared" si="33"/>
        <v>0</v>
      </c>
      <c r="O56" s="35">
        <f t="shared" si="33"/>
        <v>0</v>
      </c>
      <c r="P56" s="35">
        <f t="shared" si="33"/>
        <v>0</v>
      </c>
      <c r="Q56" s="35">
        <f t="shared" si="33"/>
        <v>0</v>
      </c>
      <c r="R56" s="35">
        <f>SUM(F56:Q56)</f>
        <v>0</v>
      </c>
      <c r="S56" s="35">
        <f>S52*S54</f>
        <v>0</v>
      </c>
      <c r="T56" s="35">
        <f>T52*T54</f>
        <v>0</v>
      </c>
      <c r="U56" s="36">
        <f>U52*U54</f>
        <v>0</v>
      </c>
    </row>
    <row r="57" spans="1:21" ht="10.8" thickTop="1" x14ac:dyDescent="0.2">
      <c r="A57" s="293">
        <v>10</v>
      </c>
      <c r="B57" s="296"/>
      <c r="C57" s="297"/>
      <c r="D57" s="16" t="s">
        <v>130</v>
      </c>
      <c r="E57" s="25"/>
      <c r="F57" s="199"/>
      <c r="G57" s="199"/>
      <c r="H57" s="199"/>
      <c r="I57" s="199"/>
      <c r="J57" s="196"/>
      <c r="K57" s="196"/>
      <c r="L57" s="196"/>
      <c r="M57" s="196"/>
      <c r="N57" s="196"/>
      <c r="O57" s="196"/>
      <c r="P57" s="196"/>
      <c r="Q57" s="196"/>
      <c r="R57" s="197">
        <f>SUM(F57:Q57)</f>
        <v>0</v>
      </c>
      <c r="S57" s="196"/>
      <c r="T57" s="196"/>
      <c r="U57" s="198"/>
    </row>
    <row r="58" spans="1:21" x14ac:dyDescent="0.2">
      <c r="A58" s="294"/>
      <c r="B58" s="298"/>
      <c r="C58" s="298"/>
      <c r="D58" s="17" t="s">
        <v>112</v>
      </c>
      <c r="E58" s="26"/>
      <c r="F58" s="127"/>
      <c r="G58" s="127"/>
      <c r="H58" s="127"/>
      <c r="I58" s="127"/>
      <c r="J58" s="127"/>
      <c r="K58" s="127"/>
      <c r="L58" s="127"/>
      <c r="M58" s="127"/>
      <c r="N58" s="127"/>
      <c r="O58" s="127"/>
      <c r="P58" s="127"/>
      <c r="Q58" s="127"/>
      <c r="R58" s="128"/>
      <c r="S58" s="127"/>
      <c r="T58" s="127"/>
      <c r="U58" s="129"/>
    </row>
    <row r="59" spans="1:21" x14ac:dyDescent="0.2">
      <c r="A59" s="294"/>
      <c r="B59" s="298"/>
      <c r="C59" s="298"/>
      <c r="D59" s="8" t="s">
        <v>147</v>
      </c>
      <c r="E59" s="23"/>
      <c r="F59" s="32"/>
      <c r="G59" s="32"/>
      <c r="H59" s="32"/>
      <c r="I59" s="32"/>
      <c r="J59" s="32"/>
      <c r="K59" s="32"/>
      <c r="L59" s="32"/>
      <c r="M59" s="32"/>
      <c r="N59" s="32"/>
      <c r="O59" s="32"/>
      <c r="P59" s="32"/>
      <c r="Q59" s="32"/>
      <c r="R59" s="33"/>
      <c r="S59" s="32"/>
      <c r="T59" s="32"/>
      <c r="U59" s="34"/>
    </row>
    <row r="60" spans="1:21" ht="30.6" x14ac:dyDescent="0.2">
      <c r="A60" s="294"/>
      <c r="B60" s="18" t="s">
        <v>131</v>
      </c>
      <c r="C60" s="18" t="s">
        <v>140</v>
      </c>
      <c r="D60" s="8" t="s">
        <v>193</v>
      </c>
      <c r="E60" s="23"/>
      <c r="F60" s="32"/>
      <c r="G60" s="32"/>
      <c r="H60" s="32"/>
      <c r="I60" s="32"/>
      <c r="J60" s="32"/>
      <c r="K60" s="32"/>
      <c r="L60" s="32"/>
      <c r="M60" s="32"/>
      <c r="N60" s="32"/>
      <c r="O60" s="32"/>
      <c r="P60" s="32"/>
      <c r="Q60" s="32"/>
      <c r="R60" s="33"/>
      <c r="S60" s="32"/>
      <c r="T60" s="32"/>
      <c r="U60" s="34"/>
    </row>
    <row r="61" spans="1:21" ht="10.8" thickBot="1" x14ac:dyDescent="0.25">
      <c r="A61" s="295"/>
      <c r="B61" s="21"/>
      <c r="C61" s="21"/>
      <c r="D61" s="20" t="s">
        <v>137</v>
      </c>
      <c r="E61" s="27">
        <f>E57*E59</f>
        <v>0</v>
      </c>
      <c r="F61" s="35">
        <f t="shared" ref="F61:Q61" si="34">F57*F59</f>
        <v>0</v>
      </c>
      <c r="G61" s="35">
        <f t="shared" si="34"/>
        <v>0</v>
      </c>
      <c r="H61" s="35">
        <f t="shared" si="34"/>
        <v>0</v>
      </c>
      <c r="I61" s="35">
        <f t="shared" si="34"/>
        <v>0</v>
      </c>
      <c r="J61" s="35">
        <f t="shared" si="34"/>
        <v>0</v>
      </c>
      <c r="K61" s="35">
        <f t="shared" si="34"/>
        <v>0</v>
      </c>
      <c r="L61" s="35">
        <f t="shared" si="34"/>
        <v>0</v>
      </c>
      <c r="M61" s="35">
        <f t="shared" si="34"/>
        <v>0</v>
      </c>
      <c r="N61" s="35">
        <f t="shared" si="34"/>
        <v>0</v>
      </c>
      <c r="O61" s="35">
        <f t="shared" si="34"/>
        <v>0</v>
      </c>
      <c r="P61" s="35">
        <f t="shared" si="34"/>
        <v>0</v>
      </c>
      <c r="Q61" s="35">
        <f t="shared" si="34"/>
        <v>0</v>
      </c>
      <c r="R61" s="35">
        <f>SUM(F61:Q61)</f>
        <v>0</v>
      </c>
      <c r="S61" s="35">
        <f>S57*S59</f>
        <v>0</v>
      </c>
      <c r="T61" s="35">
        <f>T57*T59</f>
        <v>0</v>
      </c>
      <c r="U61" s="36">
        <f>U57*U59</f>
        <v>0</v>
      </c>
    </row>
    <row r="62" spans="1:21" ht="10.8" thickTop="1" x14ac:dyDescent="0.2"/>
  </sheetData>
  <sheetProtection algorithmName="SHA-512" hashValue="oDf4+MmHP/oSxrxrmpzt8pfvvkfvSlYfs80H5qDmycPxYGy7UNORgHUeq7xs8seSqc+H0VRY9REKuQ0vmPFtUw==" saltValue="BOtzgd4k4ibHvIZzOyTCTA==" spinCount="100000" sheet="1" scenarios="1"/>
  <mergeCells count="21">
    <mergeCell ref="B1:D1"/>
    <mergeCell ref="B22:C24"/>
    <mergeCell ref="A17:A21"/>
    <mergeCell ref="A22:A26"/>
    <mergeCell ref="B12:C14"/>
    <mergeCell ref="B17:C19"/>
    <mergeCell ref="A12:A16"/>
    <mergeCell ref="B27:C29"/>
    <mergeCell ref="A32:A36"/>
    <mergeCell ref="B32:C34"/>
    <mergeCell ref="A37:A41"/>
    <mergeCell ref="B37:C39"/>
    <mergeCell ref="A27:A31"/>
    <mergeCell ref="A57:A61"/>
    <mergeCell ref="B57:C59"/>
    <mergeCell ref="A42:A46"/>
    <mergeCell ref="B42:C44"/>
    <mergeCell ref="A47:A51"/>
    <mergeCell ref="B47:C49"/>
    <mergeCell ref="A52:A56"/>
    <mergeCell ref="B52:C54"/>
  </mergeCells>
  <phoneticPr fontId="2" type="noConversion"/>
  <pageMargins left="0.39370078740157483" right="0.19685039370078741" top="0.70866141732283472" bottom="0.51181102362204722" header="0" footer="0"/>
  <pageSetup paperSize="9" scale="52" orientation="landscape" r:id="rId1"/>
  <headerFooter alignWithMargins="0"/>
  <rowBreaks count="1" manualBreakCount="1">
    <brk id="41" max="20"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eht3">
    <pageSetUpPr fitToPage="1"/>
  </sheetPr>
  <dimension ref="A1:R117"/>
  <sheetViews>
    <sheetView tabSelected="1" view="pageBreakPreview" zoomScale="96" zoomScaleNormal="100" zoomScaleSheetLayoutView="110" workbookViewId="0">
      <pane xSplit="1" ySplit="6" topLeftCell="B60" activePane="bottomRight" state="frozen"/>
      <selection pane="topRight"/>
      <selection pane="bottomLeft" activeCell="A7" sqref="A7"/>
      <selection pane="bottomRight" activeCell="C73" sqref="C73"/>
    </sheetView>
  </sheetViews>
  <sheetFormatPr defaultColWidth="9.109375" defaultRowHeight="10.199999999999999" x14ac:dyDescent="0.2"/>
  <cols>
    <col min="1" max="1" width="46.109375" style="38" customWidth="1"/>
    <col min="2" max="13" width="12.44140625" style="37" customWidth="1"/>
    <col min="14" max="14" width="12.6640625" style="37" customWidth="1"/>
    <col min="15" max="16" width="12.44140625" style="133" customWidth="1"/>
    <col min="17" max="17" width="9.109375" style="191" hidden="1" customWidth="1"/>
    <col min="18" max="18" width="7.6640625" style="38" customWidth="1"/>
    <col min="19" max="16384" width="9.109375" style="38"/>
  </cols>
  <sheetData>
    <row r="1" spans="1:17" s="149" customFormat="1" x14ac:dyDescent="0.2">
      <c r="A1" s="148" t="s">
        <v>0</v>
      </c>
      <c r="B1" s="150"/>
      <c r="C1" s="150"/>
      <c r="D1" s="150"/>
      <c r="E1" s="150"/>
      <c r="F1" s="150"/>
      <c r="G1" s="150"/>
      <c r="H1" s="150"/>
      <c r="I1" s="150"/>
      <c r="J1" s="150"/>
      <c r="K1" s="150"/>
      <c r="L1" s="150"/>
      <c r="M1" s="150"/>
      <c r="N1" s="133"/>
      <c r="O1" s="133"/>
      <c r="P1" s="133"/>
      <c r="Q1" s="133"/>
    </row>
    <row r="2" spans="1:17" x14ac:dyDescent="0.2">
      <c r="A2" s="39"/>
      <c r="B2" s="175">
        <f>'Alusta siit!'!C19</f>
        <v>45231</v>
      </c>
      <c r="C2" s="175">
        <f>EOMONTH(B2,1)</f>
        <v>45291</v>
      </c>
      <c r="D2" s="175">
        <f t="shared" ref="D2:M2" si="0">EOMONTH(C2,1)</f>
        <v>45322</v>
      </c>
      <c r="E2" s="175">
        <f t="shared" si="0"/>
        <v>45351</v>
      </c>
      <c r="F2" s="175">
        <f t="shared" si="0"/>
        <v>45382</v>
      </c>
      <c r="G2" s="175">
        <f t="shared" si="0"/>
        <v>45412</v>
      </c>
      <c r="H2" s="175">
        <f t="shared" si="0"/>
        <v>45443</v>
      </c>
      <c r="I2" s="175">
        <f t="shared" si="0"/>
        <v>45473</v>
      </c>
      <c r="J2" s="175">
        <f t="shared" si="0"/>
        <v>45504</v>
      </c>
      <c r="K2" s="175">
        <f t="shared" si="0"/>
        <v>45535</v>
      </c>
      <c r="L2" s="175">
        <f t="shared" si="0"/>
        <v>45565</v>
      </c>
      <c r="M2" s="175">
        <f t="shared" si="0"/>
        <v>45596</v>
      </c>
      <c r="N2" s="133" t="s">
        <v>53</v>
      </c>
      <c r="O2" s="133" t="s">
        <v>1</v>
      </c>
      <c r="P2" s="133" t="s">
        <v>2</v>
      </c>
      <c r="Q2" s="133" t="s">
        <v>113</v>
      </c>
    </row>
    <row r="3" spans="1:17" s="41" customFormat="1" x14ac:dyDescent="0.2">
      <c r="A3" s="40"/>
      <c r="B3" s="40"/>
      <c r="C3" s="40"/>
      <c r="D3" s="40"/>
      <c r="E3" s="40"/>
      <c r="F3" s="40"/>
      <c r="G3" s="40"/>
      <c r="H3" s="40"/>
      <c r="I3" s="40"/>
      <c r="J3" s="40"/>
      <c r="K3" s="40"/>
      <c r="L3" s="40"/>
      <c r="M3" s="40"/>
      <c r="N3" s="177"/>
      <c r="O3" s="177"/>
      <c r="P3" s="177"/>
      <c r="Q3" s="177"/>
    </row>
    <row r="4" spans="1:17" x14ac:dyDescent="0.2">
      <c r="A4" s="213" t="s">
        <v>3</v>
      </c>
      <c r="B4" s="42">
        <f>Bilanss!B6</f>
        <v>0</v>
      </c>
      <c r="C4" s="43">
        <f t="shared" ref="C4:L4" si="1">B97</f>
        <v>60</v>
      </c>
      <c r="D4" s="43">
        <f t="shared" si="1"/>
        <v>79</v>
      </c>
      <c r="E4" s="43">
        <f t="shared" si="1"/>
        <v>1154.4000000000015</v>
      </c>
      <c r="F4" s="43">
        <f t="shared" si="1"/>
        <v>912.12000000000148</v>
      </c>
      <c r="G4" s="43">
        <f t="shared" si="1"/>
        <v>5601.5600000000013</v>
      </c>
      <c r="H4" s="43">
        <f t="shared" si="1"/>
        <v>4819.9600000000009</v>
      </c>
      <c r="I4" s="43">
        <f t="shared" si="1"/>
        <v>4781.7600000000011</v>
      </c>
      <c r="J4" s="43">
        <f t="shared" si="1"/>
        <v>4870.1600000000017</v>
      </c>
      <c r="K4" s="44">
        <f t="shared" si="1"/>
        <v>5174.3600000000015</v>
      </c>
      <c r="L4" s="44">
        <f t="shared" si="1"/>
        <v>5739.1600000000008</v>
      </c>
      <c r="M4" s="44">
        <f>L97</f>
        <v>6350.36</v>
      </c>
      <c r="N4" s="178">
        <f>B4</f>
        <v>0</v>
      </c>
      <c r="O4" s="178">
        <f>N97</f>
        <v>7260.9600000000137</v>
      </c>
      <c r="P4" s="178">
        <f>O97</f>
        <v>42078.760000000009</v>
      </c>
      <c r="Q4" s="178">
        <f>P97</f>
        <v>86449.793333333349</v>
      </c>
    </row>
    <row r="5" spans="1:17" x14ac:dyDescent="0.2">
      <c r="A5" s="45"/>
      <c r="B5" s="46"/>
      <c r="C5" s="47"/>
      <c r="D5" s="47"/>
      <c r="E5" s="47"/>
      <c r="F5" s="47"/>
      <c r="G5" s="47"/>
      <c r="H5" s="47"/>
      <c r="I5" s="47"/>
      <c r="J5" s="47"/>
      <c r="N5" s="133"/>
      <c r="Q5" s="133"/>
    </row>
    <row r="6" spans="1:17" s="48" customFormat="1" x14ac:dyDescent="0.2">
      <c r="B6" s="49">
        <f>IF(B7&gt;0,1,0)</f>
        <v>0</v>
      </c>
      <c r="C6" s="49">
        <f t="shared" ref="C6:M6" si="2">IF(C7&gt;0,1,0)</f>
        <v>1</v>
      </c>
      <c r="D6" s="49">
        <f t="shared" si="2"/>
        <v>1</v>
      </c>
      <c r="E6" s="49">
        <f t="shared" si="2"/>
        <v>1</v>
      </c>
      <c r="F6" s="49">
        <f t="shared" si="2"/>
        <v>1</v>
      </c>
      <c r="G6" s="49">
        <f t="shared" si="2"/>
        <v>1</v>
      </c>
      <c r="H6" s="49">
        <f t="shared" si="2"/>
        <v>1</v>
      </c>
      <c r="I6" s="49">
        <f t="shared" si="2"/>
        <v>1</v>
      </c>
      <c r="J6" s="49">
        <f t="shared" si="2"/>
        <v>1</v>
      </c>
      <c r="K6" s="49">
        <f t="shared" si="2"/>
        <v>1</v>
      </c>
      <c r="L6" s="49">
        <f t="shared" si="2"/>
        <v>1</v>
      </c>
      <c r="M6" s="49">
        <f t="shared" si="2"/>
        <v>1</v>
      </c>
      <c r="N6" s="193">
        <f>SUM(B6:M6)</f>
        <v>11</v>
      </c>
      <c r="O6" s="179"/>
      <c r="P6" s="179"/>
      <c r="Q6" s="179"/>
    </row>
    <row r="7" spans="1:17" s="52" customFormat="1" x14ac:dyDescent="0.2">
      <c r="A7" s="50" t="s">
        <v>104</v>
      </c>
      <c r="B7" s="51">
        <f>Tooted!F3</f>
        <v>0</v>
      </c>
      <c r="C7" s="51">
        <f>Tooted!G3</f>
        <v>36</v>
      </c>
      <c r="D7" s="51">
        <f>Tooted!H3</f>
        <v>65.400000000000006</v>
      </c>
      <c r="E7" s="51">
        <f>Tooted!I3</f>
        <v>117.72</v>
      </c>
      <c r="F7" s="51">
        <f>Tooted!J3</f>
        <v>735.44</v>
      </c>
      <c r="G7" s="51">
        <f>Tooted!K3</f>
        <v>1142.4000000000001</v>
      </c>
      <c r="H7" s="51">
        <f>Tooted!L3</f>
        <v>1784.8</v>
      </c>
      <c r="I7" s="51">
        <f>Tooted!M3</f>
        <v>2061.4</v>
      </c>
      <c r="J7" s="51">
        <f>Tooted!N3</f>
        <v>2323</v>
      </c>
      <c r="K7" s="51">
        <f>Tooted!O3</f>
        <v>2584.6</v>
      </c>
      <c r="L7" s="51">
        <f>Tooted!P3</f>
        <v>2977</v>
      </c>
      <c r="M7" s="51">
        <f>Tooted!Q3</f>
        <v>3369.4</v>
      </c>
      <c r="N7" s="180">
        <f>SUM(B7:M7)</f>
        <v>17197.16</v>
      </c>
      <c r="O7" s="180">
        <f>Tooted!S3</f>
        <v>64512.799999999996</v>
      </c>
      <c r="P7" s="180">
        <f>Tooted!T3</f>
        <v>77835.199999999997</v>
      </c>
      <c r="Q7" s="180">
        <f>Tooted!U3</f>
        <v>0</v>
      </c>
    </row>
    <row r="8" spans="1:17" s="52" customFormat="1" x14ac:dyDescent="0.2">
      <c r="A8" s="53" t="s">
        <v>112</v>
      </c>
      <c r="B8" s="205">
        <f>IF(B9&gt;0,B9/B7,0)</f>
        <v>0</v>
      </c>
      <c r="C8" s="205">
        <f t="shared" ref="C8:M8" si="3">IF(C9&gt;0,C9/C7,0)</f>
        <v>0</v>
      </c>
      <c r="D8" s="205">
        <f t="shared" si="3"/>
        <v>0</v>
      </c>
      <c r="E8" s="205">
        <f t="shared" si="3"/>
        <v>0</v>
      </c>
      <c r="F8" s="205">
        <f t="shared" si="3"/>
        <v>0</v>
      </c>
      <c r="G8" s="205">
        <f t="shared" si="3"/>
        <v>0</v>
      </c>
      <c r="H8" s="205">
        <f t="shared" si="3"/>
        <v>0</v>
      </c>
      <c r="I8" s="205">
        <f t="shared" si="3"/>
        <v>0</v>
      </c>
      <c r="J8" s="205">
        <f t="shared" si="3"/>
        <v>0</v>
      </c>
      <c r="K8" s="205">
        <f t="shared" si="3"/>
        <v>0</v>
      </c>
      <c r="L8" s="205">
        <f t="shared" si="3"/>
        <v>0</v>
      </c>
      <c r="M8" s="205">
        <f t="shared" si="3"/>
        <v>0</v>
      </c>
      <c r="N8" s="205">
        <f>IF(N9&gt;0,N9/N7,0)</f>
        <v>0</v>
      </c>
      <c r="O8" s="205">
        <f>IF(O9&gt;0,O9/O7,0)</f>
        <v>0</v>
      </c>
      <c r="P8" s="205">
        <f>IF(P9&gt;0,P9/P7,0)</f>
        <v>0</v>
      </c>
      <c r="Q8" s="205">
        <f>IF(Q9&gt;0,Q9/Q7,0)</f>
        <v>0</v>
      </c>
    </row>
    <row r="9" spans="1:17" s="52" customFormat="1" x14ac:dyDescent="0.2">
      <c r="A9" s="53" t="s">
        <v>196</v>
      </c>
      <c r="B9" s="51">
        <f>Tooted!F10</f>
        <v>0</v>
      </c>
      <c r="C9" s="51">
        <f>Tooted!G10</f>
        <v>0</v>
      </c>
      <c r="D9" s="51">
        <f>Tooted!H10</f>
        <v>0</v>
      </c>
      <c r="E9" s="51">
        <f>Tooted!I10</f>
        <v>0</v>
      </c>
      <c r="F9" s="51">
        <f>Tooted!J10</f>
        <v>0</v>
      </c>
      <c r="G9" s="51">
        <f>Tooted!K10</f>
        <v>0</v>
      </c>
      <c r="H9" s="51">
        <f>Tooted!L10</f>
        <v>0</v>
      </c>
      <c r="I9" s="51">
        <f>Tooted!M10</f>
        <v>0</v>
      </c>
      <c r="J9" s="51">
        <f>Tooted!N10</f>
        <v>0</v>
      </c>
      <c r="K9" s="51">
        <f>Tooted!O10</f>
        <v>0</v>
      </c>
      <c r="L9" s="51">
        <f>Tooted!P10</f>
        <v>0</v>
      </c>
      <c r="M9" s="51">
        <f>Tooted!Q10</f>
        <v>0</v>
      </c>
      <c r="N9" s="180">
        <f>SUM(B9:M9)</f>
        <v>0</v>
      </c>
      <c r="O9" s="180">
        <f>Tooted!S10</f>
        <v>0</v>
      </c>
      <c r="P9" s="180">
        <f>Tooted!T10</f>
        <v>0</v>
      </c>
      <c r="Q9" s="180">
        <f>Tooted!U10</f>
        <v>0</v>
      </c>
    </row>
    <row r="10" spans="1:17" s="52" customFormat="1" x14ac:dyDescent="0.2">
      <c r="A10" s="54" t="s">
        <v>50</v>
      </c>
      <c r="B10" s="55">
        <f>Tooted!F2</f>
        <v>0</v>
      </c>
      <c r="C10" s="55">
        <f>Tooted!G2</f>
        <v>30</v>
      </c>
      <c r="D10" s="55">
        <f>Tooted!H2</f>
        <v>51.5</v>
      </c>
      <c r="E10" s="55">
        <f>Tooted!I2</f>
        <v>92.7</v>
      </c>
      <c r="F10" s="55">
        <f>Tooted!J2</f>
        <v>190.4</v>
      </c>
      <c r="G10" s="55">
        <f>Tooted!K2</f>
        <v>314</v>
      </c>
      <c r="H10" s="55">
        <f>Tooted!L2</f>
        <v>623</v>
      </c>
      <c r="I10" s="55">
        <f>Tooted!M2</f>
        <v>830</v>
      </c>
      <c r="J10" s="55">
        <f>Tooted!N2</f>
        <v>1036</v>
      </c>
      <c r="K10" s="55">
        <f>Tooted!O2</f>
        <v>1242</v>
      </c>
      <c r="L10" s="55">
        <f>Tooted!P2</f>
        <v>1551</v>
      </c>
      <c r="M10" s="55">
        <f>Tooted!Q2</f>
        <v>1860</v>
      </c>
      <c r="N10" s="181">
        <f>SUM(B10:M10)</f>
        <v>7820.6</v>
      </c>
      <c r="O10" s="181">
        <f>Tooted!S2</f>
        <v>35411</v>
      </c>
      <c r="P10" s="181">
        <f>Tooted!T2</f>
        <v>46216</v>
      </c>
      <c r="Q10" s="181">
        <f>Tooted!U2</f>
        <v>0</v>
      </c>
    </row>
    <row r="11" spans="1:17" s="52" customFormat="1" x14ac:dyDescent="0.2">
      <c r="A11" s="54" t="s">
        <v>51</v>
      </c>
      <c r="B11" s="55">
        <f>Tooted!F4</f>
        <v>0</v>
      </c>
      <c r="C11" s="55">
        <f>Tooted!G4</f>
        <v>1</v>
      </c>
      <c r="D11" s="55">
        <f>Tooted!H4</f>
        <v>1</v>
      </c>
      <c r="E11" s="55">
        <f>Tooted!I4</f>
        <v>1</v>
      </c>
      <c r="F11" s="55">
        <f>Tooted!J4</f>
        <v>4</v>
      </c>
      <c r="G11" s="55">
        <f>Tooted!K4</f>
        <v>4</v>
      </c>
      <c r="H11" s="55">
        <f>Tooted!L4</f>
        <v>3</v>
      </c>
      <c r="I11" s="55">
        <f>Tooted!M4</f>
        <v>2</v>
      </c>
      <c r="J11" s="55">
        <f>Tooted!N4</f>
        <v>2</v>
      </c>
      <c r="K11" s="55">
        <f>Tooted!O4</f>
        <v>2</v>
      </c>
      <c r="L11" s="55">
        <f>Tooted!P4</f>
        <v>2</v>
      </c>
      <c r="M11" s="55">
        <f>Tooted!Q4</f>
        <v>2</v>
      </c>
      <c r="N11" s="181">
        <f>IF(N7&gt;0,N7/N10,0)</f>
        <v>2.1989566017952584</v>
      </c>
      <c r="O11" s="181">
        <f>Tooted!S4</f>
        <v>2</v>
      </c>
      <c r="P11" s="181">
        <f>Tooted!T4</f>
        <v>2</v>
      </c>
      <c r="Q11" s="181">
        <f>Tooted!U4</f>
        <v>0</v>
      </c>
    </row>
    <row r="12" spans="1:17" s="58" customFormat="1" x14ac:dyDescent="0.2">
      <c r="A12" s="56"/>
      <c r="B12" s="57"/>
      <c r="C12" s="57"/>
      <c r="D12" s="57"/>
      <c r="E12" s="57"/>
      <c r="F12" s="57"/>
      <c r="G12" s="57"/>
      <c r="H12" s="57"/>
      <c r="I12" s="57"/>
      <c r="J12" s="57"/>
      <c r="K12" s="57"/>
      <c r="L12" s="57"/>
      <c r="M12" s="57"/>
      <c r="N12" s="182"/>
      <c r="O12" s="182"/>
      <c r="P12" s="182"/>
      <c r="Q12" s="182"/>
    </row>
    <row r="13" spans="1:17" s="58" customFormat="1" x14ac:dyDescent="0.2">
      <c r="A13" s="59" t="s">
        <v>24</v>
      </c>
      <c r="B13" s="57"/>
      <c r="C13" s="57"/>
      <c r="D13" s="57"/>
      <c r="E13" s="57"/>
      <c r="F13" s="57"/>
      <c r="G13" s="57"/>
      <c r="H13" s="57"/>
      <c r="I13" s="57"/>
      <c r="J13" s="57"/>
      <c r="K13" s="57"/>
      <c r="L13" s="57"/>
      <c r="M13" s="57"/>
      <c r="N13" s="182"/>
      <c r="O13" s="182"/>
      <c r="P13" s="182"/>
      <c r="Q13" s="182"/>
    </row>
    <row r="14" spans="1:17" s="58" customFormat="1" x14ac:dyDescent="0.2">
      <c r="A14" s="50" t="s">
        <v>105</v>
      </c>
      <c r="B14" s="60">
        <f>B7-(B7*'Alusta siit!'!$C23/100)</f>
        <v>0</v>
      </c>
      <c r="C14" s="60">
        <f>IF(C7&gt;0,(C7-(C7*'Alusta siit!'!$C23/100)+(B7*'Alusta siit!'!$C23/100)),(B7*'Alusta siit!'!$C23/100))</f>
        <v>36</v>
      </c>
      <c r="D14" s="60">
        <f>IF(D7&gt;0,(D7-(D7*'Alusta siit!'!$C23/100)+(C7*'Alusta siit!'!$C23/100)),(C7*'Alusta siit!'!$C23/100))</f>
        <v>65.400000000000006</v>
      </c>
      <c r="E14" s="60">
        <f>IF(E7&gt;0,(E7-(E7*'Alusta siit!'!$C23/100)+(D7*'Alusta siit!'!$C23/100)),(D7*'Alusta siit!'!$C23/100))</f>
        <v>117.72</v>
      </c>
      <c r="F14" s="60">
        <f>IF(F7&gt;0,(F7-(F7*'Alusta siit!'!$C23/100)+(E7*'Alusta siit!'!$C23/100)),(E7*'Alusta siit!'!$C23/100))</f>
        <v>735.44</v>
      </c>
      <c r="G14" s="60">
        <f>IF(G7&gt;0,(G7-(G7*'Alusta siit!'!$C23/100)+(F7*'Alusta siit!'!$C23/100)),(F7*'Alusta siit!'!$C23/100))</f>
        <v>1142.4000000000001</v>
      </c>
      <c r="H14" s="60">
        <f>IF(H7&gt;0,(H7-(H7*'Alusta siit!'!$C23/100)+(G7*'Alusta siit!'!$C23/100)),(G7*'Alusta siit!'!$C23/100))</f>
        <v>1784.8</v>
      </c>
      <c r="I14" s="60">
        <f>IF(I7&gt;0,(I7-(I7*'Alusta siit!'!$C23/100)+(H7*'Alusta siit!'!$C23/100)),(H7*'Alusta siit!'!$C23/100))</f>
        <v>2061.4</v>
      </c>
      <c r="J14" s="60">
        <f>IF(J7&gt;0,(J7-(J7*'Alusta siit!'!$C23/100)+(I7*'Alusta siit!'!$C23/100)),(I7*'Alusta siit!'!$C23/100))</f>
        <v>2323</v>
      </c>
      <c r="K14" s="60">
        <f>IF(K7&gt;0,(K7-(K7*'Alusta siit!'!$C23/100)+(J7*'Alusta siit!'!$C23/100)),(J7*'Alusta siit!'!$C23/100))</f>
        <v>2584.6</v>
      </c>
      <c r="L14" s="60">
        <f>IF(L7&gt;0,(L7-(L7*'Alusta siit!'!$C23/100)+(K7*'Alusta siit!'!$C23/100)),(K7*'Alusta siit!'!$C23/100))</f>
        <v>2977</v>
      </c>
      <c r="M14" s="60">
        <f>IF(M7&gt;0,(M7-(M7*'Alusta siit!'!$C23/100)+(L7*'Alusta siit!'!$C23/100)),(L7*'Alusta siit!'!$C23/100))</f>
        <v>3369.4</v>
      </c>
      <c r="N14" s="183">
        <f t="shared" ref="N14:N29" si="4">SUM(B14:M14)</f>
        <v>17197.16</v>
      </c>
      <c r="O14" s="183">
        <f>(M7*'Alusta siit!'!$C23/100)+O7/12*11+((O7/12)*(1-'Alusta siit!'!$D23/100))</f>
        <v>64512.799999999996</v>
      </c>
      <c r="P14" s="183">
        <f>P7/12*11+(P7/12-((P7/12)*'Alusta siit!'!$D23/100)+((O7/12)*'Alusta siit!'!$E23/100))</f>
        <v>77835.199999999997</v>
      </c>
      <c r="Q14" s="183">
        <f>Q7/12*11+(Q7/12-((Q7/12)*'Alusta siit!'!$E23/100)+((P7/12)*'Alusta siit!'!$F23/100))</f>
        <v>0</v>
      </c>
    </row>
    <row r="15" spans="1:17" s="58" customFormat="1" x14ac:dyDescent="0.2">
      <c r="A15" s="61" t="s">
        <v>121</v>
      </c>
      <c r="B15" s="60">
        <f>IF('Alusta siit!'!$C22="jah",B14*B8,0)</f>
        <v>0</v>
      </c>
      <c r="C15" s="60">
        <f>IF('Alusta siit!'!$C22="jah",C14*C8,0)</f>
        <v>0</v>
      </c>
      <c r="D15" s="60">
        <f>IF('Alusta siit!'!$C22="jah",D14*D8,0)</f>
        <v>0</v>
      </c>
      <c r="E15" s="60">
        <f>IF('Alusta siit!'!$C22="jah",E14*E8,0)</f>
        <v>0</v>
      </c>
      <c r="F15" s="60">
        <f>IF('Alusta siit!'!$C22="jah",F14*F8,0)</f>
        <v>0</v>
      </c>
      <c r="G15" s="60">
        <f>IF('Alusta siit!'!$C22="jah",G14*G8,0)</f>
        <v>0</v>
      </c>
      <c r="H15" s="60">
        <f>IF('Alusta siit!'!$C22="jah",H14*H8,0)</f>
        <v>0</v>
      </c>
      <c r="I15" s="60">
        <f>IF('Alusta siit!'!$C22="jah",I14*I8,0)</f>
        <v>0</v>
      </c>
      <c r="J15" s="60">
        <f>IF('Alusta siit!'!$C22="jah",J14*J8,0)</f>
        <v>0</v>
      </c>
      <c r="K15" s="60">
        <f>IF('Alusta siit!'!$C22="jah",K14*K8,0)</f>
        <v>0</v>
      </c>
      <c r="L15" s="60">
        <f>IF('Alusta siit!'!$C22="jah",L14*L8,0)</f>
        <v>0</v>
      </c>
      <c r="M15" s="60">
        <f>IF('Alusta siit!'!$C22="jah",M14*M8,0)</f>
        <v>0</v>
      </c>
      <c r="N15" s="183">
        <f t="shared" si="4"/>
        <v>0</v>
      </c>
      <c r="O15" s="183">
        <f>IF('Alusta siit!'!D22="jah",O14*O8,0)</f>
        <v>0</v>
      </c>
      <c r="P15" s="183">
        <f>IF('Alusta siit!'!E22="jah",P14*P8,0)</f>
        <v>0</v>
      </c>
      <c r="Q15" s="183">
        <f>IF('Alusta siit!'!F22="jah",Q14*Q8,0)</f>
        <v>0</v>
      </c>
    </row>
    <row r="16" spans="1:17" s="58" customFormat="1" x14ac:dyDescent="0.2">
      <c r="A16" s="61" t="s">
        <v>190</v>
      </c>
      <c r="B16" s="60">
        <f>IF('Alusta siit!'!$C22="jah",Tooted!F9-Tooted!F9*'Alusta siit!'!$C23/100,0)</f>
        <v>0</v>
      </c>
      <c r="C16" s="60">
        <f>IF('Alusta siit!'!$C22="jah",Tooted!G9-Tooted!G9*'Alusta siit!'!$C23/100+Tooted!F9*'Alusta siit!'!$C23/100,0)</f>
        <v>0</v>
      </c>
      <c r="D16" s="60">
        <f>IF('Alusta siit!'!$C22="jah",Tooted!H9-Tooted!H9*'Alusta siit!'!$C23/100+Tooted!G9*'Alusta siit!'!$C23/100,0)</f>
        <v>0</v>
      </c>
      <c r="E16" s="60">
        <f>IF('Alusta siit!'!$C22="jah",Tooted!I9-Tooted!I9*'Alusta siit!'!$C23/100+Tooted!H9*'Alusta siit!'!$C23/100,0)</f>
        <v>0</v>
      </c>
      <c r="F16" s="60">
        <f>IF('Alusta siit!'!$C22="jah",Tooted!J9-Tooted!J9*'Alusta siit!'!$C23/100+Tooted!I9*'Alusta siit!'!$C23/100,0)</f>
        <v>0</v>
      </c>
      <c r="G16" s="60">
        <f>IF('Alusta siit!'!$C22="jah",Tooted!K9-Tooted!K9*'Alusta siit!'!$C23/100+Tooted!J9*'Alusta siit!'!$C23/100,0)</f>
        <v>0</v>
      </c>
      <c r="H16" s="60">
        <f>IF('Alusta siit!'!$C22="jah",Tooted!L9-Tooted!L9*'Alusta siit!'!$C23/100+Tooted!K9*'Alusta siit!'!$C23/100,0)</f>
        <v>0</v>
      </c>
      <c r="I16" s="60">
        <f>IF('Alusta siit!'!$C22="jah",Tooted!M9-Tooted!M9*'Alusta siit!'!$C23/100+Tooted!L9*'Alusta siit!'!$C23/100,0)</f>
        <v>0</v>
      </c>
      <c r="J16" s="60">
        <f>IF('Alusta siit!'!$C22="jah",Tooted!N9-Tooted!N9*'Alusta siit!'!$C23/100+Tooted!M9*'Alusta siit!'!$C23/100,0)</f>
        <v>0</v>
      </c>
      <c r="K16" s="60">
        <f>IF('Alusta siit!'!$C22="jah",Tooted!O9-Tooted!O9*'Alusta siit!'!$C23/100+Tooted!N9*'Alusta siit!'!$C23/100,0)</f>
        <v>0</v>
      </c>
      <c r="L16" s="60">
        <f>IF('Alusta siit!'!$C22="jah",Tooted!P9-Tooted!P9*'Alusta siit!'!$C23/100+Tooted!O9*'Alusta siit!'!$C23/100,0)</f>
        <v>0</v>
      </c>
      <c r="M16" s="60">
        <f>IF('Alusta siit!'!$C22="jah",Tooted!Q9-Tooted!Q9*'Alusta siit!'!$C23/100+Tooted!P9*'Alusta siit!'!$C23/100,0)</f>
        <v>0</v>
      </c>
      <c r="N16" s="183">
        <f t="shared" si="4"/>
        <v>0</v>
      </c>
      <c r="O16" s="183">
        <f>IF('Alusta siit!'!D22="jah",Tooted!S9-Tooted!S9*'Alusta siit!'!D23/100+Tooted!Q9*'Alusta siit!'!C23/100,0)</f>
        <v>0</v>
      </c>
      <c r="P16" s="183">
        <f>IF('Alusta siit!'!E22="jah",Tooted!T9-Tooted!T9*'Alusta siit!'!E23/100+Tooted!S9*'Alusta siit!'!D23/100,0)</f>
        <v>0</v>
      </c>
      <c r="Q16" s="183">
        <f>IF('Alusta siit!'!F22="jah",Tooted!U9-Tooted!U9*'Alusta siit!'!F23/100+Tooted!T9*'Alusta siit!'!E23/100,0)</f>
        <v>0</v>
      </c>
    </row>
    <row r="17" spans="1:17" s="58" customFormat="1" x14ac:dyDescent="0.2">
      <c r="A17" s="61" t="s">
        <v>192</v>
      </c>
      <c r="B17" s="60">
        <f>IF(AND('Alusta siit!'!$C22="jah",SUM(B15:B16)&gt;=0),B14-SUM(B15:B16),0)</f>
        <v>0</v>
      </c>
      <c r="C17" s="60">
        <f>IF(AND('Alusta siit!'!$C22="jah",SUM(C15:C16)&gt;=0),C14-SUM(C15:C16),0)</f>
        <v>36</v>
      </c>
      <c r="D17" s="60">
        <f>IF(AND('Alusta siit!'!$C22="jah",SUM(D15:D16)&gt;=0),D14-SUM(D15:D16),0)</f>
        <v>65.400000000000006</v>
      </c>
      <c r="E17" s="60">
        <f>IF(AND('Alusta siit!'!$C22="jah",SUM(E15:E16)&gt;=0),E14-SUM(E15:E16),0)</f>
        <v>117.72</v>
      </c>
      <c r="F17" s="60">
        <f>IF(AND('Alusta siit!'!$C22="jah",SUM(F15:F16)&gt;=0),F14-SUM(F15:F16),0)</f>
        <v>735.44</v>
      </c>
      <c r="G17" s="60">
        <f>IF(AND('Alusta siit!'!$C22="jah",SUM(G15:G16)&gt;=0),G14-SUM(G15:G16),0)</f>
        <v>1142.4000000000001</v>
      </c>
      <c r="H17" s="60">
        <f>IF(AND('Alusta siit!'!$C22="jah",SUM(H15:H16)&gt;=0),H14-SUM(H15:H16),0)</f>
        <v>1784.8</v>
      </c>
      <c r="I17" s="60">
        <f>IF(AND('Alusta siit!'!$C22="jah",SUM(I15:I16)&gt;=0),I14-SUM(I15:I16),0)</f>
        <v>2061.4</v>
      </c>
      <c r="J17" s="60">
        <f>IF(AND('Alusta siit!'!$C22="jah",SUM(J15:J16)&gt;=0),J14-SUM(J15:J16),0)</f>
        <v>2323</v>
      </c>
      <c r="K17" s="60">
        <f>IF(AND('Alusta siit!'!$C22="jah",SUM(K15:K16)&gt;=0),K14-SUM(K15:K16),0)</f>
        <v>2584.6</v>
      </c>
      <c r="L17" s="60">
        <f>IF(AND('Alusta siit!'!$C22="jah",SUM(L15:L16)&gt;=0),L14-SUM(L15:L16),0)</f>
        <v>2977</v>
      </c>
      <c r="M17" s="60">
        <f>IF(AND('Alusta siit!'!$C22="jah",SUM(M15:M16)&gt;=0),M14-SUM(M15:M16),0)</f>
        <v>3369.4</v>
      </c>
      <c r="N17" s="183">
        <f t="shared" si="4"/>
        <v>17197.16</v>
      </c>
      <c r="O17" s="183">
        <f>IF(AND('Alusta siit!'!D22="jah",SUM(O15:O16)&gt;=0),O14-SUM(O15:O16),0)</f>
        <v>64512.799999999996</v>
      </c>
      <c r="P17" s="183">
        <f>IF(AND('Alusta siit!'!E22="jah",SUM(P15:P16)&gt;=0),P14-SUM(P15:P16),0)</f>
        <v>77835.199999999997</v>
      </c>
      <c r="Q17" s="183">
        <f>IF(AND('Alusta siit!'!F22="jah",SUM(Q15:Q16)&gt;=0),Q14-SUM(Q15:Q16),0)</f>
        <v>0</v>
      </c>
    </row>
    <row r="18" spans="1:17" s="52" customFormat="1" x14ac:dyDescent="0.2">
      <c r="A18" s="50" t="s">
        <v>5</v>
      </c>
      <c r="B18" s="62"/>
      <c r="C18" s="62"/>
      <c r="D18" s="62"/>
      <c r="E18" s="62"/>
      <c r="F18" s="62"/>
      <c r="G18" s="62"/>
      <c r="H18" s="62"/>
      <c r="I18" s="62"/>
      <c r="J18" s="62"/>
      <c r="K18" s="62"/>
      <c r="L18" s="62"/>
      <c r="M18" s="62"/>
      <c r="N18" s="183">
        <f t="shared" si="4"/>
        <v>0</v>
      </c>
      <c r="O18" s="184"/>
      <c r="P18" s="184"/>
      <c r="Q18" s="184"/>
    </row>
    <row r="19" spans="1:17" s="52" customFormat="1" x14ac:dyDescent="0.2">
      <c r="A19" s="63" t="s">
        <v>6</v>
      </c>
      <c r="B19" s="60">
        <f>IF('Alusta siit!'!$C22="jah",ROUND(B17*0.2+B16*0.09,0),0)</f>
        <v>0</v>
      </c>
      <c r="C19" s="60">
        <f>IF('Alusta siit!'!$C22="jah",ROUND(C17*0.2+C16*0.09,0),0)</f>
        <v>7</v>
      </c>
      <c r="D19" s="60">
        <f>IF('Alusta siit!'!$C22="jah",ROUND(D17*0.2+D16*0.09,0),0)</f>
        <v>13</v>
      </c>
      <c r="E19" s="60">
        <f>IF('Alusta siit!'!$C22="jah",ROUND(E17*0.2+E16*0.09,0),0)</f>
        <v>24</v>
      </c>
      <c r="F19" s="60">
        <f>IF('Alusta siit!'!$C22="jah",ROUND(F17*0.2+F16*0.09,0),0)</f>
        <v>147</v>
      </c>
      <c r="G19" s="60">
        <f>IF('Alusta siit!'!$C22="jah",ROUND(G17*0.2+G16*0.09,0),0)</f>
        <v>228</v>
      </c>
      <c r="H19" s="60">
        <f>IF('Alusta siit!'!$C22="jah",ROUND(H17*0.2+H16*0.09,0),0)</f>
        <v>357</v>
      </c>
      <c r="I19" s="60">
        <f>IF('Alusta siit!'!$C22="jah",ROUND(I17*0.2+I16*0.09,0),0)</f>
        <v>412</v>
      </c>
      <c r="J19" s="60">
        <f>IF('Alusta siit!'!$C22="jah",ROUND(J17*0.2+J16*0.09,0),0)</f>
        <v>465</v>
      </c>
      <c r="K19" s="60">
        <f>IF('Alusta siit!'!$C22="jah",ROUND(K17*0.2+K16*0.09,0),0)</f>
        <v>517</v>
      </c>
      <c r="L19" s="60">
        <f>IF('Alusta siit!'!$C22="jah",ROUND(L17*0.2+L16*0.09,0),0)</f>
        <v>595</v>
      </c>
      <c r="M19" s="60">
        <f>IF('Alusta siit!'!$C22="jah",ROUND(M17*0.2+M16*0.09,0),0)</f>
        <v>674</v>
      </c>
      <c r="N19" s="183">
        <f t="shared" si="4"/>
        <v>3439</v>
      </c>
      <c r="O19" s="183">
        <f>IF('Alusta siit!'!$D22="jah",ROUND(O17*0.2+O16*0.09,0),0)</f>
        <v>12903</v>
      </c>
      <c r="P19" s="183">
        <f>IF('Alusta siit!'!$E22="jah",ROUND(P17*0.2+P16*0.09,0),0)</f>
        <v>15567</v>
      </c>
      <c r="Q19" s="183">
        <f>IF('Alusta siit!'!$F22="jah",ROUND(Q17*0.2+Q16*0.09,0),0)</f>
        <v>0</v>
      </c>
    </row>
    <row r="20" spans="1:17" s="52" customFormat="1" x14ac:dyDescent="0.2">
      <c r="A20" s="50" t="s">
        <v>7</v>
      </c>
      <c r="B20" s="64">
        <v>7500</v>
      </c>
      <c r="C20" s="62"/>
      <c r="D20" s="62">
        <v>30000</v>
      </c>
      <c r="E20" s="62"/>
      <c r="F20" s="62"/>
      <c r="G20" s="62"/>
      <c r="H20" s="62"/>
      <c r="I20" s="62"/>
      <c r="J20" s="62"/>
      <c r="K20" s="62"/>
      <c r="L20" s="62"/>
      <c r="M20" s="62"/>
      <c r="N20" s="183">
        <f t="shared" si="4"/>
        <v>37500</v>
      </c>
      <c r="O20" s="184">
        <v>15000</v>
      </c>
      <c r="P20" s="184">
        <v>15000</v>
      </c>
      <c r="Q20" s="184"/>
    </row>
    <row r="21" spans="1:17" s="52" customFormat="1" x14ac:dyDescent="0.2">
      <c r="A21" s="50" t="s">
        <v>97</v>
      </c>
      <c r="B21" s="64"/>
      <c r="C21" s="292"/>
      <c r="D21" s="62"/>
      <c r="E21" s="62"/>
      <c r="F21" s="62"/>
      <c r="G21" s="62"/>
      <c r="H21" s="62"/>
      <c r="I21" s="62"/>
      <c r="J21" s="62"/>
      <c r="K21" s="62"/>
      <c r="L21" s="292"/>
      <c r="M21" s="62"/>
      <c r="N21" s="183">
        <f t="shared" si="4"/>
        <v>0</v>
      </c>
      <c r="O21" s="184"/>
      <c r="P21" s="184"/>
      <c r="Q21" s="184"/>
    </row>
    <row r="22" spans="1:17" s="52" customFormat="1" x14ac:dyDescent="0.2">
      <c r="A22" s="50" t="s">
        <v>98</v>
      </c>
      <c r="B22" s="64"/>
      <c r="C22" s="62"/>
      <c r="D22" s="62"/>
      <c r="E22" s="62"/>
      <c r="F22" s="62"/>
      <c r="G22" s="62"/>
      <c r="H22" s="62"/>
      <c r="I22" s="62"/>
      <c r="J22" s="62"/>
      <c r="K22" s="62"/>
      <c r="L22" s="62"/>
      <c r="M22" s="62"/>
      <c r="N22" s="183">
        <f t="shared" si="4"/>
        <v>0</v>
      </c>
      <c r="O22" s="184"/>
      <c r="P22" s="184"/>
      <c r="Q22" s="184"/>
    </row>
    <row r="23" spans="1:17" s="52" customFormat="1" ht="20.399999999999999" x14ac:dyDescent="0.2">
      <c r="A23" s="65" t="s">
        <v>160</v>
      </c>
      <c r="B23" s="64"/>
      <c r="C23" s="62"/>
      <c r="D23" s="62"/>
      <c r="E23" s="62"/>
      <c r="F23" s="62"/>
      <c r="G23" s="62"/>
      <c r="H23" s="62"/>
      <c r="I23" s="62"/>
      <c r="J23" s="62"/>
      <c r="K23" s="62"/>
      <c r="L23" s="62"/>
      <c r="M23" s="62"/>
      <c r="N23" s="183">
        <f t="shared" si="4"/>
        <v>0</v>
      </c>
      <c r="O23" s="184"/>
      <c r="P23" s="184"/>
      <c r="Q23" s="184"/>
    </row>
    <row r="24" spans="1:17" s="52" customFormat="1" x14ac:dyDescent="0.2">
      <c r="A24" s="65" t="s">
        <v>161</v>
      </c>
      <c r="B24" s="64"/>
      <c r="C24" s="292"/>
      <c r="D24" s="62"/>
      <c r="E24" s="62"/>
      <c r="F24" s="62"/>
      <c r="G24" s="62"/>
      <c r="H24" s="62"/>
      <c r="I24" s="62"/>
      <c r="J24" s="62"/>
      <c r="K24" s="62"/>
      <c r="L24" s="292"/>
      <c r="M24" s="62"/>
      <c r="N24" s="183">
        <f t="shared" si="4"/>
        <v>0</v>
      </c>
      <c r="O24" s="184"/>
      <c r="P24" s="184"/>
      <c r="Q24" s="184"/>
    </row>
    <row r="25" spans="1:17" s="52" customFormat="1" x14ac:dyDescent="0.2">
      <c r="A25" s="50" t="s">
        <v>184</v>
      </c>
      <c r="B25" s="64"/>
      <c r="C25" s="62"/>
      <c r="D25" s="62"/>
      <c r="E25" s="62"/>
      <c r="F25" s="62"/>
      <c r="G25" s="62"/>
      <c r="H25" s="62"/>
      <c r="I25" s="62"/>
      <c r="J25" s="62"/>
      <c r="K25" s="62"/>
      <c r="L25" s="62"/>
      <c r="M25" s="62"/>
      <c r="N25" s="183">
        <f t="shared" si="4"/>
        <v>0</v>
      </c>
      <c r="O25" s="184"/>
      <c r="P25" s="184"/>
      <c r="Q25" s="184"/>
    </row>
    <row r="26" spans="1:17" s="208" customFormat="1" x14ac:dyDescent="0.2">
      <c r="A26" s="275" t="s">
        <v>217</v>
      </c>
      <c r="B26" s="64"/>
      <c r="C26" s="62"/>
      <c r="D26" s="83"/>
      <c r="E26" s="83"/>
      <c r="F26" s="83"/>
      <c r="G26" s="83"/>
      <c r="H26" s="83"/>
      <c r="I26" s="83"/>
      <c r="J26" s="83"/>
      <c r="K26" s="83"/>
      <c r="L26" s="83"/>
      <c r="M26" s="83"/>
      <c r="N26" s="206">
        <f>SUM(B26:M26)</f>
        <v>0</v>
      </c>
      <c r="O26" s="207"/>
      <c r="P26" s="207"/>
      <c r="Q26" s="207"/>
    </row>
    <row r="27" spans="1:17" s="52" customFormat="1" x14ac:dyDescent="0.2">
      <c r="A27" s="276" t="s">
        <v>218</v>
      </c>
      <c r="B27" s="64"/>
      <c r="C27" s="62"/>
      <c r="D27" s="62"/>
      <c r="E27" s="62"/>
      <c r="F27" s="62"/>
      <c r="G27" s="62"/>
      <c r="H27" s="62"/>
      <c r="I27" s="62"/>
      <c r="J27" s="62"/>
      <c r="K27" s="62"/>
      <c r="L27" s="62"/>
      <c r="M27" s="62"/>
      <c r="N27" s="183">
        <f t="shared" si="4"/>
        <v>0</v>
      </c>
      <c r="O27" s="184"/>
      <c r="P27" s="184"/>
      <c r="Q27" s="184"/>
    </row>
    <row r="28" spans="1:17" s="52" customFormat="1" x14ac:dyDescent="0.2">
      <c r="A28" s="276" t="s">
        <v>219</v>
      </c>
      <c r="B28" s="64"/>
      <c r="C28" s="62"/>
      <c r="D28" s="62"/>
      <c r="E28" s="62"/>
      <c r="F28" s="62"/>
      <c r="G28" s="62"/>
      <c r="H28" s="62"/>
      <c r="I28" s="62"/>
      <c r="J28" s="62"/>
      <c r="K28" s="62"/>
      <c r="L28" s="62"/>
      <c r="M28" s="62"/>
      <c r="N28" s="183">
        <f t="shared" si="4"/>
        <v>0</v>
      </c>
      <c r="O28" s="184"/>
      <c r="P28" s="184"/>
      <c r="Q28" s="184"/>
    </row>
    <row r="29" spans="1:17" s="52" customFormat="1" x14ac:dyDescent="0.2">
      <c r="A29" s="50" t="s">
        <v>107</v>
      </c>
      <c r="B29" s="62"/>
      <c r="C29" s="292"/>
      <c r="D29" s="62"/>
      <c r="E29" s="62"/>
      <c r="F29" s="62"/>
      <c r="G29" s="62"/>
      <c r="H29" s="62"/>
      <c r="I29" s="62"/>
      <c r="J29" s="62"/>
      <c r="K29" s="62"/>
      <c r="L29" s="292"/>
      <c r="M29" s="62"/>
      <c r="N29" s="183">
        <f t="shared" si="4"/>
        <v>0</v>
      </c>
      <c r="O29" s="184"/>
      <c r="P29" s="184"/>
      <c r="Q29" s="184"/>
    </row>
    <row r="30" spans="1:17" s="67" customFormat="1" x14ac:dyDescent="0.2">
      <c r="A30" s="66" t="s">
        <v>8</v>
      </c>
      <c r="B30" s="60">
        <f t="shared" ref="B30:H30" si="5">B14+SUM(B18:B29)</f>
        <v>7500</v>
      </c>
      <c r="C30" s="60">
        <f>C14+SUM(C18:C28)</f>
        <v>43</v>
      </c>
      <c r="D30" s="60">
        <f t="shared" si="5"/>
        <v>30078.400000000001</v>
      </c>
      <c r="E30" s="60">
        <f t="shared" si="5"/>
        <v>141.72</v>
      </c>
      <c r="F30" s="60">
        <f t="shared" si="5"/>
        <v>882.44</v>
      </c>
      <c r="G30" s="60">
        <f t="shared" si="5"/>
        <v>1370.4</v>
      </c>
      <c r="H30" s="60">
        <f t="shared" si="5"/>
        <v>2141.8000000000002</v>
      </c>
      <c r="I30" s="60">
        <f>I14+SUM(I18:I29)</f>
        <v>2473.4</v>
      </c>
      <c r="J30" s="60">
        <f>J14+SUM(J18:J29)</f>
        <v>2788</v>
      </c>
      <c r="K30" s="60">
        <f>K14+SUM(K18:K29)</f>
        <v>3101.6</v>
      </c>
      <c r="L30" s="60">
        <f>L14+SUM(L18:L28)</f>
        <v>3572</v>
      </c>
      <c r="M30" s="60">
        <f>M14+SUM(M18:M29)</f>
        <v>4043.4</v>
      </c>
      <c r="N30" s="183">
        <f>IF((SUM(N14:N29)-SUM(N15:N17))=SUM(B30:M30),SUM(B30:M30),"viga")</f>
        <v>58136.160000000011</v>
      </c>
      <c r="O30" s="183">
        <f>SUM(O14:O29)-SUM(O15:O17)</f>
        <v>92415.799999999988</v>
      </c>
      <c r="P30" s="183">
        <f>SUM(P14:P29)-SUM(P15:P17)</f>
        <v>108402.2</v>
      </c>
      <c r="Q30" s="183">
        <f>SUM(Q14:Q29)-SUM(Q15:Q17)</f>
        <v>0</v>
      </c>
    </row>
    <row r="31" spans="1:17" s="45" customFormat="1" x14ac:dyDescent="0.2">
      <c r="A31" s="68"/>
      <c r="B31" s="69"/>
      <c r="C31" s="69"/>
      <c r="D31" s="69"/>
      <c r="E31" s="69"/>
      <c r="F31" s="69"/>
      <c r="G31" s="69"/>
      <c r="H31" s="69"/>
      <c r="I31" s="69"/>
      <c r="J31" s="69"/>
      <c r="K31" s="69"/>
      <c r="L31" s="69"/>
      <c r="M31" s="69"/>
      <c r="N31" s="130"/>
      <c r="O31" s="130"/>
      <c r="P31" s="130"/>
      <c r="Q31" s="130"/>
    </row>
    <row r="32" spans="1:17" x14ac:dyDescent="0.2">
      <c r="A32" s="59" t="s">
        <v>25</v>
      </c>
      <c r="B32" s="47"/>
      <c r="C32" s="47"/>
      <c r="D32" s="47"/>
      <c r="E32" s="47"/>
      <c r="F32" s="47"/>
      <c r="G32" s="47"/>
      <c r="H32" s="47"/>
      <c r="I32" s="47"/>
      <c r="J32" s="47"/>
      <c r="K32" s="47"/>
      <c r="L32" s="47"/>
      <c r="M32" s="47"/>
      <c r="N32" s="131"/>
      <c r="O32" s="131"/>
      <c r="P32" s="131"/>
      <c r="Q32" s="131"/>
    </row>
    <row r="33" spans="1:17" x14ac:dyDescent="0.2">
      <c r="A33" s="70" t="s">
        <v>49</v>
      </c>
      <c r="B33" s="47"/>
      <c r="C33" s="47"/>
      <c r="D33" s="47"/>
      <c r="E33" s="47"/>
      <c r="F33" s="47"/>
      <c r="G33" s="47"/>
      <c r="H33" s="47"/>
      <c r="I33" s="47"/>
      <c r="J33" s="47"/>
      <c r="K33" s="47"/>
      <c r="L33" s="47"/>
      <c r="M33" s="47"/>
      <c r="N33" s="131"/>
      <c r="O33" s="131"/>
      <c r="P33" s="131"/>
      <c r="Q33" s="131"/>
    </row>
    <row r="34" spans="1:17" x14ac:dyDescent="0.2">
      <c r="A34" s="45" t="s">
        <v>169</v>
      </c>
      <c r="B34" s="47"/>
      <c r="C34" s="47"/>
      <c r="D34" s="47"/>
      <c r="E34" s="47"/>
      <c r="F34" s="47"/>
      <c r="G34" s="47"/>
      <c r="H34" s="47"/>
      <c r="I34" s="47"/>
      <c r="J34" s="47"/>
      <c r="K34" s="47"/>
      <c r="L34" s="47"/>
      <c r="M34" s="47"/>
      <c r="N34" s="131"/>
      <c r="O34" s="131"/>
      <c r="P34" s="131"/>
      <c r="Q34" s="131"/>
    </row>
    <row r="35" spans="1:17" ht="20.399999999999999" x14ac:dyDescent="0.2">
      <c r="A35" s="65" t="s">
        <v>163</v>
      </c>
      <c r="B35" s="62"/>
      <c r="C35" s="62"/>
      <c r="D35" s="62"/>
      <c r="E35" s="62"/>
      <c r="F35" s="62"/>
      <c r="G35" s="62"/>
      <c r="H35" s="62"/>
      <c r="I35" s="62"/>
      <c r="J35" s="62"/>
      <c r="K35" s="62"/>
      <c r="L35" s="62"/>
      <c r="M35" s="62"/>
      <c r="N35" s="183">
        <f t="shared" ref="N35:N41" si="6">SUM(B35:M35)</f>
        <v>0</v>
      </c>
      <c r="O35" s="184"/>
      <c r="P35" s="184"/>
      <c r="Q35" s="184"/>
    </row>
    <row r="36" spans="1:17" ht="20.399999999999999" x14ac:dyDescent="0.2">
      <c r="A36" s="65" t="s">
        <v>186</v>
      </c>
      <c r="B36" s="55">
        <f t="shared" ref="B36:M36" si="7">IF(B23&gt;0,B23,0)</f>
        <v>0</v>
      </c>
      <c r="C36" s="55">
        <f>IF(C23&gt;0,C23,0)</f>
        <v>0</v>
      </c>
      <c r="D36" s="55">
        <f t="shared" si="7"/>
        <v>0</v>
      </c>
      <c r="E36" s="55">
        <f t="shared" si="7"/>
        <v>0</v>
      </c>
      <c r="F36" s="55">
        <f t="shared" si="7"/>
        <v>0</v>
      </c>
      <c r="G36" s="55">
        <f t="shared" si="7"/>
        <v>0</v>
      </c>
      <c r="H36" s="55">
        <f t="shared" si="7"/>
        <v>0</v>
      </c>
      <c r="I36" s="55">
        <f t="shared" si="7"/>
        <v>0</v>
      </c>
      <c r="J36" s="55">
        <f t="shared" si="7"/>
        <v>0</v>
      </c>
      <c r="K36" s="55">
        <f t="shared" si="7"/>
        <v>0</v>
      </c>
      <c r="L36" s="55">
        <f t="shared" si="7"/>
        <v>0</v>
      </c>
      <c r="M36" s="55">
        <f t="shared" si="7"/>
        <v>0</v>
      </c>
      <c r="N36" s="183">
        <f t="shared" si="6"/>
        <v>0</v>
      </c>
      <c r="O36" s="181">
        <f t="shared" ref="O36:Q37" si="8">IF(O23&gt;0,O23,0)</f>
        <v>0</v>
      </c>
      <c r="P36" s="181">
        <f t="shared" si="8"/>
        <v>0</v>
      </c>
      <c r="Q36" s="181">
        <f t="shared" si="8"/>
        <v>0</v>
      </c>
    </row>
    <row r="37" spans="1:17" x14ac:dyDescent="0.2">
      <c r="A37" s="65" t="s">
        <v>185</v>
      </c>
      <c r="B37" s="55">
        <f>IF(B24&gt;0,B24,0)</f>
        <v>0</v>
      </c>
      <c r="C37" s="55">
        <f>IF(C26&gt;0,C26,0)</f>
        <v>0</v>
      </c>
      <c r="D37" s="55">
        <f t="shared" ref="D37:N37" si="9">IF(D24&gt;0,D24,0)</f>
        <v>0</v>
      </c>
      <c r="E37" s="55">
        <f t="shared" si="9"/>
        <v>0</v>
      </c>
      <c r="F37" s="55">
        <f t="shared" si="9"/>
        <v>0</v>
      </c>
      <c r="G37" s="55">
        <f t="shared" si="9"/>
        <v>0</v>
      </c>
      <c r="H37" s="55">
        <f t="shared" si="9"/>
        <v>0</v>
      </c>
      <c r="I37" s="55">
        <f t="shared" si="9"/>
        <v>0</v>
      </c>
      <c r="J37" s="55">
        <f t="shared" si="9"/>
        <v>0</v>
      </c>
      <c r="K37" s="55">
        <f t="shared" si="9"/>
        <v>0</v>
      </c>
      <c r="L37" s="55">
        <f>IF(L20&gt;0,L20,0)</f>
        <v>0</v>
      </c>
      <c r="M37" s="55">
        <f t="shared" si="9"/>
        <v>0</v>
      </c>
      <c r="N37" s="181">
        <f t="shared" si="9"/>
        <v>0</v>
      </c>
      <c r="O37" s="181">
        <f t="shared" si="8"/>
        <v>0</v>
      </c>
      <c r="P37" s="181">
        <f t="shared" si="8"/>
        <v>0</v>
      </c>
      <c r="Q37" s="181">
        <f t="shared" si="8"/>
        <v>0</v>
      </c>
    </row>
    <row r="38" spans="1:17" ht="20.399999999999999" x14ac:dyDescent="0.2">
      <c r="A38" s="71" t="s">
        <v>220</v>
      </c>
      <c r="B38" s="55">
        <f>IF(B27&gt;0,B27,0)</f>
        <v>0</v>
      </c>
      <c r="C38" s="55">
        <f t="shared" ref="C38:Q38" si="10">IF(C27&gt;0,C27,0)</f>
        <v>0</v>
      </c>
      <c r="D38" s="55">
        <f t="shared" si="10"/>
        <v>0</v>
      </c>
      <c r="E38" s="55">
        <f t="shared" si="10"/>
        <v>0</v>
      </c>
      <c r="F38" s="55">
        <f t="shared" si="10"/>
        <v>0</v>
      </c>
      <c r="G38" s="55">
        <f t="shared" si="10"/>
        <v>0</v>
      </c>
      <c r="H38" s="55">
        <f t="shared" si="10"/>
        <v>0</v>
      </c>
      <c r="I38" s="55">
        <f t="shared" si="10"/>
        <v>0</v>
      </c>
      <c r="J38" s="55">
        <f t="shared" si="10"/>
        <v>0</v>
      </c>
      <c r="K38" s="55">
        <f t="shared" si="10"/>
        <v>0</v>
      </c>
      <c r="L38" s="55">
        <f t="shared" si="10"/>
        <v>0</v>
      </c>
      <c r="M38" s="55">
        <f t="shared" si="10"/>
        <v>0</v>
      </c>
      <c r="N38" s="183">
        <f t="shared" si="6"/>
        <v>0</v>
      </c>
      <c r="O38" s="181">
        <f t="shared" si="10"/>
        <v>0</v>
      </c>
      <c r="P38" s="181">
        <f t="shared" si="10"/>
        <v>0</v>
      </c>
      <c r="Q38" s="181">
        <f t="shared" si="10"/>
        <v>0</v>
      </c>
    </row>
    <row r="39" spans="1:17" ht="20.399999999999999" x14ac:dyDescent="0.2">
      <c r="A39" s="65" t="s">
        <v>162</v>
      </c>
      <c r="B39" s="62">
        <v>6200</v>
      </c>
      <c r="C39" s="87"/>
      <c r="D39" s="62">
        <v>25000</v>
      </c>
      <c r="E39" s="62"/>
      <c r="F39" s="62"/>
      <c r="G39" s="62"/>
      <c r="H39" s="62"/>
      <c r="I39" s="62"/>
      <c r="J39" s="62"/>
      <c r="K39" s="62"/>
      <c r="L39" s="62"/>
      <c r="M39" s="62"/>
      <c r="N39" s="183">
        <f t="shared" si="6"/>
        <v>31200</v>
      </c>
      <c r="O39" s="184">
        <v>12000</v>
      </c>
      <c r="P39" s="184">
        <v>12000</v>
      </c>
      <c r="Q39" s="184"/>
    </row>
    <row r="40" spans="1:17" x14ac:dyDescent="0.2">
      <c r="A40" s="50" t="s">
        <v>36</v>
      </c>
      <c r="B40" s="62"/>
      <c r="C40" s="62"/>
      <c r="D40" s="62"/>
      <c r="E40" s="62"/>
      <c r="F40" s="62"/>
      <c r="G40" s="62"/>
      <c r="H40" s="62"/>
      <c r="I40" s="62"/>
      <c r="J40" s="62"/>
      <c r="K40" s="62"/>
      <c r="L40" s="62"/>
      <c r="M40" s="62"/>
      <c r="N40" s="183">
        <f t="shared" si="6"/>
        <v>0</v>
      </c>
      <c r="O40" s="189"/>
      <c r="P40" s="184"/>
      <c r="Q40" s="184"/>
    </row>
    <row r="41" spans="1:17" x14ac:dyDescent="0.2">
      <c r="A41" s="50" t="s">
        <v>35</v>
      </c>
      <c r="B41" s="62"/>
      <c r="C41" s="62"/>
      <c r="D41" s="62"/>
      <c r="E41" s="62"/>
      <c r="F41" s="62"/>
      <c r="G41" s="62"/>
      <c r="H41" s="62"/>
      <c r="I41" s="62"/>
      <c r="J41" s="62"/>
      <c r="K41" s="62"/>
      <c r="L41" s="62"/>
      <c r="M41" s="62"/>
      <c r="N41" s="183">
        <f t="shared" si="6"/>
        <v>0</v>
      </c>
      <c r="O41" s="184"/>
      <c r="P41" s="184"/>
      <c r="Q41" s="184"/>
    </row>
    <row r="42" spans="1:17" ht="20.399999999999999" x14ac:dyDescent="0.2">
      <c r="A42" s="72" t="s">
        <v>170</v>
      </c>
      <c r="B42" s="73"/>
      <c r="C42" s="73"/>
      <c r="D42" s="73"/>
      <c r="E42" s="73"/>
      <c r="F42" s="73"/>
      <c r="G42" s="73"/>
      <c r="H42" s="73"/>
      <c r="I42" s="73"/>
      <c r="J42" s="73"/>
      <c r="K42" s="73"/>
      <c r="L42" s="73"/>
      <c r="M42" s="73"/>
      <c r="N42" s="194"/>
      <c r="O42" s="185"/>
      <c r="P42" s="185"/>
      <c r="Q42" s="185"/>
    </row>
    <row r="43" spans="1:17" ht="20.399999999999999" x14ac:dyDescent="0.2">
      <c r="A43" s="71" t="s">
        <v>221</v>
      </c>
      <c r="B43" s="74">
        <f>IF(B28&gt;0,B28,0)</f>
        <v>0</v>
      </c>
      <c r="C43" s="74">
        <f>IF(C28&gt;0,C28,0)</f>
        <v>0</v>
      </c>
      <c r="D43" s="74">
        <f t="shared" ref="D43:M43" si="11">IF(D28&gt;0,D28,0)</f>
        <v>0</v>
      </c>
      <c r="E43" s="74">
        <f t="shared" si="11"/>
        <v>0</v>
      </c>
      <c r="F43" s="74">
        <f t="shared" si="11"/>
        <v>0</v>
      </c>
      <c r="G43" s="74">
        <f t="shared" si="11"/>
        <v>0</v>
      </c>
      <c r="H43" s="74">
        <f t="shared" si="11"/>
        <v>0</v>
      </c>
      <c r="I43" s="74">
        <f t="shared" si="11"/>
        <v>0</v>
      </c>
      <c r="J43" s="74">
        <f t="shared" si="11"/>
        <v>0</v>
      </c>
      <c r="K43" s="74">
        <f t="shared" si="11"/>
        <v>0</v>
      </c>
      <c r="L43" s="74">
        <f t="shared" si="11"/>
        <v>0</v>
      </c>
      <c r="M43" s="74">
        <f t="shared" si="11"/>
        <v>0</v>
      </c>
      <c r="N43" s="186">
        <f>SUM(B43:M43)</f>
        <v>0</v>
      </c>
      <c r="O43" s="186">
        <f>IF(O28&gt;0,O28,0)</f>
        <v>0</v>
      </c>
      <c r="P43" s="186">
        <f>IF(P28&gt;0,P28,0)</f>
        <v>0</v>
      </c>
      <c r="Q43" s="186">
        <f>IF(Q28&gt;0,Q28,0)</f>
        <v>0</v>
      </c>
    </row>
    <row r="44" spans="1:17" x14ac:dyDescent="0.2">
      <c r="A44" s="50" t="s">
        <v>171</v>
      </c>
      <c r="B44" s="62"/>
      <c r="C44" s="62"/>
      <c r="D44" s="62"/>
      <c r="E44" s="62"/>
      <c r="F44" s="62"/>
      <c r="G44" s="62"/>
      <c r="H44" s="62"/>
      <c r="I44" s="62"/>
      <c r="J44" s="62"/>
      <c r="K44" s="62"/>
      <c r="L44" s="62"/>
      <c r="M44" s="62"/>
      <c r="N44" s="183">
        <f>SUM(B44:M44)</f>
        <v>0</v>
      </c>
      <c r="O44" s="184"/>
      <c r="P44" s="184"/>
      <c r="Q44" s="184"/>
    </row>
    <row r="45" spans="1:17" x14ac:dyDescent="0.2">
      <c r="A45" s="75"/>
      <c r="B45" s="47"/>
      <c r="C45" s="47"/>
      <c r="D45" s="47"/>
      <c r="E45" s="47"/>
      <c r="F45" s="47"/>
      <c r="G45" s="47"/>
      <c r="H45" s="47"/>
      <c r="I45" s="47"/>
      <c r="J45" s="47"/>
      <c r="K45" s="47"/>
      <c r="L45" s="47"/>
      <c r="M45" s="47"/>
      <c r="N45" s="131"/>
      <c r="O45" s="131"/>
      <c r="P45" s="131"/>
      <c r="Q45" s="131"/>
    </row>
    <row r="46" spans="1:17" x14ac:dyDescent="0.2">
      <c r="A46" s="76" t="s">
        <v>26</v>
      </c>
      <c r="B46" s="47"/>
      <c r="C46" s="47"/>
      <c r="D46" s="47"/>
      <c r="E46" s="47"/>
      <c r="F46" s="47"/>
      <c r="G46" s="47"/>
      <c r="H46" s="47"/>
      <c r="I46" s="47"/>
      <c r="J46" s="47"/>
      <c r="K46" s="47"/>
      <c r="L46" s="47"/>
      <c r="M46" s="47"/>
      <c r="N46" s="131"/>
      <c r="O46" s="131"/>
      <c r="P46" s="131"/>
      <c r="Q46" s="131"/>
    </row>
    <row r="47" spans="1:17" x14ac:dyDescent="0.2">
      <c r="A47" s="45" t="s">
        <v>28</v>
      </c>
      <c r="B47" s="47"/>
      <c r="C47" s="47"/>
      <c r="D47" s="47"/>
      <c r="E47" s="47"/>
      <c r="F47" s="47"/>
      <c r="G47" s="47"/>
      <c r="H47" s="47"/>
      <c r="I47" s="47"/>
      <c r="J47" s="47"/>
      <c r="K47" s="47"/>
      <c r="L47" s="47"/>
      <c r="M47" s="47"/>
      <c r="N47" s="131"/>
      <c r="O47" s="131"/>
      <c r="P47" s="131"/>
      <c r="Q47" s="131"/>
    </row>
    <row r="48" spans="1:17" x14ac:dyDescent="0.2">
      <c r="A48" s="50" t="s">
        <v>9</v>
      </c>
      <c r="B48" s="77">
        <f>Tooted!F8</f>
        <v>0</v>
      </c>
      <c r="C48" s="77">
        <f>Tooted!G8</f>
        <v>0</v>
      </c>
      <c r="D48" s="77">
        <f>Tooted!H8</f>
        <v>0</v>
      </c>
      <c r="E48" s="77">
        <f>Tooted!I8</f>
        <v>0</v>
      </c>
      <c r="F48" s="77">
        <f>Tooted!J8</f>
        <v>0</v>
      </c>
      <c r="G48" s="77">
        <f>Tooted!K8</f>
        <v>0</v>
      </c>
      <c r="H48" s="77">
        <f>Tooted!L8</f>
        <v>0</v>
      </c>
      <c r="I48" s="77">
        <f>Tooted!M8</f>
        <v>0</v>
      </c>
      <c r="J48" s="77">
        <f>Tooted!N8</f>
        <v>0</v>
      </c>
      <c r="K48" s="77">
        <f>Tooted!O8</f>
        <v>0</v>
      </c>
      <c r="L48" s="77">
        <f>Tooted!P8</f>
        <v>0</v>
      </c>
      <c r="M48" s="77">
        <f>Tooted!Q8</f>
        <v>0</v>
      </c>
      <c r="N48" s="183">
        <f>SUM(B48:M48)</f>
        <v>0</v>
      </c>
      <c r="O48" s="187">
        <f>Tooted!S8</f>
        <v>0</v>
      </c>
      <c r="P48" s="187">
        <f>Tooted!T8</f>
        <v>0</v>
      </c>
      <c r="Q48" s="187">
        <f>Tooted!U8</f>
        <v>0</v>
      </c>
    </row>
    <row r="49" spans="1:17" x14ac:dyDescent="0.2">
      <c r="A49" s="50" t="s">
        <v>29</v>
      </c>
      <c r="B49" s="62"/>
      <c r="C49" s="62">
        <v>0</v>
      </c>
      <c r="D49" s="62">
        <v>50</v>
      </c>
      <c r="E49" s="62">
        <v>50</v>
      </c>
      <c r="F49" s="62">
        <v>50</v>
      </c>
      <c r="G49" s="62">
        <v>50</v>
      </c>
      <c r="H49" s="62">
        <v>50</v>
      </c>
      <c r="I49" s="62">
        <v>50</v>
      </c>
      <c r="J49" s="62">
        <v>50</v>
      </c>
      <c r="K49" s="62">
        <v>50</v>
      </c>
      <c r="L49" s="62">
        <v>50</v>
      </c>
      <c r="M49" s="62">
        <v>50</v>
      </c>
      <c r="N49" s="183">
        <f>SUM(B49:M49)</f>
        <v>500</v>
      </c>
      <c r="O49" s="184"/>
      <c r="P49" s="184"/>
      <c r="Q49" s="184"/>
    </row>
    <row r="50" spans="1:17" x14ac:dyDescent="0.2">
      <c r="A50" s="78"/>
      <c r="B50" s="73"/>
      <c r="C50" s="73"/>
      <c r="D50" s="73"/>
      <c r="E50" s="73"/>
      <c r="F50" s="73"/>
      <c r="G50" s="73"/>
      <c r="H50" s="73"/>
      <c r="I50" s="73"/>
      <c r="J50" s="73"/>
      <c r="K50" s="73"/>
      <c r="L50" s="73"/>
      <c r="M50" s="73"/>
      <c r="N50" s="194"/>
      <c r="O50" s="185"/>
      <c r="P50" s="185"/>
      <c r="Q50" s="185"/>
    </row>
    <row r="51" spans="1:17" x14ac:dyDescent="0.2">
      <c r="A51" s="75"/>
      <c r="B51" s="47"/>
      <c r="C51" s="47"/>
      <c r="D51" s="47"/>
      <c r="E51" s="47"/>
      <c r="F51" s="47"/>
      <c r="G51" s="47"/>
      <c r="H51" s="47"/>
      <c r="I51" s="47"/>
      <c r="J51" s="47"/>
      <c r="K51" s="47"/>
      <c r="L51" s="47"/>
      <c r="M51" s="47"/>
      <c r="N51" s="131"/>
      <c r="O51" s="131"/>
      <c r="P51" s="131"/>
      <c r="Q51" s="131"/>
    </row>
    <row r="52" spans="1:17" x14ac:dyDescent="0.2">
      <c r="A52" s="45" t="s">
        <v>27</v>
      </c>
      <c r="B52" s="47"/>
      <c r="C52" s="47"/>
      <c r="D52" s="47"/>
      <c r="E52" s="47"/>
      <c r="F52" s="47"/>
      <c r="G52" s="47"/>
      <c r="H52" s="47"/>
      <c r="I52" s="47"/>
      <c r="J52" s="47"/>
      <c r="K52" s="47"/>
      <c r="L52" s="47"/>
      <c r="M52" s="47"/>
      <c r="N52" s="131"/>
      <c r="O52" s="131"/>
      <c r="P52" s="131"/>
      <c r="Q52" s="131"/>
    </row>
    <row r="53" spans="1:17" x14ac:dyDescent="0.2">
      <c r="A53" s="50" t="s">
        <v>21</v>
      </c>
      <c r="B53" s="83"/>
      <c r="C53" s="62">
        <v>10</v>
      </c>
      <c r="D53" s="62">
        <v>30</v>
      </c>
      <c r="E53" s="62">
        <v>100</v>
      </c>
      <c r="F53" s="62">
        <v>100</v>
      </c>
      <c r="G53" s="62">
        <v>100</v>
      </c>
      <c r="H53" s="62">
        <v>200</v>
      </c>
      <c r="I53" s="62">
        <v>200</v>
      </c>
      <c r="J53" s="62">
        <v>200</v>
      </c>
      <c r="K53" s="62">
        <v>200</v>
      </c>
      <c r="L53" s="62">
        <v>500</v>
      </c>
      <c r="M53" s="62">
        <v>500</v>
      </c>
      <c r="N53" s="183">
        <f>SUM(B53:M53)</f>
        <v>2140</v>
      </c>
      <c r="O53" s="184">
        <v>10000</v>
      </c>
      <c r="P53" s="184">
        <v>10000</v>
      </c>
      <c r="Q53" s="184"/>
    </row>
    <row r="54" spans="1:17" x14ac:dyDescent="0.2">
      <c r="A54" s="50" t="s">
        <v>32</v>
      </c>
      <c r="B54" s="62"/>
      <c r="C54" s="62"/>
      <c r="D54" s="62"/>
      <c r="E54" s="62"/>
      <c r="F54" s="62"/>
      <c r="G54" s="62"/>
      <c r="H54" s="62"/>
      <c r="I54" s="62"/>
      <c r="J54" s="62"/>
      <c r="K54" s="62"/>
      <c r="L54" s="62"/>
      <c r="M54" s="62"/>
      <c r="N54" s="183">
        <f>SUM(B54:M54)</f>
        <v>0</v>
      </c>
      <c r="O54" s="184"/>
      <c r="P54" s="184"/>
      <c r="Q54" s="184"/>
    </row>
    <row r="55" spans="1:17" x14ac:dyDescent="0.2">
      <c r="A55" s="50" t="s">
        <v>33</v>
      </c>
      <c r="B55" s="62"/>
      <c r="C55" s="62"/>
      <c r="D55" s="62"/>
      <c r="E55" s="62"/>
      <c r="F55" s="62"/>
      <c r="G55" s="62"/>
      <c r="H55" s="62"/>
      <c r="I55" s="62"/>
      <c r="J55" s="62"/>
      <c r="K55" s="62"/>
      <c r="L55" s="62"/>
      <c r="M55" s="62"/>
      <c r="N55" s="183">
        <f>SUM(B55:M55)</f>
        <v>0</v>
      </c>
      <c r="O55" s="184"/>
      <c r="P55" s="184"/>
      <c r="Q55" s="184"/>
    </row>
    <row r="56" spans="1:17" ht="3" customHeight="1" x14ac:dyDescent="0.2">
      <c r="A56" s="75"/>
      <c r="B56" s="47"/>
      <c r="C56" s="47"/>
      <c r="D56" s="47"/>
      <c r="E56" s="47"/>
      <c r="F56" s="47"/>
      <c r="G56" s="47"/>
      <c r="H56" s="47"/>
      <c r="I56" s="47"/>
      <c r="J56" s="47"/>
      <c r="K56" s="47"/>
      <c r="L56" s="47"/>
      <c r="M56" s="47"/>
      <c r="N56" s="194">
        <f>SUM(B56:M56)</f>
        <v>0</v>
      </c>
      <c r="O56" s="131"/>
      <c r="P56" s="131"/>
      <c r="Q56" s="131"/>
    </row>
    <row r="57" spans="1:17" x14ac:dyDescent="0.2">
      <c r="A57" s="79" t="s">
        <v>31</v>
      </c>
      <c r="B57" s="47"/>
      <c r="C57" s="47"/>
      <c r="D57" s="47"/>
      <c r="E57" s="47"/>
      <c r="F57" s="47"/>
      <c r="G57" s="47"/>
      <c r="H57" s="47"/>
      <c r="I57" s="47"/>
      <c r="J57" s="47"/>
      <c r="K57" s="47"/>
      <c r="L57" s="47"/>
      <c r="M57" s="47"/>
      <c r="N57" s="194"/>
      <c r="O57" s="131"/>
      <c r="P57" s="131"/>
      <c r="Q57" s="131"/>
    </row>
    <row r="58" spans="1:17" x14ac:dyDescent="0.2">
      <c r="A58" s="80" t="s">
        <v>164</v>
      </c>
      <c r="B58" s="81">
        <f>IF(B25&gt;0,B25,0)</f>
        <v>0</v>
      </c>
      <c r="C58" s="81">
        <f>IF(C25&gt;0,C25,0)</f>
        <v>0</v>
      </c>
      <c r="D58" s="81">
        <f t="shared" ref="D58:M58" si="12">IF(D25&gt;0,D25,0)</f>
        <v>0</v>
      </c>
      <c r="E58" s="81">
        <f t="shared" si="12"/>
        <v>0</v>
      </c>
      <c r="F58" s="81">
        <f t="shared" si="12"/>
        <v>0</v>
      </c>
      <c r="G58" s="81">
        <f t="shared" si="12"/>
        <v>0</v>
      </c>
      <c r="H58" s="81">
        <f t="shared" si="12"/>
        <v>0</v>
      </c>
      <c r="I58" s="81">
        <f t="shared" si="12"/>
        <v>0</v>
      </c>
      <c r="J58" s="81">
        <f t="shared" si="12"/>
        <v>0</v>
      </c>
      <c r="K58" s="81">
        <f t="shared" si="12"/>
        <v>0</v>
      </c>
      <c r="L58" s="81">
        <f t="shared" si="12"/>
        <v>0</v>
      </c>
      <c r="M58" s="81">
        <f t="shared" si="12"/>
        <v>0</v>
      </c>
      <c r="N58" s="183">
        <f>SUM(B58:M58)</f>
        <v>0</v>
      </c>
      <c r="O58" s="188">
        <f>IF(O25&gt;0,O25,0)</f>
        <v>0</v>
      </c>
      <c r="P58" s="188">
        <f>IF(P25&gt;0,P25,0)</f>
        <v>0</v>
      </c>
      <c r="Q58" s="188">
        <f>IF(Q25&gt;0,Q25,0)</f>
        <v>0</v>
      </c>
    </row>
    <row r="59" spans="1:17" x14ac:dyDescent="0.2">
      <c r="A59" s="67" t="s">
        <v>42</v>
      </c>
      <c r="B59" s="47"/>
      <c r="C59" s="47"/>
      <c r="D59" s="47"/>
      <c r="E59" s="47"/>
      <c r="F59" s="47"/>
      <c r="G59" s="47"/>
      <c r="H59" s="47"/>
      <c r="I59" s="47"/>
      <c r="J59" s="47"/>
      <c r="K59" s="47"/>
      <c r="L59" s="47"/>
      <c r="M59" s="47"/>
      <c r="N59" s="131"/>
      <c r="O59" s="131"/>
      <c r="P59" s="131"/>
      <c r="Q59" s="131"/>
    </row>
    <row r="60" spans="1:17" x14ac:dyDescent="0.2">
      <c r="A60" s="50" t="s">
        <v>10</v>
      </c>
      <c r="B60" s="62"/>
      <c r="C60" s="62"/>
      <c r="D60" s="62"/>
      <c r="E60" s="62"/>
      <c r="F60" s="62"/>
      <c r="G60" s="62"/>
      <c r="H60" s="62"/>
      <c r="I60" s="62"/>
      <c r="J60" s="62"/>
      <c r="K60" s="62"/>
      <c r="L60" s="62"/>
      <c r="M60" s="62"/>
      <c r="N60" s="183">
        <f>SUM(B60:M60)</f>
        <v>0</v>
      </c>
      <c r="O60" s="184"/>
      <c r="P60" s="184"/>
      <c r="Q60" s="184"/>
    </row>
    <row r="61" spans="1:17" x14ac:dyDescent="0.2">
      <c r="A61" s="50" t="s">
        <v>11</v>
      </c>
      <c r="B61" s="62"/>
      <c r="C61" s="62"/>
      <c r="D61" s="62"/>
      <c r="E61" s="62"/>
      <c r="F61" s="62"/>
      <c r="G61" s="62"/>
      <c r="H61" s="62"/>
      <c r="I61" s="62"/>
      <c r="J61" s="62"/>
      <c r="K61" s="62"/>
      <c r="L61" s="62"/>
      <c r="M61" s="62"/>
      <c r="N61" s="183">
        <f t="shared" ref="N61:N66" si="13">SUM(B61:M61)</f>
        <v>0</v>
      </c>
      <c r="O61" s="184"/>
      <c r="P61" s="184"/>
      <c r="Q61" s="184"/>
    </row>
    <row r="62" spans="1:17" x14ac:dyDescent="0.2">
      <c r="A62" s="50" t="s">
        <v>12</v>
      </c>
      <c r="B62" s="62"/>
      <c r="C62" s="62"/>
      <c r="D62" s="62"/>
      <c r="E62" s="62"/>
      <c r="F62" s="62">
        <v>100</v>
      </c>
      <c r="G62" s="62">
        <v>100</v>
      </c>
      <c r="H62" s="62">
        <v>100</v>
      </c>
      <c r="I62" s="62"/>
      <c r="J62" s="62"/>
      <c r="K62" s="62"/>
      <c r="L62" s="62"/>
      <c r="M62" s="62">
        <v>100</v>
      </c>
      <c r="N62" s="183">
        <f t="shared" si="13"/>
        <v>400</v>
      </c>
      <c r="O62" s="184">
        <v>600</v>
      </c>
      <c r="P62" s="184">
        <v>600</v>
      </c>
      <c r="Q62" s="184"/>
    </row>
    <row r="63" spans="1:17" x14ac:dyDescent="0.2">
      <c r="A63" s="50" t="s">
        <v>40</v>
      </c>
      <c r="B63" s="62"/>
      <c r="C63" s="62"/>
      <c r="D63" s="62"/>
      <c r="E63" s="62"/>
      <c r="F63" s="62"/>
      <c r="G63" s="62"/>
      <c r="H63" s="62"/>
      <c r="I63" s="62"/>
      <c r="J63" s="62"/>
      <c r="K63" s="62"/>
      <c r="L63" s="62"/>
      <c r="M63" s="62"/>
      <c r="N63" s="183">
        <f t="shared" si="13"/>
        <v>0</v>
      </c>
      <c r="O63" s="184"/>
      <c r="P63" s="184"/>
      <c r="Q63" s="184"/>
    </row>
    <row r="64" spans="1:17" x14ac:dyDescent="0.2">
      <c r="A64" s="50" t="s">
        <v>37</v>
      </c>
      <c r="B64" s="62"/>
      <c r="C64" s="62"/>
      <c r="D64" s="62"/>
      <c r="E64" s="62"/>
      <c r="F64" s="62"/>
      <c r="G64" s="62"/>
      <c r="H64" s="62"/>
      <c r="I64" s="62"/>
      <c r="J64" s="62"/>
      <c r="K64" s="62"/>
      <c r="L64" s="62"/>
      <c r="M64" s="62"/>
      <c r="N64" s="183">
        <f t="shared" si="13"/>
        <v>0</v>
      </c>
      <c r="O64" s="184"/>
      <c r="P64" s="184"/>
      <c r="Q64" s="184"/>
    </row>
    <row r="65" spans="1:17" x14ac:dyDescent="0.2">
      <c r="A65" s="50" t="s">
        <v>46</v>
      </c>
      <c r="B65" s="62"/>
      <c r="C65" s="62"/>
      <c r="D65" s="62"/>
      <c r="E65" s="62"/>
      <c r="F65" s="62"/>
      <c r="G65" s="62"/>
      <c r="H65" s="62"/>
      <c r="I65" s="62"/>
      <c r="J65" s="62"/>
      <c r="K65" s="62"/>
      <c r="L65" s="62"/>
      <c r="M65" s="62"/>
      <c r="N65" s="183">
        <f t="shared" si="13"/>
        <v>0</v>
      </c>
      <c r="O65" s="184"/>
      <c r="P65" s="184"/>
      <c r="Q65" s="184"/>
    </row>
    <row r="66" spans="1:17" x14ac:dyDescent="0.2">
      <c r="A66" s="50" t="s">
        <v>43</v>
      </c>
      <c r="B66" s="62"/>
      <c r="C66" s="62"/>
      <c r="D66" s="62"/>
      <c r="E66" s="62"/>
      <c r="F66" s="62"/>
      <c r="G66" s="62"/>
      <c r="H66" s="62"/>
      <c r="I66" s="62"/>
      <c r="J66" s="62"/>
      <c r="K66" s="62"/>
      <c r="L66" s="62"/>
      <c r="M66" s="62"/>
      <c r="N66" s="183">
        <f t="shared" si="13"/>
        <v>0</v>
      </c>
      <c r="O66" s="184"/>
      <c r="P66" s="184"/>
      <c r="Q66" s="184"/>
    </row>
    <row r="67" spans="1:17" x14ac:dyDescent="0.2">
      <c r="A67" s="67" t="s">
        <v>30</v>
      </c>
      <c r="B67" s="73"/>
      <c r="C67" s="73"/>
      <c r="D67" s="73"/>
      <c r="E67" s="73"/>
      <c r="F67" s="73"/>
      <c r="G67" s="73"/>
      <c r="H67" s="73"/>
      <c r="I67" s="73"/>
      <c r="J67" s="73"/>
      <c r="K67" s="73"/>
      <c r="L67" s="73"/>
      <c r="M67" s="73"/>
      <c r="N67" s="131"/>
      <c r="O67" s="185"/>
      <c r="P67" s="185"/>
      <c r="Q67" s="185"/>
    </row>
    <row r="68" spans="1:17" x14ac:dyDescent="0.2">
      <c r="A68" s="50" t="s">
        <v>13</v>
      </c>
      <c r="B68" s="62"/>
      <c r="C68" s="62"/>
      <c r="D68" s="62"/>
      <c r="E68" s="62"/>
      <c r="F68" s="62"/>
      <c r="G68" s="62"/>
      <c r="H68" s="62"/>
      <c r="I68" s="62"/>
      <c r="J68" s="62"/>
      <c r="K68" s="62"/>
      <c r="L68" s="62"/>
      <c r="M68" s="62"/>
      <c r="N68" s="183">
        <f>SUM(B68:M68)</f>
        <v>0</v>
      </c>
      <c r="O68" s="184"/>
      <c r="P68" s="184"/>
      <c r="Q68" s="184"/>
    </row>
    <row r="69" spans="1:17" x14ac:dyDescent="0.2">
      <c r="A69" s="50" t="s">
        <v>14</v>
      </c>
      <c r="B69" s="62"/>
      <c r="C69" s="62">
        <v>10</v>
      </c>
      <c r="D69" s="62">
        <v>50</v>
      </c>
      <c r="E69" s="62">
        <v>70</v>
      </c>
      <c r="F69" s="62">
        <v>70</v>
      </c>
      <c r="G69" s="62">
        <v>100</v>
      </c>
      <c r="H69" s="62">
        <v>100</v>
      </c>
      <c r="I69" s="62">
        <v>150</v>
      </c>
      <c r="J69" s="62">
        <v>150</v>
      </c>
      <c r="K69" s="62">
        <v>150</v>
      </c>
      <c r="L69" s="62">
        <v>150</v>
      </c>
      <c r="M69" s="62">
        <v>200</v>
      </c>
      <c r="N69" s="183">
        <f>SUM(B69:M69)</f>
        <v>1200</v>
      </c>
      <c r="O69" s="184">
        <v>3960</v>
      </c>
      <c r="P69" s="184">
        <v>4000</v>
      </c>
      <c r="Q69" s="184"/>
    </row>
    <row r="70" spans="1:17" x14ac:dyDescent="0.2">
      <c r="A70" s="50" t="s">
        <v>15</v>
      </c>
      <c r="B70" s="62"/>
      <c r="C70" s="62"/>
      <c r="D70" s="62"/>
      <c r="E70" s="62"/>
      <c r="F70" s="62"/>
      <c r="G70" s="62"/>
      <c r="H70" s="62"/>
      <c r="I70" s="62"/>
      <c r="J70" s="62"/>
      <c r="K70" s="62"/>
      <c r="L70" s="62"/>
      <c r="M70" s="62"/>
      <c r="N70" s="183">
        <f>SUM(B70:M70)</f>
        <v>0</v>
      </c>
      <c r="O70" s="184"/>
      <c r="P70" s="184"/>
      <c r="Q70" s="184"/>
    </row>
    <row r="71" spans="1:17" x14ac:dyDescent="0.2">
      <c r="A71" s="50" t="s">
        <v>16</v>
      </c>
      <c r="B71" s="62"/>
      <c r="C71" s="62"/>
      <c r="D71" s="62"/>
      <c r="E71" s="62"/>
      <c r="F71" s="62"/>
      <c r="G71" s="62"/>
      <c r="H71" s="62"/>
      <c r="I71" s="62"/>
      <c r="J71" s="62"/>
      <c r="K71" s="62"/>
      <c r="L71" s="62"/>
      <c r="M71" s="62"/>
      <c r="N71" s="183">
        <f>SUM(B71:M71)</f>
        <v>0</v>
      </c>
      <c r="O71" s="184"/>
      <c r="P71" s="184"/>
      <c r="Q71" s="184"/>
    </row>
    <row r="72" spans="1:17" x14ac:dyDescent="0.2">
      <c r="A72" s="67" t="s">
        <v>39</v>
      </c>
      <c r="B72" s="73"/>
      <c r="C72" s="73"/>
      <c r="D72" s="73"/>
      <c r="E72" s="73"/>
      <c r="F72" s="73"/>
      <c r="G72" s="73"/>
      <c r="H72" s="73"/>
      <c r="I72" s="73"/>
      <c r="J72" s="73"/>
      <c r="K72" s="73"/>
      <c r="L72" s="73"/>
      <c r="M72" s="73"/>
      <c r="N72" s="131"/>
      <c r="O72" s="185"/>
      <c r="P72" s="185"/>
      <c r="Q72" s="185"/>
    </row>
    <row r="73" spans="1:17" x14ac:dyDescent="0.2">
      <c r="A73" s="50" t="s">
        <v>17</v>
      </c>
      <c r="B73" s="62"/>
      <c r="C73" s="62"/>
      <c r="D73" s="62"/>
      <c r="E73" s="62"/>
      <c r="F73" s="62"/>
      <c r="G73" s="62"/>
      <c r="H73" s="62"/>
      <c r="I73" s="62"/>
      <c r="J73" s="62"/>
      <c r="K73" s="62"/>
      <c r="L73" s="62"/>
      <c r="M73" s="62"/>
      <c r="N73" s="183">
        <f>SUM(B73:M73)</f>
        <v>0</v>
      </c>
      <c r="O73" s="184"/>
      <c r="P73" s="184"/>
      <c r="Q73" s="184"/>
    </row>
    <row r="74" spans="1:17" x14ac:dyDescent="0.2">
      <c r="A74" s="50" t="s">
        <v>18</v>
      </c>
      <c r="B74" s="62"/>
      <c r="C74" s="62"/>
      <c r="D74" s="62"/>
      <c r="E74" s="62"/>
      <c r="F74" s="87"/>
      <c r="G74" s="62">
        <v>300</v>
      </c>
      <c r="H74" s="87"/>
      <c r="I74" s="62"/>
      <c r="J74" s="62"/>
      <c r="K74" s="62"/>
      <c r="L74" s="62"/>
      <c r="M74" s="62"/>
      <c r="N74" s="183">
        <f>SUM(B74:M74)</f>
        <v>300</v>
      </c>
      <c r="O74" s="184">
        <v>300</v>
      </c>
      <c r="P74" s="184">
        <v>300</v>
      </c>
      <c r="Q74" s="184"/>
    </row>
    <row r="75" spans="1:17" x14ac:dyDescent="0.2">
      <c r="A75" s="50" t="s">
        <v>19</v>
      </c>
      <c r="B75" s="62"/>
      <c r="C75" s="62"/>
      <c r="D75" s="62"/>
      <c r="E75" s="62"/>
      <c r="F75" s="62"/>
      <c r="G75" s="62"/>
      <c r="H75" s="62"/>
      <c r="I75" s="62"/>
      <c r="J75" s="62"/>
      <c r="K75" s="62"/>
      <c r="L75" s="62"/>
      <c r="M75" s="62"/>
      <c r="N75" s="183">
        <f>SUM(B75:M75)</f>
        <v>0</v>
      </c>
      <c r="O75" s="184"/>
      <c r="P75" s="184"/>
      <c r="Q75" s="184"/>
    </row>
    <row r="76" spans="1:17" x14ac:dyDescent="0.2">
      <c r="A76" s="67" t="s">
        <v>45</v>
      </c>
      <c r="B76" s="73"/>
      <c r="C76" s="73"/>
      <c r="D76" s="73"/>
      <c r="E76" s="73"/>
      <c r="F76" s="73"/>
      <c r="G76" s="73"/>
      <c r="H76" s="73"/>
      <c r="I76" s="73"/>
      <c r="J76" s="73"/>
      <c r="K76" s="73"/>
      <c r="L76" s="73"/>
      <c r="M76" s="73"/>
      <c r="N76" s="131"/>
      <c r="O76" s="185"/>
      <c r="P76" s="185"/>
      <c r="Q76" s="185"/>
    </row>
    <row r="77" spans="1:17" s="84" customFormat="1" x14ac:dyDescent="0.2">
      <c r="A77" s="82" t="s">
        <v>34</v>
      </c>
      <c r="B77" s="83"/>
      <c r="C77" s="83"/>
      <c r="D77" s="83">
        <v>30</v>
      </c>
      <c r="E77" s="83">
        <v>50</v>
      </c>
      <c r="F77" s="83">
        <v>200</v>
      </c>
      <c r="G77" s="83">
        <v>100</v>
      </c>
      <c r="H77" s="83">
        <v>100</v>
      </c>
      <c r="I77" s="83">
        <v>100</v>
      </c>
      <c r="J77" s="83">
        <v>100</v>
      </c>
      <c r="K77" s="83">
        <v>100</v>
      </c>
      <c r="L77" s="83">
        <v>100</v>
      </c>
      <c r="M77" s="83">
        <v>100</v>
      </c>
      <c r="N77" s="183">
        <f>SUM(B77:M77)</f>
        <v>980</v>
      </c>
      <c r="O77" s="184">
        <v>900</v>
      </c>
      <c r="P77" s="184">
        <v>900</v>
      </c>
      <c r="Q77" s="184"/>
    </row>
    <row r="78" spans="1:17" s="84" customFormat="1" x14ac:dyDescent="0.2">
      <c r="A78" s="82" t="s">
        <v>20</v>
      </c>
      <c r="B78" s="83"/>
      <c r="C78" s="83"/>
      <c r="D78" s="83"/>
      <c r="E78" s="62"/>
      <c r="F78" s="62"/>
      <c r="G78" s="62"/>
      <c r="H78" s="62"/>
      <c r="I78" s="62"/>
      <c r="J78" s="62"/>
      <c r="K78" s="62"/>
      <c r="L78" s="62"/>
      <c r="M78" s="62"/>
      <c r="N78" s="183">
        <f>SUM(B78:M78)</f>
        <v>0</v>
      </c>
      <c r="O78" s="184"/>
      <c r="P78" s="184"/>
      <c r="Q78" s="184"/>
    </row>
    <row r="79" spans="1:17" s="84" customFormat="1" x14ac:dyDescent="0.2">
      <c r="A79" s="82" t="s">
        <v>47</v>
      </c>
      <c r="B79" s="83"/>
      <c r="C79" s="83"/>
      <c r="D79" s="83">
        <v>10</v>
      </c>
      <c r="E79" s="83">
        <v>20</v>
      </c>
      <c r="F79" s="83">
        <v>50</v>
      </c>
      <c r="G79" s="83">
        <v>50</v>
      </c>
      <c r="H79" s="83">
        <v>50</v>
      </c>
      <c r="I79" s="83">
        <v>50</v>
      </c>
      <c r="J79" s="83">
        <v>50</v>
      </c>
      <c r="K79" s="83">
        <v>50</v>
      </c>
      <c r="L79" s="83">
        <v>60</v>
      </c>
      <c r="M79" s="83">
        <v>40</v>
      </c>
      <c r="N79" s="183">
        <f>SUM(B79:M79)</f>
        <v>430</v>
      </c>
      <c r="O79" s="184">
        <v>450</v>
      </c>
      <c r="P79" s="184">
        <v>450</v>
      </c>
      <c r="Q79" s="184"/>
    </row>
    <row r="80" spans="1:17" s="84" customFormat="1" x14ac:dyDescent="0.2">
      <c r="A80" s="82" t="s">
        <v>45</v>
      </c>
      <c r="B80" s="83"/>
      <c r="C80" s="83"/>
      <c r="D80" s="83">
        <v>30</v>
      </c>
      <c r="E80" s="83">
        <v>30</v>
      </c>
      <c r="F80" s="83">
        <v>30</v>
      </c>
      <c r="G80" s="83">
        <v>30</v>
      </c>
      <c r="H80" s="83">
        <v>50</v>
      </c>
      <c r="I80" s="83">
        <v>50</v>
      </c>
      <c r="J80" s="83">
        <v>50</v>
      </c>
      <c r="K80" s="83">
        <v>50</v>
      </c>
      <c r="L80" s="83">
        <v>50</v>
      </c>
      <c r="M80" s="83">
        <v>50</v>
      </c>
      <c r="N80" s="183">
        <f>SUM(B80:M80)</f>
        <v>420</v>
      </c>
      <c r="O80" s="184">
        <v>450</v>
      </c>
      <c r="P80" s="184">
        <v>450</v>
      </c>
      <c r="Q80" s="184"/>
    </row>
    <row r="81" spans="1:18" x14ac:dyDescent="0.2">
      <c r="A81" s="67" t="s">
        <v>41</v>
      </c>
      <c r="B81" s="73"/>
      <c r="C81" s="73"/>
      <c r="D81" s="73"/>
      <c r="E81" s="73"/>
      <c r="F81" s="73"/>
      <c r="G81" s="73"/>
      <c r="H81" s="73"/>
      <c r="I81" s="73"/>
      <c r="J81" s="73"/>
      <c r="K81" s="73"/>
      <c r="L81" s="73"/>
      <c r="M81" s="73"/>
      <c r="N81" s="131"/>
      <c r="O81" s="185"/>
      <c r="P81" s="185"/>
      <c r="Q81" s="185"/>
    </row>
    <row r="82" spans="1:18" x14ac:dyDescent="0.2">
      <c r="A82" s="50" t="s">
        <v>62</v>
      </c>
      <c r="B82" s="62"/>
      <c r="C82" s="62">
        <v>0</v>
      </c>
      <c r="D82" s="62">
        <v>0</v>
      </c>
      <c r="E82" s="62">
        <v>0</v>
      </c>
      <c r="F82" s="62">
        <v>500</v>
      </c>
      <c r="G82" s="62">
        <v>1000</v>
      </c>
      <c r="H82" s="62">
        <v>1000</v>
      </c>
      <c r="I82" s="62">
        <v>1100</v>
      </c>
      <c r="J82" s="62">
        <v>1100</v>
      </c>
      <c r="K82" s="62">
        <v>1100</v>
      </c>
      <c r="L82" s="62">
        <v>1100</v>
      </c>
      <c r="M82" s="62">
        <v>1100</v>
      </c>
      <c r="N82" s="183">
        <f>SUM(B82:M82)</f>
        <v>8000</v>
      </c>
      <c r="O82" s="184">
        <v>12000</v>
      </c>
      <c r="P82" s="184">
        <v>15000</v>
      </c>
      <c r="Q82" s="184"/>
    </row>
    <row r="83" spans="1:18" x14ac:dyDescent="0.2">
      <c r="A83" s="50" t="s">
        <v>102</v>
      </c>
      <c r="B83" s="85"/>
      <c r="C83" s="60">
        <f>B82*0.33</f>
        <v>0</v>
      </c>
      <c r="D83" s="60">
        <f t="shared" ref="D83:M83" si="14">C82*0.33</f>
        <v>0</v>
      </c>
      <c r="E83" s="60">
        <f>D82*0.33</f>
        <v>0</v>
      </c>
      <c r="F83" s="60">
        <f t="shared" si="14"/>
        <v>0</v>
      </c>
      <c r="G83" s="60">
        <f t="shared" si="14"/>
        <v>165</v>
      </c>
      <c r="H83" s="60">
        <f t="shared" si="14"/>
        <v>330</v>
      </c>
      <c r="I83" s="60">
        <f t="shared" si="14"/>
        <v>330</v>
      </c>
      <c r="J83" s="60">
        <f t="shared" si="14"/>
        <v>363</v>
      </c>
      <c r="K83" s="60">
        <f t="shared" si="14"/>
        <v>363</v>
      </c>
      <c r="L83" s="60">
        <f t="shared" si="14"/>
        <v>363</v>
      </c>
      <c r="M83" s="60">
        <f t="shared" si="14"/>
        <v>363</v>
      </c>
      <c r="N83" s="183">
        <f>SUM(B83:M83)</f>
        <v>2277</v>
      </c>
      <c r="O83" s="183">
        <f>M82/12*0.33+O82/12*11*0.33</f>
        <v>3660.25</v>
      </c>
      <c r="P83" s="183">
        <f>O82/12*0.33+P82/12*11*0.33</f>
        <v>4867.5</v>
      </c>
      <c r="Q83" s="183">
        <f>P82/12*0.33+Q82/12*11*0.33</f>
        <v>412.5</v>
      </c>
    </row>
    <row r="84" spans="1:18" x14ac:dyDescent="0.2">
      <c r="A84" s="50" t="s">
        <v>103</v>
      </c>
      <c r="B84" s="85"/>
      <c r="C84" s="60">
        <f t="shared" ref="C84:M84" si="15">B82*0.008</f>
        <v>0</v>
      </c>
      <c r="D84" s="60">
        <f t="shared" si="15"/>
        <v>0</v>
      </c>
      <c r="E84" s="60">
        <f>D82*0.008</f>
        <v>0</v>
      </c>
      <c r="F84" s="60">
        <f t="shared" si="15"/>
        <v>0</v>
      </c>
      <c r="G84" s="60">
        <f t="shared" si="15"/>
        <v>4</v>
      </c>
      <c r="H84" s="60">
        <f t="shared" si="15"/>
        <v>8</v>
      </c>
      <c r="I84" s="60">
        <f t="shared" si="15"/>
        <v>8</v>
      </c>
      <c r="J84" s="60">
        <f t="shared" si="15"/>
        <v>8.8000000000000007</v>
      </c>
      <c r="K84" s="60">
        <f t="shared" si="15"/>
        <v>8.8000000000000007</v>
      </c>
      <c r="L84" s="60">
        <f t="shared" si="15"/>
        <v>8.8000000000000007</v>
      </c>
      <c r="M84" s="60">
        <f t="shared" si="15"/>
        <v>8.8000000000000007</v>
      </c>
      <c r="N84" s="183">
        <f>SUM(B84:M84)</f>
        <v>55.2</v>
      </c>
      <c r="O84" s="183">
        <f>N82/12*0.008+O82/12*11*0.008</f>
        <v>93.333333333333329</v>
      </c>
      <c r="P84" s="183">
        <f>O82/12*0.008+P82/12*11*0.008</f>
        <v>118</v>
      </c>
      <c r="Q84" s="183">
        <f>P82/12*0.008+Q82/12*11*0.008</f>
        <v>10</v>
      </c>
    </row>
    <row r="85" spans="1:18" x14ac:dyDescent="0.2">
      <c r="A85" s="50" t="s">
        <v>38</v>
      </c>
      <c r="B85" s="62"/>
      <c r="C85" s="62"/>
      <c r="D85" s="62"/>
      <c r="E85" s="62"/>
      <c r="F85" s="62"/>
      <c r="G85" s="62"/>
      <c r="H85" s="62"/>
      <c r="I85" s="62"/>
      <c r="J85" s="62"/>
      <c r="K85" s="62"/>
      <c r="L85" s="62"/>
      <c r="M85" s="62"/>
      <c r="N85" s="183">
        <f>SUM(B85:M85)</f>
        <v>0</v>
      </c>
      <c r="O85" s="184"/>
      <c r="P85" s="184"/>
      <c r="Q85" s="184"/>
    </row>
    <row r="86" spans="1:18" x14ac:dyDescent="0.2">
      <c r="A86" s="45" t="s">
        <v>44</v>
      </c>
      <c r="B86" s="73"/>
      <c r="C86" s="73"/>
      <c r="D86" s="73"/>
      <c r="E86" s="73"/>
      <c r="F86" s="73"/>
      <c r="G86" s="73"/>
      <c r="H86" s="73"/>
      <c r="I86" s="73"/>
      <c r="J86" s="73"/>
      <c r="K86" s="73"/>
      <c r="L86" s="73"/>
      <c r="M86" s="73"/>
      <c r="N86" s="131"/>
      <c r="O86" s="185"/>
      <c r="P86" s="185"/>
      <c r="Q86" s="185"/>
    </row>
    <row r="87" spans="1:18" x14ac:dyDescent="0.2">
      <c r="A87" s="50" t="s">
        <v>101</v>
      </c>
      <c r="B87" s="62"/>
      <c r="C87" s="62"/>
      <c r="D87" s="62"/>
      <c r="E87" s="62"/>
      <c r="F87" s="62"/>
      <c r="G87" s="62"/>
      <c r="H87" s="62"/>
      <c r="I87" s="62"/>
      <c r="J87" s="62"/>
      <c r="K87" s="62"/>
      <c r="L87" s="62"/>
      <c r="M87" s="62"/>
      <c r="N87" s="183">
        <f>SUM(B87:M87)</f>
        <v>0</v>
      </c>
      <c r="O87" s="184"/>
      <c r="P87" s="184"/>
      <c r="Q87" s="184"/>
    </row>
    <row r="88" spans="1:18" x14ac:dyDescent="0.2">
      <c r="A88" s="63" t="s">
        <v>6</v>
      </c>
      <c r="B88" s="60">
        <f>IF('Alusta siit!'!$C22="jah",ROUND((SUM(B35:B80)-B71-B78+B85)*0.2,0),0)</f>
        <v>1240</v>
      </c>
      <c r="C88" s="60">
        <f>IF('Alusta siit!'!$C22="jah",ROUND((SUM(C35:C80)-C71-C78+C85)*0.2,0),0)</f>
        <v>4</v>
      </c>
      <c r="D88" s="60">
        <f>IF('Alusta siit!'!$C22="jah",ROUND((SUM(D35:D80)-D71-D78+D85)*0.2,0),0)</f>
        <v>5040</v>
      </c>
      <c r="E88" s="60">
        <f>IF('Alusta siit!'!$C22="jah",ROUND((SUM(E35:E80)-E71-E78+E85)*0.2,0),0)</f>
        <v>64</v>
      </c>
      <c r="F88" s="60">
        <f>IF('Alusta siit!'!$C22="jah",ROUND((SUM(F35:F80)-F71-F78+F85)*0.2,0),0)</f>
        <v>120</v>
      </c>
      <c r="G88" s="60">
        <f>IF('Alusta siit!'!$C22="jah",ROUND((SUM(G35:G80)-G71-G78+G85)*0.2,0),0)</f>
        <v>166</v>
      </c>
      <c r="H88" s="60">
        <f>IF('Alusta siit!'!$C22="jah",ROUND((SUM(H35:H80)-H71-H78+H85)*0.2,0),0)</f>
        <v>130</v>
      </c>
      <c r="I88" s="60">
        <f>IF('Alusta siit!'!$C22="jah",ROUND((SUM(I35:I80)-I71-I78+I85)*0.2,0),0)</f>
        <v>120</v>
      </c>
      <c r="J88" s="60">
        <f>IF('Alusta siit!'!$C22="jah",ROUND((SUM(J35:J80)-J71-J78+J85)*0.2,0),0)</f>
        <v>120</v>
      </c>
      <c r="K88" s="60">
        <f>IF('Alusta siit!'!$C22="jah",ROUND((SUM(K35:K80)-K71-K78+K85)*0.2,0),0)</f>
        <v>120</v>
      </c>
      <c r="L88" s="60">
        <f>IF('Alusta siit!'!$C22="jah",ROUND((SUM(L35:L80)-L71-L78+L85)*0.2,0),0)</f>
        <v>182</v>
      </c>
      <c r="M88" s="60">
        <f>IF('Alusta siit!'!$C22="jah",ROUND((SUM(M35:M80)-M71-M78+M85)*0.2,0),0)</f>
        <v>208</v>
      </c>
      <c r="N88" s="183">
        <f>SUM(B88:M88)</f>
        <v>7514</v>
      </c>
      <c r="O88" s="183">
        <f>IF('Alusta siit!'!$D22="jah",ROUND((SUM(O35:O80)-O71-O78+O85)*0.2,0),0)</f>
        <v>5732</v>
      </c>
      <c r="P88" s="183">
        <f>IF('Alusta siit!'!$D22="jah",ROUND((SUM(P35:P80)-P71-P78+P85)*0.2,0),0)</f>
        <v>5740</v>
      </c>
      <c r="Q88" s="183">
        <f>IF('Alusta siit!'!$D22="jah",ROUND((SUM(Q35:Q80)-Q71-Q78+Q85)*0.2,0),0)</f>
        <v>0</v>
      </c>
    </row>
    <row r="89" spans="1:18" ht="10.8" thickBot="1" x14ac:dyDescent="0.25">
      <c r="A89" s="86" t="s">
        <v>48</v>
      </c>
      <c r="C89" s="87"/>
      <c r="D89" s="87"/>
      <c r="E89" s="87"/>
      <c r="F89" s="87"/>
      <c r="G89" s="87"/>
      <c r="H89" s="87"/>
      <c r="I89" s="87"/>
      <c r="J89" s="87"/>
      <c r="K89" s="87"/>
      <c r="L89" s="87"/>
      <c r="M89" s="87"/>
      <c r="N89" s="133"/>
      <c r="O89" s="189"/>
      <c r="P89" s="189"/>
      <c r="Q89" s="189"/>
    </row>
    <row r="90" spans="1:18" s="84" customFormat="1" ht="10.8" thickBot="1" x14ac:dyDescent="0.25">
      <c r="A90" s="82" t="s">
        <v>99</v>
      </c>
      <c r="B90" s="83"/>
      <c r="C90" s="83"/>
      <c r="D90" s="83"/>
      <c r="E90" s="83"/>
      <c r="F90" s="83"/>
      <c r="G90" s="83"/>
      <c r="H90" s="83"/>
      <c r="I90" s="83"/>
      <c r="J90" s="83"/>
      <c r="K90" s="83"/>
      <c r="L90" s="83"/>
      <c r="M90" s="55">
        <f>IF(SUM(B90:L90)&lt;=Bilanss!B34,Bilanss!B34-SUM(B90:L90),0)</f>
        <v>0</v>
      </c>
      <c r="N90" s="181">
        <f>IF(SUM(B90:M90)=Bilanss!B34,SUM(B90:M90),IF(Bilanss!B34-SUM(B90:M90)&lt;0,"Viga, kliki siin!",Bilanss!B34-SUM(B90:M90)))</f>
        <v>0</v>
      </c>
      <c r="O90" s="184"/>
      <c r="P90" s="184"/>
      <c r="Q90" s="190"/>
      <c r="R90" s="88"/>
    </row>
    <row r="91" spans="1:18" s="84" customFormat="1" x14ac:dyDescent="0.2">
      <c r="A91" s="82" t="s">
        <v>100</v>
      </c>
      <c r="B91" s="83"/>
      <c r="C91" s="83"/>
      <c r="D91" s="83"/>
      <c r="E91" s="62"/>
      <c r="F91" s="62"/>
      <c r="G91" s="62"/>
      <c r="H91" s="62"/>
      <c r="I91" s="62"/>
      <c r="J91" s="62"/>
      <c r="K91" s="62"/>
      <c r="L91" s="62"/>
      <c r="M91" s="214">
        <f>IF(SUM(B91:L91)&lt;=Bilanss!B33+N22,(Bilanss!B33+N22-SUM(B91:L91)),0)</f>
        <v>0</v>
      </c>
      <c r="N91" s="183">
        <f>IF(SUM(B91:M91)&lt;Bilanss!B33,"Viga, kliki siin!",IF(SUM(B91:M91)&gt;(Bilanss!B33+SUM(B22:M22)),"Viga, kliki siin!",SUM(B91:M91)))</f>
        <v>0</v>
      </c>
      <c r="O91" s="184"/>
      <c r="P91" s="184"/>
      <c r="Q91" s="184"/>
    </row>
    <row r="92" spans="1:18" s="84" customFormat="1" x14ac:dyDescent="0.2">
      <c r="A92" s="82" t="s">
        <v>61</v>
      </c>
      <c r="B92" s="83"/>
      <c r="C92" s="83"/>
      <c r="D92" s="83"/>
      <c r="E92" s="62"/>
      <c r="F92" s="62"/>
      <c r="G92" s="62"/>
      <c r="H92" s="62"/>
      <c r="I92" s="62"/>
      <c r="J92" s="62"/>
      <c r="K92" s="62"/>
      <c r="L92" s="62"/>
      <c r="M92" s="62"/>
      <c r="N92" s="183">
        <f>SUM(B92:M92)</f>
        <v>0</v>
      </c>
      <c r="O92" s="184"/>
      <c r="P92" s="184"/>
      <c r="Q92" s="184"/>
    </row>
    <row r="93" spans="1:18" x14ac:dyDescent="0.2">
      <c r="A93" s="50" t="s">
        <v>52</v>
      </c>
      <c r="B93" s="85"/>
      <c r="C93" s="60">
        <f>IF(B102&gt;0,B102,0)</f>
        <v>0</v>
      </c>
      <c r="D93" s="60">
        <f>IF(AND(B102&lt;0,C102&lt;=0),B102,IF(AND(B102&gt;=0,C102&lt;0),0,IF(AND(B102&lt;0,C102&gt;0),B102+C102,C102)))</f>
        <v>-1237</v>
      </c>
      <c r="E93" s="60">
        <f t="shared" ref="E93:M93" si="16">IF(AND(C102&lt;0,D102&lt;=0),C102,IF(AND(C102&gt;=0,D102&lt;0),0,IF(AND(C102&lt;0,D102&gt;0),C102+D102,D102)))</f>
        <v>0</v>
      </c>
      <c r="F93" s="60">
        <f t="shared" si="16"/>
        <v>-5027</v>
      </c>
      <c r="G93" s="60">
        <f t="shared" si="16"/>
        <v>-13</v>
      </c>
      <c r="H93" s="60">
        <f t="shared" si="16"/>
        <v>62</v>
      </c>
      <c r="I93" s="60">
        <f t="shared" si="16"/>
        <v>227</v>
      </c>
      <c r="J93" s="60">
        <f t="shared" si="16"/>
        <v>292</v>
      </c>
      <c r="K93" s="60">
        <f t="shared" si="16"/>
        <v>345</v>
      </c>
      <c r="L93" s="60">
        <f t="shared" si="16"/>
        <v>397</v>
      </c>
      <c r="M93" s="60">
        <f t="shared" si="16"/>
        <v>413</v>
      </c>
      <c r="N93" s="183">
        <f>SUM(B93:M93)</f>
        <v>-4541</v>
      </c>
      <c r="O93" s="183">
        <f>L102+M102+O102-O102/12</f>
        <v>7452.416666666667</v>
      </c>
      <c r="P93" s="183">
        <f>O102/12+P102-P102/12</f>
        <v>9605.6666666666679</v>
      </c>
      <c r="Q93" s="183">
        <f>P102/12+Q102-Q102/12</f>
        <v>818.91666666666663</v>
      </c>
    </row>
    <row r="94" spans="1:18" x14ac:dyDescent="0.2">
      <c r="A94" s="75" t="s">
        <v>159</v>
      </c>
      <c r="B94" s="62"/>
      <c r="C94" s="83"/>
      <c r="D94" s="83"/>
      <c r="E94" s="83"/>
      <c r="F94" s="83"/>
      <c r="G94" s="83"/>
      <c r="H94" s="83"/>
      <c r="I94" s="83"/>
      <c r="J94" s="83"/>
      <c r="K94" s="83"/>
      <c r="L94" s="83"/>
      <c r="M94" s="83"/>
      <c r="N94" s="183">
        <f>SUM(B94:M94)</f>
        <v>0</v>
      </c>
      <c r="O94" s="184"/>
      <c r="P94" s="184"/>
      <c r="Q94" s="184"/>
    </row>
    <row r="95" spans="1:18" s="45" customFormat="1" x14ac:dyDescent="0.2">
      <c r="A95" s="89" t="s">
        <v>22</v>
      </c>
      <c r="B95" s="60">
        <f>SUM(B35:B94)</f>
        <v>7440</v>
      </c>
      <c r="C95" s="60">
        <f>SUM(C35:C94)</f>
        <v>24</v>
      </c>
      <c r="D95" s="60">
        <f t="shared" ref="D95:M95" si="17">SUM(D35:D94)</f>
        <v>29003</v>
      </c>
      <c r="E95" s="60">
        <f t="shared" si="17"/>
        <v>384</v>
      </c>
      <c r="F95" s="60">
        <f t="shared" si="17"/>
        <v>-3807</v>
      </c>
      <c r="G95" s="60">
        <f t="shared" si="17"/>
        <v>2152</v>
      </c>
      <c r="H95" s="60">
        <f t="shared" si="17"/>
        <v>2180</v>
      </c>
      <c r="I95" s="60">
        <f t="shared" si="17"/>
        <v>2385</v>
      </c>
      <c r="J95" s="60">
        <f t="shared" si="17"/>
        <v>2483.8000000000002</v>
      </c>
      <c r="K95" s="60">
        <f t="shared" si="17"/>
        <v>2536.8000000000002</v>
      </c>
      <c r="L95" s="60">
        <f t="shared" si="17"/>
        <v>2960.8</v>
      </c>
      <c r="M95" s="60">
        <f t="shared" si="17"/>
        <v>3132.8</v>
      </c>
      <c r="N95" s="183">
        <f>SUM(N35:N94)</f>
        <v>50875.199999999997</v>
      </c>
      <c r="O95" s="183">
        <f>SUM(O35:O94)</f>
        <v>57598</v>
      </c>
      <c r="P95" s="183">
        <f>SUM(P35:P94)</f>
        <v>64031.166666666672</v>
      </c>
      <c r="Q95" s="183">
        <f>SUM(Q35:Q94)</f>
        <v>1241.4166666666665</v>
      </c>
    </row>
    <row r="96" spans="1:18" s="45" customFormat="1" x14ac:dyDescent="0.2">
      <c r="A96" s="79" t="s">
        <v>154</v>
      </c>
      <c r="B96" s="90">
        <f>SUM(raha2)-SUM(kohu2)</f>
        <v>0</v>
      </c>
      <c r="C96" s="69"/>
      <c r="D96" s="69"/>
      <c r="E96" s="69"/>
      <c r="F96" s="69"/>
      <c r="G96" s="69"/>
      <c r="H96" s="69"/>
      <c r="I96" s="69"/>
      <c r="J96" s="69"/>
      <c r="K96" s="69"/>
      <c r="L96" s="69"/>
      <c r="M96" s="69"/>
      <c r="N96" s="195">
        <f>B96</f>
        <v>0</v>
      </c>
      <c r="O96" s="130"/>
      <c r="P96" s="130"/>
      <c r="Q96" s="130"/>
    </row>
    <row r="97" spans="1:17" x14ac:dyDescent="0.2">
      <c r="A97" s="89" t="s">
        <v>23</v>
      </c>
      <c r="B97" s="43">
        <f>B4+B30-B95+B96</f>
        <v>60</v>
      </c>
      <c r="C97" s="60">
        <f t="shared" ref="C97:M97" si="18">C30+C4-C95</f>
        <v>79</v>
      </c>
      <c r="D97" s="60">
        <f t="shared" si="18"/>
        <v>1154.4000000000015</v>
      </c>
      <c r="E97" s="60">
        <f t="shared" si="18"/>
        <v>912.12000000000148</v>
      </c>
      <c r="F97" s="60">
        <f t="shared" si="18"/>
        <v>5601.5600000000013</v>
      </c>
      <c r="G97" s="60">
        <f t="shared" si="18"/>
        <v>4819.9600000000009</v>
      </c>
      <c r="H97" s="60">
        <f t="shared" si="18"/>
        <v>4781.7600000000011</v>
      </c>
      <c r="I97" s="60">
        <f t="shared" si="18"/>
        <v>4870.1600000000017</v>
      </c>
      <c r="J97" s="60">
        <f t="shared" si="18"/>
        <v>5174.3600000000015</v>
      </c>
      <c r="K97" s="60">
        <f t="shared" si="18"/>
        <v>5739.1600000000008</v>
      </c>
      <c r="L97" s="60">
        <f t="shared" si="18"/>
        <v>6350.36</v>
      </c>
      <c r="M97" s="60">
        <f t="shared" si="18"/>
        <v>7260.96</v>
      </c>
      <c r="N97" s="183">
        <f>N4+N30-N95+N96</f>
        <v>7260.9600000000137</v>
      </c>
      <c r="O97" s="206">
        <f>O30+O4-O95</f>
        <v>42078.760000000009</v>
      </c>
      <c r="P97" s="183">
        <f>P30+P4-P95</f>
        <v>86449.793333333349</v>
      </c>
      <c r="Q97" s="183">
        <f>Q30+Q4-Q95</f>
        <v>85208.376666666678</v>
      </c>
    </row>
    <row r="98" spans="1:17" x14ac:dyDescent="0.2">
      <c r="N98" s="91">
        <f>Bilanss!B33</f>
        <v>0</v>
      </c>
    </row>
    <row r="99" spans="1:17" x14ac:dyDescent="0.2">
      <c r="B99" s="92" t="s">
        <v>155</v>
      </c>
      <c r="N99" s="91">
        <f>Bilanss!B34</f>
        <v>0</v>
      </c>
    </row>
    <row r="100" spans="1:17" ht="17.25" customHeight="1" x14ac:dyDescent="0.2">
      <c r="B100" s="93" t="s">
        <v>156</v>
      </c>
    </row>
    <row r="101" spans="1:17" ht="18" hidden="1" customHeight="1" x14ac:dyDescent="0.2"/>
    <row r="102" spans="1:17" s="94" customFormat="1" ht="17.25" hidden="1" customHeight="1" x14ac:dyDescent="0.2">
      <c r="A102" s="94" t="s">
        <v>148</v>
      </c>
      <c r="B102" s="95">
        <f t="shared" ref="B102:M102" si="19">B19-B88</f>
        <v>-1240</v>
      </c>
      <c r="C102" s="95">
        <f t="shared" si="19"/>
        <v>3</v>
      </c>
      <c r="D102" s="95">
        <f t="shared" si="19"/>
        <v>-5027</v>
      </c>
      <c r="E102" s="95">
        <f t="shared" si="19"/>
        <v>-40</v>
      </c>
      <c r="F102" s="95">
        <f t="shared" si="19"/>
        <v>27</v>
      </c>
      <c r="G102" s="95">
        <f t="shared" si="19"/>
        <v>62</v>
      </c>
      <c r="H102" s="95">
        <f t="shared" si="19"/>
        <v>227</v>
      </c>
      <c r="I102" s="95">
        <f t="shared" si="19"/>
        <v>292</v>
      </c>
      <c r="J102" s="95">
        <f t="shared" si="19"/>
        <v>345</v>
      </c>
      <c r="K102" s="95">
        <f t="shared" si="19"/>
        <v>397</v>
      </c>
      <c r="L102" s="95">
        <f t="shared" si="19"/>
        <v>413</v>
      </c>
      <c r="M102" s="95">
        <f t="shared" si="19"/>
        <v>466</v>
      </c>
      <c r="N102" s="95"/>
      <c r="O102" s="192">
        <f>O19-O88</f>
        <v>7171</v>
      </c>
      <c r="P102" s="192">
        <f>P19-P88</f>
        <v>9827</v>
      </c>
      <c r="Q102" s="192">
        <f>Q19-Q88</f>
        <v>0</v>
      </c>
    </row>
    <row r="103" spans="1:17" s="94" customFormat="1" ht="15" hidden="1" customHeight="1" x14ac:dyDescent="0.2">
      <c r="A103" s="94" t="s">
        <v>199</v>
      </c>
      <c r="B103" s="95">
        <f>B26</f>
        <v>0</v>
      </c>
      <c r="C103" s="95" t="e">
        <f>#REF!</f>
        <v>#REF!</v>
      </c>
      <c r="D103" s="95">
        <f t="shared" ref="D103:N103" si="20">D26</f>
        <v>0</v>
      </c>
      <c r="E103" s="95">
        <f t="shared" si="20"/>
        <v>0</v>
      </c>
      <c r="F103" s="95">
        <f t="shared" si="20"/>
        <v>0</v>
      </c>
      <c r="G103" s="95">
        <f t="shared" si="20"/>
        <v>0</v>
      </c>
      <c r="H103" s="95">
        <f t="shared" si="20"/>
        <v>0</v>
      </c>
      <c r="I103" s="95">
        <f t="shared" si="20"/>
        <v>0</v>
      </c>
      <c r="J103" s="95">
        <f t="shared" si="20"/>
        <v>0</v>
      </c>
      <c r="K103" s="95">
        <f t="shared" si="20"/>
        <v>0</v>
      </c>
      <c r="L103" s="95">
        <f t="shared" si="20"/>
        <v>0</v>
      </c>
      <c r="M103" s="95">
        <f t="shared" si="20"/>
        <v>0</v>
      </c>
      <c r="N103" s="95">
        <f t="shared" si="20"/>
        <v>0</v>
      </c>
      <c r="O103" s="95">
        <f>O26+O27</f>
        <v>0</v>
      </c>
      <c r="P103" s="95">
        <f>P26+P27</f>
        <v>0</v>
      </c>
      <c r="Q103" s="95">
        <f>Q26+Q27</f>
        <v>0</v>
      </c>
    </row>
    <row r="104" spans="1:17" s="94" customFormat="1" ht="17.25" hidden="1" customHeight="1" x14ac:dyDescent="0.2">
      <c r="A104" s="94" t="s">
        <v>149</v>
      </c>
      <c r="B104" s="95">
        <f>B35</f>
        <v>0</v>
      </c>
      <c r="C104" s="95">
        <f>SUM($B35:C35)</f>
        <v>0</v>
      </c>
      <c r="D104" s="95">
        <f>SUM($B35:D35)</f>
        <v>0</v>
      </c>
      <c r="E104" s="95">
        <f>SUM($B35:E35)</f>
        <v>0</v>
      </c>
      <c r="F104" s="95">
        <f>SUM($B35:F35)</f>
        <v>0</v>
      </c>
      <c r="G104" s="95">
        <f>SUM($B35:G35)</f>
        <v>0</v>
      </c>
      <c r="H104" s="95">
        <f>SUM($B35:H35)</f>
        <v>0</v>
      </c>
      <c r="I104" s="95">
        <f>SUM($B35:I35)</f>
        <v>0</v>
      </c>
      <c r="J104" s="95">
        <f>SUM($B35:J35)</f>
        <v>0</v>
      </c>
      <c r="K104" s="95">
        <f>SUM($B35:K35)</f>
        <v>0</v>
      </c>
      <c r="L104" s="95">
        <f>SUM($B35:L35)</f>
        <v>0</v>
      </c>
      <c r="M104" s="95">
        <f>SUM($B35:M35)</f>
        <v>0</v>
      </c>
      <c r="N104" s="95">
        <f>M104</f>
        <v>0</v>
      </c>
      <c r="O104" s="192">
        <f>SUM(N35:O35)</f>
        <v>0</v>
      </c>
      <c r="P104" s="192">
        <f>SUM(N35:P35)</f>
        <v>0</v>
      </c>
      <c r="Q104" s="192">
        <f>SUM(N35:Q35)</f>
        <v>0</v>
      </c>
    </row>
    <row r="105" spans="1:17" s="94" customFormat="1" ht="19.5" hidden="1" customHeight="1" x14ac:dyDescent="0.2">
      <c r="A105" s="94" t="s">
        <v>150</v>
      </c>
      <c r="B105" s="95">
        <f>B36</f>
        <v>0</v>
      </c>
      <c r="C105" s="95">
        <f>SUM($B36:C36)</f>
        <v>0</v>
      </c>
      <c r="D105" s="95">
        <f>SUM($B36:D36)</f>
        <v>0</v>
      </c>
      <c r="E105" s="95">
        <f>SUM($B36:E36)</f>
        <v>0</v>
      </c>
      <c r="F105" s="95">
        <f>SUM($B36:F36)</f>
        <v>0</v>
      </c>
      <c r="G105" s="95">
        <f>SUM($B36:G36)</f>
        <v>0</v>
      </c>
      <c r="H105" s="95">
        <f>SUM($B36:H36)</f>
        <v>0</v>
      </c>
      <c r="I105" s="95">
        <f>SUM($B36:I36)</f>
        <v>0</v>
      </c>
      <c r="J105" s="95">
        <f>SUM($B36:J36)</f>
        <v>0</v>
      </c>
      <c r="K105" s="95">
        <f>SUM($B36:K36)</f>
        <v>0</v>
      </c>
      <c r="L105" s="95">
        <f>SUM($B36:L36)</f>
        <v>0</v>
      </c>
      <c r="M105" s="95">
        <f>SUM($B36:M36)</f>
        <v>0</v>
      </c>
      <c r="N105" s="95">
        <f>M105</f>
        <v>0</v>
      </c>
      <c r="O105" s="192">
        <f>SUM(N36:O36)</f>
        <v>0</v>
      </c>
      <c r="P105" s="192">
        <f>SUM(N36:P36)</f>
        <v>0</v>
      </c>
      <c r="Q105" s="192">
        <f>SUM(N36:Q36)</f>
        <v>0</v>
      </c>
    </row>
    <row r="106" spans="1:17" s="246" customFormat="1" ht="19.5" hidden="1" customHeight="1" x14ac:dyDescent="0.2">
      <c r="A106" s="246" t="s">
        <v>93</v>
      </c>
      <c r="B106" s="247">
        <f>SUM(B39:B41)</f>
        <v>6200</v>
      </c>
      <c r="C106" s="247">
        <f>SUM($B39:C41)</f>
        <v>6200</v>
      </c>
      <c r="D106" s="247">
        <f>SUM($B39:D41)</f>
        <v>31200</v>
      </c>
      <c r="E106" s="247">
        <f>SUM($B39:E41)</f>
        <v>31200</v>
      </c>
      <c r="F106" s="247">
        <f>SUM($B39:F41)</f>
        <v>31200</v>
      </c>
      <c r="G106" s="247">
        <f>SUM($B39:G41)</f>
        <v>31200</v>
      </c>
      <c r="H106" s="247">
        <f>SUM($B39:H41)</f>
        <v>31200</v>
      </c>
      <c r="I106" s="247">
        <f>SUM($B39:I41)</f>
        <v>31200</v>
      </c>
      <c r="J106" s="247">
        <f>SUM($B39:J41)</f>
        <v>31200</v>
      </c>
      <c r="K106" s="247">
        <f>SUM($B39:K41)</f>
        <v>31200</v>
      </c>
      <c r="L106" s="247">
        <f>SUM($B39:L41)</f>
        <v>31200</v>
      </c>
      <c r="M106" s="247">
        <f>SUM($B39:M41)</f>
        <v>31200</v>
      </c>
      <c r="N106" s="247">
        <f>M106</f>
        <v>31200</v>
      </c>
      <c r="O106" s="248">
        <f>SUM(N39:O41)</f>
        <v>43200</v>
      </c>
      <c r="P106" s="248">
        <f>SUM(N39:P41)</f>
        <v>55200</v>
      </c>
      <c r="Q106" s="248">
        <f>SUM(N39:Q41)</f>
        <v>55200</v>
      </c>
    </row>
    <row r="107" spans="1:17" s="94" customFormat="1" ht="15" hidden="1" customHeight="1" x14ac:dyDescent="0.2">
      <c r="A107" s="94" t="s">
        <v>173</v>
      </c>
      <c r="B107" s="95">
        <f>B37+B38</f>
        <v>0</v>
      </c>
      <c r="C107" s="95">
        <f>SUM($B37:C38)</f>
        <v>0</v>
      </c>
      <c r="D107" s="95">
        <f>SUM($B37:D38)</f>
        <v>0</v>
      </c>
      <c r="E107" s="95">
        <f>SUM($B37:E38)</f>
        <v>0</v>
      </c>
      <c r="F107" s="95">
        <f>SUM($B37:F38)</f>
        <v>0</v>
      </c>
      <c r="G107" s="95">
        <f>SUM($B37:G38)</f>
        <v>0</v>
      </c>
      <c r="H107" s="95">
        <f>SUM($B37:H38)</f>
        <v>0</v>
      </c>
      <c r="I107" s="95">
        <f>SUM($B37:I38)</f>
        <v>0</v>
      </c>
      <c r="J107" s="95">
        <f>SUM($B37:J38)</f>
        <v>0</v>
      </c>
      <c r="K107" s="95">
        <f>SUM($B37:K38)</f>
        <v>0</v>
      </c>
      <c r="L107" s="95">
        <f>SUM($B37:L38)</f>
        <v>0</v>
      </c>
      <c r="M107" s="95">
        <f>SUM($B37:M38)</f>
        <v>0</v>
      </c>
      <c r="N107" s="95">
        <f>M107</f>
        <v>0</v>
      </c>
      <c r="O107" s="192">
        <f>SUM(N37:O38)</f>
        <v>0</v>
      </c>
      <c r="P107" s="192">
        <f>SUM(N37:P38)</f>
        <v>0</v>
      </c>
      <c r="Q107" s="192">
        <f>SUM(N37:Q38)</f>
        <v>0</v>
      </c>
    </row>
    <row r="108" spans="1:17" s="94" customFormat="1" ht="17.25" hidden="1" customHeight="1" x14ac:dyDescent="0.2">
      <c r="A108" s="94" t="s">
        <v>94</v>
      </c>
      <c r="B108" s="95">
        <f>B104*'Alusta siit!'!$C24/100/12</f>
        <v>0</v>
      </c>
      <c r="C108" s="95">
        <f>C104*'Alusta siit!'!$C24/100/12</f>
        <v>0</v>
      </c>
      <c r="D108" s="95">
        <f>D104*'Alusta siit!'!$C24/100/12</f>
        <v>0</v>
      </c>
      <c r="E108" s="95">
        <f>E104*'Alusta siit!'!$C24/100/12</f>
        <v>0</v>
      </c>
      <c r="F108" s="95">
        <f>F104*'Alusta siit!'!$C24/100/12</f>
        <v>0</v>
      </c>
      <c r="G108" s="95">
        <f>G104*'Alusta siit!'!$C24/100/12</f>
        <v>0</v>
      </c>
      <c r="H108" s="95">
        <f>H104*'Alusta siit!'!$C24/100/12</f>
        <v>0</v>
      </c>
      <c r="I108" s="95">
        <f>I104*'Alusta siit!'!$C24/100/12</f>
        <v>0</v>
      </c>
      <c r="J108" s="95">
        <f>J104*'Alusta siit!'!$C24/100/12</f>
        <v>0</v>
      </c>
      <c r="K108" s="95">
        <f>K104*'Alusta siit!'!$C24/100/12</f>
        <v>0</v>
      </c>
      <c r="L108" s="95">
        <f>L104*'Alusta siit!'!$C24/100/12</f>
        <v>0</v>
      </c>
      <c r="M108" s="95">
        <f>M104*'Alusta siit!'!$C24/100/12</f>
        <v>0</v>
      </c>
      <c r="N108" s="95">
        <f>Bilanss!$B$15*'Alusta siit!'!$C$24/100+SUM(B108:M108)</f>
        <v>0</v>
      </c>
      <c r="O108" s="192">
        <f>Bilanss!$B$15*'Alusta siit!'!$C$24/100+O104*'Alusta siit!'!D24/100</f>
        <v>0</v>
      </c>
      <c r="P108" s="192">
        <f>Bilanss!$B$15*'Alusta siit!'!$C$24/100+P104*'Alusta siit!'!E24/100</f>
        <v>0</v>
      </c>
      <c r="Q108" s="192">
        <f>Bilanss!$B$15*'Alusta siit!'!$C$24/100+Q104*'Alusta siit!'!F24/100</f>
        <v>0</v>
      </c>
    </row>
    <row r="109" spans="1:17" s="94" customFormat="1" ht="21" hidden="1" customHeight="1" x14ac:dyDescent="0.2">
      <c r="A109" s="94" t="s">
        <v>95</v>
      </c>
      <c r="B109" s="95">
        <f>B106*'Alusta siit!'!$C25/100/12</f>
        <v>103.33333333333333</v>
      </c>
      <c r="C109" s="95">
        <f>C106*'Alusta siit!'!$C25/100/12</f>
        <v>103.33333333333333</v>
      </c>
      <c r="D109" s="95">
        <f>D106*'Alusta siit!'!$C25/100/12</f>
        <v>520</v>
      </c>
      <c r="E109" s="95">
        <f>E106*'Alusta siit!'!$C25/100/12</f>
        <v>520</v>
      </c>
      <c r="F109" s="95">
        <f>F106*'Alusta siit!'!$C25/100/12</f>
        <v>520</v>
      </c>
      <c r="G109" s="95">
        <f>G106*'Alusta siit!'!$C25/100/12</f>
        <v>520</v>
      </c>
      <c r="H109" s="95">
        <f>H106*'Alusta siit!'!$C25/100/12</f>
        <v>520</v>
      </c>
      <c r="I109" s="95">
        <f>I106*'Alusta siit!'!$C25/100/12</f>
        <v>520</v>
      </c>
      <c r="J109" s="95">
        <f>J106*'Alusta siit!'!$C25/100/12</f>
        <v>520</v>
      </c>
      <c r="K109" s="95">
        <f>K106*'Alusta siit!'!$C25/100/12</f>
        <v>520</v>
      </c>
      <c r="L109" s="95">
        <f>L106*'Alusta siit!'!$C25/100/12</f>
        <v>520</v>
      </c>
      <c r="M109" s="95">
        <f>M106*'Alusta siit!'!$C25/100/12</f>
        <v>520</v>
      </c>
      <c r="N109" s="95">
        <f>Bilanss!B16*'Alusta siit!'!C25/100+SUM(B109:M109)</f>
        <v>5406.6666666666661</v>
      </c>
      <c r="O109" s="192">
        <f>Bilanss!$B$16*'Alusta siit!'!$C$25/100+O106*'Alusta siit!'!D25/100</f>
        <v>8640</v>
      </c>
      <c r="P109" s="192">
        <f>Bilanss!$B$16*'Alusta siit!'!$C$25/100+P106*'Alusta siit!'!E25/100</f>
        <v>11040</v>
      </c>
      <c r="Q109" s="192">
        <f>Bilanss!$B$16*'Alusta siit!'!$C$25/100+Q106*'Alusta siit!'!F25/100</f>
        <v>0</v>
      </c>
    </row>
    <row r="110" spans="1:17" s="94" customFormat="1" ht="20.25" hidden="1" customHeight="1" x14ac:dyDescent="0.2">
      <c r="A110" s="94" t="s">
        <v>96</v>
      </c>
      <c r="B110" s="95">
        <f>B107*'Alusta siit!'!$C25/100/12</f>
        <v>0</v>
      </c>
      <c r="C110" s="95">
        <f>C107*'Alusta siit!'!$C25/100/12</f>
        <v>0</v>
      </c>
      <c r="D110" s="95">
        <f>D107*'Alusta siit!'!$C25/100/12</f>
        <v>0</v>
      </c>
      <c r="E110" s="95">
        <f>E107*'Alusta siit!'!$C25/100/12</f>
        <v>0</v>
      </c>
      <c r="F110" s="95">
        <f>F107*'Alusta siit!'!$C25/100/12</f>
        <v>0</v>
      </c>
      <c r="G110" s="95">
        <f>G107*'Alusta siit!'!$C25/100/12</f>
        <v>0</v>
      </c>
      <c r="H110" s="95">
        <f>H107*'Alusta siit!'!$C25/100/12</f>
        <v>0</v>
      </c>
      <c r="I110" s="95">
        <f>I107*'Alusta siit!'!$C25/100/12</f>
        <v>0</v>
      </c>
      <c r="J110" s="95">
        <f>J107*'Alusta siit!'!$C25/100/12</f>
        <v>0</v>
      </c>
      <c r="K110" s="95">
        <f>K107*'Alusta siit!'!$C25/100/12</f>
        <v>0</v>
      </c>
      <c r="L110" s="95">
        <f>L107*'Alusta siit!'!$C25/100/12</f>
        <v>0</v>
      </c>
      <c r="M110" s="95">
        <f>M107*'Alusta siit!'!$C25/100/12</f>
        <v>0</v>
      </c>
      <c r="N110" s="95">
        <f>Bilanss!$B$22*'Alusta siit!'!C$25/100+SUM(B110:M110)</f>
        <v>0</v>
      </c>
      <c r="O110" s="192">
        <f>Bilanss!$B$22*'Alusta siit!'!$C$25/100+O107*'Alusta siit!'!D25/100</f>
        <v>0</v>
      </c>
      <c r="P110" s="192">
        <f>Bilanss!$B$22*'Alusta siit!'!$C$25/100+P107*'Alusta siit!'!E25/100</f>
        <v>0</v>
      </c>
      <c r="Q110" s="192">
        <f>Bilanss!$B$22*'Alusta siit!'!$C$25/100+Q107*'Alusta siit!'!F25/100</f>
        <v>0</v>
      </c>
    </row>
    <row r="111" spans="1:17" s="94" customFormat="1" ht="17.25" hidden="1" customHeight="1" x14ac:dyDescent="0.2">
      <c r="A111" s="94" t="s">
        <v>151</v>
      </c>
      <c r="B111" s="95">
        <f>B105*'Alusta siit!'!$C24/100/12</f>
        <v>0</v>
      </c>
      <c r="C111" s="95">
        <f>C105*'Alusta siit!'!$C24/100/12</f>
        <v>0</v>
      </c>
      <c r="D111" s="95">
        <f>D105*'Alusta siit!'!$C24/100/12</f>
        <v>0</v>
      </c>
      <c r="E111" s="95">
        <f>E105*'Alusta siit!'!$C24/100/12</f>
        <v>0</v>
      </c>
      <c r="F111" s="95">
        <f>F105*'Alusta siit!'!$C24/100/12</f>
        <v>0</v>
      </c>
      <c r="G111" s="95">
        <f>G105*'Alusta siit!'!$C24/100/12</f>
        <v>0</v>
      </c>
      <c r="H111" s="95">
        <f>H105*'Alusta siit!'!$C24/100/12</f>
        <v>0</v>
      </c>
      <c r="I111" s="95">
        <f>I105*'Alusta siit!'!$C24/100/12</f>
        <v>0</v>
      </c>
      <c r="J111" s="95">
        <f>J105*'Alusta siit!'!$C24/100/12</f>
        <v>0</v>
      </c>
      <c r="K111" s="95">
        <f>K105*'Alusta siit!'!$C24/100/12</f>
        <v>0</v>
      </c>
      <c r="L111" s="95">
        <f>L105*'Alusta siit!'!$C24/100/12</f>
        <v>0</v>
      </c>
      <c r="M111" s="95">
        <f>M105*'Alusta siit!'!$C24/100/12</f>
        <v>0</v>
      </c>
      <c r="N111" s="95">
        <f>SUM(B111:M111)</f>
        <v>0</v>
      </c>
      <c r="O111" s="192">
        <f>O105*'Alusta siit!'!$C24/100</f>
        <v>0</v>
      </c>
      <c r="P111" s="192">
        <f>P105*'Alusta siit!'!$C24/100</f>
        <v>0</v>
      </c>
      <c r="Q111" s="192">
        <f>Q105*'Alusta siit!'!$C24/100</f>
        <v>0</v>
      </c>
    </row>
    <row r="112" spans="1:17" s="94" customFormat="1" ht="21" hidden="1" customHeight="1" x14ac:dyDescent="0.2">
      <c r="A112" s="94" t="s">
        <v>175</v>
      </c>
      <c r="B112" s="95">
        <f>B44</f>
        <v>0</v>
      </c>
      <c r="C112" s="95">
        <f>SUM($B$44:C44)</f>
        <v>0</v>
      </c>
      <c r="D112" s="95">
        <f>SUM($B$44:D44)</f>
        <v>0</v>
      </c>
      <c r="E112" s="95">
        <f>SUM($B$44:E44)</f>
        <v>0</v>
      </c>
      <c r="F112" s="95">
        <f>SUM($B$44:F44)</f>
        <v>0</v>
      </c>
      <c r="G112" s="95">
        <f>SUM($B$44:G44)</f>
        <v>0</v>
      </c>
      <c r="H112" s="95">
        <f>SUM($B$44:H44)</f>
        <v>0</v>
      </c>
      <c r="I112" s="95">
        <f>SUM($B$44:I44)</f>
        <v>0</v>
      </c>
      <c r="J112" s="95">
        <f>SUM($B$44:J44)</f>
        <v>0</v>
      </c>
      <c r="K112" s="95">
        <f>SUM($B$44:K44)</f>
        <v>0</v>
      </c>
      <c r="L112" s="95">
        <f>SUM($B$44:L44)</f>
        <v>0</v>
      </c>
      <c r="M112" s="95">
        <f>SUM($B$44:M44)</f>
        <v>0</v>
      </c>
      <c r="N112" s="95">
        <f>M112</f>
        <v>0</v>
      </c>
      <c r="O112" s="192">
        <f>SUM($N$44:O44)</f>
        <v>0</v>
      </c>
      <c r="P112" s="192">
        <f>SUM($N$44:P44)</f>
        <v>0</v>
      </c>
      <c r="Q112" s="192">
        <f>SUM($N$44:Q44)</f>
        <v>0</v>
      </c>
    </row>
    <row r="113" spans="1:17" ht="20.25" hidden="1" customHeight="1" x14ac:dyDescent="0.2">
      <c r="A113" s="94" t="s">
        <v>174</v>
      </c>
      <c r="B113" s="95">
        <f>B43</f>
        <v>0</v>
      </c>
      <c r="C113" s="95">
        <f>SUM($B$43:C43)</f>
        <v>0</v>
      </c>
      <c r="D113" s="95">
        <f>SUM($B$43:D43)</f>
        <v>0</v>
      </c>
      <c r="E113" s="95">
        <f>SUM($B$43:E43)</f>
        <v>0</v>
      </c>
      <c r="F113" s="95">
        <f>SUM($B$43:F43)</f>
        <v>0</v>
      </c>
      <c r="G113" s="95">
        <f>SUM($B$43:G43)</f>
        <v>0</v>
      </c>
      <c r="H113" s="95">
        <f>SUM($B$43:H43)</f>
        <v>0</v>
      </c>
      <c r="I113" s="95">
        <f>SUM($B$43:I43)</f>
        <v>0</v>
      </c>
      <c r="J113" s="95">
        <f>SUM($B$43:J43)</f>
        <v>0</v>
      </c>
      <c r="K113" s="95">
        <f>SUM($B$43:K43)</f>
        <v>0</v>
      </c>
      <c r="L113" s="95">
        <f>SUM($B$43:L43)</f>
        <v>0</v>
      </c>
      <c r="M113" s="95">
        <f>SUM($B$43:M43)</f>
        <v>0</v>
      </c>
      <c r="N113" s="95">
        <f>M113</f>
        <v>0</v>
      </c>
      <c r="O113" s="192">
        <f>SUM($N$43:O43)</f>
        <v>0</v>
      </c>
      <c r="P113" s="192">
        <f>SUM($N$43:P43)</f>
        <v>0</v>
      </c>
      <c r="Q113" s="192">
        <f>SUM($N$43:Q43)</f>
        <v>0</v>
      </c>
    </row>
    <row r="114" spans="1:17" ht="18" hidden="1" customHeight="1" x14ac:dyDescent="0.2">
      <c r="A114" s="94" t="s">
        <v>176</v>
      </c>
      <c r="B114" s="95">
        <f>B112*'Alusta siit!'!$C26/100/12</f>
        <v>0</v>
      </c>
      <c r="C114" s="95">
        <f>C112*'Alusta siit!'!$C26/100/12</f>
        <v>0</v>
      </c>
      <c r="D114" s="95">
        <f>D112*'Alusta siit!'!$C26/100/12</f>
        <v>0</v>
      </c>
      <c r="E114" s="95">
        <f>E112*'Alusta siit!'!$C26/100/12</f>
        <v>0</v>
      </c>
      <c r="F114" s="95">
        <f>F112*'Alusta siit!'!$C26/100/12</f>
        <v>0</v>
      </c>
      <c r="G114" s="95">
        <f>G112*'Alusta siit!'!$C26/100/12</f>
        <v>0</v>
      </c>
      <c r="H114" s="95">
        <f>H112*'Alusta siit!'!$C26/100/12</f>
        <v>0</v>
      </c>
      <c r="I114" s="95">
        <f>I112*'Alusta siit!'!$C26/100/12</f>
        <v>0</v>
      </c>
      <c r="J114" s="95">
        <f>J112*'Alusta siit!'!$C26/100/12</f>
        <v>0</v>
      </c>
      <c r="K114" s="95">
        <f>K112*'Alusta siit!'!$C26/100/12</f>
        <v>0</v>
      </c>
      <c r="L114" s="95">
        <f>L112*'Alusta siit!'!$C26/100/12</f>
        <v>0</v>
      </c>
      <c r="M114" s="95">
        <f>M112*'Alusta siit!'!$C26/100/12</f>
        <v>0</v>
      </c>
      <c r="N114" s="95">
        <f>Bilanss!B19*'Alusta siit!'!C26/100+SUM(B114:M114)</f>
        <v>0</v>
      </c>
      <c r="O114" s="192">
        <f>Bilanss!$B$19*'Alusta siit!'!$C$26/100+O112*'Alusta siit!'!D26/100</f>
        <v>0</v>
      </c>
      <c r="P114" s="192">
        <f>Bilanss!$B$19*'Alusta siit!'!$C$26/100+P112*'Alusta siit!'!E26/100</f>
        <v>0</v>
      </c>
      <c r="Q114" s="192">
        <f>Bilanss!$B$19*'Alusta siit!'!$C$26/100+Q112*'Alusta siit!'!F26/100</f>
        <v>0</v>
      </c>
    </row>
    <row r="115" spans="1:17" ht="30" hidden="1" customHeight="1" x14ac:dyDescent="0.2">
      <c r="A115" s="94" t="s">
        <v>177</v>
      </c>
      <c r="B115" s="95">
        <f>B113*'Alusta siit!'!$C26/100/12</f>
        <v>0</v>
      </c>
      <c r="C115" s="95">
        <f>C113*'Alusta siit!'!$C26/100/12</f>
        <v>0</v>
      </c>
      <c r="D115" s="95">
        <f>D113*'Alusta siit!'!$C26/100/12</f>
        <v>0</v>
      </c>
      <c r="E115" s="95">
        <f>E113*'Alusta siit!'!$C26/100/12</f>
        <v>0</v>
      </c>
      <c r="F115" s="95">
        <f>F113*'Alusta siit!'!$C26/100/12</f>
        <v>0</v>
      </c>
      <c r="G115" s="95">
        <f>G113*'Alusta siit!'!$C26/100/12</f>
        <v>0</v>
      </c>
      <c r="H115" s="95">
        <f>H113*'Alusta siit!'!$C26/100/12</f>
        <v>0</v>
      </c>
      <c r="I115" s="95">
        <f>I113*'Alusta siit!'!$C26/100/12</f>
        <v>0</v>
      </c>
      <c r="J115" s="95">
        <f>J113*'Alusta siit!'!$C26/100/12</f>
        <v>0</v>
      </c>
      <c r="K115" s="95">
        <f>K113*'Alusta siit!'!$C26/100/12</f>
        <v>0</v>
      </c>
      <c r="L115" s="95">
        <f>L113*'Alusta siit!'!$C26/100/12</f>
        <v>0</v>
      </c>
      <c r="M115" s="95">
        <f>M113*'Alusta siit!'!$C26/100/12</f>
        <v>0</v>
      </c>
      <c r="N115" s="95">
        <f>Bilanss!$B$23*'Alusta siit!'!C$26/100+SUM(B115:M115)</f>
        <v>0</v>
      </c>
      <c r="O115" s="192">
        <f>Bilanss!$B$23*'Alusta siit!'!$C$26/100+O113*'Alusta siit!'!D26/100</f>
        <v>0</v>
      </c>
      <c r="P115" s="192">
        <f>Bilanss!$B$23*'Alusta siit!'!$C$26/100+P113*'Alusta siit!'!E26/100</f>
        <v>0</v>
      </c>
      <c r="Q115" s="192">
        <f>Bilanss!$B$23*'Alusta siit!'!$C$26/100+Q113*'Alusta siit!'!F26/100</f>
        <v>0</v>
      </c>
    </row>
    <row r="116" spans="1:17" hidden="1" x14ac:dyDescent="0.2"/>
    <row r="117" spans="1:17" hidden="1" x14ac:dyDescent="0.2"/>
  </sheetData>
  <sheetProtection algorithmName="SHA-512" hashValue="BnJu096OGgtiHICov4KJ/5qA8rNovcnxUaL/d1jCJylqrM4YZX/MNXb3sbYhISEWdmgx8QLTQfLlO6EPymyjoQ==" saltValue="2eGSUoxgXY+RnQhRYmhCGQ==" spinCount="100000" sheet="1" scenarios="1" formatCells="0" formatColumns="0" formatRows="0" insertColumns="0" insertRows="0" deleteColumns="0" deleteRows="0"/>
  <phoneticPr fontId="2" type="noConversion"/>
  <conditionalFormatting sqref="B97:Q97">
    <cfRule type="cellIs" dxfId="7" priority="1" stopIfTrue="1" operator="lessThan">
      <formula>0</formula>
    </cfRule>
  </conditionalFormatting>
  <conditionalFormatting sqref="N90">
    <cfRule type="expression" dxfId="6" priority="2" stopIfTrue="1">
      <formula>SUM(B90:M90)=N99</formula>
    </cfRule>
    <cfRule type="expression" dxfId="5" priority="3" stopIfTrue="1">
      <formula>N99-SUM(B90:M90)&lt;0</formula>
    </cfRule>
    <cfRule type="expression" dxfId="4" priority="4" stopIfTrue="1">
      <formula>N99-SUM(B90:M90)&gt;0</formula>
    </cfRule>
  </conditionalFormatting>
  <conditionalFormatting sqref="N91">
    <cfRule type="expression" dxfId="3" priority="8" stopIfTrue="1">
      <formula>SUM(B91:M91)&lt;N98</formula>
    </cfRule>
    <cfRule type="expression" dxfId="2" priority="9" stopIfTrue="1">
      <formula>AND(SUM(B91:M91)&gt;=N98,SUM(B91:M91)&lt;=(N98+SUM(B22:M22)))</formula>
    </cfRule>
    <cfRule type="expression" dxfId="1" priority="10" stopIfTrue="1">
      <formula>SUM(B91:M91)&gt;(N98+SUM(B22:M22))</formula>
    </cfRule>
  </conditionalFormatting>
  <dataValidations xWindow="829" yWindow="474" count="2">
    <dataValidation allowBlank="1" showInputMessage="1" showErrorMessage="1" prompt="Lahtri sisu ei saa olla suurem ega väiksem kui bilansi rea B33 ehk &quot;Lühiajalised võlakohustused (laenud, kapitalirent)&quot; ja kassavoogude rea N22  summa." sqref="N91" xr:uid="{00000000-0002-0000-0200-000000000000}"/>
    <dataValidation allowBlank="1" showInputMessage="1" showErrorMessage="1" prompt="Lahtri sisu (summa) ei saa olla suurem kui bilansi real B34 ehk &quot;Pikaajaliste laenude, kapitalirendi lühiajaline osa&quot; näidatud summa!_x000a_" sqref="N90" xr:uid="{00000000-0002-0000-0200-000001000000}"/>
  </dataValidations>
  <pageMargins left="0.19685039370078741" right="0.19685039370078741" top="0.39370078740157483" bottom="0.35433070866141736" header="0" footer="0"/>
  <pageSetup paperSize="9" scale="52" orientation="landscape" r:id="rId1"/>
  <headerFooter alignWithMargins="0">
    <oddHeader>&amp;L&amp;"Arial,Kursiiv"&amp;8Finantsprognoosid alustavale ettevõtjale</oddHeader>
  </headerFooter>
  <rowBreaks count="3" manualBreakCount="3">
    <brk id="44" max="16" man="1"/>
    <brk id="52" max="16" man="1"/>
    <brk id="100"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eht4">
    <pageSetUpPr fitToPage="1"/>
  </sheetPr>
  <dimension ref="A1:F72"/>
  <sheetViews>
    <sheetView zoomScaleNormal="100" workbookViewId="0">
      <selection activeCell="H40" sqref="H40"/>
    </sheetView>
  </sheetViews>
  <sheetFormatPr defaultColWidth="9.109375" defaultRowHeight="13.2" x14ac:dyDescent="0.25"/>
  <cols>
    <col min="1" max="1" width="42.33203125" style="118" customWidth="1"/>
    <col min="2" max="2" width="14" style="240" hidden="1" customWidth="1"/>
    <col min="3" max="5" width="12.44140625" style="37" customWidth="1"/>
    <col min="6" max="6" width="12.44140625" style="97" hidden="1" customWidth="1"/>
    <col min="7" max="16384" width="9.109375" style="97"/>
  </cols>
  <sheetData>
    <row r="1" spans="1:6" x14ac:dyDescent="0.25">
      <c r="A1" s="96" t="s">
        <v>54</v>
      </c>
      <c r="B1" s="302" t="s">
        <v>201</v>
      </c>
      <c r="F1" s="37" t="s">
        <v>113</v>
      </c>
    </row>
    <row r="2" spans="1:6" ht="19.5" customHeight="1" x14ac:dyDescent="0.25">
      <c r="A2" s="96"/>
      <c r="B2" s="302"/>
      <c r="C2" s="98" t="str">
        <f>Kassavood!N2</f>
        <v>1. aasta</v>
      </c>
      <c r="D2" s="98" t="str">
        <f>Kassavood!O2</f>
        <v>2.aasta</v>
      </c>
      <c r="E2" s="98" t="str">
        <f>Kassavood!P2</f>
        <v>3.aasta</v>
      </c>
      <c r="F2" s="98" t="str">
        <f>Kassavood!Q2</f>
        <v>4. aasta</v>
      </c>
    </row>
    <row r="3" spans="1:6" ht="17.25" customHeight="1" x14ac:dyDescent="0.25">
      <c r="A3" s="96"/>
      <c r="B3" s="219"/>
      <c r="F3" s="37"/>
    </row>
    <row r="4" spans="1:6" x14ac:dyDescent="0.25">
      <c r="A4" s="99" t="s">
        <v>60</v>
      </c>
      <c r="B4" s="220"/>
      <c r="C4" s="47"/>
      <c r="D4" s="47"/>
      <c r="E4" s="47"/>
      <c r="F4" s="47"/>
    </row>
    <row r="5" spans="1:6" x14ac:dyDescent="0.25">
      <c r="A5" s="100" t="s">
        <v>4</v>
      </c>
      <c r="B5" s="221"/>
      <c r="C5" s="151">
        <f>Kassavood!N7</f>
        <v>17197.16</v>
      </c>
      <c r="D5" s="151">
        <f>Kassavood!O7</f>
        <v>64512.799999999996</v>
      </c>
      <c r="E5" s="151">
        <f>Kassavood!P7</f>
        <v>77835.199999999997</v>
      </c>
      <c r="F5" s="151">
        <f>Kassavood!Q7</f>
        <v>0</v>
      </c>
    </row>
    <row r="6" spans="1:6" x14ac:dyDescent="0.25">
      <c r="A6" s="101" t="s">
        <v>111</v>
      </c>
      <c r="B6" s="222"/>
      <c r="C6" s="151">
        <f>Kassavood!N9</f>
        <v>0</v>
      </c>
      <c r="D6" s="151">
        <f>Kassavood!O9</f>
        <v>0</v>
      </c>
      <c r="E6" s="151">
        <f>Kassavood!P9</f>
        <v>0</v>
      </c>
      <c r="F6" s="151">
        <f>Kassavood!Q9</f>
        <v>0</v>
      </c>
    </row>
    <row r="7" spans="1:6" x14ac:dyDescent="0.25">
      <c r="A7" s="101" t="s">
        <v>115</v>
      </c>
      <c r="B7" s="222"/>
      <c r="C7" s="204" t="str">
        <f>IF(C6&gt;0,C6/C5,"")</f>
        <v/>
      </c>
      <c r="D7" s="204" t="str">
        <f>IF(D6&gt;0,D6/D5,"")</f>
        <v/>
      </c>
      <c r="E7" s="204" t="str">
        <f>IF(E6&gt;0,E6/E5,"")</f>
        <v/>
      </c>
      <c r="F7" s="204" t="str">
        <f>IF(F6&gt;0,F6/F5,"")</f>
        <v/>
      </c>
    </row>
    <row r="8" spans="1:6" x14ac:dyDescent="0.25">
      <c r="A8" s="102" t="s">
        <v>50</v>
      </c>
      <c r="B8" s="222"/>
      <c r="C8" s="151">
        <f>Kassavood!N10</f>
        <v>7820.6</v>
      </c>
      <c r="D8" s="151">
        <f>Kassavood!O10</f>
        <v>35411</v>
      </c>
      <c r="E8" s="151">
        <f>Kassavood!P10</f>
        <v>46216</v>
      </c>
      <c r="F8" s="151">
        <f>Kassavood!Q10</f>
        <v>0</v>
      </c>
    </row>
    <row r="9" spans="1:6" x14ac:dyDescent="0.25">
      <c r="A9" s="102" t="s">
        <v>51</v>
      </c>
      <c r="B9" s="222"/>
      <c r="C9" s="152">
        <f>IF(C5&gt;0,C5/C8,0)</f>
        <v>2.1989566017952584</v>
      </c>
      <c r="D9" s="152">
        <f>IF(D5&gt;0,D5/D8,0)</f>
        <v>1.8218293750529495</v>
      </c>
      <c r="E9" s="152">
        <f>IF(E5&gt;0,E5/E8,0)</f>
        <v>1.6841613294097282</v>
      </c>
      <c r="F9" s="152">
        <f>IF(F5&gt;0,F5/F8,0)</f>
        <v>0</v>
      </c>
    </row>
    <row r="10" spans="1:6" x14ac:dyDescent="0.25">
      <c r="A10" s="100" t="s">
        <v>108</v>
      </c>
      <c r="B10" s="221"/>
      <c r="C10" s="151">
        <f>Kassavood!N18+Kassavood!N29</f>
        <v>0</v>
      </c>
      <c r="D10" s="151">
        <f>Kassavood!O18+Kassavood!O29</f>
        <v>0</v>
      </c>
      <c r="E10" s="151">
        <f>Kassavood!P18+Kassavood!P29</f>
        <v>0</v>
      </c>
      <c r="F10" s="151">
        <f>Kassavood!Q18+Kassavood!Q29</f>
        <v>0</v>
      </c>
    </row>
    <row r="11" spans="1:6" x14ac:dyDescent="0.25">
      <c r="A11" s="103" t="s">
        <v>55</v>
      </c>
      <c r="B11" s="223">
        <f>B5+B10</f>
        <v>0</v>
      </c>
      <c r="C11" s="153">
        <f>C5+C10</f>
        <v>17197.16</v>
      </c>
      <c r="D11" s="153">
        <f>D5+D10</f>
        <v>64512.799999999996</v>
      </c>
      <c r="E11" s="153">
        <f>E5+E10</f>
        <v>77835.199999999997</v>
      </c>
      <c r="F11" s="153">
        <f>F5+F10</f>
        <v>0</v>
      </c>
    </row>
    <row r="12" spans="1:6" x14ac:dyDescent="0.25">
      <c r="A12" s="209" t="s">
        <v>197</v>
      </c>
      <c r="B12" s="224"/>
      <c r="C12" s="210">
        <f>Kassavood!N26</f>
        <v>0</v>
      </c>
      <c r="D12" s="210">
        <f>Kassavood!O26</f>
        <v>0</v>
      </c>
      <c r="E12" s="210">
        <f>Kassavood!P26</f>
        <v>0</v>
      </c>
      <c r="F12" s="210">
        <f>Kassavood!Q26</f>
        <v>0</v>
      </c>
    </row>
    <row r="13" spans="1:6" x14ac:dyDescent="0.25">
      <c r="A13" s="218" t="s">
        <v>202</v>
      </c>
      <c r="B13" s="224">
        <f>B5+B12</f>
        <v>0</v>
      </c>
      <c r="C13" s="211">
        <f>C5+C10+C12</f>
        <v>17197.16</v>
      </c>
      <c r="D13" s="211">
        <f>D5+D10+D12</f>
        <v>64512.799999999996</v>
      </c>
      <c r="E13" s="211">
        <f>E5+E10+E12</f>
        <v>77835.199999999997</v>
      </c>
      <c r="F13" s="211">
        <f>F5+F10+F12</f>
        <v>0</v>
      </c>
    </row>
    <row r="14" spans="1:6" ht="15" customHeight="1" x14ac:dyDescent="0.25">
      <c r="A14" s="104"/>
      <c r="B14" s="219"/>
      <c r="C14" s="130"/>
      <c r="D14" s="130"/>
      <c r="E14" s="130"/>
      <c r="F14" s="130"/>
    </row>
    <row r="15" spans="1:6" x14ac:dyDescent="0.25">
      <c r="A15" s="104" t="s">
        <v>195</v>
      </c>
      <c r="B15" s="219"/>
      <c r="C15" s="130"/>
      <c r="D15" s="203">
        <f>(D11-C11)/ABS(C11)</f>
        <v>2.7513635972451267</v>
      </c>
      <c r="E15" s="212">
        <f>(E11-D11)/ABS(D11)</f>
        <v>0.2065078558053596</v>
      </c>
      <c r="F15" s="203">
        <f>(F11-E11)/ABS(E11)</f>
        <v>-1</v>
      </c>
    </row>
    <row r="16" spans="1:6" ht="3.75" customHeight="1" x14ac:dyDescent="0.25">
      <c r="A16" s="105"/>
      <c r="B16" s="225"/>
      <c r="C16" s="130"/>
      <c r="D16" s="130"/>
      <c r="E16" s="130"/>
      <c r="F16" s="130"/>
    </row>
    <row r="17" spans="1:6" x14ac:dyDescent="0.25">
      <c r="A17" s="106" t="s">
        <v>26</v>
      </c>
      <c r="B17" s="220"/>
      <c r="C17" s="131"/>
      <c r="D17" s="131"/>
      <c r="E17" s="131"/>
      <c r="F17" s="131"/>
    </row>
    <row r="18" spans="1:6" x14ac:dyDescent="0.25">
      <c r="A18" s="107" t="s">
        <v>28</v>
      </c>
      <c r="B18" s="219"/>
      <c r="C18" s="131"/>
      <c r="D18" s="131"/>
      <c r="E18" s="131"/>
      <c r="F18" s="131"/>
    </row>
    <row r="19" spans="1:6" x14ac:dyDescent="0.25">
      <c r="A19" s="100" t="str">
        <f>Kassavood!A48</f>
        <v>Toore ja materjal</v>
      </c>
      <c r="B19" s="226"/>
      <c r="C19" s="154">
        <f>Tooted!R5</f>
        <v>0</v>
      </c>
      <c r="D19" s="154">
        <f>Tooted!S5</f>
        <v>0</v>
      </c>
      <c r="E19" s="154">
        <f>Tooted!T5</f>
        <v>0</v>
      </c>
      <c r="F19" s="154">
        <f>Tooted!U5</f>
        <v>0</v>
      </c>
    </row>
    <row r="20" spans="1:6" x14ac:dyDescent="0.25">
      <c r="A20" s="108" t="str">
        <f>Kassavood!A49</f>
        <v>Ostuteenused</v>
      </c>
      <c r="B20" s="227"/>
      <c r="C20" s="151">
        <f>Kassavood!N49</f>
        <v>500</v>
      </c>
      <c r="D20" s="151">
        <f>Kassavood!O49</f>
        <v>0</v>
      </c>
      <c r="E20" s="151">
        <f>Kassavood!P49</f>
        <v>0</v>
      </c>
      <c r="F20" s="151">
        <f>Kassavood!Q49</f>
        <v>0</v>
      </c>
    </row>
    <row r="21" spans="1:6" x14ac:dyDescent="0.25">
      <c r="A21" s="109"/>
      <c r="B21" s="228">
        <f>SUM(B19:B20)</f>
        <v>0</v>
      </c>
      <c r="C21" s="155">
        <f>SUM(C19:C20)</f>
        <v>500</v>
      </c>
      <c r="D21" s="155">
        <f>SUM(D19:D20)</f>
        <v>0</v>
      </c>
      <c r="E21" s="155">
        <f>SUM(E19:E20)</f>
        <v>0</v>
      </c>
      <c r="F21" s="155">
        <f>SUM(F19:F20)</f>
        <v>0</v>
      </c>
    </row>
    <row r="22" spans="1:6" x14ac:dyDescent="0.25">
      <c r="A22" s="107" t="s">
        <v>27</v>
      </c>
      <c r="B22" s="229"/>
      <c r="C22" s="155"/>
      <c r="D22" s="155"/>
      <c r="E22" s="155"/>
      <c r="F22" s="155"/>
    </row>
    <row r="23" spans="1:6" x14ac:dyDescent="0.25">
      <c r="A23" s="108" t="str">
        <f>Kassavood!A53</f>
        <v>Reklaamikulud</v>
      </c>
      <c r="B23" s="230"/>
      <c r="C23" s="151">
        <f>Kassavood!N53</f>
        <v>2140</v>
      </c>
      <c r="D23" s="151">
        <f>Kassavood!O53</f>
        <v>10000</v>
      </c>
      <c r="E23" s="151">
        <f>Kassavood!P53</f>
        <v>10000</v>
      </c>
      <c r="F23" s="151">
        <f>Kassavood!Q53</f>
        <v>0</v>
      </c>
    </row>
    <row r="24" spans="1:6" x14ac:dyDescent="0.25">
      <c r="A24" s="100" t="str">
        <f>Kassavood!A54</f>
        <v>Turustamisega seotud transporditeenused</v>
      </c>
      <c r="B24" s="231"/>
      <c r="C24" s="156">
        <f>Kassavood!N54</f>
        <v>0</v>
      </c>
      <c r="D24" s="156">
        <f>Kassavood!O54</f>
        <v>0</v>
      </c>
      <c r="E24" s="156">
        <f>Kassavood!P54</f>
        <v>0</v>
      </c>
      <c r="F24" s="156">
        <f>Kassavood!Q54</f>
        <v>0</v>
      </c>
    </row>
    <row r="25" spans="1:6" x14ac:dyDescent="0.25">
      <c r="A25" s="100" t="str">
        <f>Kassavood!A55</f>
        <v>Turustamisega seotud autokütus</v>
      </c>
      <c r="B25" s="232"/>
      <c r="C25" s="151">
        <f>Kassavood!N55</f>
        <v>0</v>
      </c>
      <c r="D25" s="151">
        <f>Kassavood!O55</f>
        <v>0</v>
      </c>
      <c r="E25" s="151">
        <f>Kassavood!P55</f>
        <v>0</v>
      </c>
      <c r="F25" s="151">
        <f>Kassavood!Q55</f>
        <v>0</v>
      </c>
    </row>
    <row r="26" spans="1:6" x14ac:dyDescent="0.25">
      <c r="A26" s="109"/>
      <c r="B26" s="228">
        <f>SUM(B23:B25)</f>
        <v>0</v>
      </c>
      <c r="C26" s="155">
        <f>SUM(C23:C25)</f>
        <v>2140</v>
      </c>
      <c r="D26" s="155">
        <f>SUM(D23:D25)</f>
        <v>10000</v>
      </c>
      <c r="E26" s="155">
        <f>SUM(E23:E25)</f>
        <v>10000</v>
      </c>
      <c r="F26" s="155">
        <f>SUM(F23:F25)</f>
        <v>0</v>
      </c>
    </row>
    <row r="27" spans="1:6" x14ac:dyDescent="0.25">
      <c r="A27" s="110" t="s">
        <v>31</v>
      </c>
      <c r="B27" s="219"/>
      <c r="C27" s="155"/>
      <c r="D27" s="155"/>
      <c r="E27" s="155"/>
      <c r="F27" s="155"/>
    </row>
    <row r="28" spans="1:6" x14ac:dyDescent="0.25">
      <c r="A28" s="111" t="s">
        <v>42</v>
      </c>
      <c r="B28" s="219"/>
      <c r="C28" s="155"/>
      <c r="D28" s="155"/>
      <c r="E28" s="155"/>
      <c r="F28" s="155"/>
    </row>
    <row r="29" spans="1:6" x14ac:dyDescent="0.25">
      <c r="A29" s="100" t="str">
        <f>Kassavood!A60</f>
        <v>Küte</v>
      </c>
      <c r="B29" s="221"/>
      <c r="C29" s="151">
        <f>Kassavood!N60</f>
        <v>0</v>
      </c>
      <c r="D29" s="151">
        <f>Kassavood!O60</f>
        <v>0</v>
      </c>
      <c r="E29" s="151">
        <f>Kassavood!P60</f>
        <v>0</v>
      </c>
      <c r="F29" s="151">
        <f>Kassavood!Q60</f>
        <v>0</v>
      </c>
    </row>
    <row r="30" spans="1:6" x14ac:dyDescent="0.25">
      <c r="A30" s="100" t="str">
        <f>Kassavood!A61</f>
        <v>Elekter</v>
      </c>
      <c r="B30" s="221"/>
      <c r="C30" s="151">
        <f>Kassavood!N61</f>
        <v>0</v>
      </c>
      <c r="D30" s="151">
        <f>Kassavood!O61</f>
        <v>0</v>
      </c>
      <c r="E30" s="151">
        <f>Kassavood!P61</f>
        <v>0</v>
      </c>
      <c r="F30" s="151">
        <f>Kassavood!Q61</f>
        <v>0</v>
      </c>
    </row>
    <row r="31" spans="1:6" x14ac:dyDescent="0.25">
      <c r="A31" s="100" t="str">
        <f>Kassavood!A62</f>
        <v>Rent</v>
      </c>
      <c r="B31" s="221"/>
      <c r="C31" s="151">
        <f>Kassavood!N62</f>
        <v>400</v>
      </c>
      <c r="D31" s="151">
        <f>Kassavood!O62</f>
        <v>600</v>
      </c>
      <c r="E31" s="151">
        <f>Kassavood!P62</f>
        <v>600</v>
      </c>
      <c r="F31" s="151">
        <f>Kassavood!Q62</f>
        <v>0</v>
      </c>
    </row>
    <row r="32" spans="1:6" x14ac:dyDescent="0.25">
      <c r="A32" s="100" t="str">
        <f>Kassavood!A63</f>
        <v>Valveteenused</v>
      </c>
      <c r="B32" s="221"/>
      <c r="C32" s="151">
        <f>Kassavood!N63</f>
        <v>0</v>
      </c>
      <c r="D32" s="151">
        <f>Kassavood!O63</f>
        <v>0</v>
      </c>
      <c r="E32" s="151">
        <f>Kassavood!P63</f>
        <v>0</v>
      </c>
      <c r="F32" s="151">
        <f>Kassavood!Q63</f>
        <v>0</v>
      </c>
    </row>
    <row r="33" spans="1:6" x14ac:dyDescent="0.25">
      <c r="A33" s="100" t="str">
        <f>Kassavood!A64</f>
        <v>Ruumide korrashoiukulud</v>
      </c>
      <c r="B33" s="221"/>
      <c r="C33" s="151">
        <f>Kassavood!N64</f>
        <v>0</v>
      </c>
      <c r="D33" s="151">
        <f>Kassavood!O64</f>
        <v>0</v>
      </c>
      <c r="E33" s="151">
        <f>Kassavood!P64</f>
        <v>0</v>
      </c>
      <c r="F33" s="151">
        <f>Kassavood!Q64</f>
        <v>0</v>
      </c>
    </row>
    <row r="34" spans="1:6" x14ac:dyDescent="0.25">
      <c r="A34" s="100" t="str">
        <f>Kassavood!A65</f>
        <v>Ruumide remondikulud</v>
      </c>
      <c r="B34" s="226"/>
      <c r="C34" s="154">
        <f>Kassavood!N65</f>
        <v>0</v>
      </c>
      <c r="D34" s="154">
        <f>Kassavood!O65</f>
        <v>0</v>
      </c>
      <c r="E34" s="154">
        <f>Kassavood!P65</f>
        <v>0</v>
      </c>
      <c r="F34" s="154">
        <f>Kassavood!Q65</f>
        <v>0</v>
      </c>
    </row>
    <row r="35" spans="1:6" x14ac:dyDescent="0.25">
      <c r="A35" s="100" t="str">
        <f>Kassavood!A66</f>
        <v>Ruumide kindlustus</v>
      </c>
      <c r="B35" s="221"/>
      <c r="C35" s="151">
        <f>Kassavood!N66</f>
        <v>0</v>
      </c>
      <c r="D35" s="151">
        <f>Kassavood!O66</f>
        <v>0</v>
      </c>
      <c r="E35" s="151">
        <f>Kassavood!P66</f>
        <v>0</v>
      </c>
      <c r="F35" s="151">
        <f>Kassavood!Q66</f>
        <v>0</v>
      </c>
    </row>
    <row r="36" spans="1:6" x14ac:dyDescent="0.25">
      <c r="A36" s="111" t="s">
        <v>30</v>
      </c>
      <c r="B36" s="219"/>
      <c r="C36" s="155"/>
      <c r="D36" s="155"/>
      <c r="E36" s="155"/>
      <c r="F36" s="155"/>
    </row>
    <row r="37" spans="1:6" x14ac:dyDescent="0.25">
      <c r="A37" s="100" t="str">
        <f>Kassavood!A68</f>
        <v>Ostetud transporditeenused</v>
      </c>
      <c r="B37" s="221"/>
      <c r="C37" s="151">
        <f>Kassavood!N68</f>
        <v>0</v>
      </c>
      <c r="D37" s="151">
        <f>Kassavood!O68</f>
        <v>0</v>
      </c>
      <c r="E37" s="151">
        <f>Kassavood!P68</f>
        <v>0</v>
      </c>
      <c r="F37" s="151">
        <f>Kassavood!Q68</f>
        <v>0</v>
      </c>
    </row>
    <row r="38" spans="1:6" x14ac:dyDescent="0.25">
      <c r="A38" s="100" t="str">
        <f>Kassavood!A69</f>
        <v>Autokütus</v>
      </c>
      <c r="B38" s="233"/>
      <c r="C38" s="156">
        <f>Kassavood!N69</f>
        <v>1200</v>
      </c>
      <c r="D38" s="156">
        <f>Kassavood!O69</f>
        <v>3960</v>
      </c>
      <c r="E38" s="156">
        <f>Kassavood!P69</f>
        <v>4000</v>
      </c>
      <c r="F38" s="156">
        <f>Kassavood!Q69</f>
        <v>0</v>
      </c>
    </row>
    <row r="39" spans="1:6" x14ac:dyDescent="0.25">
      <c r="A39" s="100" t="str">
        <f>Kassavood!A70</f>
        <v>Autohooldus ja remondikulud</v>
      </c>
      <c r="B39" s="226"/>
      <c r="C39" s="154">
        <f>Kassavood!N70</f>
        <v>0</v>
      </c>
      <c r="D39" s="154">
        <f>Kassavood!O70</f>
        <v>0</v>
      </c>
      <c r="E39" s="154">
        <f>Kassavood!P70</f>
        <v>0</v>
      </c>
      <c r="F39" s="154">
        <f>Kassavood!Q70</f>
        <v>0</v>
      </c>
    </row>
    <row r="40" spans="1:6" x14ac:dyDescent="0.25">
      <c r="A40" s="100" t="str">
        <f>Kassavood!A71</f>
        <v>Sõidukite kindlustus</v>
      </c>
      <c r="B40" s="221"/>
      <c r="C40" s="151">
        <f>Kassavood!N71</f>
        <v>0</v>
      </c>
      <c r="D40" s="151">
        <f>Kassavood!O71</f>
        <v>0</v>
      </c>
      <c r="E40" s="151">
        <f>Kassavood!P71</f>
        <v>0</v>
      </c>
      <c r="F40" s="151">
        <f>Kassavood!Q71</f>
        <v>0</v>
      </c>
    </row>
    <row r="41" spans="1:6" x14ac:dyDescent="0.25">
      <c r="A41" s="111" t="s">
        <v>39</v>
      </c>
      <c r="B41" s="219"/>
      <c r="C41" s="155"/>
      <c r="D41" s="155"/>
      <c r="E41" s="155"/>
      <c r="F41" s="155"/>
    </row>
    <row r="42" spans="1:6" x14ac:dyDescent="0.25">
      <c r="A42" s="100" t="str">
        <f>Kassavood!A73</f>
        <v>GSM</v>
      </c>
      <c r="B42" s="221"/>
      <c r="C42" s="151">
        <f>Kassavood!N73</f>
        <v>0</v>
      </c>
      <c r="D42" s="151">
        <f>Kassavood!O73</f>
        <v>0</v>
      </c>
      <c r="E42" s="151">
        <f>Kassavood!P73</f>
        <v>0</v>
      </c>
      <c r="F42" s="151">
        <f>Kassavood!Q73</f>
        <v>0</v>
      </c>
    </row>
    <row r="43" spans="1:6" x14ac:dyDescent="0.25">
      <c r="A43" s="100" t="str">
        <f>Kassavood!A74</f>
        <v>Tavatelefon</v>
      </c>
      <c r="B43" s="234"/>
      <c r="C43" s="157">
        <f>Kassavood!N74</f>
        <v>300</v>
      </c>
      <c r="D43" s="157">
        <f>Kassavood!O74</f>
        <v>300</v>
      </c>
      <c r="E43" s="157">
        <f>Kassavood!P74</f>
        <v>300</v>
      </c>
      <c r="F43" s="157">
        <f>Kassavood!Q74</f>
        <v>0</v>
      </c>
    </row>
    <row r="44" spans="1:6" x14ac:dyDescent="0.25">
      <c r="A44" s="100" t="str">
        <f>Kassavood!A75</f>
        <v>Arvutustehnika ja tarkavaraga seotud kulu</v>
      </c>
      <c r="B44" s="221"/>
      <c r="C44" s="151">
        <f>Kassavood!N75</f>
        <v>0</v>
      </c>
      <c r="D44" s="151">
        <f>Kassavood!O75</f>
        <v>0</v>
      </c>
      <c r="E44" s="151">
        <f>Kassavood!P75</f>
        <v>0</v>
      </c>
      <c r="F44" s="151">
        <f>Kassavood!Q75</f>
        <v>0</v>
      </c>
    </row>
    <row r="45" spans="1:6" x14ac:dyDescent="0.25">
      <c r="A45" s="107" t="s">
        <v>45</v>
      </c>
      <c r="B45" s="219"/>
      <c r="C45" s="155"/>
      <c r="D45" s="155"/>
      <c r="E45" s="155"/>
      <c r="F45" s="155"/>
    </row>
    <row r="46" spans="1:6" x14ac:dyDescent="0.25">
      <c r="A46" s="112" t="str">
        <f>Kassavood!A77</f>
        <v>Kantseleitarbed</v>
      </c>
      <c r="B46" s="221"/>
      <c r="C46" s="151">
        <f>Kassavood!N77</f>
        <v>980</v>
      </c>
      <c r="D46" s="151">
        <f>Kassavood!O77</f>
        <v>900</v>
      </c>
      <c r="E46" s="151">
        <f>Kassavood!P77</f>
        <v>900</v>
      </c>
      <c r="F46" s="151">
        <f>Kassavood!Q77</f>
        <v>0</v>
      </c>
    </row>
    <row r="47" spans="1:6" x14ac:dyDescent="0.25">
      <c r="A47" s="112" t="str">
        <f>Kassavood!A78</f>
        <v>Pangakulu</v>
      </c>
      <c r="B47" s="233"/>
      <c r="C47" s="156">
        <f>Kassavood!N78</f>
        <v>0</v>
      </c>
      <c r="D47" s="156">
        <f>Kassavood!O78</f>
        <v>0</v>
      </c>
      <c r="E47" s="156">
        <f>Kassavood!P78</f>
        <v>0</v>
      </c>
      <c r="F47" s="156">
        <f>Kassavood!Q78</f>
        <v>0</v>
      </c>
    </row>
    <row r="48" spans="1:6" x14ac:dyDescent="0.25">
      <c r="A48" s="112" t="str">
        <f>Kassavood!A79</f>
        <v>Seadmete hooldus ja remont</v>
      </c>
      <c r="B48" s="226"/>
      <c r="C48" s="154">
        <f>Kassavood!N79</f>
        <v>430</v>
      </c>
      <c r="D48" s="154">
        <f>Kassavood!O79</f>
        <v>450</v>
      </c>
      <c r="E48" s="154">
        <f>Kassavood!P79</f>
        <v>450</v>
      </c>
      <c r="F48" s="154">
        <f>Kassavood!Q79</f>
        <v>0</v>
      </c>
    </row>
    <row r="49" spans="1:6" x14ac:dyDescent="0.25">
      <c r="A49" s="112" t="str">
        <f>Kassavood!A80</f>
        <v>Muud kulud</v>
      </c>
      <c r="B49" s="221"/>
      <c r="C49" s="151">
        <f>Kassavood!N80</f>
        <v>420</v>
      </c>
      <c r="D49" s="151">
        <f>Kassavood!O80</f>
        <v>450</v>
      </c>
      <c r="E49" s="151">
        <f>Kassavood!P80</f>
        <v>450</v>
      </c>
      <c r="F49" s="151">
        <f>Kassavood!Q80</f>
        <v>0</v>
      </c>
    </row>
    <row r="50" spans="1:6" x14ac:dyDescent="0.25">
      <c r="A50" s="111" t="s">
        <v>41</v>
      </c>
      <c r="B50" s="219"/>
      <c r="C50" s="155"/>
      <c r="D50" s="155"/>
      <c r="E50" s="155"/>
      <c r="F50" s="155"/>
    </row>
    <row r="51" spans="1:6" x14ac:dyDescent="0.25">
      <c r="A51" s="100" t="str">
        <f>Kassavood!A82</f>
        <v>Brutopalk (makstakse välja samal kuul)</v>
      </c>
      <c r="B51" s="221"/>
      <c r="C51" s="151">
        <f>Kassavood!N82</f>
        <v>8000</v>
      </c>
      <c r="D51" s="151">
        <f>Kassavood!O82</f>
        <v>12000</v>
      </c>
      <c r="E51" s="151">
        <f>Kassavood!P82</f>
        <v>15000</v>
      </c>
      <c r="F51" s="151">
        <f>Kassavood!Q82</f>
        <v>0</v>
      </c>
    </row>
    <row r="52" spans="1:6" x14ac:dyDescent="0.25">
      <c r="A52" s="100" t="str">
        <f>Kassavood!A83</f>
        <v>Sotsiaalmaks (tasutakse järgmisel kuul)</v>
      </c>
      <c r="B52" s="233"/>
      <c r="C52" s="156">
        <f>Kassavood!N83</f>
        <v>2277</v>
      </c>
      <c r="D52" s="156">
        <f>Kassavood!O83</f>
        <v>3660.25</v>
      </c>
      <c r="E52" s="156">
        <f>Kassavood!P83</f>
        <v>4867.5</v>
      </c>
      <c r="F52" s="156">
        <f>Kassavood!Q83</f>
        <v>412.5</v>
      </c>
    </row>
    <row r="53" spans="1:6" x14ac:dyDescent="0.25">
      <c r="A53" s="100" t="str">
        <f>Kassavood!A84</f>
        <v>Töötuskindlustusmaks (tasutakse jrgm kuul)</v>
      </c>
      <c r="B53" s="226"/>
      <c r="C53" s="154">
        <f>Kassavood!N84</f>
        <v>55.2</v>
      </c>
      <c r="D53" s="154">
        <f>Kassavood!O84</f>
        <v>93.333333333333329</v>
      </c>
      <c r="E53" s="154">
        <f>Kassavood!P84</f>
        <v>118</v>
      </c>
      <c r="F53" s="154">
        <f>Kassavood!Q84</f>
        <v>10</v>
      </c>
    </row>
    <row r="54" spans="1:6" x14ac:dyDescent="0.25">
      <c r="A54" s="113" t="s">
        <v>153</v>
      </c>
      <c r="B54" s="235">
        <f>SUM(B51:B53)</f>
        <v>0</v>
      </c>
      <c r="C54" s="158">
        <f>SUM(C51:C53)</f>
        <v>10332.200000000001</v>
      </c>
      <c r="D54" s="158">
        <f>SUM(D51:D53)</f>
        <v>15753.583333333334</v>
      </c>
      <c r="E54" s="158">
        <f>SUM(E51:E53)</f>
        <v>19985.5</v>
      </c>
      <c r="F54" s="158">
        <f>SUM(F51:F53)</f>
        <v>422.5</v>
      </c>
    </row>
    <row r="55" spans="1:6" x14ac:dyDescent="0.25">
      <c r="A55" s="100" t="str">
        <f>Kassavood!A85</f>
        <v>Koolituskulud</v>
      </c>
      <c r="B55" s="221"/>
      <c r="C55" s="151">
        <f>Kassavood!N85</f>
        <v>0</v>
      </c>
      <c r="D55" s="151">
        <f>Kassavood!O85</f>
        <v>0</v>
      </c>
      <c r="E55" s="151">
        <f>Kassavood!P85</f>
        <v>0</v>
      </c>
      <c r="F55" s="151">
        <f>Kassavood!Q85</f>
        <v>0</v>
      </c>
    </row>
    <row r="56" spans="1:6" x14ac:dyDescent="0.25">
      <c r="A56" s="107" t="s">
        <v>44</v>
      </c>
      <c r="B56" s="219"/>
      <c r="C56" s="155"/>
      <c r="D56" s="155"/>
      <c r="E56" s="155"/>
      <c r="F56" s="155"/>
    </row>
    <row r="57" spans="1:6" x14ac:dyDescent="0.25">
      <c r="A57" s="100" t="str">
        <f>Kassavood!A87</f>
        <v>Muud maksud (riigilõivud jms)</v>
      </c>
      <c r="B57" s="221"/>
      <c r="C57" s="151">
        <f>Kassavood!N87</f>
        <v>0</v>
      </c>
      <c r="D57" s="151">
        <f>Kassavood!O87</f>
        <v>0</v>
      </c>
      <c r="E57" s="151">
        <f>Kassavood!P87</f>
        <v>0</v>
      </c>
      <c r="F57" s="151">
        <f>Kassavood!Q87</f>
        <v>0</v>
      </c>
    </row>
    <row r="58" spans="1:6" x14ac:dyDescent="0.25">
      <c r="A58" s="110" t="s">
        <v>57</v>
      </c>
      <c r="B58" s="219"/>
      <c r="C58" s="155"/>
      <c r="D58" s="155"/>
      <c r="E58" s="155"/>
      <c r="F58" s="155"/>
    </row>
    <row r="59" spans="1:6" x14ac:dyDescent="0.25">
      <c r="A59" s="100" t="s">
        <v>58</v>
      </c>
      <c r="B59" s="221"/>
      <c r="C59" s="151">
        <f>Kassavood!N108</f>
        <v>0</v>
      </c>
      <c r="D59" s="151">
        <f>Kassavood!O108</f>
        <v>0</v>
      </c>
      <c r="E59" s="151">
        <f>Kassavood!P108</f>
        <v>0</v>
      </c>
      <c r="F59" s="151">
        <f>Kassavood!Q108</f>
        <v>0</v>
      </c>
    </row>
    <row r="60" spans="1:6" x14ac:dyDescent="0.25">
      <c r="A60" s="100" t="s">
        <v>179</v>
      </c>
      <c r="B60" s="221"/>
      <c r="C60" s="151">
        <f>Kassavood!N109</f>
        <v>5406.6666666666661</v>
      </c>
      <c r="D60" s="151">
        <f>Kassavood!O109</f>
        <v>8640</v>
      </c>
      <c r="E60" s="151">
        <f>Kassavood!P109</f>
        <v>11040</v>
      </c>
      <c r="F60" s="151">
        <f>Kassavood!Q109</f>
        <v>0</v>
      </c>
    </row>
    <row r="61" spans="1:6" x14ac:dyDescent="0.25">
      <c r="A61" s="100" t="s">
        <v>178</v>
      </c>
      <c r="B61" s="221"/>
      <c r="C61" s="151">
        <f>Kassavood!N114</f>
        <v>0</v>
      </c>
      <c r="D61" s="151">
        <f>Kassavood!O114</f>
        <v>0</v>
      </c>
      <c r="E61" s="151">
        <f>Kassavood!P114</f>
        <v>0</v>
      </c>
      <c r="F61" s="151">
        <f>Kassavood!Q114</f>
        <v>0</v>
      </c>
    </row>
    <row r="62" spans="1:6" x14ac:dyDescent="0.25">
      <c r="A62" s="109"/>
      <c r="B62" s="225"/>
      <c r="C62" s="155">
        <f>SUM(C59:C61)</f>
        <v>5406.6666666666661</v>
      </c>
      <c r="D62" s="155">
        <f>SUM(D59:D61)</f>
        <v>8640</v>
      </c>
      <c r="E62" s="155">
        <f>SUM(E59:E61)</f>
        <v>11040</v>
      </c>
      <c r="F62" s="155">
        <f>SUM(F59:F61)</f>
        <v>0</v>
      </c>
    </row>
    <row r="63" spans="1:6" x14ac:dyDescent="0.25">
      <c r="A63" s="114" t="s">
        <v>56</v>
      </c>
      <c r="B63" s="223">
        <f>SUM(B19:B61)-B21-B26-B54</f>
        <v>0</v>
      </c>
      <c r="C63" s="153">
        <f>SUM(C19:C61)-C21-C26-C54</f>
        <v>22108.866666666665</v>
      </c>
      <c r="D63" s="153">
        <f>SUM(D19:D61)-D21-D26-D54</f>
        <v>41053.583333333336</v>
      </c>
      <c r="E63" s="153">
        <f>SUM(E19:E61)-E21-E26-E54</f>
        <v>47725.5</v>
      </c>
      <c r="F63" s="153">
        <f>SUM(F19:F61)-F21-F26-F54</f>
        <v>422.5</v>
      </c>
    </row>
    <row r="64" spans="1:6" x14ac:dyDescent="0.25">
      <c r="A64" s="115" t="s">
        <v>158</v>
      </c>
      <c r="B64" s="236">
        <f>SUM(B29:B49)+SUM(B55:B57)</f>
        <v>0</v>
      </c>
      <c r="C64" s="159">
        <f>SUM(C29:C49)+SUM(C55:C57)</f>
        <v>3730</v>
      </c>
      <c r="D64" s="159">
        <f>SUM(D29:D49)+SUM(D55:D57)</f>
        <v>6660</v>
      </c>
      <c r="E64" s="159">
        <f>SUM(E29:E49)+SUM(E55:E57)</f>
        <v>6700</v>
      </c>
      <c r="F64" s="159">
        <f>SUM(F29:F49)+SUM(F55:F57)</f>
        <v>0</v>
      </c>
    </row>
    <row r="65" spans="1:6" x14ac:dyDescent="0.25">
      <c r="A65" s="96" t="s">
        <v>63</v>
      </c>
      <c r="B65" s="219"/>
      <c r="C65" s="160"/>
      <c r="D65" s="160"/>
      <c r="E65" s="160"/>
      <c r="F65" s="160"/>
    </row>
    <row r="66" spans="1:6" x14ac:dyDescent="0.25">
      <c r="A66" s="116" t="s">
        <v>109</v>
      </c>
      <c r="B66" s="237"/>
      <c r="C66" s="153">
        <f>Kassavood!N92</f>
        <v>0</v>
      </c>
      <c r="D66" s="153">
        <f>Kassavood!O92</f>
        <v>0</v>
      </c>
      <c r="E66" s="153">
        <f>Kassavood!P92</f>
        <v>0</v>
      </c>
      <c r="F66" s="153">
        <f>Kassavood!Q92</f>
        <v>0</v>
      </c>
    </row>
    <row r="67" spans="1:6" x14ac:dyDescent="0.25">
      <c r="A67" s="96"/>
      <c r="B67" s="219"/>
      <c r="C67" s="160"/>
      <c r="D67" s="160"/>
      <c r="E67" s="160"/>
      <c r="F67" s="160"/>
    </row>
    <row r="68" spans="1:6" x14ac:dyDescent="0.25">
      <c r="A68" s="215" t="s">
        <v>200</v>
      </c>
      <c r="B68" s="238">
        <f>B11-B63</f>
        <v>0</v>
      </c>
      <c r="C68" s="211">
        <f>C13-C63</f>
        <v>-4911.7066666666651</v>
      </c>
      <c r="D68" s="211">
        <f>D13-D63</f>
        <v>23459.21666666666</v>
      </c>
      <c r="E68" s="211">
        <f>E13-E63</f>
        <v>30109.699999999997</v>
      </c>
      <c r="F68" s="211">
        <f>F13-F63</f>
        <v>-422.5</v>
      </c>
    </row>
    <row r="69" spans="1:6" x14ac:dyDescent="0.25">
      <c r="A69" s="114" t="s">
        <v>59</v>
      </c>
      <c r="B69" s="238">
        <f>B11-B63-B66</f>
        <v>0</v>
      </c>
      <c r="C69" s="211">
        <f>C13-C63-C66</f>
        <v>-4911.7066666666651</v>
      </c>
      <c r="D69" s="211">
        <f t="shared" ref="D69:F69" si="0">D13-D63-D66</f>
        <v>23459.21666666666</v>
      </c>
      <c r="E69" s="211">
        <f t="shared" si="0"/>
        <v>30109.699999999997</v>
      </c>
      <c r="F69" s="211">
        <f t="shared" si="0"/>
        <v>-422.5</v>
      </c>
    </row>
    <row r="70" spans="1:6" x14ac:dyDescent="0.25">
      <c r="A70" s="117" t="s">
        <v>167</v>
      </c>
      <c r="B70" s="239" t="e">
        <f>ROUND(Töötajad!B15,2)</f>
        <v>#DIV/0!</v>
      </c>
      <c r="C70" s="132">
        <f>ROUND(Töötajad!C15,2)</f>
        <v>1.42</v>
      </c>
      <c r="D70" s="132">
        <f>ROUND(Töötajad!D15,2)</f>
        <v>2.67</v>
      </c>
      <c r="E70" s="132">
        <f>ROUND(Töötajad!E15,2)</f>
        <v>4</v>
      </c>
      <c r="F70" s="132" t="e">
        <f>ROUND(Töötajad!F15,2)</f>
        <v>#DIV/0!</v>
      </c>
    </row>
    <row r="71" spans="1:6" x14ac:dyDescent="0.25">
      <c r="A71" s="37" t="s">
        <v>166</v>
      </c>
      <c r="B71" s="241" t="e">
        <f>IF(B70&gt;0,(B69+B61+B60+B59+B54)/B70,"")</f>
        <v>#DIV/0!</v>
      </c>
      <c r="C71" s="192">
        <f>IF(C70&gt;0,(C69+C61+C60+C59+C54)/C70,"")</f>
        <v>7624.7605633802832</v>
      </c>
      <c r="D71" s="192">
        <f>IF(D70&gt;0,(D69+D61+D60+D59+D54)/D70,"")</f>
        <v>17922.397003745318</v>
      </c>
      <c r="E71" s="192">
        <f>IF(E70&gt;0,(E69+E61+E60+E59+E54)/E70,"")</f>
        <v>15283.8</v>
      </c>
      <c r="F71" s="192" t="e">
        <f>IF(F70&gt;0,(F69+F61+F60+F59+F54)/F70,"")</f>
        <v>#DIV/0!</v>
      </c>
    </row>
    <row r="72" spans="1:6" x14ac:dyDescent="0.25">
      <c r="A72" s="37" t="s">
        <v>165</v>
      </c>
      <c r="B72" s="242" t="str">
        <f>IF(B11&gt;0,B69/B11,"")</f>
        <v/>
      </c>
      <c r="C72" s="243">
        <f t="shared" ref="C72:F72" si="1">IF(C11&gt;0,C69/C11,"")</f>
        <v>-0.28561150019344272</v>
      </c>
      <c r="D72" s="243">
        <f t="shared" si="1"/>
        <v>0.3636366219830276</v>
      </c>
      <c r="E72" s="243">
        <f t="shared" si="1"/>
        <v>0.38683911649228109</v>
      </c>
      <c r="F72" s="243" t="str">
        <f t="shared" si="1"/>
        <v/>
      </c>
    </row>
  </sheetData>
  <sheetProtection algorithmName="SHA-512" hashValue="bLN66jof/fcTRqTwfYm0iJs1T64eRQI+9FQyEtzpp9AeTT4eC7aX+le6QhSJmUOfsRrj9R86epJpY8wqBbQ9wA==" saltValue="QMlGZokYl/o5D7wH/LK3OA==" spinCount="100000" sheet="1" scenarios="1"/>
  <mergeCells count="1">
    <mergeCell ref="B1:B2"/>
  </mergeCells>
  <phoneticPr fontId="2" type="noConversion"/>
  <conditionalFormatting sqref="B68:F70">
    <cfRule type="cellIs" dxfId="0" priority="1" stopIfTrue="1" operator="lessThan">
      <formula>0</formula>
    </cfRule>
  </conditionalFormatting>
  <pageMargins left="0.59055118110236227" right="0.74803149606299213" top="0.39370078740157483" bottom="0.19685039370078741" header="0" footer="0"/>
  <pageSetup paperSize="9" scale="88"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Leht5">
    <pageSetUpPr fitToPage="1"/>
  </sheetPr>
  <dimension ref="A1:P52"/>
  <sheetViews>
    <sheetView topLeftCell="A28" zoomScaleNormal="100" workbookViewId="0">
      <selection activeCell="B25" sqref="B25"/>
    </sheetView>
  </sheetViews>
  <sheetFormatPr defaultColWidth="9.109375" defaultRowHeight="13.2" x14ac:dyDescent="0.25"/>
  <cols>
    <col min="1" max="1" width="42.33203125" style="121" customWidth="1"/>
    <col min="2" max="2" width="11.33203125" style="124" customWidth="1"/>
    <col min="3" max="5" width="10.88671875" style="121" customWidth="1"/>
    <col min="6" max="6" width="10.88671875" style="121" hidden="1" customWidth="1"/>
    <col min="7" max="16384" width="9.109375" style="121"/>
  </cols>
  <sheetData>
    <row r="1" spans="1:16" ht="26.4" x14ac:dyDescent="0.25">
      <c r="A1" s="119" t="s">
        <v>66</v>
      </c>
      <c r="B1" s="173" t="s">
        <v>152</v>
      </c>
      <c r="C1" s="120"/>
      <c r="D1" s="120"/>
      <c r="E1" s="120"/>
      <c r="F1" s="120"/>
    </row>
    <row r="2" spans="1:16" x14ac:dyDescent="0.25">
      <c r="A2" s="119"/>
      <c r="B2" s="174">
        <v>45234</v>
      </c>
      <c r="C2" s="254" t="str">
        <f>Kassavood!N2</f>
        <v>1. aasta</v>
      </c>
      <c r="D2" s="122" t="str">
        <f>Kassavood!O2</f>
        <v>2.aasta</v>
      </c>
      <c r="E2" s="122" t="str">
        <f>Kassavood!P2</f>
        <v>3.aasta</v>
      </c>
      <c r="F2" s="122" t="str">
        <f>Kassavood!Q2</f>
        <v>4. aasta</v>
      </c>
    </row>
    <row r="3" spans="1:16" x14ac:dyDescent="0.25">
      <c r="A3" s="123"/>
      <c r="C3" s="125"/>
      <c r="D3" s="125"/>
      <c r="E3" s="125"/>
      <c r="F3" s="125"/>
    </row>
    <row r="4" spans="1:16" x14ac:dyDescent="0.25">
      <c r="A4" s="119" t="s">
        <v>67</v>
      </c>
      <c r="B4" s="126"/>
      <c r="C4" s="125"/>
      <c r="D4" s="125"/>
      <c r="E4" s="125"/>
      <c r="F4" s="125"/>
    </row>
    <row r="5" spans="1:16" x14ac:dyDescent="0.25">
      <c r="A5" s="119"/>
      <c r="B5" s="126"/>
      <c r="C5" s="125"/>
      <c r="D5" s="125"/>
      <c r="E5" s="125"/>
      <c r="F5" s="125"/>
    </row>
    <row r="6" spans="1:16" x14ac:dyDescent="0.25">
      <c r="A6" s="134" t="s">
        <v>68</v>
      </c>
      <c r="B6" s="161"/>
      <c r="C6" s="162">
        <f>Kassavood!N97</f>
        <v>7260.9600000000137</v>
      </c>
      <c r="D6" s="162">
        <f>Kassavood!O97</f>
        <v>42078.760000000009</v>
      </c>
      <c r="E6" s="162">
        <f>Kassavood!P97</f>
        <v>86449.793333333349</v>
      </c>
      <c r="F6" s="162">
        <f>Kassavood!Q97</f>
        <v>85208.376666666678</v>
      </c>
      <c r="P6" s="216"/>
    </row>
    <row r="7" spans="1:16" x14ac:dyDescent="0.25">
      <c r="A7" s="134" t="s">
        <v>69</v>
      </c>
      <c r="B7" s="161"/>
      <c r="C7" s="162">
        <f>Kasumiaruanne!C5-Kassavood!N14</f>
        <v>0</v>
      </c>
      <c r="D7" s="162">
        <f>C7+Kasumiaruanne!D5-Kassavood!O14</f>
        <v>0</v>
      </c>
      <c r="E7" s="162">
        <f>D7+Kasumiaruanne!E5-Kassavood!P14</f>
        <v>0</v>
      </c>
      <c r="F7" s="162">
        <f>E7+Kasumiaruanne!F5-Kassavood!Q14</f>
        <v>0</v>
      </c>
    </row>
    <row r="8" spans="1:16" x14ac:dyDescent="0.25">
      <c r="A8" s="134" t="s">
        <v>70</v>
      </c>
      <c r="B8" s="161"/>
      <c r="C8" s="163"/>
      <c r="D8" s="163"/>
      <c r="E8" s="163"/>
      <c r="F8" s="163"/>
    </row>
    <row r="9" spans="1:16" x14ac:dyDescent="0.25">
      <c r="A9" s="134" t="s">
        <v>71</v>
      </c>
      <c r="B9" s="161"/>
      <c r="C9" s="163"/>
      <c r="D9" s="163"/>
      <c r="E9" s="163"/>
      <c r="F9" s="163"/>
    </row>
    <row r="10" spans="1:16" x14ac:dyDescent="0.25">
      <c r="A10" s="134" t="s">
        <v>106</v>
      </c>
      <c r="B10" s="161"/>
      <c r="C10" s="162">
        <f>Kassavood!N48-Kasumiaruanne!C19</f>
        <v>0</v>
      </c>
      <c r="D10" s="162">
        <f>C10+Kassavood!O48-Tooted!S5</f>
        <v>0</v>
      </c>
      <c r="E10" s="162">
        <f>D10+Kassavood!P48-Tooted!T5</f>
        <v>0</v>
      </c>
      <c r="F10" s="162">
        <f>E10+Kassavood!Q48-Tooted!U5</f>
        <v>0</v>
      </c>
    </row>
    <row r="11" spans="1:16" x14ac:dyDescent="0.25">
      <c r="A11" s="134" t="s">
        <v>72</v>
      </c>
      <c r="B11" s="161"/>
      <c r="C11" s="163"/>
      <c r="D11" s="163"/>
      <c r="E11" s="163"/>
      <c r="F11" s="163"/>
    </row>
    <row r="12" spans="1:16" x14ac:dyDescent="0.25">
      <c r="A12" s="135" t="s">
        <v>73</v>
      </c>
      <c r="B12" s="164">
        <f>SUM(B6:B11)</f>
        <v>0</v>
      </c>
      <c r="C12" s="165">
        <f>SUM(C6:C11)</f>
        <v>7260.9600000000137</v>
      </c>
      <c r="D12" s="165">
        <f>SUM(D6:D11)</f>
        <v>42078.760000000009</v>
      </c>
      <c r="E12" s="165">
        <f>SUM(E6:E11)</f>
        <v>86449.793333333349</v>
      </c>
      <c r="F12" s="165">
        <f>SUM(F6:F11)</f>
        <v>85208.376666666678</v>
      </c>
    </row>
    <row r="13" spans="1:16" x14ac:dyDescent="0.25">
      <c r="A13" s="136"/>
      <c r="B13" s="137"/>
      <c r="C13" s="138"/>
      <c r="D13" s="138"/>
      <c r="E13" s="138"/>
      <c r="F13" s="138"/>
    </row>
    <row r="14" spans="1:16" x14ac:dyDescent="0.25">
      <c r="A14" s="306" t="s">
        <v>181</v>
      </c>
      <c r="B14" s="306"/>
      <c r="C14" s="306"/>
      <c r="D14" s="306"/>
      <c r="E14" s="306"/>
      <c r="F14" s="306"/>
    </row>
    <row r="15" spans="1:16" x14ac:dyDescent="0.25">
      <c r="A15" s="134" t="s">
        <v>117</v>
      </c>
      <c r="B15" s="161"/>
      <c r="C15" s="162">
        <f>B15+Kassavood!N104</f>
        <v>0</v>
      </c>
      <c r="D15" s="162">
        <f>B15+Kassavood!O104</f>
        <v>0</v>
      </c>
      <c r="E15" s="162">
        <f>B15+Kassavood!P104</f>
        <v>0</v>
      </c>
      <c r="F15" s="162">
        <f>B15+Kassavood!Q104</f>
        <v>0</v>
      </c>
    </row>
    <row r="16" spans="1:16" x14ac:dyDescent="0.25">
      <c r="A16" s="134" t="s">
        <v>180</v>
      </c>
      <c r="B16" s="161"/>
      <c r="C16" s="162">
        <f>B16+Kassavood!N106</f>
        <v>31200</v>
      </c>
      <c r="D16" s="162">
        <f>B16+Kassavood!O106</f>
        <v>43200</v>
      </c>
      <c r="E16" s="162">
        <f>B16+Kassavood!P106</f>
        <v>55200</v>
      </c>
      <c r="F16" s="162">
        <f>B16+Kassavood!Q106</f>
        <v>55200</v>
      </c>
    </row>
    <row r="17" spans="1:6" x14ac:dyDescent="0.25">
      <c r="A17" s="134" t="s">
        <v>118</v>
      </c>
      <c r="B17" s="161"/>
      <c r="C17" s="162">
        <f>B17-Kassavood!N108-Kassavood!N109</f>
        <v>-5406.6666666666661</v>
      </c>
      <c r="D17" s="162">
        <f>C17-Kassavood!O108-Kassavood!O109</f>
        <v>-14046.666666666666</v>
      </c>
      <c r="E17" s="162">
        <f>D17-Kassavood!P108-Kassavood!P109</f>
        <v>-25086.666666666664</v>
      </c>
      <c r="F17" s="162">
        <f>E17-Kassavood!Q108-Kassavood!Q109</f>
        <v>-25086.666666666664</v>
      </c>
    </row>
    <row r="18" spans="1:6" x14ac:dyDescent="0.25">
      <c r="A18" s="303" t="s">
        <v>182</v>
      </c>
      <c r="B18" s="304"/>
      <c r="C18" s="304"/>
      <c r="D18" s="304"/>
      <c r="E18" s="304"/>
      <c r="F18" s="305"/>
    </row>
    <row r="19" spans="1:6" x14ac:dyDescent="0.25">
      <c r="A19" s="134" t="s">
        <v>182</v>
      </c>
      <c r="B19" s="161"/>
      <c r="C19" s="162">
        <f>B19+Kassavood!N112</f>
        <v>0</v>
      </c>
      <c r="D19" s="162">
        <f>B19+Kassavood!O112</f>
        <v>0</v>
      </c>
      <c r="E19" s="162">
        <f>B19+Kassavood!P112</f>
        <v>0</v>
      </c>
      <c r="F19" s="162">
        <f>B19+Kassavood!Q112</f>
        <v>0</v>
      </c>
    </row>
    <row r="20" spans="1:6" x14ac:dyDescent="0.25">
      <c r="A20" s="134" t="s">
        <v>183</v>
      </c>
      <c r="B20" s="161"/>
      <c r="C20" s="162">
        <f>B20-Kassavood!N114</f>
        <v>0</v>
      </c>
      <c r="D20" s="162">
        <f>C20-Kassavood!O114</f>
        <v>0</v>
      </c>
      <c r="E20" s="162">
        <f>D20-Kassavood!P114</f>
        <v>0</v>
      </c>
      <c r="F20" s="162">
        <f>E20-Kassavood!Q114</f>
        <v>0</v>
      </c>
    </row>
    <row r="21" spans="1:6" x14ac:dyDescent="0.25">
      <c r="A21" s="303" t="s">
        <v>74</v>
      </c>
      <c r="B21" s="304"/>
      <c r="C21" s="304"/>
      <c r="D21" s="304"/>
      <c r="E21" s="304"/>
      <c r="F21" s="305"/>
    </row>
    <row r="22" spans="1:6" ht="26.4" x14ac:dyDescent="0.25">
      <c r="A22" s="139" t="s">
        <v>187</v>
      </c>
      <c r="B22" s="166"/>
      <c r="C22" s="167">
        <f>$B$22+Kassavood!N105+Kassavood!N107</f>
        <v>0</v>
      </c>
      <c r="D22" s="167">
        <f>$B$22+Kassavood!O105+Kassavood!O107</f>
        <v>0</v>
      </c>
      <c r="E22" s="167">
        <f>$B$22+Kassavood!P105+Kassavood!P107</f>
        <v>0</v>
      </c>
      <c r="F22" s="167">
        <f>$B$22+Kassavood!Q105+Kassavood!Q107</f>
        <v>0</v>
      </c>
    </row>
    <row r="23" spans="1:6" ht="26.4" x14ac:dyDescent="0.25">
      <c r="A23" s="139" t="s">
        <v>188</v>
      </c>
      <c r="B23" s="166"/>
      <c r="C23" s="167">
        <f>$B$23+Kassavood!N113</f>
        <v>0</v>
      </c>
      <c r="D23" s="167">
        <f>$B$23+Kassavood!O113</f>
        <v>0</v>
      </c>
      <c r="E23" s="167">
        <f>$B$23+Kassavood!P113</f>
        <v>0</v>
      </c>
      <c r="F23" s="167">
        <f>$B$23+Kassavood!Q113</f>
        <v>0</v>
      </c>
    </row>
    <row r="24" spans="1:6" x14ac:dyDescent="0.25">
      <c r="A24" s="134" t="s">
        <v>118</v>
      </c>
      <c r="B24" s="166"/>
      <c r="C24" s="167">
        <f>-Kassavood!N110-Kassavood!N111-Kassavood!N115+B24</f>
        <v>0</v>
      </c>
      <c r="D24" s="167">
        <f>-Kassavood!O110-Kassavood!O111-Kassavood!O115+C24</f>
        <v>0</v>
      </c>
      <c r="E24" s="167">
        <f>-Kassavood!P110-Kassavood!P111-Kassavood!P115+D24</f>
        <v>0</v>
      </c>
      <c r="F24" s="167">
        <f>-Kassavood!Q110-Kassavood!Q111-Kassavood!Q115+E24</f>
        <v>0</v>
      </c>
    </row>
    <row r="25" spans="1:6" x14ac:dyDescent="0.25">
      <c r="A25" s="135" t="s">
        <v>75</v>
      </c>
      <c r="B25" s="164">
        <f>SUM(B15:B24)</f>
        <v>0</v>
      </c>
      <c r="C25" s="165">
        <f>SUM(C15:C24)</f>
        <v>25793.333333333336</v>
      </c>
      <c r="D25" s="165">
        <f>SUM(D15:D24)</f>
        <v>29153.333333333336</v>
      </c>
      <c r="E25" s="165">
        <f>SUM(E15:E24)</f>
        <v>30113.333333333336</v>
      </c>
      <c r="F25" s="165">
        <f>SUM(F15:F24)</f>
        <v>30113.333333333336</v>
      </c>
    </row>
    <row r="26" spans="1:6" x14ac:dyDescent="0.25">
      <c r="A26" s="140"/>
      <c r="B26" s="168"/>
      <c r="C26" s="169"/>
      <c r="D26" s="169"/>
      <c r="E26" s="169"/>
      <c r="F26" s="169"/>
    </row>
    <row r="27" spans="1:6" x14ac:dyDescent="0.25">
      <c r="A27" s="136" t="s">
        <v>76</v>
      </c>
      <c r="B27" s="170">
        <f>B12+B25</f>
        <v>0</v>
      </c>
      <c r="C27" s="171">
        <f>C12+C25</f>
        <v>33054.293333333349</v>
      </c>
      <c r="D27" s="171">
        <f>D12+D25</f>
        <v>71232.093333333352</v>
      </c>
      <c r="E27" s="171">
        <f>E12+E25</f>
        <v>116563.12666666668</v>
      </c>
      <c r="F27" s="171">
        <f>F12+F25</f>
        <v>115321.71000000002</v>
      </c>
    </row>
    <row r="28" spans="1:6" x14ac:dyDescent="0.25">
      <c r="A28" s="136"/>
      <c r="B28" s="137"/>
      <c r="C28" s="141"/>
      <c r="D28" s="141"/>
      <c r="E28" s="141"/>
      <c r="F28" s="141"/>
    </row>
    <row r="29" spans="1:6" x14ac:dyDescent="0.25">
      <c r="A29" s="136"/>
      <c r="B29" s="137"/>
      <c r="C29" s="141"/>
      <c r="D29" s="141"/>
      <c r="E29" s="141"/>
      <c r="F29" s="141"/>
    </row>
    <row r="30" spans="1:6" x14ac:dyDescent="0.25">
      <c r="A30" s="140"/>
      <c r="B30" s="142"/>
      <c r="C30" s="138"/>
      <c r="D30" s="138"/>
      <c r="E30" s="138"/>
      <c r="F30" s="138"/>
    </row>
    <row r="31" spans="1:6" x14ac:dyDescent="0.25">
      <c r="A31" s="136" t="s">
        <v>77</v>
      </c>
      <c r="B31" s="137"/>
      <c r="C31" s="138"/>
      <c r="D31" s="138"/>
      <c r="E31" s="138"/>
      <c r="F31" s="138"/>
    </row>
    <row r="32" spans="1:6" x14ac:dyDescent="0.25">
      <c r="A32" s="143"/>
      <c r="B32" s="144"/>
      <c r="C32" s="138"/>
      <c r="D32" s="138"/>
      <c r="E32" s="138"/>
      <c r="F32" s="138"/>
    </row>
    <row r="33" spans="1:6" x14ac:dyDescent="0.25">
      <c r="A33" s="134" t="s">
        <v>120</v>
      </c>
      <c r="B33" s="161">
        <v>0</v>
      </c>
      <c r="C33" s="162">
        <f>IF(Kassavood!N91="Viga, kliki siin!",B33,(B33+Kassavood!N22-Kassavood!N91))</f>
        <v>0</v>
      </c>
      <c r="D33" s="162">
        <f>C33+Kassavood!O22-Kassavood!O91</f>
        <v>0</v>
      </c>
      <c r="E33" s="162">
        <f>D33+Kassavood!P22-Kassavood!P91</f>
        <v>0</v>
      </c>
      <c r="F33" s="162">
        <f>E33+Kassavood!Q22-Kassavood!Q91</f>
        <v>0</v>
      </c>
    </row>
    <row r="34" spans="1:6" x14ac:dyDescent="0.25">
      <c r="A34" s="134" t="s">
        <v>119</v>
      </c>
      <c r="B34" s="161"/>
      <c r="C34" s="162">
        <f>IF(Kassavood!O90&gt;0,Kassavood!O90,0)</f>
        <v>0</v>
      </c>
      <c r="D34" s="162">
        <f>IF(Kassavood!P90&gt;0,Kassavood!P90,0)</f>
        <v>0</v>
      </c>
      <c r="E34" s="162">
        <f>IF(Kassavood!Q90&gt;0,Kassavood!Q90,0)</f>
        <v>0</v>
      </c>
      <c r="F34" s="162">
        <f>IF(Kassavood!R90&gt;0,Kassavood!R90,0)</f>
        <v>0</v>
      </c>
    </row>
    <row r="35" spans="1:6" x14ac:dyDescent="0.25">
      <c r="A35" s="134" t="s">
        <v>78</v>
      </c>
      <c r="B35" s="161"/>
      <c r="C35" s="163"/>
      <c r="D35" s="163"/>
      <c r="E35" s="163"/>
      <c r="F35" s="163"/>
    </row>
    <row r="36" spans="1:6" x14ac:dyDescent="0.25">
      <c r="A36" s="134" t="s">
        <v>79</v>
      </c>
      <c r="B36" s="161"/>
      <c r="C36" s="163"/>
      <c r="D36" s="163"/>
      <c r="E36" s="163"/>
      <c r="F36" s="163"/>
    </row>
    <row r="37" spans="1:6" x14ac:dyDescent="0.25">
      <c r="A37" s="134" t="s">
        <v>80</v>
      </c>
      <c r="B37" s="161"/>
      <c r="C37" s="163"/>
      <c r="D37" s="163"/>
      <c r="E37" s="163"/>
      <c r="F37" s="163"/>
    </row>
    <row r="38" spans="1:6" x14ac:dyDescent="0.25">
      <c r="A38" s="134" t="s">
        <v>81</v>
      </c>
      <c r="B38" s="161"/>
      <c r="C38" s="162">
        <f>Kassavood!N19-Kassavood!N88-Kassavood!N83-Kassavood!N84+Kasumiaruanne!C52+Kasumiaruanne!C53-Kassavood!N93</f>
        <v>466</v>
      </c>
      <c r="D38" s="162">
        <f>C38+Kassavood!O19-Kassavood!O88-Kassavood!O83-Kassavood!O84+Kasumiaruanne!D52+Kasumiaruanne!D53-Kassavood!O93</f>
        <v>184.58333333333212</v>
      </c>
      <c r="E38" s="162">
        <f>D38+Kassavood!P19-Kassavood!P88-Kassavood!P83-Kassavood!P84+Kasumiaruanne!E52+Kasumiaruanne!E53-Kassavood!P93</f>
        <v>405.91666666666424</v>
      </c>
      <c r="F38" s="162">
        <f>E38+Kassavood!Q19-Kassavood!Q88-Kassavood!Q83-Kassavood!Q84+Kasumiaruanne!F52+Kasumiaruanne!F53-Kassavood!Q93</f>
        <v>-413.00000000000239</v>
      </c>
    </row>
    <row r="39" spans="1:6" x14ac:dyDescent="0.25">
      <c r="A39" s="135" t="s">
        <v>82</v>
      </c>
      <c r="B39" s="164">
        <f>SUM(B33:B38)</f>
        <v>0</v>
      </c>
      <c r="C39" s="165">
        <f>SUM(C33:C38)</f>
        <v>466</v>
      </c>
      <c r="D39" s="165">
        <f>SUM(D33:D38)</f>
        <v>184.58333333333212</v>
      </c>
      <c r="E39" s="165">
        <f>SUM(E33:E38)</f>
        <v>405.91666666666424</v>
      </c>
      <c r="F39" s="165">
        <f>SUM(F33:F38)</f>
        <v>-413.00000000000239</v>
      </c>
    </row>
    <row r="40" spans="1:6" x14ac:dyDescent="0.25">
      <c r="A40" s="143"/>
      <c r="B40" s="172"/>
      <c r="C40" s="169"/>
      <c r="D40" s="169"/>
      <c r="E40" s="169"/>
      <c r="F40" s="169"/>
    </row>
    <row r="41" spans="1:6" x14ac:dyDescent="0.25">
      <c r="A41" s="134" t="s">
        <v>83</v>
      </c>
      <c r="B41" s="161"/>
      <c r="C41" s="162">
        <f>B41+Kassavood!N21-C34</f>
        <v>0</v>
      </c>
      <c r="D41" s="162">
        <f>C41+Kassavood!O21-D34</f>
        <v>0</v>
      </c>
      <c r="E41" s="162">
        <f>D41+Kassavood!P21-E34</f>
        <v>0</v>
      </c>
      <c r="F41" s="162">
        <f>E41+Kassavood!Q21-F34</f>
        <v>0</v>
      </c>
    </row>
    <row r="42" spans="1:6" x14ac:dyDescent="0.25">
      <c r="A42" s="134" t="s">
        <v>84</v>
      </c>
      <c r="B42" s="161"/>
      <c r="C42" s="163"/>
      <c r="D42" s="163"/>
      <c r="E42" s="163"/>
      <c r="F42" s="163"/>
    </row>
    <row r="43" spans="1:6" x14ac:dyDescent="0.25">
      <c r="A43" s="145" t="s">
        <v>85</v>
      </c>
      <c r="B43" s="166"/>
      <c r="C43" s="167">
        <f>C22+C23+C24</f>
        <v>0</v>
      </c>
      <c r="D43" s="167">
        <f>D22+D23+D24</f>
        <v>0</v>
      </c>
      <c r="E43" s="167">
        <f>E22+E23+E24</f>
        <v>0</v>
      </c>
      <c r="F43" s="167">
        <f>F22+F23+F24</f>
        <v>0</v>
      </c>
    </row>
    <row r="44" spans="1:6" x14ac:dyDescent="0.25">
      <c r="A44" s="135" t="s">
        <v>86</v>
      </c>
      <c r="B44" s="164">
        <f>SUM(B41:B43)</f>
        <v>0</v>
      </c>
      <c r="C44" s="165">
        <f>SUM(C41:C43)</f>
        <v>0</v>
      </c>
      <c r="D44" s="165">
        <f>SUM(D41:D43)</f>
        <v>0</v>
      </c>
      <c r="E44" s="165">
        <f>SUM(E41:E43)</f>
        <v>0</v>
      </c>
      <c r="F44" s="165">
        <f>SUM(F41:F43)</f>
        <v>0</v>
      </c>
    </row>
    <row r="45" spans="1:6" x14ac:dyDescent="0.25">
      <c r="A45" s="140"/>
      <c r="B45" s="168"/>
      <c r="C45" s="169"/>
      <c r="D45" s="169"/>
      <c r="E45" s="169"/>
      <c r="F45" s="169"/>
    </row>
    <row r="46" spans="1:6" x14ac:dyDescent="0.25">
      <c r="A46" s="134" t="s">
        <v>87</v>
      </c>
      <c r="B46" s="161"/>
      <c r="C46" s="162">
        <f>B46+Kassavood!N20</f>
        <v>37500</v>
      </c>
      <c r="D46" s="162">
        <f>C46+Kassavood!O20</f>
        <v>52500</v>
      </c>
      <c r="E46" s="162">
        <f>D46+Kassavood!P20</f>
        <v>67500</v>
      </c>
      <c r="F46" s="162">
        <f>E46+Kassavood!Q20</f>
        <v>67500</v>
      </c>
    </row>
    <row r="47" spans="1:6" x14ac:dyDescent="0.25">
      <c r="A47" s="134" t="s">
        <v>88</v>
      </c>
      <c r="B47" s="176"/>
      <c r="C47" s="162">
        <f>IF(B49&gt;B46*0.1,B46*0.1,IF(B49&lt;0,0,B49*0.1))</f>
        <v>0</v>
      </c>
      <c r="D47" s="162">
        <f>IF(C49&gt;C46*0.1,C46*0.1,IF(C49&lt;0,0,C49*0.1))</f>
        <v>0</v>
      </c>
      <c r="E47" s="162">
        <f>IF(D49&gt;D46*0.1,D46*0.1,IF(D49&lt;0,0,D49*0.1))</f>
        <v>5250</v>
      </c>
      <c r="F47" s="162">
        <f>IF(E49&gt;E46*0.1,E46*0.1,IF(E49&lt;0,0,E49*0.1))</f>
        <v>6750</v>
      </c>
    </row>
    <row r="48" spans="1:6" x14ac:dyDescent="0.25">
      <c r="A48" s="134" t="s">
        <v>89</v>
      </c>
      <c r="B48" s="161"/>
      <c r="C48" s="162">
        <f>(B49+B48-Kassavood!N94)-C47</f>
        <v>0</v>
      </c>
      <c r="D48" s="162">
        <f>(C48+C49-Kassavood!O94)-(D47-C47)</f>
        <v>-4911.7066666666651</v>
      </c>
      <c r="E48" s="162">
        <f>(D48+D49-E47+D47-Kassavood!P94)</f>
        <v>13297.509999999995</v>
      </c>
      <c r="F48" s="162">
        <f>(E48+E49-F47+E47-Kassavood!Q94)</f>
        <v>41907.209999999992</v>
      </c>
    </row>
    <row r="49" spans="1:6" x14ac:dyDescent="0.25">
      <c r="A49" s="134" t="s">
        <v>90</v>
      </c>
      <c r="B49" s="161"/>
      <c r="C49" s="162">
        <f>Kasumiaruanne!C69</f>
        <v>-4911.7066666666651</v>
      </c>
      <c r="D49" s="162">
        <f>Kasumiaruanne!D69</f>
        <v>23459.21666666666</v>
      </c>
      <c r="E49" s="162">
        <f>Kasumiaruanne!E69</f>
        <v>30109.699999999997</v>
      </c>
      <c r="F49" s="162">
        <f>Kasumiaruanne!F69</f>
        <v>-422.5</v>
      </c>
    </row>
    <row r="50" spans="1:6" x14ac:dyDescent="0.25">
      <c r="A50" s="135" t="s">
        <v>91</v>
      </c>
      <c r="B50" s="162">
        <f>SUM(B46:B49)</f>
        <v>0</v>
      </c>
      <c r="C50" s="162">
        <f>SUM(C46:C49)</f>
        <v>32588.293333333335</v>
      </c>
      <c r="D50" s="162">
        <f>SUM(D46:D49)</f>
        <v>71047.509999999995</v>
      </c>
      <c r="E50" s="162">
        <f>SUM(E46:E49)</f>
        <v>116157.20999999999</v>
      </c>
      <c r="F50" s="162">
        <f>SUM(F46:F49)</f>
        <v>115734.70999999999</v>
      </c>
    </row>
    <row r="51" spans="1:6" x14ac:dyDescent="0.25">
      <c r="A51" s="146"/>
      <c r="B51" s="147"/>
      <c r="C51" s="138"/>
      <c r="D51" s="138"/>
      <c r="E51" s="138"/>
      <c r="F51" s="138"/>
    </row>
    <row r="52" spans="1:6" x14ac:dyDescent="0.25">
      <c r="A52" s="136" t="s">
        <v>92</v>
      </c>
      <c r="B52" s="170">
        <f>B39+B44+B50</f>
        <v>0</v>
      </c>
      <c r="C52" s="171">
        <f>C39+C44+C50</f>
        <v>33054.293333333335</v>
      </c>
      <c r="D52" s="171">
        <f>D39+D44+D50</f>
        <v>71232.093333333323</v>
      </c>
      <c r="E52" s="171">
        <f>E39+E44+E50</f>
        <v>116563.12666666665</v>
      </c>
      <c r="F52" s="171">
        <f>F39+F44+F50</f>
        <v>115321.70999999999</v>
      </c>
    </row>
  </sheetData>
  <sheetProtection algorithmName="SHA-512" hashValue="EiN8y+Y3WTLdIOo3St2fQjkK75x9fJ/scgccP+zxS2dz/PXtWQSOE4MdeVYy27FqKqkwdof5ZvuupvgKVbmMiQ==" saltValue="AkhI6XdntKsYR7y0UJDrHw==" spinCount="100000" sheet="1" scenarios="1"/>
  <mergeCells count="3">
    <mergeCell ref="A18:F18"/>
    <mergeCell ref="A14:F14"/>
    <mergeCell ref="A21:F21"/>
  </mergeCells>
  <phoneticPr fontId="2" type="noConversion"/>
  <pageMargins left="0.59055118110236227" right="0.74803149606299213" top="0.98425196850393704" bottom="0.98425196850393704"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eht6"/>
  <dimension ref="A1:F15"/>
  <sheetViews>
    <sheetView workbookViewId="0">
      <selection activeCell="E3" sqref="E3"/>
    </sheetView>
  </sheetViews>
  <sheetFormatPr defaultRowHeight="13.2" x14ac:dyDescent="0.25"/>
  <cols>
    <col min="1" max="1" width="14.88671875" customWidth="1"/>
    <col min="2" max="2" width="12.88671875" hidden="1" customWidth="1"/>
    <col min="3" max="5" width="10.44140625" customWidth="1"/>
    <col min="6" max="6" width="10.44140625" hidden="1" customWidth="1"/>
  </cols>
  <sheetData>
    <row r="1" spans="1:6" x14ac:dyDescent="0.25">
      <c r="C1" s="307" t="s">
        <v>168</v>
      </c>
      <c r="D1" s="307"/>
      <c r="E1" s="307"/>
      <c r="F1" s="307"/>
    </row>
    <row r="2" spans="1:6" ht="21" x14ac:dyDescent="0.25">
      <c r="B2" s="22" t="s">
        <v>201</v>
      </c>
      <c r="C2" s="1" t="str">
        <f>Kassavood!N2</f>
        <v>1. aasta</v>
      </c>
      <c r="D2" t="str">
        <f>Kassavood!O2</f>
        <v>2.aasta</v>
      </c>
      <c r="E2" t="str">
        <f>Kassavood!P2</f>
        <v>3.aasta</v>
      </c>
      <c r="F2" t="str">
        <f>Kassavood!Q2</f>
        <v>4. aasta</v>
      </c>
    </row>
    <row r="3" spans="1:6" x14ac:dyDescent="0.25">
      <c r="A3" s="29">
        <f>Kassavood!B2</f>
        <v>45231</v>
      </c>
      <c r="B3" s="217"/>
      <c r="C3" s="217">
        <v>1</v>
      </c>
      <c r="D3" s="217">
        <v>2</v>
      </c>
      <c r="E3" s="217">
        <v>4</v>
      </c>
      <c r="F3" s="217"/>
    </row>
    <row r="4" spans="1:6" x14ac:dyDescent="0.25">
      <c r="A4" s="29">
        <f>Kassavood!C2</f>
        <v>45291</v>
      </c>
      <c r="B4" s="217"/>
      <c r="C4" s="217">
        <v>1</v>
      </c>
      <c r="D4" s="217">
        <v>2</v>
      </c>
      <c r="E4" s="217">
        <v>4</v>
      </c>
      <c r="F4" s="217"/>
    </row>
    <row r="5" spans="1:6" x14ac:dyDescent="0.25">
      <c r="A5" s="29">
        <f>Kassavood!D2</f>
        <v>45322</v>
      </c>
      <c r="B5" s="217"/>
      <c r="C5" s="217">
        <v>1</v>
      </c>
      <c r="D5" s="217">
        <v>2</v>
      </c>
      <c r="E5" s="217">
        <v>4</v>
      </c>
      <c r="F5" s="217"/>
    </row>
    <row r="6" spans="1:6" x14ac:dyDescent="0.25">
      <c r="A6" s="29">
        <f>Kassavood!E2</f>
        <v>45351</v>
      </c>
      <c r="B6" s="217"/>
      <c r="C6" s="217">
        <v>1</v>
      </c>
      <c r="D6" s="217">
        <v>2</v>
      </c>
      <c r="E6" s="217">
        <v>4</v>
      </c>
      <c r="F6" s="217"/>
    </row>
    <row r="7" spans="1:6" x14ac:dyDescent="0.25">
      <c r="A7" s="29">
        <f>Kassavood!F2</f>
        <v>45382</v>
      </c>
      <c r="B7" s="217"/>
      <c r="C7" s="217">
        <v>1</v>
      </c>
      <c r="D7" s="217">
        <v>3</v>
      </c>
      <c r="E7" s="217">
        <v>4</v>
      </c>
      <c r="F7" s="217"/>
    </row>
    <row r="8" spans="1:6" x14ac:dyDescent="0.25">
      <c r="A8" s="29">
        <f>Kassavood!G2</f>
        <v>45412</v>
      </c>
      <c r="B8" s="217"/>
      <c r="C8" s="217">
        <v>1</v>
      </c>
      <c r="D8" s="217">
        <v>3</v>
      </c>
      <c r="E8" s="217">
        <v>4</v>
      </c>
      <c r="F8" s="217"/>
    </row>
    <row r="9" spans="1:6" x14ac:dyDescent="0.25">
      <c r="A9" s="29">
        <f>Kassavood!H2</f>
        <v>45443</v>
      </c>
      <c r="B9" s="217"/>
      <c r="C9" s="217">
        <v>1</v>
      </c>
      <c r="D9" s="217">
        <v>3</v>
      </c>
      <c r="E9" s="217">
        <v>4</v>
      </c>
      <c r="F9" s="217"/>
    </row>
    <row r="10" spans="1:6" x14ac:dyDescent="0.25">
      <c r="A10" s="29">
        <f>Kassavood!I2</f>
        <v>45473</v>
      </c>
      <c r="B10" s="217"/>
      <c r="C10" s="217">
        <v>2</v>
      </c>
      <c r="D10" s="245">
        <v>3</v>
      </c>
      <c r="E10" s="217">
        <v>4</v>
      </c>
      <c r="F10" s="217"/>
    </row>
    <row r="11" spans="1:6" x14ac:dyDescent="0.25">
      <c r="A11" s="29">
        <f>Kassavood!J2</f>
        <v>45504</v>
      </c>
      <c r="B11" s="217"/>
      <c r="C11" s="217">
        <v>2</v>
      </c>
      <c r="D11" s="217">
        <v>3</v>
      </c>
      <c r="E11" s="245">
        <v>4</v>
      </c>
      <c r="F11" s="217"/>
    </row>
    <row r="12" spans="1:6" x14ac:dyDescent="0.25">
      <c r="A12" s="29">
        <f>Kassavood!K2</f>
        <v>45535</v>
      </c>
      <c r="B12" s="217"/>
      <c r="C12" s="217">
        <v>2</v>
      </c>
      <c r="D12" s="217">
        <v>3</v>
      </c>
      <c r="E12" s="217">
        <v>4</v>
      </c>
      <c r="F12" s="217"/>
    </row>
    <row r="13" spans="1:6" x14ac:dyDescent="0.25">
      <c r="A13" s="29">
        <f>Kassavood!L2</f>
        <v>45565</v>
      </c>
      <c r="B13" s="217"/>
      <c r="C13" s="217">
        <v>2</v>
      </c>
      <c r="D13" s="217">
        <v>3</v>
      </c>
      <c r="E13" s="217">
        <v>4</v>
      </c>
      <c r="F13" s="217"/>
    </row>
    <row r="14" spans="1:6" x14ac:dyDescent="0.25">
      <c r="A14" s="29">
        <f>Kassavood!M2</f>
        <v>45596</v>
      </c>
      <c r="B14" s="217"/>
      <c r="C14" s="217">
        <v>2</v>
      </c>
      <c r="D14" s="217">
        <v>3</v>
      </c>
      <c r="E14" s="217">
        <v>4</v>
      </c>
      <c r="F14" s="217"/>
    </row>
    <row r="15" spans="1:6" x14ac:dyDescent="0.25">
      <c r="B15" t="e">
        <f>AVERAGE(B3:B14)</f>
        <v>#DIV/0!</v>
      </c>
      <c r="C15" s="244">
        <f>AVERAGE(C3:C14)</f>
        <v>1.4166666666666667</v>
      </c>
      <c r="D15" s="244">
        <f>AVERAGE(D3:D14)</f>
        <v>2.6666666666666665</v>
      </c>
      <c r="E15" s="244">
        <f>AVERAGE(E3:E14)</f>
        <v>4</v>
      </c>
      <c r="F15" s="244" t="e">
        <f>AVERAGE(F3:F14)</f>
        <v>#DIV/0!</v>
      </c>
    </row>
  </sheetData>
  <sheetProtection algorithmName="SHA-512" hashValue="AODYXl53VDPWW5lkJj0tsUD6YmIXvHRxhw0NX5BwBTeEtQXQmrJv902wQ9NOGVSHI/qk0k4482WU7boQ9r/9+Q==" saltValue="ZDvYdpyV9lb3kpr9CJIUqA==" spinCount="100000" sheet="1" scenarios="1"/>
  <mergeCells count="1">
    <mergeCell ref="C1:F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E36"/>
  <sheetViews>
    <sheetView topLeftCell="A5" zoomScaleNormal="100" workbookViewId="0">
      <selection activeCell="E23" sqref="E23"/>
    </sheetView>
  </sheetViews>
  <sheetFormatPr defaultRowHeight="13.2" x14ac:dyDescent="0.25"/>
  <cols>
    <col min="2" max="2" width="3.33203125" bestFit="1" customWidth="1"/>
    <col min="3" max="3" width="36" customWidth="1"/>
    <col min="4" max="4" width="11.6640625" style="281" bestFit="1" customWidth="1"/>
    <col min="5" max="5" width="35" style="1" customWidth="1"/>
  </cols>
  <sheetData>
    <row r="2" spans="2:5" x14ac:dyDescent="0.25">
      <c r="B2" s="310" t="s">
        <v>237</v>
      </c>
      <c r="C2" s="310"/>
      <c r="D2" s="310"/>
      <c r="E2" s="310"/>
    </row>
    <row r="3" spans="2:5" x14ac:dyDescent="0.25">
      <c r="B3" s="287"/>
      <c r="C3" s="287"/>
      <c r="D3" s="287"/>
      <c r="E3" s="287"/>
    </row>
    <row r="4" spans="2:5" ht="45" customHeight="1" x14ac:dyDescent="0.25">
      <c r="B4" s="311" t="s">
        <v>238</v>
      </c>
      <c r="C4" s="311"/>
      <c r="D4" s="311"/>
      <c r="E4" s="311"/>
    </row>
    <row r="6" spans="2:5" x14ac:dyDescent="0.25">
      <c r="B6" s="309" t="s">
        <v>228</v>
      </c>
      <c r="C6" s="309"/>
      <c r="D6" s="309"/>
      <c r="E6" s="309"/>
    </row>
    <row r="7" spans="2:5" s="291" customFormat="1" ht="33.6" x14ac:dyDescent="0.25">
      <c r="B7" s="288" t="s">
        <v>227</v>
      </c>
      <c r="C7" s="289" t="s">
        <v>226</v>
      </c>
      <c r="D7" s="290" t="s">
        <v>235</v>
      </c>
      <c r="E7" s="289" t="s">
        <v>239</v>
      </c>
    </row>
    <row r="8" spans="2:5" x14ac:dyDescent="0.25">
      <c r="B8" s="268">
        <v>1</v>
      </c>
      <c r="C8" s="278"/>
      <c r="D8" s="282"/>
      <c r="E8" s="278"/>
    </row>
    <row r="9" spans="2:5" x14ac:dyDescent="0.25">
      <c r="B9" s="268">
        <v>2</v>
      </c>
      <c r="C9" s="278"/>
      <c r="D9" s="282"/>
      <c r="E9" s="278"/>
    </row>
    <row r="10" spans="2:5" x14ac:dyDescent="0.25">
      <c r="B10" s="268">
        <v>3</v>
      </c>
      <c r="C10" s="278"/>
      <c r="D10" s="282"/>
      <c r="E10" s="278"/>
    </row>
    <row r="11" spans="2:5" x14ac:dyDescent="0.25">
      <c r="B11" s="268">
        <v>4</v>
      </c>
      <c r="C11" s="278"/>
      <c r="D11" s="282"/>
      <c r="E11" s="278"/>
    </row>
    <row r="12" spans="2:5" x14ac:dyDescent="0.25">
      <c r="B12" s="268">
        <v>5</v>
      </c>
      <c r="C12" s="278"/>
      <c r="D12" s="282"/>
      <c r="E12" s="278"/>
    </row>
    <row r="13" spans="2:5" x14ac:dyDescent="0.25">
      <c r="B13" s="268">
        <v>6</v>
      </c>
      <c r="C13" s="278"/>
      <c r="D13" s="282"/>
      <c r="E13" s="278"/>
    </row>
    <row r="14" spans="2:5" x14ac:dyDescent="0.25">
      <c r="B14" s="268">
        <v>7</v>
      </c>
      <c r="C14" s="278"/>
      <c r="D14" s="282"/>
      <c r="E14" s="278"/>
    </row>
    <row r="15" spans="2:5" x14ac:dyDescent="0.25">
      <c r="B15" s="268">
        <v>8</v>
      </c>
      <c r="C15" s="278"/>
      <c r="D15" s="282"/>
      <c r="E15" s="278"/>
    </row>
    <row r="16" spans="2:5" x14ac:dyDescent="0.25">
      <c r="B16" s="268">
        <v>9</v>
      </c>
      <c r="C16" s="278"/>
      <c r="D16" s="282"/>
      <c r="E16" s="278"/>
    </row>
    <row r="17" spans="2:5" x14ac:dyDescent="0.25">
      <c r="B17" s="268">
        <v>10</v>
      </c>
      <c r="C17" s="278"/>
      <c r="D17" s="282"/>
      <c r="E17" s="278"/>
    </row>
    <row r="18" spans="2:5" x14ac:dyDescent="0.25">
      <c r="B18" s="268">
        <v>11</v>
      </c>
      <c r="C18" s="278"/>
      <c r="D18" s="282"/>
      <c r="E18" s="278"/>
    </row>
    <row r="19" spans="2:5" x14ac:dyDescent="0.25">
      <c r="B19" s="268">
        <v>12</v>
      </c>
      <c r="C19" s="278"/>
      <c r="D19" s="282"/>
      <c r="E19" s="278"/>
    </row>
    <row r="20" spans="2:5" x14ac:dyDescent="0.25">
      <c r="B20" s="268">
        <v>13</v>
      </c>
      <c r="C20" s="278"/>
      <c r="D20" s="282"/>
      <c r="E20" s="278"/>
    </row>
    <row r="21" spans="2:5" x14ac:dyDescent="0.25">
      <c r="B21" s="268">
        <v>14</v>
      </c>
      <c r="C21" s="278"/>
      <c r="D21" s="282"/>
      <c r="E21" s="278"/>
    </row>
    <row r="22" spans="2:5" x14ac:dyDescent="0.25">
      <c r="B22" s="268">
        <v>15</v>
      </c>
      <c r="C22" s="278"/>
      <c r="D22" s="282"/>
      <c r="E22" s="278"/>
    </row>
    <row r="23" spans="2:5" x14ac:dyDescent="0.25">
      <c r="B23" s="268">
        <v>16</v>
      </c>
      <c r="C23" s="278"/>
      <c r="D23" s="282"/>
      <c r="E23" s="278"/>
    </row>
    <row r="24" spans="2:5" x14ac:dyDescent="0.25">
      <c r="B24" s="268">
        <v>17</v>
      </c>
      <c r="C24" s="278"/>
      <c r="D24" s="282"/>
      <c r="E24" s="278"/>
    </row>
    <row r="25" spans="2:5" x14ac:dyDescent="0.25">
      <c r="B25" s="268">
        <v>18</v>
      </c>
      <c r="C25" s="278"/>
      <c r="D25" s="282"/>
      <c r="E25" s="278"/>
    </row>
    <row r="26" spans="2:5" x14ac:dyDescent="0.25">
      <c r="B26" s="268">
        <v>19</v>
      </c>
      <c r="C26" s="278"/>
      <c r="D26" s="282"/>
      <c r="E26" s="278"/>
    </row>
    <row r="27" spans="2:5" x14ac:dyDescent="0.25">
      <c r="B27" s="268">
        <v>20</v>
      </c>
      <c r="C27" s="278"/>
      <c r="D27" s="282"/>
      <c r="E27" s="278"/>
    </row>
    <row r="28" spans="2:5" s="284" customFormat="1" x14ac:dyDescent="0.25">
      <c r="B28" s="279"/>
      <c r="C28" s="279" t="s">
        <v>229</v>
      </c>
      <c r="D28" s="283"/>
      <c r="E28" s="280"/>
    </row>
    <row r="30" spans="2:5" s="285" customFormat="1" ht="41.25" customHeight="1" x14ac:dyDescent="0.25">
      <c r="B30" s="308" t="s">
        <v>236</v>
      </c>
      <c r="C30" s="308"/>
      <c r="D30" s="308"/>
      <c r="E30" s="308"/>
    </row>
    <row r="31" spans="2:5" s="285" customFormat="1" ht="19.5" customHeight="1" x14ac:dyDescent="0.25">
      <c r="B31" s="308" t="s">
        <v>230</v>
      </c>
      <c r="C31" s="308"/>
      <c r="D31" s="308"/>
      <c r="E31" s="308"/>
    </row>
    <row r="32" spans="2:5" s="285" customFormat="1" ht="30" customHeight="1" x14ac:dyDescent="0.25">
      <c r="B32" s="308" t="s">
        <v>231</v>
      </c>
      <c r="C32" s="308"/>
      <c r="D32" s="308"/>
      <c r="E32" s="308"/>
    </row>
    <row r="33" spans="2:5" s="285" customFormat="1" x14ac:dyDescent="0.25">
      <c r="B33" s="308" t="s">
        <v>232</v>
      </c>
      <c r="C33" s="308"/>
      <c r="D33" s="308"/>
      <c r="E33" s="308"/>
    </row>
    <row r="34" spans="2:5" s="285" customFormat="1" ht="41.25" customHeight="1" x14ac:dyDescent="0.25">
      <c r="B34" s="308" t="s">
        <v>233</v>
      </c>
      <c r="C34" s="308"/>
      <c r="D34" s="308"/>
      <c r="E34" s="308"/>
    </row>
    <row r="35" spans="2:5" s="285" customFormat="1" x14ac:dyDescent="0.25">
      <c r="D35" s="286"/>
    </row>
    <row r="36" spans="2:5" s="285" customFormat="1" ht="41.25" customHeight="1" x14ac:dyDescent="0.25">
      <c r="B36" s="308" t="s">
        <v>234</v>
      </c>
      <c r="C36" s="308"/>
      <c r="D36" s="308"/>
      <c r="E36" s="308"/>
    </row>
  </sheetData>
  <mergeCells count="9">
    <mergeCell ref="B33:E33"/>
    <mergeCell ref="B34:E34"/>
    <mergeCell ref="B36:E36"/>
    <mergeCell ref="B6:E6"/>
    <mergeCell ref="B2:E2"/>
    <mergeCell ref="B4:E4"/>
    <mergeCell ref="B30:E30"/>
    <mergeCell ref="B31:E31"/>
    <mergeCell ref="B32:E32"/>
  </mergeCells>
  <pageMargins left="0.7" right="0.7" top="0.75" bottom="0.75" header="0.3" footer="0.3"/>
  <pageSetup paperSize="9" scale="93"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Alusta siit!</vt:lpstr>
      <vt:lpstr>Tooted</vt:lpstr>
      <vt:lpstr>Kassavood</vt:lpstr>
      <vt:lpstr>Kasumiaruanne</vt:lpstr>
      <vt:lpstr>Bilanss</vt:lpstr>
      <vt:lpstr>Töötajad</vt:lpstr>
      <vt:lpstr>Toetuse kasutamine</vt:lpstr>
      <vt:lpstr>kohu1</vt:lpstr>
      <vt:lpstr>kohu2</vt:lpstr>
      <vt:lpstr>Kassavood!Print_Area</vt:lpstr>
      <vt:lpstr>Kasumiaruanne!Print_Area</vt:lpstr>
      <vt:lpstr>Tooted!Print_Area</vt:lpstr>
      <vt:lpstr>Kassavood!Print_Titles</vt:lpstr>
      <vt:lpstr>Tooted!Print_Titles</vt:lpstr>
      <vt:lpstr>raha1</vt:lpstr>
      <vt:lpstr>raha2</vt:lpstr>
    </vt:vector>
  </TitlesOfParts>
  <Company>Ettevõtluse Arenduse Sihtasutus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Margit Karu</dc:creator>
  <cp:lastModifiedBy>Vasiliy Bezlyudnyy</cp:lastModifiedBy>
  <cp:lastPrinted>2019-06-05T09:53:59Z</cp:lastPrinted>
  <dcterms:created xsi:type="dcterms:W3CDTF">2004-12-15T09:01:57Z</dcterms:created>
  <dcterms:modified xsi:type="dcterms:W3CDTF">2024-02-23T13:13:26Z</dcterms:modified>
</cp:coreProperties>
</file>